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SMAP\LRF\IRP Written Support\2015 IRP\Data Disk\2017\"/>
    </mc:Choice>
  </mc:AlternateContent>
  <bookViews>
    <workbookView xWindow="120" yWindow="45" windowWidth="15180" windowHeight="8580" tabRatio="808"/>
  </bookViews>
  <sheets>
    <sheet name="Annual" sheetId="7" r:id="rId1"/>
    <sheet name="Line Losses" sheetId="9" r:id="rId2"/>
    <sheet name="Quarter" sheetId="6" state="hidden" r:id="rId3"/>
    <sheet name="Line Losses_Alt" sheetId="4" state="hidden" r:id="rId4"/>
    <sheet name="Sheet1" sheetId="1" state="hidden" r:id="rId5"/>
  </sheets>
  <calcPr calcId="152511"/>
</workbook>
</file>

<file path=xl/calcChain.xml><?xml version="1.0" encoding="utf-8"?>
<calcChain xmlns="http://schemas.openxmlformats.org/spreadsheetml/2006/main">
  <c r="W49" i="4" l="1"/>
  <c r="V48" i="4"/>
  <c r="V49" i="4"/>
  <c r="V50" i="4" s="1"/>
  <c r="U49" i="4"/>
  <c r="R48" i="4"/>
  <c r="R50" i="4" s="1"/>
  <c r="R49" i="4"/>
  <c r="Q48" i="4"/>
  <c r="Q49" i="4"/>
  <c r="Q50" i="4" s="1"/>
  <c r="P49" i="4"/>
  <c r="W45" i="4"/>
  <c r="V44" i="4"/>
  <c r="V45" i="4"/>
  <c r="V46" i="4" s="1"/>
  <c r="U45" i="4"/>
  <c r="R44" i="4"/>
  <c r="R45" i="4"/>
  <c r="Q44" i="4"/>
  <c r="Q45" i="4"/>
  <c r="P45" i="4"/>
  <c r="W41" i="4"/>
  <c r="V40" i="4"/>
  <c r="V41" i="4"/>
  <c r="U41" i="4"/>
  <c r="R40" i="4"/>
  <c r="R41" i="4"/>
  <c r="R42" i="4" s="1"/>
  <c r="Q40" i="4"/>
  <c r="Q41" i="4"/>
  <c r="P41" i="4"/>
  <c r="W37" i="4"/>
  <c r="V36" i="4"/>
  <c r="V37" i="4"/>
  <c r="V38" i="4" s="1"/>
  <c r="U37" i="4"/>
  <c r="R36" i="4"/>
  <c r="R37" i="4"/>
  <c r="Q36" i="4"/>
  <c r="Q37" i="4"/>
  <c r="Q38" i="4" s="1"/>
  <c r="P37" i="4"/>
  <c r="W33" i="4"/>
  <c r="V32" i="4"/>
  <c r="V33" i="4"/>
  <c r="U33" i="4"/>
  <c r="R32" i="4"/>
  <c r="R33" i="4"/>
  <c r="R34" i="4" s="1"/>
  <c r="Q32" i="4"/>
  <c r="Q33" i="4"/>
  <c r="P33" i="4"/>
  <c r="W29" i="4"/>
  <c r="V28" i="4"/>
  <c r="V29" i="4"/>
  <c r="U29" i="4"/>
  <c r="R28" i="4"/>
  <c r="R29" i="4"/>
  <c r="R30" i="4" s="1"/>
  <c r="Q28" i="4"/>
  <c r="Q29" i="4"/>
  <c r="P29" i="4"/>
  <c r="W25" i="4"/>
  <c r="V24" i="4"/>
  <c r="V25" i="4"/>
  <c r="U25" i="4"/>
  <c r="R24" i="4"/>
  <c r="R25" i="4"/>
  <c r="Q24" i="4"/>
  <c r="Q25" i="4"/>
  <c r="P25" i="4"/>
  <c r="W21" i="4"/>
  <c r="V20" i="4"/>
  <c r="V22" i="4" s="1"/>
  <c r="V21" i="4"/>
  <c r="U21" i="4"/>
  <c r="R20" i="4"/>
  <c r="R21" i="4"/>
  <c r="Q20" i="4"/>
  <c r="Q21" i="4"/>
  <c r="Q22" i="4" s="1"/>
  <c r="P21" i="4"/>
  <c r="W17" i="4"/>
  <c r="V16" i="4"/>
  <c r="V17" i="4"/>
  <c r="U17" i="4"/>
  <c r="R16" i="4"/>
  <c r="R17" i="4"/>
  <c r="Q16" i="4"/>
  <c r="Q17" i="4"/>
  <c r="P17" i="4"/>
  <c r="W13" i="4"/>
  <c r="V12" i="4"/>
  <c r="V13" i="4"/>
  <c r="U13" i="4"/>
  <c r="R12" i="4"/>
  <c r="R13" i="4"/>
  <c r="Q12" i="4"/>
  <c r="Q13" i="4"/>
  <c r="P13" i="4"/>
  <c r="W9" i="4"/>
  <c r="V8" i="4"/>
  <c r="V9" i="4"/>
  <c r="V10" i="4" s="1"/>
  <c r="U9" i="4"/>
  <c r="R8" i="4"/>
  <c r="R9" i="4"/>
  <c r="Q8" i="4"/>
  <c r="Q9" i="4"/>
  <c r="Q10" i="4" s="1"/>
  <c r="P9" i="4"/>
  <c r="W5" i="4"/>
  <c r="V4" i="4"/>
  <c r="V5" i="4"/>
  <c r="U5" i="4"/>
  <c r="R4" i="4"/>
  <c r="R5" i="4"/>
  <c r="Q4" i="4"/>
  <c r="Q5" i="4"/>
  <c r="P5" i="4"/>
  <c r="G4" i="4"/>
  <c r="L4" i="4"/>
  <c r="L8" i="4"/>
  <c r="G8" i="4"/>
  <c r="G12" i="4"/>
  <c r="N12" i="4" s="1"/>
  <c r="L12" i="4"/>
  <c r="L14" i="4" s="1"/>
  <c r="L16" i="4"/>
  <c r="G16" i="4"/>
  <c r="G20" i="4"/>
  <c r="G22" i="4" s="1"/>
  <c r="L20" i="4"/>
  <c r="L24" i="4"/>
  <c r="G24" i="4"/>
  <c r="G28" i="4"/>
  <c r="G30" i="4" s="1"/>
  <c r="L28" i="4"/>
  <c r="L32" i="4"/>
  <c r="G32" i="4"/>
  <c r="G36" i="4"/>
  <c r="G38" i="4" s="1"/>
  <c r="L36" i="4"/>
  <c r="L40" i="4"/>
  <c r="G40" i="4"/>
  <c r="G44" i="4"/>
  <c r="L44" i="4"/>
  <c r="L48" i="4"/>
  <c r="G48" i="4"/>
  <c r="G50" i="4" s="1"/>
  <c r="G5" i="4"/>
  <c r="L5" i="4"/>
  <c r="G9" i="4"/>
  <c r="L9" i="4"/>
  <c r="G13" i="4"/>
  <c r="L13" i="4"/>
  <c r="G17" i="4"/>
  <c r="L17" i="4"/>
  <c r="G21" i="4"/>
  <c r="L21" i="4"/>
  <c r="G25" i="4"/>
  <c r="L25" i="4"/>
  <c r="L26" i="4" s="1"/>
  <c r="G29" i="4"/>
  <c r="L29" i="4"/>
  <c r="G33" i="4"/>
  <c r="L33" i="4"/>
  <c r="L34" i="4" s="1"/>
  <c r="G37" i="4"/>
  <c r="L37" i="4"/>
  <c r="G41" i="4"/>
  <c r="L41" i="4"/>
  <c r="G45" i="4"/>
  <c r="L45" i="4"/>
  <c r="G49" i="4"/>
  <c r="L49" i="4"/>
  <c r="K52" i="4"/>
  <c r="K53" i="4"/>
  <c r="J52" i="4"/>
  <c r="J53" i="4"/>
  <c r="I52" i="4"/>
  <c r="I54" i="4" s="1"/>
  <c r="I53" i="4"/>
  <c r="F52" i="4"/>
  <c r="F53" i="4"/>
  <c r="F54" i="4" s="1"/>
  <c r="E52" i="4"/>
  <c r="E53" i="4"/>
  <c r="D52" i="4"/>
  <c r="D53" i="4"/>
  <c r="D54" i="4" s="1"/>
  <c r="L50" i="4"/>
  <c r="K50" i="4"/>
  <c r="J50" i="4"/>
  <c r="I50" i="4"/>
  <c r="F50" i="4"/>
  <c r="E50" i="4"/>
  <c r="D50" i="4"/>
  <c r="L46" i="4"/>
  <c r="K46" i="4"/>
  <c r="J46" i="4"/>
  <c r="I46" i="4"/>
  <c r="F46" i="4"/>
  <c r="E46" i="4"/>
  <c r="D46" i="4"/>
  <c r="L42" i="4"/>
  <c r="K42" i="4"/>
  <c r="J42" i="4"/>
  <c r="I42" i="4"/>
  <c r="F42" i="4"/>
  <c r="E42" i="4"/>
  <c r="D42" i="4"/>
  <c r="L38" i="4"/>
  <c r="K38" i="4"/>
  <c r="J38" i="4"/>
  <c r="I38" i="4"/>
  <c r="F38" i="4"/>
  <c r="E38" i="4"/>
  <c r="D38" i="4"/>
  <c r="K34" i="4"/>
  <c r="J34" i="4"/>
  <c r="I34" i="4"/>
  <c r="G34" i="4"/>
  <c r="F34" i="4"/>
  <c r="E34" i="4"/>
  <c r="D34" i="4"/>
  <c r="L30" i="4"/>
  <c r="K30" i="4"/>
  <c r="J30" i="4"/>
  <c r="I30" i="4"/>
  <c r="F30" i="4"/>
  <c r="E30" i="4"/>
  <c r="D30" i="4"/>
  <c r="K26" i="4"/>
  <c r="J26" i="4"/>
  <c r="I26" i="4"/>
  <c r="G26" i="4"/>
  <c r="F26" i="4"/>
  <c r="E26" i="4"/>
  <c r="D26" i="4"/>
  <c r="L22" i="4"/>
  <c r="K22" i="4"/>
  <c r="J22" i="4"/>
  <c r="I22" i="4"/>
  <c r="F22" i="4"/>
  <c r="E22" i="4"/>
  <c r="D22" i="4"/>
  <c r="K18" i="4"/>
  <c r="J18" i="4"/>
  <c r="I18" i="4"/>
  <c r="G18" i="4"/>
  <c r="F18" i="4"/>
  <c r="E18" i="4"/>
  <c r="D18" i="4"/>
  <c r="K14" i="4"/>
  <c r="J14" i="4"/>
  <c r="I14" i="4"/>
  <c r="G14" i="4"/>
  <c r="F14" i="4"/>
  <c r="E14" i="4"/>
  <c r="D14" i="4"/>
  <c r="K10" i="4"/>
  <c r="J10" i="4"/>
  <c r="I10" i="4"/>
  <c r="G10" i="4"/>
  <c r="F10" i="4"/>
  <c r="E10" i="4"/>
  <c r="D10" i="4"/>
  <c r="K6" i="4"/>
  <c r="J6" i="4"/>
  <c r="I6" i="4"/>
  <c r="G6" i="4"/>
  <c r="F6" i="4"/>
  <c r="E6" i="4"/>
  <c r="D6" i="4"/>
  <c r="K383" i="4"/>
  <c r="J382" i="4"/>
  <c r="J383" i="4"/>
  <c r="J384" i="4" s="1"/>
  <c r="I383" i="4"/>
  <c r="F382" i="4"/>
  <c r="F383" i="4"/>
  <c r="E382" i="4"/>
  <c r="E383" i="4"/>
  <c r="D383" i="4"/>
  <c r="K328" i="4"/>
  <c r="J327" i="4"/>
  <c r="J328" i="4"/>
  <c r="I328" i="4"/>
  <c r="F327" i="4"/>
  <c r="F328" i="4"/>
  <c r="E327" i="4"/>
  <c r="E328" i="4"/>
  <c r="D328" i="4"/>
  <c r="K273" i="4"/>
  <c r="J272" i="4"/>
  <c r="J273" i="4"/>
  <c r="J274" i="4"/>
  <c r="I273" i="4"/>
  <c r="F272" i="4"/>
  <c r="F273" i="4"/>
  <c r="E272" i="4"/>
  <c r="E273" i="4"/>
  <c r="D273" i="4"/>
  <c r="K218" i="4"/>
  <c r="J217" i="4"/>
  <c r="J218" i="4"/>
  <c r="I218" i="4"/>
  <c r="F217" i="4"/>
  <c r="F218" i="4"/>
  <c r="E217" i="4"/>
  <c r="E218" i="4"/>
  <c r="D218" i="4"/>
  <c r="K163" i="4"/>
  <c r="J162" i="4"/>
  <c r="J163" i="4"/>
  <c r="J164" i="4"/>
  <c r="I163" i="4"/>
  <c r="F162" i="4"/>
  <c r="F163" i="4"/>
  <c r="E162" i="4"/>
  <c r="E163" i="4"/>
  <c r="D163" i="4"/>
  <c r="K107" i="4"/>
  <c r="K108" i="4"/>
  <c r="K109" i="4" s="1"/>
  <c r="J107" i="4"/>
  <c r="J108" i="4"/>
  <c r="I107" i="4"/>
  <c r="I108" i="4"/>
  <c r="F107" i="4"/>
  <c r="F108" i="4"/>
  <c r="E107" i="4"/>
  <c r="E108" i="4"/>
  <c r="E109" i="4" s="1"/>
  <c r="D108" i="4"/>
  <c r="D107" i="4"/>
  <c r="L104" i="4"/>
  <c r="K105" i="4"/>
  <c r="J105" i="4"/>
  <c r="I105" i="4"/>
  <c r="G104" i="4"/>
  <c r="N104" i="4" s="1"/>
  <c r="F105" i="4"/>
  <c r="E105" i="4"/>
  <c r="D105" i="4"/>
  <c r="D146" i="4"/>
  <c r="D148" i="4" s="1"/>
  <c r="D201" i="4"/>
  <c r="D203" i="4" s="1"/>
  <c r="D256" i="4"/>
  <c r="D258" i="4" s="1"/>
  <c r="D311" i="4"/>
  <c r="D313" i="4" s="1"/>
  <c r="D366" i="4"/>
  <c r="D368" i="4" s="1"/>
  <c r="D150" i="4"/>
  <c r="D152" i="4" s="1"/>
  <c r="D205" i="4"/>
  <c r="D207" i="4" s="1"/>
  <c r="D260" i="4"/>
  <c r="D262" i="4" s="1"/>
  <c r="D315" i="4"/>
  <c r="D317" i="4" s="1"/>
  <c r="D370" i="4"/>
  <c r="D372" i="4" s="1"/>
  <c r="D154" i="4"/>
  <c r="D209" i="4"/>
  <c r="D211" i="4" s="1"/>
  <c r="D264" i="4"/>
  <c r="D266" i="4" s="1"/>
  <c r="D319" i="4"/>
  <c r="D321" i="4" s="1"/>
  <c r="D374" i="4"/>
  <c r="D376" i="4" s="1"/>
  <c r="D114" i="4"/>
  <c r="D116" i="4" s="1"/>
  <c r="D169" i="4"/>
  <c r="D171" i="4" s="1"/>
  <c r="D224" i="4"/>
  <c r="D226" i="4" s="1"/>
  <c r="D279" i="4"/>
  <c r="D281" i="4" s="1"/>
  <c r="D334" i="4"/>
  <c r="D336" i="4" s="1"/>
  <c r="D118" i="4"/>
  <c r="D120" i="4" s="1"/>
  <c r="D173" i="4"/>
  <c r="D175" i="4" s="1"/>
  <c r="D228" i="4"/>
  <c r="D230" i="4" s="1"/>
  <c r="D283" i="4"/>
  <c r="D285" i="4" s="1"/>
  <c r="D338" i="4"/>
  <c r="D340" i="4" s="1"/>
  <c r="D158" i="4"/>
  <c r="D160" i="4" s="1"/>
  <c r="D213" i="4"/>
  <c r="D268" i="4"/>
  <c r="D270" i="4" s="1"/>
  <c r="D323" i="4"/>
  <c r="D325" i="4" s="1"/>
  <c r="D378" i="4"/>
  <c r="D380" i="4" s="1"/>
  <c r="E116" i="4"/>
  <c r="E171" i="4"/>
  <c r="E226" i="4"/>
  <c r="E281" i="4"/>
  <c r="E336" i="4"/>
  <c r="E120" i="4"/>
  <c r="E175" i="4"/>
  <c r="E230" i="4"/>
  <c r="E285" i="4"/>
  <c r="E340" i="4"/>
  <c r="E160" i="4"/>
  <c r="E215" i="4"/>
  <c r="E270" i="4"/>
  <c r="E325" i="4"/>
  <c r="E380" i="4"/>
  <c r="F116" i="4"/>
  <c r="F171" i="4"/>
  <c r="F226" i="4"/>
  <c r="F281" i="4"/>
  <c r="F336" i="4"/>
  <c r="F120" i="4"/>
  <c r="F175" i="4"/>
  <c r="F230" i="4"/>
  <c r="F285" i="4"/>
  <c r="F340" i="4"/>
  <c r="F160" i="4"/>
  <c r="F215" i="4"/>
  <c r="F270" i="4"/>
  <c r="F325" i="4"/>
  <c r="F380" i="4"/>
  <c r="K114" i="4"/>
  <c r="K116" i="4" s="1"/>
  <c r="K169" i="4"/>
  <c r="K171" i="4" s="1"/>
  <c r="K224" i="4"/>
  <c r="K279" i="4"/>
  <c r="K334" i="4"/>
  <c r="K336" i="4" s="1"/>
  <c r="K118" i="4"/>
  <c r="K173" i="4"/>
  <c r="K175" i="4" s="1"/>
  <c r="K228" i="4"/>
  <c r="K230" i="4" s="1"/>
  <c r="K283" i="4"/>
  <c r="K285" i="4" s="1"/>
  <c r="K338" i="4"/>
  <c r="K340" i="4" s="1"/>
  <c r="K158" i="4"/>
  <c r="K160" i="4" s="1"/>
  <c r="K213" i="4"/>
  <c r="K268" i="4"/>
  <c r="K270" i="4" s="1"/>
  <c r="K323" i="4"/>
  <c r="K378" i="4"/>
  <c r="K380" i="4" s="1"/>
  <c r="I114" i="4"/>
  <c r="I116" i="4" s="1"/>
  <c r="I169" i="4"/>
  <c r="I171" i="4" s="1"/>
  <c r="I224" i="4"/>
  <c r="I226" i="4" s="1"/>
  <c r="I279" i="4"/>
  <c r="I281" i="4" s="1"/>
  <c r="I334" i="4"/>
  <c r="I118" i="4"/>
  <c r="I120" i="4" s="1"/>
  <c r="I173" i="4"/>
  <c r="I228" i="4"/>
  <c r="I230" i="4" s="1"/>
  <c r="I283" i="4"/>
  <c r="I285" i="4" s="1"/>
  <c r="I338" i="4"/>
  <c r="I340" i="4" s="1"/>
  <c r="I158" i="4"/>
  <c r="I160" i="4" s="1"/>
  <c r="I213" i="4"/>
  <c r="I215" i="4" s="1"/>
  <c r="I268" i="4"/>
  <c r="I323" i="4"/>
  <c r="I325" i="4" s="1"/>
  <c r="I378" i="4"/>
  <c r="J116" i="4"/>
  <c r="J171" i="4"/>
  <c r="J226" i="4"/>
  <c r="J281" i="4"/>
  <c r="J336" i="4"/>
  <c r="J120" i="4"/>
  <c r="J175" i="4"/>
  <c r="J230" i="4"/>
  <c r="J285" i="4"/>
  <c r="J340" i="4"/>
  <c r="J160" i="4"/>
  <c r="J215" i="4"/>
  <c r="J270" i="4"/>
  <c r="J325" i="4"/>
  <c r="J380" i="4"/>
  <c r="L114" i="4"/>
  <c r="L115" i="4"/>
  <c r="L170" i="4"/>
  <c r="L225" i="4"/>
  <c r="L280" i="4"/>
  <c r="L335" i="4"/>
  <c r="L119" i="4"/>
  <c r="L174" i="4"/>
  <c r="L229" i="4"/>
  <c r="L284" i="4"/>
  <c r="L339" i="4"/>
  <c r="L159" i="4"/>
  <c r="L214" i="4"/>
  <c r="L269" i="4"/>
  <c r="L324" i="4"/>
  <c r="L379" i="4"/>
  <c r="I146" i="4"/>
  <c r="K146" i="4"/>
  <c r="L147" i="4"/>
  <c r="I201" i="4"/>
  <c r="I203" i="4" s="1"/>
  <c r="K201" i="4"/>
  <c r="L201" i="4"/>
  <c r="L203" i="4" s="1"/>
  <c r="L202" i="4"/>
  <c r="I256" i="4"/>
  <c r="K256" i="4"/>
  <c r="L256" i="4" s="1"/>
  <c r="L257" i="4"/>
  <c r="I311" i="4"/>
  <c r="I313" i="4" s="1"/>
  <c r="K311" i="4"/>
  <c r="L311" i="4"/>
  <c r="L313" i="4" s="1"/>
  <c r="L312" i="4"/>
  <c r="I366" i="4"/>
  <c r="K366" i="4"/>
  <c r="L366" i="4" s="1"/>
  <c r="L367" i="4"/>
  <c r="I150" i="4"/>
  <c r="I152" i="4" s="1"/>
  <c r="K150" i="4"/>
  <c r="L150" i="4"/>
  <c r="L151" i="4"/>
  <c r="I205" i="4"/>
  <c r="K205" i="4"/>
  <c r="L205" i="4" s="1"/>
  <c r="L206" i="4"/>
  <c r="I260" i="4"/>
  <c r="I262" i="4" s="1"/>
  <c r="K260" i="4"/>
  <c r="L260" i="4"/>
  <c r="L261" i="4"/>
  <c r="I315" i="4"/>
  <c r="K315" i="4"/>
  <c r="L315" i="4" s="1"/>
  <c r="L316" i="4"/>
  <c r="I370" i="4"/>
  <c r="I372" i="4" s="1"/>
  <c r="K370" i="4"/>
  <c r="L370" i="4"/>
  <c r="L372" i="4" s="1"/>
  <c r="L371" i="4"/>
  <c r="I154" i="4"/>
  <c r="K154" i="4"/>
  <c r="L155" i="4"/>
  <c r="I209" i="4"/>
  <c r="I211" i="4" s="1"/>
  <c r="K209" i="4"/>
  <c r="L209" i="4"/>
  <c r="L211" i="4" s="1"/>
  <c r="L210" i="4"/>
  <c r="I264" i="4"/>
  <c r="K264" i="4"/>
  <c r="L264" i="4" s="1"/>
  <c r="L265" i="4"/>
  <c r="I319" i="4"/>
  <c r="I321" i="4" s="1"/>
  <c r="K319" i="4"/>
  <c r="L319" i="4"/>
  <c r="L320" i="4"/>
  <c r="I374" i="4"/>
  <c r="K374" i="4"/>
  <c r="L374" i="4" s="1"/>
  <c r="L375" i="4"/>
  <c r="I134" i="4"/>
  <c r="I136" i="4" s="1"/>
  <c r="K134" i="4"/>
  <c r="L134" i="4"/>
  <c r="L135" i="4"/>
  <c r="I189" i="4"/>
  <c r="K189" i="4"/>
  <c r="L189" i="4" s="1"/>
  <c r="L190" i="4"/>
  <c r="I244" i="4"/>
  <c r="I246" i="4" s="1"/>
  <c r="K244" i="4"/>
  <c r="L244" i="4"/>
  <c r="L246" i="4" s="1"/>
  <c r="L245" i="4"/>
  <c r="I299" i="4"/>
  <c r="K299" i="4"/>
  <c r="L299" i="4" s="1"/>
  <c r="L300" i="4"/>
  <c r="I354" i="4"/>
  <c r="I356" i="4" s="1"/>
  <c r="K354" i="4"/>
  <c r="L354" i="4"/>
  <c r="L356" i="4" s="1"/>
  <c r="L355" i="4"/>
  <c r="I138" i="4"/>
  <c r="K138" i="4"/>
  <c r="K140" i="4" s="1"/>
  <c r="L139" i="4"/>
  <c r="I193" i="4"/>
  <c r="I195" i="4" s="1"/>
  <c r="K193" i="4"/>
  <c r="L193" i="4"/>
  <c r="L194" i="4"/>
  <c r="I248" i="4"/>
  <c r="K248" i="4"/>
  <c r="L248" i="4" s="1"/>
  <c r="L249" i="4"/>
  <c r="I303" i="4"/>
  <c r="I305" i="4" s="1"/>
  <c r="K303" i="4"/>
  <c r="L303" i="4"/>
  <c r="L304" i="4"/>
  <c r="I358" i="4"/>
  <c r="K358" i="4"/>
  <c r="L358" i="4" s="1"/>
  <c r="L359" i="4"/>
  <c r="I142" i="4"/>
  <c r="I144" i="4" s="1"/>
  <c r="K142" i="4"/>
  <c r="L142" i="4"/>
  <c r="L144" i="4" s="1"/>
  <c r="L143" i="4"/>
  <c r="I197" i="4"/>
  <c r="K197" i="4"/>
  <c r="L197" i="4" s="1"/>
  <c r="L198" i="4"/>
  <c r="I252" i="4"/>
  <c r="I254" i="4" s="1"/>
  <c r="K252" i="4"/>
  <c r="L252" i="4"/>
  <c r="L254" i="4" s="1"/>
  <c r="L253" i="4"/>
  <c r="I307" i="4"/>
  <c r="K307" i="4"/>
  <c r="L307" i="4" s="1"/>
  <c r="L308" i="4"/>
  <c r="I362" i="4"/>
  <c r="I364" i="4" s="1"/>
  <c r="K362" i="4"/>
  <c r="L362" i="4"/>
  <c r="L363" i="4"/>
  <c r="I122" i="4"/>
  <c r="K122" i="4"/>
  <c r="L123" i="4"/>
  <c r="I177" i="4"/>
  <c r="I179" i="4" s="1"/>
  <c r="K177" i="4"/>
  <c r="L177" i="4"/>
  <c r="L178" i="4"/>
  <c r="I232" i="4"/>
  <c r="K232" i="4"/>
  <c r="L232" i="4" s="1"/>
  <c r="L233" i="4"/>
  <c r="I287" i="4"/>
  <c r="I289" i="4" s="1"/>
  <c r="K287" i="4"/>
  <c r="L287" i="4"/>
  <c r="L289" i="4" s="1"/>
  <c r="L288" i="4"/>
  <c r="I342" i="4"/>
  <c r="K342" i="4"/>
  <c r="L342" i="4" s="1"/>
  <c r="L343" i="4"/>
  <c r="I126" i="4"/>
  <c r="I128" i="4" s="1"/>
  <c r="K126" i="4"/>
  <c r="L126" i="4"/>
  <c r="L128" i="4" s="1"/>
  <c r="L127" i="4"/>
  <c r="I181" i="4"/>
  <c r="K181" i="4"/>
  <c r="L181" i="4" s="1"/>
  <c r="L182" i="4"/>
  <c r="I236" i="4"/>
  <c r="I238" i="4" s="1"/>
  <c r="K236" i="4"/>
  <c r="L236" i="4"/>
  <c r="L237" i="4"/>
  <c r="I291" i="4"/>
  <c r="K291" i="4"/>
  <c r="L291" i="4" s="1"/>
  <c r="L292" i="4"/>
  <c r="I346" i="4"/>
  <c r="I348" i="4" s="1"/>
  <c r="K346" i="4"/>
  <c r="L346" i="4"/>
  <c r="L347" i="4"/>
  <c r="I130" i="4"/>
  <c r="K130" i="4"/>
  <c r="K132" i="4" s="1"/>
  <c r="L131" i="4"/>
  <c r="I185" i="4"/>
  <c r="I187" i="4" s="1"/>
  <c r="K185" i="4"/>
  <c r="L185" i="4"/>
  <c r="L187" i="4" s="1"/>
  <c r="L186" i="4"/>
  <c r="I240" i="4"/>
  <c r="K240" i="4"/>
  <c r="L240" i="4" s="1"/>
  <c r="L241" i="4"/>
  <c r="I295" i="4"/>
  <c r="I297" i="4" s="1"/>
  <c r="K295" i="4"/>
  <c r="L295" i="4"/>
  <c r="L297" i="4" s="1"/>
  <c r="L296" i="4"/>
  <c r="I350" i="4"/>
  <c r="K350" i="4"/>
  <c r="L350" i="4" s="1"/>
  <c r="L351" i="4"/>
  <c r="K148" i="4"/>
  <c r="K203" i="4"/>
  <c r="K258" i="4"/>
  <c r="K313" i="4"/>
  <c r="K368" i="4"/>
  <c r="K152" i="4"/>
  <c r="K207" i="4"/>
  <c r="K262" i="4"/>
  <c r="K317" i="4"/>
  <c r="K372" i="4"/>
  <c r="K156" i="4"/>
  <c r="K211" i="4"/>
  <c r="K266" i="4"/>
  <c r="K321" i="4"/>
  <c r="K376" i="4"/>
  <c r="K136" i="4"/>
  <c r="K191" i="4"/>
  <c r="K246" i="4"/>
  <c r="K301" i="4"/>
  <c r="K356" i="4"/>
  <c r="K195" i="4"/>
  <c r="K250" i="4"/>
  <c r="K305" i="4"/>
  <c r="K144" i="4"/>
  <c r="K199" i="4"/>
  <c r="K254" i="4"/>
  <c r="K364" i="4"/>
  <c r="K124" i="4"/>
  <c r="K179" i="4"/>
  <c r="K289" i="4"/>
  <c r="K344" i="4"/>
  <c r="K128" i="4"/>
  <c r="K238" i="4"/>
  <c r="K293" i="4"/>
  <c r="K348" i="4"/>
  <c r="K187" i="4"/>
  <c r="K242" i="4"/>
  <c r="K297" i="4"/>
  <c r="J148" i="4"/>
  <c r="J203" i="4"/>
  <c r="J258" i="4"/>
  <c r="J313" i="4"/>
  <c r="J368" i="4"/>
  <c r="J152" i="4"/>
  <c r="J207" i="4"/>
  <c r="J262" i="4"/>
  <c r="J317" i="4"/>
  <c r="J372" i="4"/>
  <c r="J156" i="4"/>
  <c r="J211" i="4"/>
  <c r="J266" i="4"/>
  <c r="J321" i="4"/>
  <c r="J376" i="4"/>
  <c r="J136" i="4"/>
  <c r="J191" i="4"/>
  <c r="J246" i="4"/>
  <c r="J301" i="4"/>
  <c r="J356" i="4"/>
  <c r="J140" i="4"/>
  <c r="J195" i="4"/>
  <c r="J250" i="4"/>
  <c r="J305" i="4"/>
  <c r="J360" i="4"/>
  <c r="J144" i="4"/>
  <c r="J199" i="4"/>
  <c r="J254" i="4"/>
  <c r="J309" i="4"/>
  <c r="J364" i="4"/>
  <c r="J124" i="4"/>
  <c r="J179" i="4"/>
  <c r="J234" i="4"/>
  <c r="J289" i="4"/>
  <c r="J344" i="4"/>
  <c r="J128" i="4"/>
  <c r="J183" i="4"/>
  <c r="J238" i="4"/>
  <c r="J293" i="4"/>
  <c r="J348" i="4"/>
  <c r="J132" i="4"/>
  <c r="J187" i="4"/>
  <c r="J242" i="4"/>
  <c r="J297" i="4"/>
  <c r="J352" i="4"/>
  <c r="I148" i="4"/>
  <c r="I258" i="4"/>
  <c r="I368" i="4"/>
  <c r="I207" i="4"/>
  <c r="I317" i="4"/>
  <c r="I156" i="4"/>
  <c r="I266" i="4"/>
  <c r="I376" i="4"/>
  <c r="I191" i="4"/>
  <c r="I301" i="4"/>
  <c r="I140" i="4"/>
  <c r="I250" i="4"/>
  <c r="I360" i="4"/>
  <c r="I199" i="4"/>
  <c r="I309" i="4"/>
  <c r="I124" i="4"/>
  <c r="I234" i="4"/>
  <c r="I344" i="4"/>
  <c r="I183" i="4"/>
  <c r="I293" i="4"/>
  <c r="I132" i="4"/>
  <c r="I242" i="4"/>
  <c r="I352" i="4"/>
  <c r="F148" i="4"/>
  <c r="F203" i="4"/>
  <c r="F258" i="4"/>
  <c r="F313" i="4"/>
  <c r="F368" i="4"/>
  <c r="F152" i="4"/>
  <c r="F207" i="4"/>
  <c r="F262" i="4"/>
  <c r="F317" i="4"/>
  <c r="F372" i="4"/>
  <c r="F156" i="4"/>
  <c r="F211" i="4"/>
  <c r="F266" i="4"/>
  <c r="F321" i="4"/>
  <c r="F376" i="4"/>
  <c r="F136" i="4"/>
  <c r="F191" i="4"/>
  <c r="F246" i="4"/>
  <c r="F301" i="4"/>
  <c r="F356" i="4"/>
  <c r="F140" i="4"/>
  <c r="F195" i="4"/>
  <c r="F250" i="4"/>
  <c r="F305" i="4"/>
  <c r="F360" i="4"/>
  <c r="F144" i="4"/>
  <c r="F199" i="4"/>
  <c r="F254" i="4"/>
  <c r="F309" i="4"/>
  <c r="F364" i="4"/>
  <c r="F124" i="4"/>
  <c r="F179" i="4"/>
  <c r="F234" i="4"/>
  <c r="F289" i="4"/>
  <c r="F344" i="4"/>
  <c r="F128" i="4"/>
  <c r="F183" i="4"/>
  <c r="F238" i="4"/>
  <c r="F293" i="4"/>
  <c r="F348" i="4"/>
  <c r="F132" i="4"/>
  <c r="F187" i="4"/>
  <c r="F242" i="4"/>
  <c r="F297" i="4"/>
  <c r="F352" i="4"/>
  <c r="E148" i="4"/>
  <c r="E203" i="4"/>
  <c r="E258" i="4"/>
  <c r="E313" i="4"/>
  <c r="E368" i="4"/>
  <c r="E152" i="4"/>
  <c r="E207" i="4"/>
  <c r="E262" i="4"/>
  <c r="E317" i="4"/>
  <c r="E372" i="4"/>
  <c r="E156" i="4"/>
  <c r="E211" i="4"/>
  <c r="E266" i="4"/>
  <c r="E321" i="4"/>
  <c r="E376" i="4"/>
  <c r="E136" i="4"/>
  <c r="E191" i="4"/>
  <c r="E246" i="4"/>
  <c r="E301" i="4"/>
  <c r="E356" i="4"/>
  <c r="E140" i="4"/>
  <c r="E195" i="4"/>
  <c r="E250" i="4"/>
  <c r="E305" i="4"/>
  <c r="E360" i="4"/>
  <c r="E144" i="4"/>
  <c r="E199" i="4"/>
  <c r="E254" i="4"/>
  <c r="E309" i="4"/>
  <c r="E364" i="4"/>
  <c r="E124" i="4"/>
  <c r="E179" i="4"/>
  <c r="E234" i="4"/>
  <c r="E289" i="4"/>
  <c r="E344" i="4"/>
  <c r="E128" i="4"/>
  <c r="E183" i="4"/>
  <c r="E238" i="4"/>
  <c r="E293" i="4"/>
  <c r="E348" i="4"/>
  <c r="E132" i="4"/>
  <c r="E187" i="4"/>
  <c r="E242" i="4"/>
  <c r="E297" i="4"/>
  <c r="E352" i="4"/>
  <c r="D134" i="4"/>
  <c r="D136" i="4" s="1"/>
  <c r="D189" i="4"/>
  <c r="D191" i="4"/>
  <c r="D244" i="4"/>
  <c r="D246" i="4" s="1"/>
  <c r="D299" i="4"/>
  <c r="D301" i="4"/>
  <c r="D354" i="4"/>
  <c r="D356" i="4" s="1"/>
  <c r="D138" i="4"/>
  <c r="D140" i="4"/>
  <c r="D193" i="4"/>
  <c r="D195" i="4" s="1"/>
  <c r="D248" i="4"/>
  <c r="D250" i="4"/>
  <c r="D303" i="4"/>
  <c r="D305" i="4" s="1"/>
  <c r="D358" i="4"/>
  <c r="D360" i="4"/>
  <c r="D142" i="4"/>
  <c r="D197" i="4"/>
  <c r="D199" i="4"/>
  <c r="D252" i="4"/>
  <c r="D307" i="4"/>
  <c r="D309" i="4"/>
  <c r="D362" i="4"/>
  <c r="D364" i="4" s="1"/>
  <c r="D122" i="4"/>
  <c r="D124" i="4"/>
  <c r="D177" i="4"/>
  <c r="D179" i="4" s="1"/>
  <c r="D232" i="4"/>
  <c r="D234" i="4"/>
  <c r="D287" i="4"/>
  <c r="D289" i="4" s="1"/>
  <c r="D342" i="4"/>
  <c r="D344" i="4"/>
  <c r="D126" i="4"/>
  <c r="D181" i="4"/>
  <c r="D183" i="4"/>
  <c r="D236" i="4"/>
  <c r="D238" i="4" s="1"/>
  <c r="D291" i="4"/>
  <c r="D293" i="4"/>
  <c r="D346" i="4"/>
  <c r="D348" i="4" s="1"/>
  <c r="D130" i="4"/>
  <c r="D132" i="4"/>
  <c r="D185" i="4"/>
  <c r="D187" i="4" s="1"/>
  <c r="D240" i="4"/>
  <c r="D242" i="4"/>
  <c r="D295" i="4"/>
  <c r="D297" i="4" s="1"/>
  <c r="D350" i="4"/>
  <c r="D352" i="4"/>
  <c r="G158" i="4"/>
  <c r="G159" i="4"/>
  <c r="N159" i="4" s="1"/>
  <c r="G214" i="4"/>
  <c r="N214" i="4" s="1"/>
  <c r="G268" i="4"/>
  <c r="G269" i="4"/>
  <c r="N269" i="4" s="1"/>
  <c r="G323" i="4"/>
  <c r="G324" i="4"/>
  <c r="N324" i="4" s="1"/>
  <c r="G378" i="4"/>
  <c r="G379" i="4"/>
  <c r="N379" i="4" s="1"/>
  <c r="G155" i="4"/>
  <c r="N155" i="4" s="1"/>
  <c r="G209" i="4"/>
  <c r="N209" i="4" s="1"/>
  <c r="G210" i="4"/>
  <c r="G264" i="4"/>
  <c r="N264" i="4" s="1"/>
  <c r="G265" i="4"/>
  <c r="G266" i="4"/>
  <c r="G319" i="4"/>
  <c r="N319" i="4" s="1"/>
  <c r="G320" i="4"/>
  <c r="G374" i="4"/>
  <c r="N374" i="4" s="1"/>
  <c r="G375" i="4"/>
  <c r="N375" i="4" s="1"/>
  <c r="G150" i="4"/>
  <c r="N150" i="4" s="1"/>
  <c r="G151" i="4"/>
  <c r="G205" i="4"/>
  <c r="N205" i="4" s="1"/>
  <c r="G206" i="4"/>
  <c r="N206" i="4" s="1"/>
  <c r="G260" i="4"/>
  <c r="N260" i="4" s="1"/>
  <c r="G261" i="4"/>
  <c r="G315" i="4"/>
  <c r="N315" i="4" s="1"/>
  <c r="G316" i="4"/>
  <c r="N316" i="4" s="1"/>
  <c r="G370" i="4"/>
  <c r="N370" i="4" s="1"/>
  <c r="G371" i="4"/>
  <c r="G146" i="4"/>
  <c r="G147" i="4"/>
  <c r="N147" i="4" s="1"/>
  <c r="G201" i="4"/>
  <c r="N201" i="4" s="1"/>
  <c r="G202" i="4"/>
  <c r="N202" i="4" s="1"/>
  <c r="G256" i="4"/>
  <c r="N256" i="4" s="1"/>
  <c r="G257" i="4"/>
  <c r="G311" i="4"/>
  <c r="N311" i="4" s="1"/>
  <c r="G312" i="4"/>
  <c r="N312" i="4" s="1"/>
  <c r="G366" i="4"/>
  <c r="N366" i="4" s="1"/>
  <c r="G367" i="4"/>
  <c r="G143" i="4"/>
  <c r="N143" i="4" s="1"/>
  <c r="G197" i="4"/>
  <c r="N197" i="4" s="1"/>
  <c r="G198" i="4"/>
  <c r="G253" i="4"/>
  <c r="N253" i="4" s="1"/>
  <c r="G307" i="4"/>
  <c r="G308" i="4"/>
  <c r="G362" i="4"/>
  <c r="N362" i="4" s="1"/>
  <c r="G363" i="4"/>
  <c r="N363" i="4" s="1"/>
  <c r="G138" i="4"/>
  <c r="G139" i="4"/>
  <c r="G193" i="4"/>
  <c r="N193" i="4" s="1"/>
  <c r="G194" i="4"/>
  <c r="N194" i="4" s="1"/>
  <c r="G248" i="4"/>
  <c r="N248" i="4" s="1"/>
  <c r="G249" i="4"/>
  <c r="G304" i="4"/>
  <c r="N304" i="4" s="1"/>
  <c r="G358" i="4"/>
  <c r="N358" i="4" s="1"/>
  <c r="G359" i="4"/>
  <c r="G135" i="4"/>
  <c r="N135" i="4" s="1"/>
  <c r="G189" i="4"/>
  <c r="N189" i="4" s="1"/>
  <c r="G190" i="4"/>
  <c r="G191" i="4"/>
  <c r="G244" i="4"/>
  <c r="N244" i="4" s="1"/>
  <c r="G245" i="4"/>
  <c r="G299" i="4"/>
  <c r="N299" i="4" s="1"/>
  <c r="G300" i="4"/>
  <c r="N300" i="4" s="1"/>
  <c r="G354" i="4"/>
  <c r="N354" i="4" s="1"/>
  <c r="G355" i="4"/>
  <c r="G130" i="4"/>
  <c r="G131" i="4"/>
  <c r="N131" i="4" s="1"/>
  <c r="G185" i="4"/>
  <c r="N185" i="4" s="1"/>
  <c r="G186" i="4"/>
  <c r="G240" i="4"/>
  <c r="N240" i="4" s="1"/>
  <c r="G241" i="4"/>
  <c r="N241" i="4" s="1"/>
  <c r="G295" i="4"/>
  <c r="N295" i="4" s="1"/>
  <c r="G296" i="4"/>
  <c r="G350" i="4"/>
  <c r="N350" i="4" s="1"/>
  <c r="G351" i="4"/>
  <c r="G352" i="4"/>
  <c r="G127" i="4"/>
  <c r="G181" i="4"/>
  <c r="N181" i="4" s="1"/>
  <c r="G182" i="4"/>
  <c r="G236" i="4"/>
  <c r="N236" i="4" s="1"/>
  <c r="G237" i="4"/>
  <c r="G291" i="4"/>
  <c r="N291" i="4" s="1"/>
  <c r="G292" i="4"/>
  <c r="N292" i="4" s="1"/>
  <c r="G346" i="4"/>
  <c r="N346" i="4" s="1"/>
  <c r="G347" i="4"/>
  <c r="N347" i="4" s="1"/>
  <c r="G122" i="4"/>
  <c r="G123" i="4"/>
  <c r="N123" i="4" s="1"/>
  <c r="G177" i="4"/>
  <c r="N177" i="4" s="1"/>
  <c r="G178" i="4"/>
  <c r="N178" i="4" s="1"/>
  <c r="G232" i="4"/>
  <c r="N232" i="4" s="1"/>
  <c r="G233" i="4"/>
  <c r="N233" i="4" s="1"/>
  <c r="G234" i="4"/>
  <c r="G288" i="4"/>
  <c r="N288" i="4" s="1"/>
  <c r="G342" i="4"/>
  <c r="N342" i="4" s="1"/>
  <c r="G343" i="4"/>
  <c r="N343" i="4" s="1"/>
  <c r="G118" i="4"/>
  <c r="G119" i="4"/>
  <c r="N119" i="4" s="1"/>
  <c r="G173" i="4"/>
  <c r="G174" i="4"/>
  <c r="N174" i="4" s="1"/>
  <c r="G228" i="4"/>
  <c r="G229" i="4"/>
  <c r="N229" i="4" s="1"/>
  <c r="G283" i="4"/>
  <c r="G284" i="4"/>
  <c r="N284" i="4" s="1"/>
  <c r="G338" i="4"/>
  <c r="G339" i="4"/>
  <c r="N339" i="4" s="1"/>
  <c r="G114" i="4"/>
  <c r="N114" i="4" s="1"/>
  <c r="G115" i="4"/>
  <c r="N115" i="4" s="1"/>
  <c r="G169" i="4"/>
  <c r="G170" i="4"/>
  <c r="N170" i="4" s="1"/>
  <c r="G224" i="4"/>
  <c r="G225" i="4"/>
  <c r="N225" i="4" s="1"/>
  <c r="G279" i="4"/>
  <c r="G280" i="4"/>
  <c r="N280" i="4" s="1"/>
  <c r="G334" i="4"/>
  <c r="G382" i="4" s="1"/>
  <c r="G335" i="4"/>
  <c r="N335" i="4" s="1"/>
  <c r="D93" i="4"/>
  <c r="P93" i="4" s="1"/>
  <c r="D89" i="4"/>
  <c r="D85" i="4"/>
  <c r="P85" i="4" s="1"/>
  <c r="D81" i="4"/>
  <c r="D77" i="4"/>
  <c r="D73" i="4"/>
  <c r="D69" i="4"/>
  <c r="P69" i="4" s="1"/>
  <c r="D65" i="4"/>
  <c r="P65" i="4" s="1"/>
  <c r="D61" i="4"/>
  <c r="P61" i="4" s="1"/>
  <c r="L103" i="4"/>
  <c r="L105" i="4" s="1"/>
  <c r="G103" i="4"/>
  <c r="N103" i="4" s="1"/>
  <c r="N105" i="4" s="1"/>
  <c r="L99" i="4"/>
  <c r="L100" i="4"/>
  <c r="K101" i="4"/>
  <c r="J101" i="4"/>
  <c r="V101" i="4" s="1"/>
  <c r="I101" i="4"/>
  <c r="G99" i="4"/>
  <c r="G100" i="4"/>
  <c r="F101" i="4"/>
  <c r="R101" i="4" s="1"/>
  <c r="E101" i="4"/>
  <c r="D101" i="4"/>
  <c r="L95" i="4"/>
  <c r="L96" i="4"/>
  <c r="L97" i="4" s="1"/>
  <c r="K97" i="4"/>
  <c r="J97" i="4"/>
  <c r="V97" i="4" s="1"/>
  <c r="I97" i="4"/>
  <c r="G95" i="4"/>
  <c r="N95" i="4" s="1"/>
  <c r="G96" i="4"/>
  <c r="F97" i="4"/>
  <c r="R97" i="4" s="1"/>
  <c r="E97" i="4"/>
  <c r="D97" i="4"/>
  <c r="P97" i="4" s="1"/>
  <c r="L91" i="4"/>
  <c r="L92" i="4"/>
  <c r="K93" i="4"/>
  <c r="J93" i="4"/>
  <c r="V93" i="4" s="1"/>
  <c r="AG67" i="4" s="1"/>
  <c r="E7" i="6" s="1"/>
  <c r="I93" i="4"/>
  <c r="G91" i="4"/>
  <c r="G92" i="4"/>
  <c r="F93" i="4"/>
  <c r="R93" i="4" s="1"/>
  <c r="AE67" i="4" s="1"/>
  <c r="E4" i="6" s="1"/>
  <c r="E93" i="4"/>
  <c r="L87" i="4"/>
  <c r="L88" i="4"/>
  <c r="K89" i="4"/>
  <c r="J89" i="4"/>
  <c r="V89" i="4" s="1"/>
  <c r="I89" i="4"/>
  <c r="G87" i="4"/>
  <c r="G88" i="4"/>
  <c r="N88" i="4" s="1"/>
  <c r="F89" i="4"/>
  <c r="R89" i="4" s="1"/>
  <c r="E89" i="4"/>
  <c r="L83" i="4"/>
  <c r="L84" i="4"/>
  <c r="L85" i="4" s="1"/>
  <c r="K85" i="4"/>
  <c r="W85" i="4" s="1"/>
  <c r="J85" i="4"/>
  <c r="V85" i="4" s="1"/>
  <c r="I85" i="4"/>
  <c r="G83" i="4"/>
  <c r="N83" i="4" s="1"/>
  <c r="G84" i="4"/>
  <c r="F85" i="4"/>
  <c r="R85" i="4" s="1"/>
  <c r="E85" i="4"/>
  <c r="L79" i="4"/>
  <c r="L80" i="4"/>
  <c r="K81" i="4"/>
  <c r="J81" i="4"/>
  <c r="V81" i="4" s="1"/>
  <c r="I81" i="4"/>
  <c r="G79" i="4"/>
  <c r="G80" i="4"/>
  <c r="F81" i="4"/>
  <c r="R81" i="4" s="1"/>
  <c r="E81" i="4"/>
  <c r="Q81" i="4" s="1"/>
  <c r="L75" i="4"/>
  <c r="L76" i="4"/>
  <c r="K77" i="4"/>
  <c r="W77" i="4" s="1"/>
  <c r="J77" i="4"/>
  <c r="V77" i="4" s="1"/>
  <c r="I77" i="4"/>
  <c r="G75" i="4"/>
  <c r="G76" i="4"/>
  <c r="F77" i="4"/>
  <c r="R77" i="4" s="1"/>
  <c r="E77" i="4"/>
  <c r="L71" i="4"/>
  <c r="L72" i="4"/>
  <c r="K73" i="4"/>
  <c r="J73" i="4"/>
  <c r="V73" i="4" s="1"/>
  <c r="I73" i="4"/>
  <c r="G71" i="4"/>
  <c r="G72" i="4"/>
  <c r="N72" i="4" s="1"/>
  <c r="F73" i="4"/>
  <c r="E73" i="4"/>
  <c r="L67" i="4"/>
  <c r="L68" i="4"/>
  <c r="L69" i="4" s="1"/>
  <c r="K69" i="4"/>
  <c r="J69" i="4"/>
  <c r="V69" i="4" s="1"/>
  <c r="I69" i="4"/>
  <c r="G67" i="4"/>
  <c r="N67" i="4" s="1"/>
  <c r="G68" i="4"/>
  <c r="F69" i="4"/>
  <c r="R69" i="4" s="1"/>
  <c r="E69" i="4"/>
  <c r="L63" i="4"/>
  <c r="L64" i="4"/>
  <c r="K65" i="4"/>
  <c r="J65" i="4"/>
  <c r="V65" i="4" s="1"/>
  <c r="I65" i="4"/>
  <c r="G63" i="4"/>
  <c r="G64" i="4"/>
  <c r="F65" i="4"/>
  <c r="R65" i="4" s="1"/>
  <c r="E65" i="4"/>
  <c r="Q65" i="4" s="1"/>
  <c r="G59" i="4"/>
  <c r="L59" i="4"/>
  <c r="L60" i="4"/>
  <c r="K61" i="4"/>
  <c r="J61" i="4"/>
  <c r="V61" i="4" s="1"/>
  <c r="I61" i="4"/>
  <c r="G60" i="4"/>
  <c r="N60" i="4" s="1"/>
  <c r="G61" i="4"/>
  <c r="F61" i="4"/>
  <c r="R61" i="4" s="1"/>
  <c r="E61" i="4"/>
  <c r="Q61" i="4" s="1"/>
  <c r="M304" i="1"/>
  <c r="H304" i="1"/>
  <c r="M303" i="1"/>
  <c r="H303" i="1"/>
  <c r="M300" i="1"/>
  <c r="H300" i="1"/>
  <c r="M299" i="1"/>
  <c r="H299" i="1"/>
  <c r="M296" i="1"/>
  <c r="H296" i="1"/>
  <c r="M295" i="1"/>
  <c r="H295" i="1"/>
  <c r="M292" i="1"/>
  <c r="H292" i="1"/>
  <c r="M291" i="1"/>
  <c r="H291" i="1"/>
  <c r="M288" i="1"/>
  <c r="H288" i="1"/>
  <c r="M287" i="1"/>
  <c r="H287" i="1"/>
  <c r="M284" i="1"/>
  <c r="H284" i="1"/>
  <c r="M283" i="1"/>
  <c r="H283" i="1"/>
  <c r="M280" i="1"/>
  <c r="H280" i="1"/>
  <c r="M279" i="1"/>
  <c r="H279" i="1"/>
  <c r="M276" i="1"/>
  <c r="H276" i="1"/>
  <c r="M275" i="1"/>
  <c r="H275" i="1"/>
  <c r="M272" i="1"/>
  <c r="H272" i="1"/>
  <c r="M271" i="1"/>
  <c r="H271" i="1"/>
  <c r="M268" i="1"/>
  <c r="H268" i="1"/>
  <c r="M267" i="1"/>
  <c r="H267" i="1"/>
  <c r="M264" i="1"/>
  <c r="H264" i="1"/>
  <c r="M263" i="1"/>
  <c r="H263" i="1"/>
  <c r="M260" i="1"/>
  <c r="H260" i="1"/>
  <c r="M259" i="1"/>
  <c r="H259" i="1"/>
  <c r="M253" i="1"/>
  <c r="H253" i="1"/>
  <c r="M252" i="1"/>
  <c r="H252" i="1"/>
  <c r="M249" i="1"/>
  <c r="H249" i="1"/>
  <c r="M248" i="1"/>
  <c r="H248" i="1"/>
  <c r="M245" i="1"/>
  <c r="H245" i="1"/>
  <c r="M244" i="1"/>
  <c r="H244" i="1"/>
  <c r="M241" i="1"/>
  <c r="H241" i="1"/>
  <c r="M240" i="1"/>
  <c r="H240" i="1"/>
  <c r="M237" i="1"/>
  <c r="H237" i="1"/>
  <c r="M236" i="1"/>
  <c r="H236" i="1"/>
  <c r="M233" i="1"/>
  <c r="H233" i="1"/>
  <c r="M232" i="1"/>
  <c r="H232" i="1"/>
  <c r="M229" i="1"/>
  <c r="H229" i="1"/>
  <c r="M228" i="1"/>
  <c r="H228" i="1"/>
  <c r="M225" i="1"/>
  <c r="H225" i="1"/>
  <c r="M224" i="1"/>
  <c r="H224" i="1"/>
  <c r="M221" i="1"/>
  <c r="H221" i="1"/>
  <c r="M220" i="1"/>
  <c r="H220" i="1"/>
  <c r="M217" i="1"/>
  <c r="H217" i="1"/>
  <c r="M216" i="1"/>
  <c r="H216" i="1"/>
  <c r="M213" i="1"/>
  <c r="H213" i="1"/>
  <c r="M212" i="1"/>
  <c r="H212" i="1"/>
  <c r="M209" i="1"/>
  <c r="H209" i="1"/>
  <c r="M208" i="1"/>
  <c r="H208" i="1"/>
  <c r="M202" i="1"/>
  <c r="M201" i="1"/>
  <c r="M198" i="1"/>
  <c r="M197" i="1"/>
  <c r="M194" i="1"/>
  <c r="M193" i="1"/>
  <c r="M190" i="1"/>
  <c r="M189" i="1"/>
  <c r="M186" i="1"/>
  <c r="M185" i="1"/>
  <c r="M182" i="1"/>
  <c r="M181" i="1"/>
  <c r="M178" i="1"/>
  <c r="M177" i="1"/>
  <c r="M174" i="1"/>
  <c r="M173" i="1"/>
  <c r="M170" i="1"/>
  <c r="M169" i="1"/>
  <c r="M166" i="1"/>
  <c r="M165" i="1"/>
  <c r="M162" i="1"/>
  <c r="M161" i="1"/>
  <c r="M158" i="1"/>
  <c r="M157" i="1"/>
  <c r="M151" i="1"/>
  <c r="M150" i="1"/>
  <c r="M147" i="1"/>
  <c r="M146" i="1"/>
  <c r="M143" i="1"/>
  <c r="M142" i="1"/>
  <c r="M139" i="1"/>
  <c r="M138" i="1"/>
  <c r="M135" i="1"/>
  <c r="M134" i="1"/>
  <c r="M131" i="1"/>
  <c r="M130" i="1"/>
  <c r="M127" i="1"/>
  <c r="M126" i="1"/>
  <c r="M123" i="1"/>
  <c r="M122" i="1"/>
  <c r="M119" i="1"/>
  <c r="M118" i="1"/>
  <c r="M115" i="1"/>
  <c r="M114" i="1"/>
  <c r="M111" i="1"/>
  <c r="M110" i="1"/>
  <c r="M107" i="1"/>
  <c r="M106" i="1"/>
  <c r="M100" i="1"/>
  <c r="M99" i="1"/>
  <c r="M96" i="1"/>
  <c r="M95" i="1"/>
  <c r="M92" i="1"/>
  <c r="M91" i="1"/>
  <c r="M88" i="1"/>
  <c r="M87" i="1"/>
  <c r="M84" i="1"/>
  <c r="M83" i="1"/>
  <c r="M80" i="1"/>
  <c r="M79" i="1"/>
  <c r="M76" i="1"/>
  <c r="M75" i="1"/>
  <c r="M72" i="1"/>
  <c r="M71" i="1"/>
  <c r="M68" i="1"/>
  <c r="M67" i="1"/>
  <c r="M64" i="1"/>
  <c r="M63" i="1"/>
  <c r="M60" i="1"/>
  <c r="M59" i="1"/>
  <c r="H202" i="1"/>
  <c r="H201" i="1"/>
  <c r="H198" i="1"/>
  <c r="H197" i="1"/>
  <c r="H194" i="1"/>
  <c r="H193" i="1"/>
  <c r="H190" i="1"/>
  <c r="H189" i="1"/>
  <c r="H186" i="1"/>
  <c r="H185" i="1"/>
  <c r="H182" i="1"/>
  <c r="H181" i="1"/>
  <c r="H178" i="1"/>
  <c r="H177" i="1"/>
  <c r="H174" i="1"/>
  <c r="H173" i="1"/>
  <c r="H170" i="1"/>
  <c r="H169" i="1"/>
  <c r="H166" i="1"/>
  <c r="H165" i="1"/>
  <c r="H162" i="1"/>
  <c r="H161" i="1"/>
  <c r="H158" i="1"/>
  <c r="H157" i="1"/>
  <c r="H151" i="1"/>
  <c r="H150" i="1"/>
  <c r="H147" i="1"/>
  <c r="H146" i="1"/>
  <c r="H143" i="1"/>
  <c r="H142" i="1"/>
  <c r="H139" i="1"/>
  <c r="H138" i="1"/>
  <c r="H135" i="1"/>
  <c r="H134" i="1"/>
  <c r="H131" i="1"/>
  <c r="H130" i="1"/>
  <c r="H127" i="1"/>
  <c r="H126" i="1"/>
  <c r="H123" i="1"/>
  <c r="H122" i="1"/>
  <c r="H119" i="1"/>
  <c r="H118" i="1"/>
  <c r="H115" i="1"/>
  <c r="H114" i="1"/>
  <c r="H111" i="1"/>
  <c r="H110" i="1"/>
  <c r="H107" i="1"/>
  <c r="H106" i="1"/>
  <c r="H100" i="1"/>
  <c r="H99" i="1"/>
  <c r="H96" i="1"/>
  <c r="H95" i="1"/>
  <c r="H92" i="1"/>
  <c r="H91" i="1"/>
  <c r="H88" i="1"/>
  <c r="H87" i="1"/>
  <c r="H84" i="1"/>
  <c r="H83" i="1"/>
  <c r="H80" i="1"/>
  <c r="H79" i="1"/>
  <c r="H76" i="1"/>
  <c r="H75" i="1"/>
  <c r="H72" i="1"/>
  <c r="H71" i="1"/>
  <c r="H68" i="1"/>
  <c r="H67" i="1"/>
  <c r="H64" i="1"/>
  <c r="H63" i="1"/>
  <c r="H60" i="1"/>
  <c r="H59" i="1"/>
  <c r="M56" i="1"/>
  <c r="M55" i="1"/>
  <c r="H56" i="1"/>
  <c r="H55" i="1"/>
  <c r="Q69" i="4" l="1"/>
  <c r="Q85" i="4"/>
  <c r="AD65" i="4" s="1"/>
  <c r="D3" i="6" s="1"/>
  <c r="W93" i="4"/>
  <c r="W101" i="4"/>
  <c r="N182" i="4"/>
  <c r="N351" i="4"/>
  <c r="G134" i="4"/>
  <c r="N134" i="4" s="1"/>
  <c r="G303" i="4"/>
  <c r="N303" i="4" s="1"/>
  <c r="G148" i="4"/>
  <c r="N265" i="4"/>
  <c r="N266" i="4" s="1"/>
  <c r="D128" i="4"/>
  <c r="G126" i="4"/>
  <c r="N126" i="4" s="1"/>
  <c r="D254" i="4"/>
  <c r="G252" i="4"/>
  <c r="N252" i="4" s="1"/>
  <c r="L238" i="4"/>
  <c r="L364" i="4"/>
  <c r="L195" i="4"/>
  <c r="L321" i="4"/>
  <c r="L152" i="4"/>
  <c r="X97" i="4" s="1"/>
  <c r="N17" i="4"/>
  <c r="L18" i="4"/>
  <c r="N9" i="4"/>
  <c r="Z9" i="4" s="1"/>
  <c r="L10" i="4"/>
  <c r="L107" i="4"/>
  <c r="N64" i="4"/>
  <c r="N108" i="4" s="1"/>
  <c r="AG63" i="4"/>
  <c r="C7" i="6" s="1"/>
  <c r="Q73" i="4"/>
  <c r="N75" i="4"/>
  <c r="N77" i="4" s="1"/>
  <c r="L77" i="4"/>
  <c r="N80" i="4"/>
  <c r="W81" i="4"/>
  <c r="Q89" i="4"/>
  <c r="N91" i="4"/>
  <c r="L93" i="4"/>
  <c r="N99" i="4"/>
  <c r="N101" i="4" s="1"/>
  <c r="L101" i="4"/>
  <c r="P77" i="4"/>
  <c r="L348" i="4"/>
  <c r="L179" i="4"/>
  <c r="L305" i="4"/>
  <c r="L136" i="4"/>
  <c r="L262" i="4"/>
  <c r="J329" i="4"/>
  <c r="G42" i="4"/>
  <c r="G53" i="4"/>
  <c r="N33" i="4"/>
  <c r="D144" i="4"/>
  <c r="G142" i="4"/>
  <c r="N142" i="4" s="1"/>
  <c r="G46" i="4"/>
  <c r="N44" i="4"/>
  <c r="R73" i="4"/>
  <c r="AE63" i="4" s="1"/>
  <c r="C4" i="6" s="1"/>
  <c r="Q77" i="4"/>
  <c r="Q93" i="4"/>
  <c r="W97" i="4"/>
  <c r="G116" i="4"/>
  <c r="G287" i="4"/>
  <c r="N287" i="4" s="1"/>
  <c r="N237" i="4"/>
  <c r="N307" i="4"/>
  <c r="G309" i="4"/>
  <c r="K226" i="4"/>
  <c r="L224" i="4"/>
  <c r="L226" i="4" s="1"/>
  <c r="D215" i="4"/>
  <c r="G213" i="4"/>
  <c r="G217" i="4" s="1"/>
  <c r="D156" i="4"/>
  <c r="P101" i="4" s="1"/>
  <c r="G154" i="4"/>
  <c r="J219" i="4"/>
  <c r="L6" i="4"/>
  <c r="L52" i="4"/>
  <c r="L352" i="4"/>
  <c r="L242" i="4"/>
  <c r="L293" i="4"/>
  <c r="L183" i="4"/>
  <c r="L344" i="4"/>
  <c r="L234" i="4"/>
  <c r="L309" i="4"/>
  <c r="L199" i="4"/>
  <c r="L360" i="4"/>
  <c r="L250" i="4"/>
  <c r="L301" i="4"/>
  <c r="L191" i="4"/>
  <c r="L376" i="4"/>
  <c r="L266" i="4"/>
  <c r="L317" i="4"/>
  <c r="L207" i="4"/>
  <c r="L368" i="4"/>
  <c r="L258" i="4"/>
  <c r="G52" i="4"/>
  <c r="R53" i="4"/>
  <c r="V52" i="4"/>
  <c r="N127" i="4"/>
  <c r="N190" i="4"/>
  <c r="N218" i="4" s="1"/>
  <c r="N359" i="4"/>
  <c r="N249" i="4"/>
  <c r="N139" i="4"/>
  <c r="N371" i="4"/>
  <c r="N372" i="4" s="1"/>
  <c r="N261" i="4"/>
  <c r="N151" i="4"/>
  <c r="N320" i="4"/>
  <c r="L53" i="4"/>
  <c r="L54" i="4" s="1"/>
  <c r="N296" i="4"/>
  <c r="N186" i="4"/>
  <c r="N355" i="4"/>
  <c r="N245" i="4"/>
  <c r="N273" i="4" s="1"/>
  <c r="N308" i="4"/>
  <c r="N198" i="4"/>
  <c r="N367" i="4"/>
  <c r="N257" i="4"/>
  <c r="N258" i="4" s="1"/>
  <c r="N210" i="4"/>
  <c r="K352" i="4"/>
  <c r="K183" i="4"/>
  <c r="W73" i="4" s="1"/>
  <c r="K234" i="4"/>
  <c r="W69" i="4" s="1"/>
  <c r="AH63" i="4" s="1"/>
  <c r="C5" i="6" s="1"/>
  <c r="C8" i="6" s="1"/>
  <c r="K309" i="4"/>
  <c r="W89" i="4" s="1"/>
  <c r="K360" i="4"/>
  <c r="L169" i="4"/>
  <c r="J109" i="4"/>
  <c r="V109" i="4" s="1"/>
  <c r="N49" i="4"/>
  <c r="N41" i="4"/>
  <c r="N28" i="4"/>
  <c r="N20" i="4"/>
  <c r="Q53" i="4"/>
  <c r="U53" i="4"/>
  <c r="R14" i="4"/>
  <c r="V18" i="4"/>
  <c r="Q30" i="4"/>
  <c r="U73" i="4"/>
  <c r="U81" i="4"/>
  <c r="G107" i="4"/>
  <c r="N68" i="4"/>
  <c r="U69" i="4"/>
  <c r="N76" i="4"/>
  <c r="U77" i="4"/>
  <c r="AG65" i="4"/>
  <c r="D7" i="6" s="1"/>
  <c r="N84" i="4"/>
  <c r="U85" i="4"/>
  <c r="N92" i="4"/>
  <c r="U93" i="4"/>
  <c r="Q97" i="4"/>
  <c r="AD67" i="4" s="1"/>
  <c r="E3" i="6" s="1"/>
  <c r="N96" i="4"/>
  <c r="Z41" i="4" s="1"/>
  <c r="U97" i="4"/>
  <c r="Q101" i="4"/>
  <c r="N100" i="4"/>
  <c r="U101" i="4"/>
  <c r="P73" i="4"/>
  <c r="P81" i="4"/>
  <c r="P89" i="4"/>
  <c r="N383" i="4"/>
  <c r="N328" i="4"/>
  <c r="G226" i="4"/>
  <c r="N163" i="4"/>
  <c r="G175" i="4"/>
  <c r="G293" i="4"/>
  <c r="G132" i="4"/>
  <c r="G250" i="4"/>
  <c r="G368" i="4"/>
  <c r="G207" i="4"/>
  <c r="G325" i="4"/>
  <c r="L158" i="4"/>
  <c r="L160" i="4" s="1"/>
  <c r="L338" i="4"/>
  <c r="N338" i="4" s="1"/>
  <c r="N340" i="4" s="1"/>
  <c r="L283" i="4"/>
  <c r="N283" i="4" s="1"/>
  <c r="N285" i="4" s="1"/>
  <c r="L228" i="4"/>
  <c r="L230" i="4" s="1"/>
  <c r="U89" i="4"/>
  <c r="AC63" i="4"/>
  <c r="C2" i="6" s="1"/>
  <c r="N228" i="4"/>
  <c r="I380" i="4"/>
  <c r="L378" i="4"/>
  <c r="L380" i="4" s="1"/>
  <c r="I270" i="4"/>
  <c r="L268" i="4"/>
  <c r="N268" i="4" s="1"/>
  <c r="I175" i="4"/>
  <c r="L173" i="4"/>
  <c r="L175" i="4" s="1"/>
  <c r="I336" i="4"/>
  <c r="L334" i="4"/>
  <c r="L336" i="4" s="1"/>
  <c r="K325" i="4"/>
  <c r="L323" i="4"/>
  <c r="N323" i="4" s="1"/>
  <c r="N325" i="4" s="1"/>
  <c r="K215" i="4"/>
  <c r="L213" i="4"/>
  <c r="N213" i="4" s="1"/>
  <c r="N215" i="4" s="1"/>
  <c r="K120" i="4"/>
  <c r="L118" i="4"/>
  <c r="N118" i="4" s="1"/>
  <c r="N120" i="4" s="1"/>
  <c r="K281" i="4"/>
  <c r="L279" i="4"/>
  <c r="N279" i="4" s="1"/>
  <c r="L285" i="4"/>
  <c r="L116" i="4"/>
  <c r="D109" i="4"/>
  <c r="E164" i="4"/>
  <c r="F164" i="4"/>
  <c r="E219" i="4"/>
  <c r="F219" i="4"/>
  <c r="E274" i="4"/>
  <c r="F274" i="4"/>
  <c r="E329" i="4"/>
  <c r="F329" i="4"/>
  <c r="E384" i="4"/>
  <c r="F384" i="4"/>
  <c r="K54" i="4"/>
  <c r="N25" i="4"/>
  <c r="Z25" i="4" s="1"/>
  <c r="N36" i="4"/>
  <c r="N4" i="4"/>
  <c r="P53" i="4"/>
  <c r="Q52" i="4"/>
  <c r="Q54" i="4" s="1"/>
  <c r="R52" i="4"/>
  <c r="V53" i="4"/>
  <c r="W53" i="4"/>
  <c r="Q18" i="4"/>
  <c r="R18" i="4"/>
  <c r="R26" i="4"/>
  <c r="V30" i="4"/>
  <c r="Q34" i="4"/>
  <c r="V34" i="4"/>
  <c r="Q46" i="4"/>
  <c r="R46" i="4"/>
  <c r="G54" i="4"/>
  <c r="U61" i="4"/>
  <c r="W61" i="4"/>
  <c r="U65" i="4"/>
  <c r="W65" i="4"/>
  <c r="G285" i="4"/>
  <c r="N230" i="4"/>
  <c r="G344" i="4"/>
  <c r="N344" i="4"/>
  <c r="N289" i="4"/>
  <c r="G124" i="4"/>
  <c r="N348" i="4"/>
  <c r="G183" i="4"/>
  <c r="N183" i="4"/>
  <c r="N128" i="4"/>
  <c r="G242" i="4"/>
  <c r="N242" i="4"/>
  <c r="N187" i="4"/>
  <c r="G301" i="4"/>
  <c r="N301" i="4"/>
  <c r="N246" i="4"/>
  <c r="G360" i="4"/>
  <c r="N360" i="4"/>
  <c r="N305" i="4"/>
  <c r="G140" i="4"/>
  <c r="N364" i="4"/>
  <c r="G199" i="4"/>
  <c r="N199" i="4"/>
  <c r="N144" i="4"/>
  <c r="G258" i="4"/>
  <c r="N203" i="4"/>
  <c r="G317" i="4"/>
  <c r="N317" i="4"/>
  <c r="N262" i="4"/>
  <c r="G376" i="4"/>
  <c r="N376" i="4"/>
  <c r="N321" i="4"/>
  <c r="G156" i="4"/>
  <c r="P20" i="4"/>
  <c r="P22" i="4" s="1"/>
  <c r="P16" i="4"/>
  <c r="P18" i="4" s="1"/>
  <c r="P12" i="4"/>
  <c r="P14" i="4" s="1"/>
  <c r="P32" i="4"/>
  <c r="P34" i="4" s="1"/>
  <c r="P28" i="4"/>
  <c r="P30" i="4" s="1"/>
  <c r="P24" i="4"/>
  <c r="P26" i="4" s="1"/>
  <c r="U20" i="4"/>
  <c r="U22" i="4" s="1"/>
  <c r="W16" i="4"/>
  <c r="W18" i="4" s="1"/>
  <c r="U12" i="4"/>
  <c r="U14" i="4" s="1"/>
  <c r="W32" i="4"/>
  <c r="W34" i="4" s="1"/>
  <c r="U28" i="4"/>
  <c r="U30" i="4" s="1"/>
  <c r="W24" i="4"/>
  <c r="W26" i="4" s="1"/>
  <c r="U44" i="4"/>
  <c r="U46" i="4" s="1"/>
  <c r="W40" i="4"/>
  <c r="W42" i="4" s="1"/>
  <c r="U36" i="4"/>
  <c r="U38" i="4" s="1"/>
  <c r="L325" i="4"/>
  <c r="L340" i="4"/>
  <c r="L120" i="4"/>
  <c r="L273" i="4"/>
  <c r="L218" i="4"/>
  <c r="R105" i="4"/>
  <c r="AE71" i="4" s="1"/>
  <c r="B17" i="6" s="1"/>
  <c r="P105" i="4"/>
  <c r="AC61" i="4" s="1"/>
  <c r="B2" i="6" s="1"/>
  <c r="U105" i="4"/>
  <c r="AF71" i="4" s="1"/>
  <c r="B19" i="6" s="1"/>
  <c r="W105" i="4"/>
  <c r="Q109" i="4"/>
  <c r="E54" i="4"/>
  <c r="J54" i="4"/>
  <c r="X49" i="4"/>
  <c r="X45" i="4"/>
  <c r="S41" i="4"/>
  <c r="S37" i="4"/>
  <c r="X33" i="4"/>
  <c r="X29" i="4"/>
  <c r="S25" i="4"/>
  <c r="S21" i="4"/>
  <c r="S22" i="4" s="1"/>
  <c r="X17" i="4"/>
  <c r="X13" i="4"/>
  <c r="S9" i="4"/>
  <c r="S5" i="4"/>
  <c r="S53" i="4" s="1"/>
  <c r="S40" i="4"/>
  <c r="S36" i="4"/>
  <c r="X32" i="4"/>
  <c r="X34" i="4" s="1"/>
  <c r="S24" i="4"/>
  <c r="S20" i="4"/>
  <c r="X16" i="4"/>
  <c r="S8" i="4"/>
  <c r="S10" i="4" s="1"/>
  <c r="S4" i="4"/>
  <c r="Q6" i="4"/>
  <c r="R54" i="4"/>
  <c r="V6" i="4"/>
  <c r="R10" i="4"/>
  <c r="Q14" i="4"/>
  <c r="V14" i="4"/>
  <c r="R22" i="4"/>
  <c r="Q26" i="4"/>
  <c r="V26" i="4"/>
  <c r="R38" i="4"/>
  <c r="Q42" i="4"/>
  <c r="V42" i="4"/>
  <c r="L108" i="4"/>
  <c r="L109" i="4" s="1"/>
  <c r="N63" i="4"/>
  <c r="L65" i="4"/>
  <c r="G69" i="4"/>
  <c r="N71" i="4"/>
  <c r="L73" i="4"/>
  <c r="G77" i="4"/>
  <c r="N79" i="4"/>
  <c r="L81" i="4"/>
  <c r="G85" i="4"/>
  <c r="N87" i="4"/>
  <c r="L89" i="4"/>
  <c r="G93" i="4"/>
  <c r="G97" i="4"/>
  <c r="G101" i="4"/>
  <c r="G336" i="4"/>
  <c r="W20" i="4"/>
  <c r="W22" i="4" s="1"/>
  <c r="U16" i="4"/>
  <c r="U18" i="4" s="1"/>
  <c r="W12" i="4"/>
  <c r="W14" i="4" s="1"/>
  <c r="U32" i="4"/>
  <c r="U34" i="4" s="1"/>
  <c r="W28" i="4"/>
  <c r="W30" i="4" s="1"/>
  <c r="U24" i="4"/>
  <c r="U26" i="4" s="1"/>
  <c r="W44" i="4"/>
  <c r="W46" i="4" s="1"/>
  <c r="U40" i="4"/>
  <c r="U42" i="4" s="1"/>
  <c r="W36" i="4"/>
  <c r="W38" i="4" s="1"/>
  <c r="L383" i="4"/>
  <c r="L328" i="4"/>
  <c r="L163" i="4"/>
  <c r="U48" i="4"/>
  <c r="U50" i="4" s="1"/>
  <c r="U8" i="4"/>
  <c r="U10" i="4" s="1"/>
  <c r="I382" i="4"/>
  <c r="I384" i="4" s="1"/>
  <c r="I327" i="4"/>
  <c r="I329" i="4" s="1"/>
  <c r="I272" i="4"/>
  <c r="I274" i="4" s="1"/>
  <c r="I217" i="4"/>
  <c r="I219" i="4" s="1"/>
  <c r="U4" i="4"/>
  <c r="U52" i="4" s="1"/>
  <c r="U54" i="4" s="1"/>
  <c r="W48" i="4"/>
  <c r="W50" i="4" s="1"/>
  <c r="W8" i="4"/>
  <c r="W10" i="4" s="1"/>
  <c r="K382" i="4"/>
  <c r="K384" i="4" s="1"/>
  <c r="K327" i="4"/>
  <c r="K329" i="4" s="1"/>
  <c r="K272" i="4"/>
  <c r="K274" i="4" s="1"/>
  <c r="K217" i="4"/>
  <c r="K219" i="4" s="1"/>
  <c r="W4" i="4"/>
  <c r="Q105" i="4"/>
  <c r="AD61" i="4" s="1"/>
  <c r="B3" i="6" s="1"/>
  <c r="P48" i="4"/>
  <c r="P50" i="4" s="1"/>
  <c r="P8" i="4"/>
  <c r="P10" i="4" s="1"/>
  <c r="D382" i="4"/>
  <c r="D384" i="4" s="1"/>
  <c r="D327" i="4"/>
  <c r="D329" i="4" s="1"/>
  <c r="D272" i="4"/>
  <c r="D274" i="4" s="1"/>
  <c r="D217" i="4"/>
  <c r="D219" i="4" s="1"/>
  <c r="P4" i="4"/>
  <c r="P44" i="4"/>
  <c r="P46" i="4" s="1"/>
  <c r="P40" i="4"/>
  <c r="P42" i="4" s="1"/>
  <c r="P36" i="4"/>
  <c r="P38" i="4" s="1"/>
  <c r="V105" i="4"/>
  <c r="AG61" i="4" s="1"/>
  <c r="B7" i="6" s="1"/>
  <c r="F109" i="4"/>
  <c r="R109" i="4" s="1"/>
  <c r="I109" i="4"/>
  <c r="S49" i="4"/>
  <c r="S45" i="4"/>
  <c r="X41" i="4"/>
  <c r="X37" i="4"/>
  <c r="S33" i="4"/>
  <c r="S29" i="4"/>
  <c r="X25" i="4"/>
  <c r="X21" i="4"/>
  <c r="S17" i="4"/>
  <c r="S13" i="4"/>
  <c r="X9" i="4"/>
  <c r="X53" i="4" s="1"/>
  <c r="X5" i="4"/>
  <c r="S48" i="4"/>
  <c r="S44" i="4"/>
  <c r="X40" i="4"/>
  <c r="X42" i="4" s="1"/>
  <c r="S28" i="4"/>
  <c r="X24" i="4"/>
  <c r="S16" i="4"/>
  <c r="S18" i="4" s="1"/>
  <c r="S12" i="4"/>
  <c r="X8" i="4"/>
  <c r="X4" i="4"/>
  <c r="S42" i="4"/>
  <c r="S6" i="4"/>
  <c r="N116" i="4"/>
  <c r="W52" i="4"/>
  <c r="W54" i="4" s="1"/>
  <c r="W6" i="4"/>
  <c r="P6" i="4"/>
  <c r="X6" i="4"/>
  <c r="S38" i="4"/>
  <c r="S26" i="4"/>
  <c r="X18" i="4"/>
  <c r="AE61" i="4"/>
  <c r="B4" i="6" s="1"/>
  <c r="AD63" i="4"/>
  <c r="C3" i="6" s="1"/>
  <c r="N69" i="4"/>
  <c r="N73" i="4"/>
  <c r="AE65" i="4"/>
  <c r="D4" i="6" s="1"/>
  <c r="N81" i="4"/>
  <c r="N85" i="4"/>
  <c r="N89" i="4"/>
  <c r="N93" i="4"/>
  <c r="AC65" i="4"/>
  <c r="D2" i="6" s="1"/>
  <c r="N234" i="4"/>
  <c r="N179" i="4"/>
  <c r="N293" i="4"/>
  <c r="N238" i="4"/>
  <c r="N352" i="4"/>
  <c r="N297" i="4"/>
  <c r="N356" i="4"/>
  <c r="N136" i="4"/>
  <c r="N250" i="4"/>
  <c r="N195" i="4"/>
  <c r="N309" i="4"/>
  <c r="N254" i="4"/>
  <c r="N368" i="4"/>
  <c r="N313" i="4"/>
  <c r="N207" i="4"/>
  <c r="N152" i="4"/>
  <c r="N211" i="4"/>
  <c r="L272" i="4"/>
  <c r="L274" i="4" s="1"/>
  <c r="Z49" i="4"/>
  <c r="Z33" i="4"/>
  <c r="Z17" i="4"/>
  <c r="S50" i="4"/>
  <c r="S46" i="4"/>
  <c r="S30" i="4"/>
  <c r="X26" i="4"/>
  <c r="S14" i="4"/>
  <c r="L61" i="4"/>
  <c r="G65" i="4"/>
  <c r="G73" i="4"/>
  <c r="G81" i="4"/>
  <c r="G89" i="4"/>
  <c r="G281" i="4"/>
  <c r="G171" i="4"/>
  <c r="G340" i="4"/>
  <c r="G230" i="4"/>
  <c r="G120" i="4"/>
  <c r="G289" i="4"/>
  <c r="G179" i="4"/>
  <c r="G348" i="4"/>
  <c r="G238" i="4"/>
  <c r="G128" i="4"/>
  <c r="G297" i="4"/>
  <c r="G187" i="4"/>
  <c r="G356" i="4"/>
  <c r="G246" i="4"/>
  <c r="G136" i="4"/>
  <c r="G305" i="4"/>
  <c r="G195" i="4"/>
  <c r="G364" i="4"/>
  <c r="G144" i="4"/>
  <c r="G313" i="4"/>
  <c r="G203" i="4"/>
  <c r="G372" i="4"/>
  <c r="G262" i="4"/>
  <c r="G152" i="4"/>
  <c r="G321" i="4"/>
  <c r="G211" i="4"/>
  <c r="G380" i="4"/>
  <c r="G270" i="4"/>
  <c r="G160" i="4"/>
  <c r="L130" i="4"/>
  <c r="L132" i="4" s="1"/>
  <c r="X77" i="4" s="1"/>
  <c r="L122" i="4"/>
  <c r="L124" i="4" s="1"/>
  <c r="X69" i="4" s="1"/>
  <c r="L138" i="4"/>
  <c r="L140" i="4" s="1"/>
  <c r="X85" i="4" s="1"/>
  <c r="L154" i="4"/>
  <c r="L156" i="4" s="1"/>
  <c r="L146" i="4"/>
  <c r="L148" i="4" s="1"/>
  <c r="X93" i="4" s="1"/>
  <c r="L281" i="4"/>
  <c r="L171" i="4"/>
  <c r="G105" i="4"/>
  <c r="G108" i="4"/>
  <c r="D162" i="4"/>
  <c r="D164" i="4" s="1"/>
  <c r="P109" i="4" s="1"/>
  <c r="G163" i="4"/>
  <c r="I162" i="4"/>
  <c r="I164" i="4" s="1"/>
  <c r="U109" i="4" s="1"/>
  <c r="K162" i="4"/>
  <c r="K164" i="4" s="1"/>
  <c r="G218" i="4"/>
  <c r="G273" i="4"/>
  <c r="G328" i="4"/>
  <c r="N59" i="4"/>
  <c r="N169" i="4"/>
  <c r="G383" i="4"/>
  <c r="G384" i="4" s="1"/>
  <c r="N45" i="4"/>
  <c r="N37" i="4"/>
  <c r="N29" i="4"/>
  <c r="N21" i="4"/>
  <c r="N13" i="4"/>
  <c r="N5" i="4"/>
  <c r="N48" i="4"/>
  <c r="N40" i="4"/>
  <c r="N32" i="4"/>
  <c r="N24" i="4"/>
  <c r="N16" i="4"/>
  <c r="N8" i="4"/>
  <c r="R6" i="4"/>
  <c r="G162" i="4"/>
  <c r="G164" i="4" s="1"/>
  <c r="V54" i="4"/>
  <c r="AC71" i="4" l="1"/>
  <c r="B15" i="6" s="1"/>
  <c r="AC67" i="4"/>
  <c r="E2" i="6" s="1"/>
  <c r="X65" i="4"/>
  <c r="W109" i="4"/>
  <c r="G254" i="4"/>
  <c r="X10" i="4"/>
  <c r="N191" i="4"/>
  <c r="U6" i="4"/>
  <c r="X73" i="4"/>
  <c r="L327" i="4"/>
  <c r="G215" i="4"/>
  <c r="S105" i="4" s="1"/>
  <c r="G327" i="4"/>
  <c r="AH65" i="4"/>
  <c r="D5" i="6" s="1"/>
  <c r="D8" i="6" s="1"/>
  <c r="L215" i="4"/>
  <c r="G109" i="4"/>
  <c r="S109" i="4" s="1"/>
  <c r="N334" i="4"/>
  <c r="G329" i="4"/>
  <c r="X101" i="4"/>
  <c r="N97" i="4"/>
  <c r="AD71" i="4"/>
  <c r="B16" i="6" s="1"/>
  <c r="N65" i="4"/>
  <c r="P52" i="4"/>
  <c r="P54" i="4" s="1"/>
  <c r="X81" i="4"/>
  <c r="L382" i="4"/>
  <c r="AF63" i="4"/>
  <c r="C6" i="6" s="1"/>
  <c r="N224" i="4"/>
  <c r="N226" i="4" s="1"/>
  <c r="G219" i="4"/>
  <c r="G272" i="4"/>
  <c r="G274" i="4" s="1"/>
  <c r="L217" i="4"/>
  <c r="L219" i="4" s="1"/>
  <c r="S32" i="4"/>
  <c r="S34" i="4" s="1"/>
  <c r="X89" i="4"/>
  <c r="X48" i="4"/>
  <c r="X50" i="4" s="1"/>
  <c r="AH71" i="4"/>
  <c r="B18" i="6" s="1"/>
  <c r="B21" i="6" s="1"/>
  <c r="AH67" i="4"/>
  <c r="E5" i="6" s="1"/>
  <c r="E8" i="6" s="1"/>
  <c r="N272" i="4"/>
  <c r="N270" i="4"/>
  <c r="Z105" i="4" s="1"/>
  <c r="N378" i="4"/>
  <c r="N380" i="4" s="1"/>
  <c r="L270" i="4"/>
  <c r="X105" i="4" s="1"/>
  <c r="N173" i="4"/>
  <c r="N175" i="4" s="1"/>
  <c r="AF67" i="4"/>
  <c r="E6" i="6" s="1"/>
  <c r="AF65" i="4"/>
  <c r="D6" i="6" s="1"/>
  <c r="S101" i="4"/>
  <c r="S97" i="4"/>
  <c r="S85" i="4"/>
  <c r="S69" i="4"/>
  <c r="N158" i="4"/>
  <c r="N160" i="4" s="1"/>
  <c r="S93" i="4"/>
  <c r="S77" i="4"/>
  <c r="S61" i="4"/>
  <c r="AG71" i="4"/>
  <c r="B20" i="6" s="1"/>
  <c r="L329" i="4"/>
  <c r="AH61" i="4"/>
  <c r="B5" i="6" s="1"/>
  <c r="B8" i="6" s="1"/>
  <c r="L384" i="4"/>
  <c r="AF61" i="4"/>
  <c r="B6" i="6" s="1"/>
  <c r="N336" i="4"/>
  <c r="Z8" i="4"/>
  <c r="Z10" i="4" s="1"/>
  <c r="N52" i="4"/>
  <c r="N10" i="4"/>
  <c r="Z24" i="4"/>
  <c r="Z26" i="4" s="1"/>
  <c r="N26" i="4"/>
  <c r="Z40" i="4"/>
  <c r="Z42" i="4" s="1"/>
  <c r="N42" i="4"/>
  <c r="Z5" i="4"/>
  <c r="N6" i="4"/>
  <c r="N53" i="4"/>
  <c r="Z21" i="4"/>
  <c r="N22" i="4"/>
  <c r="Z37" i="4"/>
  <c r="N38" i="4"/>
  <c r="N217" i="4"/>
  <c r="N219" i="4" s="1"/>
  <c r="N171" i="4"/>
  <c r="S89" i="4"/>
  <c r="S73" i="4"/>
  <c r="X61" i="4"/>
  <c r="X20" i="4"/>
  <c r="X22" i="4" s="1"/>
  <c r="Z97" i="4"/>
  <c r="Z81" i="4"/>
  <c r="X12" i="4"/>
  <c r="X44" i="4"/>
  <c r="X46" i="4" s="1"/>
  <c r="L162" i="4"/>
  <c r="L164" i="4" s="1"/>
  <c r="X109" i="4" s="1"/>
  <c r="N122" i="4"/>
  <c r="N274" i="4"/>
  <c r="Z16" i="4"/>
  <c r="Z18" i="4" s="1"/>
  <c r="N18" i="4"/>
  <c r="Z32" i="4"/>
  <c r="Z34" i="4" s="1"/>
  <c r="N34" i="4"/>
  <c r="Z48" i="4"/>
  <c r="Z50" i="4" s="1"/>
  <c r="N50" i="4"/>
  <c r="Z13" i="4"/>
  <c r="N14" i="4"/>
  <c r="Z29" i="4"/>
  <c r="N30" i="4"/>
  <c r="Z45" i="4"/>
  <c r="N46" i="4"/>
  <c r="N327" i="4"/>
  <c r="N329" i="4" s="1"/>
  <c r="N281" i="4"/>
  <c r="N107" i="4"/>
  <c r="N109" i="4" s="1"/>
  <c r="N61" i="4"/>
  <c r="S81" i="4"/>
  <c r="S65" i="4"/>
  <c r="X36" i="4"/>
  <c r="X38" i="4" s="1"/>
  <c r="N146" i="4"/>
  <c r="N130" i="4"/>
  <c r="Z89" i="4"/>
  <c r="Z73" i="4"/>
  <c r="Z65" i="4"/>
  <c r="Z4" i="4"/>
  <c r="X28" i="4"/>
  <c r="X30" i="4" s="1"/>
  <c r="N154" i="4"/>
  <c r="N138" i="4"/>
  <c r="N382" i="4" l="1"/>
  <c r="N384" i="4" s="1"/>
  <c r="Z61" i="4"/>
  <c r="S52" i="4"/>
  <c r="S54" i="4" s="1"/>
  <c r="N148" i="4"/>
  <c r="Z93" i="4" s="1"/>
  <c r="Z36" i="4"/>
  <c r="Z38" i="4" s="1"/>
  <c r="N156" i="4"/>
  <c r="Z101" i="4" s="1"/>
  <c r="Z44" i="4"/>
  <c r="Z46" i="4" s="1"/>
  <c r="Z6" i="4"/>
  <c r="N132" i="4"/>
  <c r="Z77" i="4" s="1"/>
  <c r="Z20" i="4"/>
  <c r="Z22" i="4" s="1"/>
  <c r="N124" i="4"/>
  <c r="Z69" i="4" s="1"/>
  <c r="N162" i="4"/>
  <c r="N164" i="4" s="1"/>
  <c r="Z12" i="4"/>
  <c r="Z14" i="4" s="1"/>
  <c r="N140" i="4"/>
  <c r="Z85" i="4" s="1"/>
  <c r="Z28" i="4"/>
  <c r="Z30" i="4" s="1"/>
  <c r="X14" i="4"/>
  <c r="X52" i="4"/>
  <c r="X54" i="4" s="1"/>
  <c r="Z109" i="4"/>
  <c r="Z53" i="4"/>
  <c r="N54" i="4"/>
  <c r="Z52" i="4" l="1"/>
  <c r="Z54" i="4" s="1"/>
</calcChain>
</file>

<file path=xl/sharedStrings.xml><?xml version="1.0" encoding="utf-8"?>
<sst xmlns="http://schemas.openxmlformats.org/spreadsheetml/2006/main" count="1867" uniqueCount="69">
  <si>
    <t>Oregon</t>
  </si>
  <si>
    <t>Washington</t>
  </si>
  <si>
    <t>California</t>
  </si>
  <si>
    <t>Utah</t>
  </si>
  <si>
    <t>Idaho</t>
  </si>
  <si>
    <t>Wyoming - PPL</t>
  </si>
  <si>
    <t>Wyoming - UPL</t>
  </si>
  <si>
    <t>Pacific Power</t>
  </si>
  <si>
    <t>Rocky Mountain Power</t>
  </si>
  <si>
    <t>January</t>
  </si>
  <si>
    <t>February</t>
  </si>
  <si>
    <t>March</t>
  </si>
  <si>
    <t>April</t>
  </si>
  <si>
    <t>May</t>
  </si>
  <si>
    <t>June</t>
  </si>
  <si>
    <t>July</t>
  </si>
  <si>
    <t>August</t>
  </si>
  <si>
    <t>September</t>
  </si>
  <si>
    <t>October</t>
  </si>
  <si>
    <t>November</t>
  </si>
  <si>
    <t>December</t>
  </si>
  <si>
    <t>System Load</t>
  </si>
  <si>
    <t>Sales</t>
  </si>
  <si>
    <t>Line Loss</t>
  </si>
  <si>
    <t>Total</t>
  </si>
  <si>
    <t>Wyoming</t>
  </si>
  <si>
    <t>5 Year Monthly Average</t>
  </si>
  <si>
    <t>5 Year Seasonal Average</t>
  </si>
  <si>
    <t>OREGON SALES</t>
  </si>
  <si>
    <t>WASHINGTON SALES</t>
  </si>
  <si>
    <t>CALIFORNIA SALES</t>
  </si>
  <si>
    <t>WYOMING EAST SALES</t>
  </si>
  <si>
    <t>UTAH SALES</t>
  </si>
  <si>
    <t>IDAHO SALES</t>
  </si>
  <si>
    <t>WYOMING WEST SALES</t>
  </si>
  <si>
    <t>Winter</t>
  </si>
  <si>
    <t>Spring</t>
  </si>
  <si>
    <t>Summer</t>
  </si>
  <si>
    <t>Fall</t>
  </si>
  <si>
    <t>July-Dec</t>
  </si>
  <si>
    <t>Total PP</t>
  </si>
  <si>
    <t>Total RMP</t>
  </si>
  <si>
    <t>Total PacifiCorp</t>
  </si>
  <si>
    <t>5 YR Avg</t>
  </si>
  <si>
    <t>Total 2007</t>
  </si>
  <si>
    <t>Total 2006</t>
  </si>
  <si>
    <t>Total 2005</t>
  </si>
  <si>
    <t>Total 2004</t>
  </si>
  <si>
    <t>Total 2003</t>
  </si>
  <si>
    <t>PacifiCorp</t>
  </si>
  <si>
    <t>Total 2002</t>
  </si>
  <si>
    <t>Total 2008</t>
  </si>
  <si>
    <t>Total 2009</t>
  </si>
  <si>
    <t>Total 2010</t>
  </si>
  <si>
    <t>Total 2011</t>
  </si>
  <si>
    <t>Total 2012</t>
  </si>
  <si>
    <t>Total 2013</t>
  </si>
  <si>
    <t>Total 2014</t>
  </si>
  <si>
    <t>Wyoming PPL</t>
  </si>
  <si>
    <t>Wyoming UPL</t>
  </si>
  <si>
    <t>5 Year Monthly Average 2010-2015</t>
  </si>
  <si>
    <t>Total 2015</t>
  </si>
  <si>
    <t>5 Year Monthly Average 2009-2014</t>
  </si>
  <si>
    <t>5 Year Monthly Average 2008-2013</t>
  </si>
  <si>
    <t>5 Year Monthly Average 2007-2012</t>
  </si>
  <si>
    <t>5 Year Monthly Average 2006-2011</t>
  </si>
  <si>
    <t>5 Year Monthly Average 2005-2010</t>
  </si>
  <si>
    <t>5 Year Monthly Average 2004-2009</t>
  </si>
  <si>
    <t>5 Year Monthly Average 2003-2008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</si>
</sst>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4" x14ac:knownFonts="1">
    <font>
      <sz val="10"/>
      <name val="Arial"/>
    </font>
    <font>
      <sz val="8"/>
      <name val="Arial"/>
      <family val="2"/>
    </font>
    <font>
      <sz val="10"/>
      <name val="Arial"/>
      <family val="2"/>
    </font>
    <font>
      <b/>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4"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41" fontId="0" fillId="0" borderId="0" xfId="0" applyNumberFormat="1" applyAlignment="1">
      <alignment horizontal="center"/>
    </xf>
    <xf numFmtId="41" fontId="0" fillId="0" borderId="0" xfId="0" applyNumberFormat="1"/>
    <xf numFmtId="10" fontId="0" fillId="0" borderId="0" xfId="0" applyNumberFormat="1"/>
    <xf numFmtId="41" fontId="0" fillId="0" borderId="0" xfId="0" applyNumberFormat="1" applyFill="1"/>
    <xf numFmtId="0" fontId="0" fillId="0" borderId="0" xfId="0" applyFill="1"/>
    <xf numFmtId="41" fontId="0" fillId="0" borderId="0" xfId="0" applyNumberFormat="1" applyFill="1" applyAlignment="1">
      <alignment horizontal="center"/>
    </xf>
    <xf numFmtId="10" fontId="0" fillId="0" borderId="0" xfId="0" applyNumberFormat="1" applyFill="1"/>
    <xf numFmtId="0" fontId="2" fillId="0" borderId="0" xfId="0" applyFont="1" applyAlignment="1">
      <alignment wrapText="1"/>
    </xf>
    <xf numFmtId="10" fontId="2" fillId="0" borderId="0" xfId="0" applyNumberFormat="1" applyFont="1" applyAlignment="1">
      <alignment wrapText="1"/>
    </xf>
    <xf numFmtId="10" fontId="2" fillId="0" borderId="0" xfId="0" applyNumberFormat="1" applyFont="1" applyAlignment="1">
      <alignment horizontal="right" wrapText="1"/>
    </xf>
    <xf numFmtId="0" fontId="0" fillId="0" borderId="0" xfId="0" applyAlignment="1">
      <alignment horizontal="center"/>
    </xf>
    <xf numFmtId="41" fontId="0" fillId="0" borderId="0" xfId="0" applyNumberFormat="1" applyFill="1" applyAlignment="1">
      <alignment horizontal="center"/>
    </xf>
    <xf numFmtId="0" fontId="2" fillId="0" borderId="0" xfId="0" applyFont="1"/>
    <xf numFmtId="41" fontId="0" fillId="0" borderId="0" xfId="0" applyNumberFormat="1" applyFill="1" applyAlignment="1">
      <alignment horizontal="center"/>
    </xf>
    <xf numFmtId="0" fontId="2" fillId="0" borderId="0" xfId="0" applyFont="1" applyFill="1"/>
    <xf numFmtId="41" fontId="0" fillId="0" borderId="0" xfId="0" applyNumberFormat="1" applyFill="1" applyAlignment="1">
      <alignment horizontal="center"/>
    </xf>
    <xf numFmtId="41" fontId="0" fillId="0" borderId="0" xfId="0" applyNumberFormat="1" applyFill="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0" applyFont="1"/>
    <xf numFmtId="10" fontId="3" fillId="0" borderId="0" xfId="0" applyNumberFormat="1" applyFont="1"/>
    <xf numFmtId="41" fontId="3" fillId="0" borderId="0" xfId="0" applyNumberFormat="1" applyFont="1"/>
    <xf numFmtId="41" fontId="3" fillId="0" borderId="0" xfId="0" applyNumberFormat="1" applyFont="1" applyFill="1" applyAlignment="1">
      <alignment horizontal="center"/>
    </xf>
    <xf numFmtId="10" fontId="0" fillId="0" borderId="0" xfId="0" applyNumberFormat="1" applyAlignment="1">
      <alignment horizontal="center"/>
    </xf>
    <xf numFmtId="41" fontId="3" fillId="0" borderId="0" xfId="0" applyNumberFormat="1" applyFont="1" applyFill="1"/>
    <xf numFmtId="10" fontId="3" fillId="0" borderId="0" xfId="0" applyNumberFormat="1" applyFont="1" applyFill="1"/>
    <xf numFmtId="0" fontId="3" fillId="0" borderId="0" xfId="0" applyFont="1" applyFill="1"/>
    <xf numFmtId="41" fontId="0" fillId="2" borderId="0" xfId="0" applyNumberFormat="1" applyFill="1" applyAlignment="1">
      <alignment horizontal="center"/>
    </xf>
    <xf numFmtId="0" fontId="3" fillId="4" borderId="1" xfId="0" applyFont="1" applyFill="1" applyBorder="1"/>
    <xf numFmtId="0" fontId="3" fillId="5" borderId="0" xfId="0" applyFont="1" applyFill="1"/>
    <xf numFmtId="10" fontId="3" fillId="5" borderId="0" xfId="0" applyNumberFormat="1" applyFont="1" applyFill="1" applyAlignment="1">
      <alignment horizontal="center"/>
    </xf>
    <xf numFmtId="41" fontId="0" fillId="0" borderId="0" xfId="0" applyNumberFormat="1" applyFill="1" applyAlignment="1">
      <alignment horizontal="center"/>
    </xf>
    <xf numFmtId="41" fontId="0" fillId="0" borderId="0" xfId="0" applyNumberFormat="1" applyFill="1" applyAlignment="1">
      <alignment horizontal="center"/>
    </xf>
    <xf numFmtId="41" fontId="3" fillId="2" borderId="0" xfId="0" applyNumberFormat="1" applyFont="1" applyFill="1"/>
    <xf numFmtId="41" fontId="3" fillId="2" borderId="0" xfId="0" applyNumberFormat="1" applyFont="1" applyFill="1" applyAlignment="1">
      <alignment horizontal="center"/>
    </xf>
    <xf numFmtId="41" fontId="0" fillId="2" borderId="0" xfId="0" applyNumberFormat="1" applyFill="1"/>
    <xf numFmtId="10" fontId="0" fillId="2" borderId="0" xfId="0" applyNumberFormat="1" applyFill="1"/>
    <xf numFmtId="0" fontId="3" fillId="2" borderId="0" xfId="0" applyFont="1" applyFill="1"/>
    <xf numFmtId="0" fontId="0" fillId="2" borderId="0" xfId="0" applyFill="1"/>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41" fontId="0" fillId="0" borderId="0" xfId="0" applyNumberFormat="1" applyFill="1" applyAlignment="1">
      <alignment horizontal="center"/>
    </xf>
    <xf numFmtId="41" fontId="0" fillId="0" borderId="0" xfId="0" applyNumberFormat="1" applyAlignment="1">
      <alignment horizontal="center"/>
    </xf>
    <xf numFmtId="0" fontId="3" fillId="0" borderId="1" xfId="0" applyFont="1" applyFill="1" applyBorder="1" applyAlignment="1">
      <alignment horizontal="center"/>
    </xf>
  </cellXfs>
  <cellStyles count="1">
    <cellStyle name="Normal" xfId="0" builtinId="0"/>
  </cellStyles>
  <dxfs count="11">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selection activeCell="B19" sqref="B19"/>
    </sheetView>
  </sheetViews>
  <sheetFormatPr defaultRowHeight="12.75" x14ac:dyDescent="0.2"/>
  <cols>
    <col min="1" max="1" width="16.28515625" customWidth="1"/>
    <col min="2" max="2" width="10.5703125" style="18" customWidth="1"/>
    <col min="3" max="3" width="10.5703125" customWidth="1"/>
  </cols>
  <sheetData>
    <row r="1" spans="1:2" ht="13.5" thickBot="1" x14ac:dyDescent="0.25">
      <c r="B1" s="45">
        <v>2015</v>
      </c>
    </row>
    <row r="2" spans="1:2" x14ac:dyDescent="0.2">
      <c r="B2" s="19" t="s">
        <v>43</v>
      </c>
    </row>
    <row r="4" spans="1:2" x14ac:dyDescent="0.2">
      <c r="A4" t="s">
        <v>0</v>
      </c>
      <c r="B4" s="24">
        <v>0.11768096889915562</v>
      </c>
    </row>
    <row r="5" spans="1:2" x14ac:dyDescent="0.2">
      <c r="A5" t="s">
        <v>1</v>
      </c>
      <c r="B5" s="24">
        <v>0.11194766615300167</v>
      </c>
    </row>
    <row r="6" spans="1:2" x14ac:dyDescent="0.2">
      <c r="A6" t="s">
        <v>2</v>
      </c>
      <c r="B6" s="24">
        <v>0.17923376377162067</v>
      </c>
    </row>
    <row r="8" spans="1:2" x14ac:dyDescent="0.2">
      <c r="A8" s="30" t="s">
        <v>40</v>
      </c>
      <c r="B8" s="31">
        <v>0.11902683712517748</v>
      </c>
    </row>
    <row r="9" spans="1:2" x14ac:dyDescent="0.2">
      <c r="B9" s="24"/>
    </row>
    <row r="10" spans="1:2" x14ac:dyDescent="0.2">
      <c r="A10" t="s">
        <v>3</v>
      </c>
      <c r="B10" s="24">
        <v>6.2297645586868941E-2</v>
      </c>
    </row>
    <row r="11" spans="1:2" x14ac:dyDescent="0.2">
      <c r="A11" t="s">
        <v>4</v>
      </c>
      <c r="B11" s="24">
        <v>8.0382736247033112E-2</v>
      </c>
    </row>
    <row r="12" spans="1:2" x14ac:dyDescent="0.2">
      <c r="A12" s="13" t="s">
        <v>58</v>
      </c>
      <c r="B12" s="24">
        <v>7.6075489204408209E-2</v>
      </c>
    </row>
    <row r="13" spans="1:2" x14ac:dyDescent="0.2">
      <c r="A13" s="13" t="s">
        <v>59</v>
      </c>
      <c r="B13" s="24">
        <v>3.1574991626414216E-2</v>
      </c>
    </row>
    <row r="15" spans="1:2" x14ac:dyDescent="0.2">
      <c r="A15" s="30" t="s">
        <v>41</v>
      </c>
      <c r="B15" s="31">
        <v>6.5165473198317919E-2</v>
      </c>
    </row>
    <row r="16" spans="1:2" x14ac:dyDescent="0.2">
      <c r="B16" s="24"/>
    </row>
    <row r="17" spans="1:2" x14ac:dyDescent="0.2">
      <c r="A17" s="30" t="s">
        <v>42</v>
      </c>
      <c r="B17" s="31">
        <v>8.2638240219983852E-2</v>
      </c>
    </row>
    <row r="19" spans="1:2" x14ac:dyDescent="0.2">
      <c r="B19" s="24"/>
    </row>
    <row r="20" spans="1:2" x14ac:dyDescent="0.2">
      <c r="B20" s="24"/>
    </row>
    <row r="21" spans="1:2" x14ac:dyDescent="0.2">
      <c r="B21" s="24"/>
    </row>
  </sheetData>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770"/>
  <sheetViews>
    <sheetView zoomScale="81" zoomScaleNormal="81" workbookViewId="0">
      <pane xSplit="3" ySplit="3" topLeftCell="R4" activePane="bottomRight" state="frozen"/>
      <selection pane="topRight" activeCell="D1" sqref="D1"/>
      <selection pane="bottomLeft" activeCell="A4" sqref="A4"/>
      <selection pane="bottomRight" activeCell="R35" sqref="R35"/>
    </sheetView>
  </sheetViews>
  <sheetFormatPr defaultRowHeight="12.75" x14ac:dyDescent="0.2"/>
  <cols>
    <col min="1" max="1" width="10.7109375" style="5" customWidth="1"/>
    <col min="2" max="2" width="2.7109375" style="5" customWidth="1"/>
    <col min="3" max="3" width="12.7109375" style="5" customWidth="1"/>
    <col min="4" max="6" width="15.7109375" style="4" customWidth="1"/>
    <col min="7" max="7" width="15.7109375" style="25" customWidth="1"/>
    <col min="8" max="8" width="2.7109375" style="36" customWidth="1"/>
    <col min="9" max="12" width="15.7109375" style="4" customWidth="1"/>
    <col min="13" max="13" width="15.7109375" style="27" customWidth="1"/>
    <col min="14" max="14" width="2.7109375" style="39" customWidth="1"/>
    <col min="15" max="15" width="15.7109375" style="20" customWidth="1"/>
    <col min="17" max="17" width="12" bestFit="1" customWidth="1"/>
    <col min="18" max="18" width="12.5703125" bestFit="1" customWidth="1"/>
    <col min="19" max="19" width="11.42578125" customWidth="1"/>
    <col min="20" max="20" width="12" style="20" bestFit="1" customWidth="1"/>
    <col min="21" max="21" width="4.7109375" customWidth="1"/>
    <col min="22" max="22" width="12" bestFit="1" customWidth="1"/>
    <col min="23" max="23" width="11" bestFit="1" customWidth="1"/>
    <col min="24" max="25" width="16" customWidth="1"/>
    <col min="26" max="26" width="12" style="20" bestFit="1" customWidth="1"/>
    <col min="27" max="27" width="4.7109375" customWidth="1"/>
    <col min="28" max="28" width="12" style="20" bestFit="1" customWidth="1"/>
    <col min="30" max="30" width="12" bestFit="1" customWidth="1"/>
    <col min="31" max="31" width="13" customWidth="1"/>
    <col min="32" max="32" width="12.5703125" bestFit="1" customWidth="1"/>
    <col min="33" max="33" width="12" bestFit="1" customWidth="1"/>
    <col min="35" max="35" width="12" bestFit="1" customWidth="1"/>
    <col min="36" max="37" width="11" bestFit="1" customWidth="1"/>
    <col min="38" max="38" width="12" bestFit="1" customWidth="1"/>
    <col min="40" max="40" width="12" bestFit="1" customWidth="1"/>
  </cols>
  <sheetData>
    <row r="2" spans="1:28" x14ac:dyDescent="0.2">
      <c r="D2" s="25" t="s">
        <v>7</v>
      </c>
      <c r="E2" s="25"/>
      <c r="F2" s="25"/>
      <c r="H2" s="34"/>
      <c r="I2" s="25" t="s">
        <v>8</v>
      </c>
      <c r="J2" s="25"/>
      <c r="K2" s="25"/>
      <c r="L2" s="25"/>
      <c r="N2" s="38"/>
      <c r="O2" s="20" t="s">
        <v>24</v>
      </c>
      <c r="Q2" s="40" t="s">
        <v>60</v>
      </c>
      <c r="R2" s="41"/>
      <c r="S2" s="41"/>
      <c r="T2" s="41"/>
      <c r="U2" s="41"/>
      <c r="V2" s="41"/>
      <c r="W2" s="41"/>
      <c r="X2" s="41"/>
      <c r="Y2" s="41"/>
      <c r="Z2" s="42"/>
      <c r="AA2" s="20"/>
      <c r="AB2" s="19" t="s">
        <v>24</v>
      </c>
    </row>
    <row r="3" spans="1:28" ht="13.5" thickBot="1" x14ac:dyDescent="0.25">
      <c r="D3" s="23" t="s">
        <v>0</v>
      </c>
      <c r="E3" s="23" t="s">
        <v>1</v>
      </c>
      <c r="F3" s="23" t="s">
        <v>2</v>
      </c>
      <c r="G3" s="23" t="s">
        <v>24</v>
      </c>
      <c r="H3" s="35"/>
      <c r="I3" s="23" t="s">
        <v>3</v>
      </c>
      <c r="J3" s="23" t="s">
        <v>4</v>
      </c>
      <c r="K3" s="23" t="s">
        <v>58</v>
      </c>
      <c r="L3" s="23" t="s">
        <v>59</v>
      </c>
      <c r="M3" s="23" t="s">
        <v>24</v>
      </c>
      <c r="N3" s="38"/>
      <c r="O3" s="23" t="s">
        <v>49</v>
      </c>
      <c r="Q3" s="23" t="s">
        <v>0</v>
      </c>
      <c r="R3" s="23" t="s">
        <v>1</v>
      </c>
      <c r="S3" s="23" t="s">
        <v>2</v>
      </c>
      <c r="T3" s="23" t="s">
        <v>24</v>
      </c>
      <c r="U3" s="23"/>
      <c r="V3" s="23" t="s">
        <v>3</v>
      </c>
      <c r="W3" s="23" t="s">
        <v>4</v>
      </c>
      <c r="X3" s="23" t="s">
        <v>58</v>
      </c>
      <c r="Y3" s="23" t="s">
        <v>59</v>
      </c>
      <c r="Z3" s="23" t="s">
        <v>24</v>
      </c>
      <c r="AA3" s="20"/>
      <c r="AB3" s="23" t="s">
        <v>49</v>
      </c>
    </row>
    <row r="4" spans="1:28" ht="13.5" thickBot="1" x14ac:dyDescent="0.25">
      <c r="A4" s="29">
        <v>2015</v>
      </c>
      <c r="D4" s="17"/>
      <c r="E4" s="17"/>
      <c r="F4" s="17"/>
      <c r="G4" s="23"/>
      <c r="H4" s="28"/>
      <c r="I4" s="17"/>
      <c r="J4" s="17"/>
      <c r="K4" s="17"/>
      <c r="L4" s="32"/>
      <c r="M4" s="23"/>
      <c r="O4" s="23"/>
      <c r="Q4" s="17"/>
      <c r="R4" s="17"/>
      <c r="S4" s="17"/>
      <c r="T4" s="23"/>
      <c r="U4" s="17"/>
      <c r="V4" s="17"/>
      <c r="W4" s="17"/>
      <c r="X4" s="17"/>
      <c r="Y4" s="32"/>
      <c r="Z4" s="23"/>
      <c r="AB4" s="23"/>
    </row>
    <row r="5" spans="1:28" x14ac:dyDescent="0.2">
      <c r="A5" s="5" t="s">
        <v>9</v>
      </c>
      <c r="C5" s="5" t="s">
        <v>21</v>
      </c>
      <c r="D5" s="4">
        <v>1329208.2067629986</v>
      </c>
      <c r="E5" s="4">
        <v>435798.3196034003</v>
      </c>
      <c r="F5" s="4">
        <v>78850.134521600077</v>
      </c>
      <c r="G5" s="25">
        <v>1843856.660887999</v>
      </c>
      <c r="I5" s="4">
        <v>2192122.7005520007</v>
      </c>
      <c r="J5" s="4">
        <v>287449.73925960017</v>
      </c>
      <c r="K5" s="4">
        <v>716314.95271284645</v>
      </c>
      <c r="L5" s="4">
        <v>175639.14421285241</v>
      </c>
      <c r="M5" s="25">
        <v>3371526.5367372995</v>
      </c>
      <c r="O5" s="22">
        <v>5215383.1976252981</v>
      </c>
      <c r="Q5" s="17"/>
      <c r="R5" s="17"/>
      <c r="S5" s="17"/>
      <c r="T5" s="23"/>
      <c r="U5" s="17"/>
      <c r="V5" s="17"/>
      <c r="W5" s="17"/>
      <c r="X5" s="17"/>
      <c r="Y5" s="32"/>
      <c r="Z5" s="23"/>
      <c r="AB5" s="23"/>
    </row>
    <row r="6" spans="1:28" x14ac:dyDescent="0.2">
      <c r="C6" s="5" t="s">
        <v>22</v>
      </c>
      <c r="D6" s="4">
        <v>1178134.8149999999</v>
      </c>
      <c r="E6" s="4">
        <v>377634.57500000001</v>
      </c>
      <c r="F6" s="4">
        <v>72705.502999999997</v>
      </c>
      <c r="G6" s="25">
        <v>1628474.8929999999</v>
      </c>
      <c r="I6" s="4">
        <v>2062868.3910000001</v>
      </c>
      <c r="J6" s="4">
        <v>249367.454</v>
      </c>
      <c r="K6" s="4">
        <v>675876.58900000004</v>
      </c>
      <c r="L6" s="4">
        <v>175559.74900000001</v>
      </c>
      <c r="M6" s="25">
        <v>3163672.1830000002</v>
      </c>
      <c r="O6" s="22">
        <v>4792147.0760000004</v>
      </c>
      <c r="Q6" s="17"/>
      <c r="R6" s="17"/>
      <c r="S6" s="17"/>
      <c r="T6" s="23"/>
      <c r="U6" s="17"/>
      <c r="V6" s="17"/>
      <c r="W6" s="17"/>
      <c r="X6" s="17"/>
      <c r="Y6" s="32"/>
      <c r="Z6" s="23"/>
      <c r="AB6" s="23"/>
    </row>
    <row r="7" spans="1:28" x14ac:dyDescent="0.2">
      <c r="C7" s="5" t="s">
        <v>23</v>
      </c>
      <c r="D7" s="7">
        <v>0.12823098837207247</v>
      </c>
      <c r="E7" s="7">
        <v>0.15402123760357567</v>
      </c>
      <c r="F7" s="7">
        <v>8.4513981308953712E-2</v>
      </c>
      <c r="G7" s="26">
        <v>0.13225980260046843</v>
      </c>
      <c r="H7" s="37"/>
      <c r="I7" s="7">
        <v>6.2657564639566177E-2</v>
      </c>
      <c r="J7" s="7">
        <v>0.15271553945287564</v>
      </c>
      <c r="K7" s="7">
        <v>5.9830987447985651E-2</v>
      </c>
      <c r="L7" s="7">
        <v>4.5224040991542758E-4</v>
      </c>
      <c r="M7" s="26">
        <v>6.5700344951732159E-2</v>
      </c>
      <c r="O7" s="26">
        <v>8.8318683653293206E-2</v>
      </c>
      <c r="Q7" s="3">
        <v>0.11912973164064802</v>
      </c>
      <c r="R7" s="3">
        <v>0.13768896095090405</v>
      </c>
      <c r="S7" s="3">
        <v>0.12188386189560471</v>
      </c>
      <c r="T7" s="21">
        <v>0.12324602466943504</v>
      </c>
      <c r="V7" s="3">
        <v>7.3664872133906073E-2</v>
      </c>
      <c r="W7" s="3">
        <v>6.4616694953533546E-2</v>
      </c>
      <c r="X7" s="3">
        <v>8.1252331325275096E-2</v>
      </c>
      <c r="Y7" s="3">
        <v>5.9927057263427154E-2</v>
      </c>
      <c r="Z7" s="21">
        <v>7.3055647238199836E-2</v>
      </c>
      <c r="AB7" s="21">
        <v>9.0535667935547043E-2</v>
      </c>
    </row>
    <row r="9" spans="1:28" x14ac:dyDescent="0.2">
      <c r="A9" s="5" t="s">
        <v>10</v>
      </c>
      <c r="C9" s="5" t="s">
        <v>21</v>
      </c>
      <c r="D9" s="4">
        <v>1112973.3885510007</v>
      </c>
      <c r="E9" s="4">
        <v>336788.00555799989</v>
      </c>
      <c r="F9" s="4">
        <v>66108.829311900045</v>
      </c>
      <c r="G9" s="25">
        <v>1515870.2234209008</v>
      </c>
      <c r="I9" s="4">
        <v>1880872.5174230007</v>
      </c>
      <c r="J9" s="4">
        <v>256268.66734770025</v>
      </c>
      <c r="K9" s="4">
        <v>617672.68815427006</v>
      </c>
      <c r="L9" s="4">
        <v>153052.11982572972</v>
      </c>
      <c r="M9" s="25">
        <v>2907865.9927507006</v>
      </c>
      <c r="O9" s="22">
        <v>4423736.2161716018</v>
      </c>
    </row>
    <row r="10" spans="1:28" x14ac:dyDescent="0.2">
      <c r="C10" s="5" t="s">
        <v>22</v>
      </c>
      <c r="D10" s="4">
        <v>961703.99899999995</v>
      </c>
      <c r="E10" s="4">
        <v>304523.24400000001</v>
      </c>
      <c r="F10" s="4">
        <v>49574.925000000003</v>
      </c>
      <c r="G10" s="25">
        <v>1315802.1680000001</v>
      </c>
      <c r="I10" s="4">
        <v>1768977.2779999999</v>
      </c>
      <c r="J10" s="4">
        <v>238188.56599999999</v>
      </c>
      <c r="K10" s="4">
        <v>576542.63600000006</v>
      </c>
      <c r="L10" s="4">
        <v>157455.90400000001</v>
      </c>
      <c r="M10" s="25">
        <v>2741164.3840000001</v>
      </c>
      <c r="O10" s="22">
        <v>4056966.5520000001</v>
      </c>
    </row>
    <row r="11" spans="1:28" x14ac:dyDescent="0.2">
      <c r="C11" s="5" t="s">
        <v>23</v>
      </c>
      <c r="D11" s="7">
        <v>0.15729308571898826</v>
      </c>
      <c r="E11" s="7">
        <v>0.10595172025029354</v>
      </c>
      <c r="F11" s="7">
        <v>0.33351345084031969</v>
      </c>
      <c r="G11" s="26">
        <v>0.15205025518767856</v>
      </c>
      <c r="H11" s="37"/>
      <c r="I11" s="7">
        <v>6.3254198239057757E-2</v>
      </c>
      <c r="J11" s="7">
        <v>7.590667197559875E-2</v>
      </c>
      <c r="K11" s="7">
        <v>7.1339133632208895E-2</v>
      </c>
      <c r="L11" s="7">
        <v>-2.7968364871667761E-2</v>
      </c>
      <c r="M11" s="26">
        <v>6.0814159750406382E-2</v>
      </c>
      <c r="O11" s="26">
        <v>9.0404902153011779E-2</v>
      </c>
      <c r="Q11" s="3">
        <v>0.14137274681089718</v>
      </c>
      <c r="R11" s="3">
        <v>9.9932185221665651E-2</v>
      </c>
      <c r="S11" s="3">
        <v>0.19126665774815038</v>
      </c>
      <c r="T11" s="21">
        <v>0.13356829387857308</v>
      </c>
      <c r="V11" s="3">
        <v>6.821651764548986E-2</v>
      </c>
      <c r="W11" s="3">
        <v>5.7932737838360657E-2</v>
      </c>
      <c r="X11" s="3">
        <v>0.10267564535582037</v>
      </c>
      <c r="Y11" s="3">
        <v>-1.4887849920213348E-2</v>
      </c>
      <c r="Z11" s="21">
        <v>6.8876714196689989E-2</v>
      </c>
      <c r="AB11" s="21">
        <v>9.0702931876967915E-2</v>
      </c>
    </row>
    <row r="13" spans="1:28" x14ac:dyDescent="0.2">
      <c r="A13" s="5" t="s">
        <v>11</v>
      </c>
      <c r="C13" s="5" t="s">
        <v>21</v>
      </c>
      <c r="D13" s="4">
        <v>1179698.2663199999</v>
      </c>
      <c r="E13" s="4">
        <v>345175.11430549994</v>
      </c>
      <c r="F13" s="4">
        <v>66805.406898700036</v>
      </c>
      <c r="G13" s="25">
        <v>1591678.7875241998</v>
      </c>
      <c r="I13" s="4">
        <v>1979653.0020939992</v>
      </c>
      <c r="J13" s="4">
        <v>274101.37322150031</v>
      </c>
      <c r="K13" s="4">
        <v>657136.08572376613</v>
      </c>
      <c r="L13" s="4">
        <v>166386.97736323369</v>
      </c>
      <c r="M13" s="25">
        <v>3077277.4384024991</v>
      </c>
      <c r="O13" s="22">
        <v>4668956.2259266991</v>
      </c>
    </row>
    <row r="14" spans="1:28" x14ac:dyDescent="0.2">
      <c r="C14" s="5" t="s">
        <v>22</v>
      </c>
      <c r="D14" s="4">
        <v>1041696.476</v>
      </c>
      <c r="E14" s="4">
        <v>314967.45600000001</v>
      </c>
      <c r="F14" s="4">
        <v>58562.428</v>
      </c>
      <c r="G14" s="25">
        <v>1415226.36</v>
      </c>
      <c r="I14" s="4">
        <v>1862919.2930000001</v>
      </c>
      <c r="J14" s="4">
        <v>262452.49400000001</v>
      </c>
      <c r="K14" s="4">
        <v>623185.12199999997</v>
      </c>
      <c r="L14" s="4">
        <v>151568.83600000001</v>
      </c>
      <c r="M14" s="25">
        <v>2900125.7450000001</v>
      </c>
      <c r="O14" s="22">
        <v>4315352.1050000004</v>
      </c>
    </row>
    <row r="15" spans="1:28" x14ac:dyDescent="0.2">
      <c r="C15" s="5" t="s">
        <v>23</v>
      </c>
      <c r="D15" s="7">
        <v>0.13247792759164523</v>
      </c>
      <c r="E15" s="7">
        <v>9.5907236541606267E-2</v>
      </c>
      <c r="F15" s="7">
        <v>0.14075541571978589</v>
      </c>
      <c r="G15" s="26">
        <v>0.12468141670580501</v>
      </c>
      <c r="H15" s="37"/>
      <c r="I15" s="7">
        <v>6.2661710323485886E-2</v>
      </c>
      <c r="J15" s="7">
        <v>4.4384715282988818E-2</v>
      </c>
      <c r="K15" s="7">
        <v>5.4479740489963291E-2</v>
      </c>
      <c r="L15" s="7">
        <v>9.7765093104189793E-2</v>
      </c>
      <c r="M15" s="26">
        <v>6.108414219897873E-2</v>
      </c>
      <c r="O15" s="26">
        <v>8.1940966188365882E-2</v>
      </c>
      <c r="Q15" s="3">
        <v>0.1270564449138607</v>
      </c>
      <c r="R15" s="3">
        <v>0.12946699259872135</v>
      </c>
      <c r="S15" s="3">
        <v>0.18925527622159605</v>
      </c>
      <c r="T15" s="21">
        <v>0.12982049872164864</v>
      </c>
      <c r="V15" s="3">
        <v>7.3491580212791563E-2</v>
      </c>
      <c r="W15" s="3">
        <v>6.892411398706004E-2</v>
      </c>
      <c r="X15" s="3">
        <v>5.6229445045665474E-2</v>
      </c>
      <c r="Y15" s="3">
        <v>7.5288865086992507E-2</v>
      </c>
      <c r="Z15" s="21">
        <v>6.8721496409619304E-2</v>
      </c>
      <c r="AB15" s="21">
        <v>8.9115537246405724E-2</v>
      </c>
    </row>
    <row r="17" spans="1:28" x14ac:dyDescent="0.2">
      <c r="A17" s="5" t="s">
        <v>12</v>
      </c>
      <c r="C17" s="5" t="s">
        <v>21</v>
      </c>
      <c r="D17" s="4">
        <v>1129522.5792550009</v>
      </c>
      <c r="E17" s="4">
        <v>336789.05395980016</v>
      </c>
      <c r="F17" s="4">
        <v>67502.33585630008</v>
      </c>
      <c r="G17" s="25">
        <v>1533813.9690711012</v>
      </c>
      <c r="I17" s="4">
        <v>1897207.7473500001</v>
      </c>
      <c r="J17" s="4">
        <v>301278.90901030018</v>
      </c>
      <c r="K17" s="4">
        <v>617581.76590668084</v>
      </c>
      <c r="L17" s="4">
        <v>158552.82273851911</v>
      </c>
      <c r="M17" s="25">
        <v>2974621.2450055</v>
      </c>
      <c r="O17" s="22">
        <v>4508435.214076601</v>
      </c>
    </row>
    <row r="18" spans="1:28" x14ac:dyDescent="0.2">
      <c r="C18" s="5" t="s">
        <v>22</v>
      </c>
      <c r="D18" s="4">
        <v>1007767.2439999999</v>
      </c>
      <c r="E18" s="4">
        <v>307647.25199999998</v>
      </c>
      <c r="F18" s="4">
        <v>54248.656999999999</v>
      </c>
      <c r="G18" s="25">
        <v>1369663.1529999997</v>
      </c>
      <c r="I18" s="4">
        <v>1794971.311</v>
      </c>
      <c r="J18" s="4">
        <v>270153.484</v>
      </c>
      <c r="K18" s="4">
        <v>580474.70700000005</v>
      </c>
      <c r="L18" s="4">
        <v>164539.40599999999</v>
      </c>
      <c r="M18" s="25">
        <v>2810138.9079999998</v>
      </c>
      <c r="O18" s="22">
        <v>4179802.0609999998</v>
      </c>
    </row>
    <row r="19" spans="1:28" x14ac:dyDescent="0.2">
      <c r="C19" s="5" t="s">
        <v>23</v>
      </c>
      <c r="D19" s="7">
        <v>0.12081692075219008</v>
      </c>
      <c r="E19" s="7">
        <v>9.4724727005850884E-2</v>
      </c>
      <c r="F19" s="7">
        <v>0.2443134925220376</v>
      </c>
      <c r="G19" s="26">
        <v>0.11984758129147211</v>
      </c>
      <c r="H19" s="37"/>
      <c r="I19" s="7">
        <v>5.6957142280476214E-2</v>
      </c>
      <c r="J19" s="7">
        <v>0.11521385750590651</v>
      </c>
      <c r="K19" s="7">
        <v>6.3925367391900467E-2</v>
      </c>
      <c r="L19" s="7">
        <v>-3.6383887647442159E-2</v>
      </c>
      <c r="M19" s="26">
        <v>5.8531746077479019E-2</v>
      </c>
      <c r="O19" s="26">
        <v>7.8624094701263747E-2</v>
      </c>
      <c r="Q19" s="3">
        <v>0.11316434175736437</v>
      </c>
      <c r="R19" s="3">
        <v>0.10874285872031315</v>
      </c>
      <c r="S19" s="3">
        <v>0.26738046077493244</v>
      </c>
      <c r="T19" s="21">
        <v>0.11841691594003741</v>
      </c>
      <c r="V19" s="3">
        <v>5.023167987724695E-2</v>
      </c>
      <c r="W19" s="3">
        <v>8.2303257519677958E-2</v>
      </c>
      <c r="X19" s="3">
        <v>0.11248734687287479</v>
      </c>
      <c r="Y19" s="3">
        <v>-1.1760763505310102E-2</v>
      </c>
      <c r="Z19" s="21">
        <v>6.1824952989220083E-2</v>
      </c>
      <c r="AB19" s="21">
        <v>8.0068616764933292E-2</v>
      </c>
    </row>
    <row r="21" spans="1:28" x14ac:dyDescent="0.2">
      <c r="A21" s="5" t="s">
        <v>13</v>
      </c>
      <c r="C21" s="5" t="s">
        <v>21</v>
      </c>
      <c r="D21" s="4">
        <v>1099790.1596929999</v>
      </c>
      <c r="E21" s="4">
        <v>335676.92662540014</v>
      </c>
      <c r="F21" s="4">
        <v>75809.057855299936</v>
      </c>
      <c r="G21" s="25">
        <v>1511276.1441736999</v>
      </c>
      <c r="I21" s="4">
        <v>1991181.5215320014</v>
      </c>
      <c r="J21" s="4">
        <v>304253.30023279955</v>
      </c>
      <c r="K21" s="4">
        <v>642898.82144472864</v>
      </c>
      <c r="L21" s="4">
        <v>160022.27477527136</v>
      </c>
      <c r="M21" s="25">
        <v>3098355.9179848013</v>
      </c>
      <c r="O21" s="22">
        <v>4609632.0621585008</v>
      </c>
    </row>
    <row r="22" spans="1:28" x14ac:dyDescent="0.2">
      <c r="C22" s="5" t="s">
        <v>22</v>
      </c>
      <c r="D22" s="4">
        <v>987576.18400000001</v>
      </c>
      <c r="E22" s="4">
        <v>282765.93699999998</v>
      </c>
      <c r="F22" s="4">
        <v>63229.739000000001</v>
      </c>
      <c r="G22" s="25">
        <v>1333571.8600000001</v>
      </c>
      <c r="I22" s="4">
        <v>1837620.2749999999</v>
      </c>
      <c r="J22" s="4">
        <v>299127.43900000001</v>
      </c>
      <c r="K22" s="4">
        <v>624423.147</v>
      </c>
      <c r="L22" s="4">
        <v>152769.63699999999</v>
      </c>
      <c r="M22" s="25">
        <v>2913940.4979999997</v>
      </c>
      <c r="O22" s="22">
        <v>4247512.358</v>
      </c>
    </row>
    <row r="23" spans="1:28" x14ac:dyDescent="0.2">
      <c r="C23" s="5" t="s">
        <v>23</v>
      </c>
      <c r="D23" s="7">
        <v>0.11362563973393658</v>
      </c>
      <c r="E23" s="7">
        <v>0.18711938993344934</v>
      </c>
      <c r="F23" s="7">
        <v>0.19894624039646813</v>
      </c>
      <c r="G23" s="26">
        <v>0.13325437458893274</v>
      </c>
      <c r="H23" s="37"/>
      <c r="I23" s="7">
        <v>8.3565276581420767E-2</v>
      </c>
      <c r="J23" s="7">
        <v>1.7136044924315863E-2</v>
      </c>
      <c r="K23" s="7">
        <v>2.9588388152319123E-2</v>
      </c>
      <c r="L23" s="7">
        <v>4.7474340567238427E-2</v>
      </c>
      <c r="M23" s="26">
        <v>6.3287297771308815E-2</v>
      </c>
      <c r="O23" s="26">
        <v>8.5254538100746124E-2</v>
      </c>
      <c r="Q23" s="3">
        <v>0.10735763402427922</v>
      </c>
      <c r="R23" s="3">
        <v>0.1270269473278216</v>
      </c>
      <c r="S23" s="3">
        <v>0.2164890000756016</v>
      </c>
      <c r="T23" s="21">
        <v>0.11607320348596435</v>
      </c>
      <c r="V23" s="3">
        <v>5.6866636212395072E-2</v>
      </c>
      <c r="W23" s="3">
        <v>0.16282688605942147</v>
      </c>
      <c r="X23" s="3">
        <v>3.4280316862761714E-2</v>
      </c>
      <c r="Y23" s="3">
        <v>6.7313038534362546E-2</v>
      </c>
      <c r="Z23" s="21">
        <v>6.1393019020320107E-2</v>
      </c>
      <c r="AB23" s="21">
        <v>7.8451987998669995E-2</v>
      </c>
    </row>
    <row r="25" spans="1:28" x14ac:dyDescent="0.2">
      <c r="A25" s="5" t="s">
        <v>14</v>
      </c>
      <c r="C25" s="5" t="s">
        <v>21</v>
      </c>
      <c r="D25" s="4">
        <v>1222178.3586240001</v>
      </c>
      <c r="E25" s="4">
        <v>404709.06247420027</v>
      </c>
      <c r="F25" s="4">
        <v>79830.718646299953</v>
      </c>
      <c r="G25" s="25">
        <v>1706718.1397445004</v>
      </c>
      <c r="I25" s="4">
        <v>2351070.2393000019</v>
      </c>
      <c r="J25" s="4">
        <v>444730.48424959998</v>
      </c>
      <c r="K25" s="4">
        <v>640642.7732863531</v>
      </c>
      <c r="L25" s="4">
        <v>162305.75794944644</v>
      </c>
      <c r="M25" s="25">
        <v>3598749.2547854008</v>
      </c>
      <c r="O25" s="22">
        <v>5305467.3945299014</v>
      </c>
    </row>
    <row r="26" spans="1:28" x14ac:dyDescent="0.2">
      <c r="C26" s="5" t="s">
        <v>22</v>
      </c>
      <c r="D26" s="4">
        <v>1114565.2409999999</v>
      </c>
      <c r="E26" s="4">
        <v>362115.01699999999</v>
      </c>
      <c r="F26" s="4">
        <v>75280.131999999998</v>
      </c>
      <c r="G26" s="25">
        <v>1551960.39</v>
      </c>
      <c r="I26" s="4">
        <v>2230015.145</v>
      </c>
      <c r="J26" s="4">
        <v>383099.51299999998</v>
      </c>
      <c r="K26" s="4">
        <v>638240.30099999998</v>
      </c>
      <c r="L26" s="4">
        <v>154555.73800000001</v>
      </c>
      <c r="M26" s="25">
        <v>3405910.6969999997</v>
      </c>
      <c r="O26" s="22">
        <v>4957871.0869999994</v>
      </c>
    </row>
    <row r="27" spans="1:28" x14ac:dyDescent="0.2">
      <c r="C27" s="5" t="s">
        <v>23</v>
      </c>
      <c r="D27" s="7">
        <v>9.6551654102768003E-2</v>
      </c>
      <c r="E27" s="7">
        <v>0.11762573622899564</v>
      </c>
      <c r="F27" s="7">
        <v>6.0448707054604478E-2</v>
      </c>
      <c r="G27" s="26">
        <v>9.9717589921544558E-2</v>
      </c>
      <c r="H27" s="37"/>
      <c r="I27" s="7">
        <v>5.428442697863467E-2</v>
      </c>
      <c r="J27" s="7">
        <v>0.16087457477295208</v>
      </c>
      <c r="K27" s="7">
        <v>3.7642127621664301E-3</v>
      </c>
      <c r="L27" s="7">
        <v>5.0143851336314826E-2</v>
      </c>
      <c r="M27" s="26">
        <v>5.6618794484323276E-2</v>
      </c>
      <c r="O27" s="26">
        <v>7.0109993065639031E-2</v>
      </c>
      <c r="Q27" s="3">
        <v>0.10076185529954791</v>
      </c>
      <c r="R27" s="3">
        <v>0.11721120984469624</v>
      </c>
      <c r="S27" s="3">
        <v>0.10906381788548636</v>
      </c>
      <c r="T27" s="21">
        <v>0.10430705390489084</v>
      </c>
      <c r="V27" s="3">
        <v>5.7438510555524E-2</v>
      </c>
      <c r="W27" s="3">
        <v>0.10188276974223889</v>
      </c>
      <c r="X27" s="3">
        <v>7.8245727841565582E-2</v>
      </c>
      <c r="Y27" s="3">
        <v>-3.9717355983338365E-2</v>
      </c>
      <c r="Z27" s="21">
        <v>6.0092705307582372E-2</v>
      </c>
      <c r="AB27" s="21">
        <v>7.3292961404217843E-2</v>
      </c>
    </row>
    <row r="29" spans="1:28" x14ac:dyDescent="0.2">
      <c r="A29" s="5" t="s">
        <v>15</v>
      </c>
      <c r="C29" s="5" t="s">
        <v>21</v>
      </c>
      <c r="D29" s="4">
        <v>1313667.4152689988</v>
      </c>
      <c r="E29" s="4">
        <v>431029.18078189995</v>
      </c>
      <c r="F29" s="4">
        <v>81888.108395650153</v>
      </c>
      <c r="G29" s="25">
        <v>1826584.7044465488</v>
      </c>
      <c r="I29" s="4">
        <v>2464827.9253709987</v>
      </c>
      <c r="J29" s="4">
        <v>425115.48396029987</v>
      </c>
      <c r="K29" s="4">
        <v>655640.4435542603</v>
      </c>
      <c r="L29" s="4">
        <v>171756.63395113993</v>
      </c>
      <c r="M29" s="25">
        <v>3717340.4868366988</v>
      </c>
      <c r="O29" s="22">
        <v>5543925.1912832474</v>
      </c>
    </row>
    <row r="30" spans="1:28" x14ac:dyDescent="0.2">
      <c r="C30" s="5" t="s">
        <v>22</v>
      </c>
      <c r="D30" s="4">
        <v>1134034.0390000001</v>
      </c>
      <c r="E30" s="4">
        <v>417964.95899999997</v>
      </c>
      <c r="F30" s="4">
        <v>66796.903999999995</v>
      </c>
      <c r="G30" s="25">
        <v>1618795.9020000002</v>
      </c>
      <c r="I30" s="4">
        <v>2301403.1830000002</v>
      </c>
      <c r="J30" s="4">
        <v>411098.60800000001</v>
      </c>
      <c r="K30" s="4">
        <v>571364.54</v>
      </c>
      <c r="L30" s="4">
        <v>157052.503</v>
      </c>
      <c r="M30" s="25">
        <v>3440918.8340000003</v>
      </c>
      <c r="O30" s="22">
        <v>5059714.7360000005</v>
      </c>
    </row>
    <row r="31" spans="1:28" x14ac:dyDescent="0.2">
      <c r="C31" s="5" t="s">
        <v>23</v>
      </c>
      <c r="D31" s="7">
        <v>0.15840210266298604</v>
      </c>
      <c r="E31" s="7">
        <v>3.1256739352401031E-2</v>
      </c>
      <c r="F31" s="7">
        <v>0.22592670456178876</v>
      </c>
      <c r="G31" s="26">
        <v>0.12836009912665847</v>
      </c>
      <c r="H31" s="37"/>
      <c r="I31" s="7">
        <v>7.1010913506240003E-2</v>
      </c>
      <c r="J31" s="7">
        <v>3.4096140652219997E-2</v>
      </c>
      <c r="K31" s="7">
        <v>0.14749935926065749</v>
      </c>
      <c r="L31" s="7">
        <v>9.3625575334765232E-2</v>
      </c>
      <c r="M31" s="26">
        <v>8.0333674280646639E-2</v>
      </c>
      <c r="O31" s="26">
        <v>9.5699161029391133E-2</v>
      </c>
      <c r="Q31" s="3">
        <v>0.10753020021276831</v>
      </c>
      <c r="R31" s="3">
        <v>6.8557807542522525E-2</v>
      </c>
      <c r="S31" s="3">
        <v>0.18475118932885176</v>
      </c>
      <c r="T31" s="21">
        <v>0.10096267853641012</v>
      </c>
      <c r="V31" s="3">
        <v>7.3268608256328263E-2</v>
      </c>
      <c r="W31" s="3">
        <v>0.10073256390281818</v>
      </c>
      <c r="X31" s="3">
        <v>6.0310178655703206E-2</v>
      </c>
      <c r="Y31" s="3">
        <v>8.908410712285604E-2</v>
      </c>
      <c r="Z31" s="21">
        <v>7.3208643355049036E-2</v>
      </c>
      <c r="AB31" s="21">
        <v>8.1707795276838094E-2</v>
      </c>
    </row>
    <row r="33" spans="1:28" x14ac:dyDescent="0.2">
      <c r="A33" s="5" t="s">
        <v>16</v>
      </c>
      <c r="C33" s="5" t="s">
        <v>21</v>
      </c>
      <c r="D33" s="4">
        <v>1250009.566131999</v>
      </c>
      <c r="E33" s="4">
        <v>407656.77096859989</v>
      </c>
      <c r="F33" s="4">
        <v>80008.710567100105</v>
      </c>
      <c r="G33" s="25">
        <v>1737675.0476676992</v>
      </c>
      <c r="I33" s="4">
        <v>2433056.4900940009</v>
      </c>
      <c r="J33" s="4">
        <v>348444.7011518004</v>
      </c>
      <c r="K33" s="4">
        <v>665126.20607792202</v>
      </c>
      <c r="L33" s="4">
        <v>170815.09466797824</v>
      </c>
      <c r="M33" s="25">
        <v>3617442.4919917015</v>
      </c>
      <c r="O33" s="22">
        <v>5355117.5396594005</v>
      </c>
    </row>
    <row r="34" spans="1:28" x14ac:dyDescent="0.2">
      <c r="C34" s="5" t="s">
        <v>22</v>
      </c>
      <c r="D34" s="4">
        <v>1164054.311</v>
      </c>
      <c r="E34" s="4">
        <v>323055.45199999999</v>
      </c>
      <c r="F34" s="4">
        <v>65156.156000000003</v>
      </c>
      <c r="G34" s="25">
        <v>1552265.919</v>
      </c>
      <c r="I34" s="4">
        <v>2356799.3089999999</v>
      </c>
      <c r="J34" s="4">
        <v>293485.96500000003</v>
      </c>
      <c r="K34" s="4">
        <v>614399.09299999999</v>
      </c>
      <c r="L34" s="4">
        <v>164948.87100000001</v>
      </c>
      <c r="M34" s="25">
        <v>3429633.2379999994</v>
      </c>
      <c r="O34" s="22">
        <v>4981899.1569999997</v>
      </c>
    </row>
    <row r="35" spans="1:28" x14ac:dyDescent="0.2">
      <c r="C35" s="5" t="s">
        <v>23</v>
      </c>
      <c r="D35" s="7">
        <v>7.384127554852471E-2</v>
      </c>
      <c r="E35" s="7">
        <v>0.26187862933388883</v>
      </c>
      <c r="F35" s="7">
        <v>0.22795320471484071</v>
      </c>
      <c r="G35" s="26">
        <v>0.11944417924677708</v>
      </c>
      <c r="H35" s="37"/>
      <c r="I35" s="7">
        <v>3.2356247221727807E-2</v>
      </c>
      <c r="J35" s="7">
        <v>0.18726188883274331</v>
      </c>
      <c r="K35" s="7">
        <v>8.2563782492306004E-2</v>
      </c>
      <c r="L35" s="7">
        <v>3.5563890994914527E-2</v>
      </c>
      <c r="M35" s="26">
        <v>5.4760739985487028E-2</v>
      </c>
      <c r="O35" s="26">
        <v>7.49148810318645E-2</v>
      </c>
      <c r="Q35" s="3">
        <v>0.10231200033661048</v>
      </c>
      <c r="R35" s="3">
        <v>0.11568478499888353</v>
      </c>
      <c r="S35" s="3">
        <v>0.21692119900130616</v>
      </c>
      <c r="T35" s="21">
        <v>0.10840877239641614</v>
      </c>
      <c r="V35" s="3">
        <v>7.0107151329671519E-2</v>
      </c>
      <c r="W35" s="3">
        <v>6.1529693928360295E-2</v>
      </c>
      <c r="X35" s="3">
        <v>0.11139934103718301</v>
      </c>
      <c r="Y35" s="3">
        <v>3.7765859231623303E-2</v>
      </c>
      <c r="Z35" s="21">
        <v>7.3661252069565905E-2</v>
      </c>
      <c r="AB35" s="21">
        <v>8.4456355280771195E-2</v>
      </c>
    </row>
    <row r="37" spans="1:28" x14ac:dyDescent="0.2">
      <c r="A37" s="5" t="s">
        <v>17</v>
      </c>
      <c r="C37" s="5" t="s">
        <v>21</v>
      </c>
      <c r="D37" s="4">
        <v>1074763.9132729999</v>
      </c>
      <c r="E37" s="4">
        <v>353972.20337839978</v>
      </c>
      <c r="F37" s="4">
        <v>66214.561052200021</v>
      </c>
      <c r="G37" s="25">
        <v>1494950.6777035997</v>
      </c>
      <c r="I37" s="4">
        <v>2106493.170494</v>
      </c>
      <c r="J37" s="4">
        <v>303053.3248378</v>
      </c>
      <c r="K37" s="4">
        <v>620353.40897926723</v>
      </c>
      <c r="L37" s="4">
        <v>164666.50238313142</v>
      </c>
      <c r="M37" s="25">
        <v>3194566.406694199</v>
      </c>
      <c r="O37" s="22">
        <v>4689517.0843977984</v>
      </c>
    </row>
    <row r="38" spans="1:28" x14ac:dyDescent="0.2">
      <c r="C38" s="5" t="s">
        <v>22</v>
      </c>
      <c r="D38" s="4">
        <v>935244.68200000003</v>
      </c>
      <c r="E38" s="4">
        <v>345943.902</v>
      </c>
      <c r="F38" s="4">
        <v>51691.106</v>
      </c>
      <c r="G38" s="25">
        <v>1332879.69</v>
      </c>
      <c r="I38" s="4">
        <v>1954684.868</v>
      </c>
      <c r="J38" s="4">
        <v>311006.92599999998</v>
      </c>
      <c r="K38" s="4">
        <v>576025.93099999998</v>
      </c>
      <c r="L38" s="4">
        <v>170755.99100000001</v>
      </c>
      <c r="M38" s="25">
        <v>3012473.7159999995</v>
      </c>
      <c r="O38" s="22">
        <v>4345353.4059999995</v>
      </c>
    </row>
    <row r="39" spans="1:28" x14ac:dyDescent="0.2">
      <c r="C39" s="5" t="s">
        <v>23</v>
      </c>
      <c r="D39" s="7">
        <v>0.14917939011921577</v>
      </c>
      <c r="E39" s="7">
        <v>2.3206945785099409E-2</v>
      </c>
      <c r="F39" s="7">
        <v>0.28096622757888023</v>
      </c>
      <c r="G39" s="26">
        <v>0.12159461121626047</v>
      </c>
      <c r="H39" s="37"/>
      <c r="I39" s="7">
        <v>7.7663824475874499E-2</v>
      </c>
      <c r="J39" s="7">
        <v>-2.5573710735303568E-2</v>
      </c>
      <c r="K39" s="7">
        <v>7.6953962649412899E-2</v>
      </c>
      <c r="L39" s="7">
        <v>-3.5661932452306089E-2</v>
      </c>
      <c r="M39" s="26">
        <v>6.0446233846642272E-2</v>
      </c>
      <c r="O39" s="26">
        <v>7.9202689917598601E-2</v>
      </c>
      <c r="Q39" s="3">
        <v>0.11618604116735924</v>
      </c>
      <c r="R39" s="3">
        <v>0.12675166306592217</v>
      </c>
      <c r="S39" s="3">
        <v>0.25334762514218812</v>
      </c>
      <c r="T39" s="21">
        <v>0.12242379320750904</v>
      </c>
      <c r="V39" s="3">
        <v>6.0246530294169133E-2</v>
      </c>
      <c r="W39" s="3">
        <v>8.6614855046297207E-2</v>
      </c>
      <c r="X39" s="3">
        <v>8.3918027550780663E-2</v>
      </c>
      <c r="Y39" s="3">
        <v>6.8126519915741673E-2</v>
      </c>
      <c r="Z39" s="21">
        <v>6.6830470594591865E-2</v>
      </c>
      <c r="AB39" s="21">
        <v>8.4332656601764852E-2</v>
      </c>
    </row>
    <row r="41" spans="1:28" x14ac:dyDescent="0.2">
      <c r="A41" s="5" t="s">
        <v>18</v>
      </c>
      <c r="C41" s="5" t="s">
        <v>21</v>
      </c>
      <c r="D41" s="4">
        <v>1084500.0384980009</v>
      </c>
      <c r="E41" s="4">
        <v>342013.99080119969</v>
      </c>
      <c r="F41" s="4">
        <v>64213.956701999952</v>
      </c>
      <c r="G41" s="25">
        <v>1490727.9860012005</v>
      </c>
      <c r="I41" s="4">
        <v>1982602.221891003</v>
      </c>
      <c r="J41" s="4">
        <v>258347.85971660019</v>
      </c>
      <c r="K41" s="4">
        <v>653451.84936743975</v>
      </c>
      <c r="L41" s="4">
        <v>166548.80343725992</v>
      </c>
      <c r="M41" s="25">
        <v>3060950.7344123027</v>
      </c>
      <c r="O41" s="22">
        <v>4551678.7204135032</v>
      </c>
    </row>
    <row r="42" spans="1:28" x14ac:dyDescent="0.2">
      <c r="C42" s="5" t="s">
        <v>22</v>
      </c>
      <c r="D42" s="4">
        <v>988478.70900000003</v>
      </c>
      <c r="E42" s="4">
        <v>307948.23</v>
      </c>
      <c r="F42" s="4">
        <v>52237.315999999999</v>
      </c>
      <c r="G42" s="25">
        <v>1348664.2550000001</v>
      </c>
      <c r="I42" s="4">
        <v>1903130.686</v>
      </c>
      <c r="J42" s="4">
        <v>251249.83900000001</v>
      </c>
      <c r="K42" s="4">
        <v>626946.56599999999</v>
      </c>
      <c r="L42" s="4">
        <v>162581.68100000001</v>
      </c>
      <c r="M42" s="25">
        <v>2943908.7719999999</v>
      </c>
      <c r="O42" s="22">
        <v>4292573.0269999998</v>
      </c>
    </row>
    <row r="43" spans="1:28" x14ac:dyDescent="0.2">
      <c r="C43" s="5" t="s">
        <v>23</v>
      </c>
      <c r="D43" s="7">
        <v>9.7140513623344971E-2</v>
      </c>
      <c r="E43" s="7">
        <v>0.11062171327044057</v>
      </c>
      <c r="F43" s="7">
        <v>0.22927366141859107</v>
      </c>
      <c r="G43" s="26">
        <v>0.10533661767524216</v>
      </c>
      <c r="H43" s="37"/>
      <c r="I43" s="7">
        <v>4.1758317742244033E-2</v>
      </c>
      <c r="J43" s="7">
        <v>2.8250846825816911E-2</v>
      </c>
      <c r="K43" s="7">
        <v>4.2276782113261913E-2</v>
      </c>
      <c r="L43" s="7">
        <v>2.4400796035931593E-2</v>
      </c>
      <c r="M43" s="26">
        <v>3.9757333354045521E-2</v>
      </c>
      <c r="O43" s="26">
        <v>6.0361394386011735E-2</v>
      </c>
      <c r="Q43" s="3">
        <v>0.13628639591706157</v>
      </c>
      <c r="R43" s="3">
        <v>0.10039016553605298</v>
      </c>
      <c r="S43" s="3">
        <v>0.13484847378809556</v>
      </c>
      <c r="T43" s="21">
        <v>0.12720390215690988</v>
      </c>
      <c r="V43" s="3">
        <v>5.1104002816220448E-2</v>
      </c>
      <c r="W43" s="3">
        <v>1.2147802237261196E-2</v>
      </c>
      <c r="X43" s="3">
        <v>9.615439001091515E-2</v>
      </c>
      <c r="Y43" s="3">
        <v>5.5968090335548039E-2</v>
      </c>
      <c r="Z43" s="21">
        <v>5.7300795580337294E-2</v>
      </c>
      <c r="AB43" s="21">
        <v>7.9399572683167108E-2</v>
      </c>
    </row>
    <row r="45" spans="1:28" x14ac:dyDescent="0.2">
      <c r="A45" s="5" t="s">
        <v>19</v>
      </c>
      <c r="C45" s="5" t="s">
        <v>21</v>
      </c>
      <c r="D45" s="4">
        <v>1245958.7902329997</v>
      </c>
      <c r="E45" s="4">
        <v>383778.94981700066</v>
      </c>
      <c r="F45" s="4">
        <v>72009.530101800017</v>
      </c>
      <c r="G45" s="25">
        <v>1701747.2701518005</v>
      </c>
      <c r="I45" s="4">
        <v>2015496.5467780009</v>
      </c>
      <c r="J45" s="4">
        <v>268155.91433380003</v>
      </c>
      <c r="K45" s="4">
        <v>665987.58769713959</v>
      </c>
      <c r="L45" s="4">
        <v>167878.68443876083</v>
      </c>
      <c r="M45" s="25">
        <v>3117518.7332477011</v>
      </c>
      <c r="O45" s="22">
        <v>4819266.0033995016</v>
      </c>
    </row>
    <row r="46" spans="1:28" x14ac:dyDescent="0.2">
      <c r="C46" s="5" t="s">
        <v>22</v>
      </c>
      <c r="D46" s="4">
        <v>1115800.1569999999</v>
      </c>
      <c r="E46" s="4">
        <v>361660.27600000001</v>
      </c>
      <c r="F46" s="4">
        <v>63796.684000000001</v>
      </c>
      <c r="G46" s="25">
        <v>1541257.1169999999</v>
      </c>
      <c r="I46" s="4">
        <v>1967030.226</v>
      </c>
      <c r="J46" s="4">
        <v>243986.432</v>
      </c>
      <c r="K46" s="4">
        <v>637536.59400000004</v>
      </c>
      <c r="L46" s="4">
        <v>157574.611</v>
      </c>
      <c r="M46" s="25">
        <v>3006127.8629999999</v>
      </c>
      <c r="O46" s="22">
        <v>4547384.9799999995</v>
      </c>
    </row>
    <row r="47" spans="1:28" x14ac:dyDescent="0.2">
      <c r="C47" s="5" t="s">
        <v>23</v>
      </c>
      <c r="D47" s="7">
        <v>0.11665048836608105</v>
      </c>
      <c r="E47" s="7">
        <v>6.1158704134265163E-2</v>
      </c>
      <c r="F47" s="7">
        <v>0.12873468630125062</v>
      </c>
      <c r="G47" s="26">
        <v>0.10412938333364452</v>
      </c>
      <c r="H47" s="37"/>
      <c r="I47" s="7">
        <v>2.4639337076460821E-2</v>
      </c>
      <c r="J47" s="7">
        <v>9.9060763894444959E-2</v>
      </c>
      <c r="K47" s="7">
        <v>4.4626448057881296E-2</v>
      </c>
      <c r="L47" s="7">
        <v>6.5391711097169125E-2</v>
      </c>
      <c r="M47" s="26">
        <v>3.7054601575242874E-2</v>
      </c>
      <c r="O47" s="26">
        <v>5.9788433263352703E-2</v>
      </c>
      <c r="Q47" s="3">
        <v>0.13001419142729928</v>
      </c>
      <c r="R47" s="3">
        <v>0.10541505169574897</v>
      </c>
      <c r="S47" s="3">
        <v>0.16167662445598513</v>
      </c>
      <c r="T47" s="21">
        <v>0.12506575067214362</v>
      </c>
      <c r="V47" s="3">
        <v>6.1648117582088838E-2</v>
      </c>
      <c r="W47" s="3">
        <v>7.4671469108422345E-2</v>
      </c>
      <c r="X47" s="3">
        <v>3.6897595496875456E-2</v>
      </c>
      <c r="Y47" s="3">
        <v>8.9763944381014531E-3</v>
      </c>
      <c r="Z47" s="21">
        <v>5.3403034831604315E-2</v>
      </c>
      <c r="AB47" s="21">
        <v>7.7404240850956582E-2</v>
      </c>
    </row>
    <row r="49" spans="1:28" x14ac:dyDescent="0.2">
      <c r="A49" s="5" t="s">
        <v>20</v>
      </c>
      <c r="C49" s="5" t="s">
        <v>21</v>
      </c>
      <c r="D49" s="4">
        <v>1376730.3012939983</v>
      </c>
      <c r="E49" s="4">
        <v>442423.84290589968</v>
      </c>
      <c r="F49" s="4">
        <v>80489.680460499949</v>
      </c>
      <c r="G49" s="25">
        <v>1899643.8246603981</v>
      </c>
      <c r="I49" s="4">
        <v>2216647.9748340021</v>
      </c>
      <c r="J49" s="4">
        <v>257936.0233924003</v>
      </c>
      <c r="K49" s="4">
        <v>714697.47027477494</v>
      </c>
      <c r="L49" s="4">
        <v>179202.59797232458</v>
      </c>
      <c r="M49" s="25">
        <v>3368484.0664735017</v>
      </c>
      <c r="O49" s="22">
        <v>5268127.8911338998</v>
      </c>
    </row>
    <row r="50" spans="1:28" x14ac:dyDescent="0.2">
      <c r="C50" s="5" t="s">
        <v>22</v>
      </c>
      <c r="D50" s="4">
        <v>1233405.628</v>
      </c>
      <c r="E50" s="4">
        <v>402043.68099999998</v>
      </c>
      <c r="F50" s="4">
        <v>65521.902000000002</v>
      </c>
      <c r="G50" s="25">
        <v>1700971.2109999999</v>
      </c>
      <c r="I50" s="4">
        <v>2117917.9339999999</v>
      </c>
      <c r="J50" s="4">
        <v>230181.788</v>
      </c>
      <c r="K50" s="4">
        <v>645422.89800000004</v>
      </c>
      <c r="L50" s="4">
        <v>170140.88399999999</v>
      </c>
      <c r="M50" s="25">
        <v>3163663.5040000002</v>
      </c>
      <c r="O50" s="22">
        <v>4864634.7149999999</v>
      </c>
    </row>
    <row r="51" spans="1:28" x14ac:dyDescent="0.2">
      <c r="C51" s="5" t="s">
        <v>23</v>
      </c>
      <c r="D51" s="7">
        <v>0.11620238309306474</v>
      </c>
      <c r="E51" s="7">
        <v>0.10043725051333352</v>
      </c>
      <c r="F51" s="7">
        <v>0.228439315764978</v>
      </c>
      <c r="G51" s="26">
        <v>0.11679951569762226</v>
      </c>
      <c r="H51" s="37"/>
      <c r="I51" s="7">
        <v>4.6616556406194665E-2</v>
      </c>
      <c r="J51" s="7">
        <v>0.12057528805189532</v>
      </c>
      <c r="K51" s="7">
        <v>0.10733206474303758</v>
      </c>
      <c r="L51" s="7">
        <v>5.3260061657635305E-2</v>
      </c>
      <c r="M51" s="26">
        <v>6.4741576408026802E-2</v>
      </c>
      <c r="O51" s="26">
        <v>8.2944187955107385E-2</v>
      </c>
      <c r="Q51" s="3">
        <v>0.11667855559201698</v>
      </c>
      <c r="R51" s="3">
        <v>0.12657619589692853</v>
      </c>
      <c r="S51" s="3">
        <v>0.21266586592008102</v>
      </c>
      <c r="T51" s="21">
        <v>0.12220208687002158</v>
      </c>
      <c r="V51" s="3">
        <v>5.0803991304322074E-2</v>
      </c>
      <c r="W51" s="3">
        <v>0.10793340215614226</v>
      </c>
      <c r="X51" s="3">
        <v>9.2941163952602629E-2</v>
      </c>
      <c r="Y51" s="3">
        <v>2.5652958263849567E-2</v>
      </c>
      <c r="Z51" s="21">
        <v>6.1925443444704964E-2</v>
      </c>
      <c r="AB51" s="21">
        <v>8.2904300212897519E-2</v>
      </c>
    </row>
    <row r="52" spans="1:28" ht="13.5" thickBot="1" x14ac:dyDescent="0.25"/>
    <row r="53" spans="1:28" ht="13.5" thickBot="1" x14ac:dyDescent="0.25">
      <c r="A53" s="29" t="s">
        <v>61</v>
      </c>
      <c r="C53" s="5" t="s">
        <v>21</v>
      </c>
      <c r="D53" s="4">
        <v>14419000.983904997</v>
      </c>
      <c r="E53" s="4">
        <v>4555811.4211793002</v>
      </c>
      <c r="F53" s="4">
        <v>879731.03036935045</v>
      </c>
      <c r="G53" s="25">
        <v>19854543.43545365</v>
      </c>
      <c r="I53" s="4">
        <v>25511232.057713013</v>
      </c>
      <c r="J53" s="4">
        <v>3729135.7807142008</v>
      </c>
      <c r="K53" s="4">
        <v>7867504.0531794485</v>
      </c>
      <c r="L53" s="4">
        <v>1996827.413715648</v>
      </c>
      <c r="M53" s="25">
        <v>39104699.305322304</v>
      </c>
      <c r="O53" s="25">
        <v>58959242.740775958</v>
      </c>
    </row>
    <row r="54" spans="1:28" x14ac:dyDescent="0.2">
      <c r="C54" s="5" t="s">
        <v>22</v>
      </c>
      <c r="D54" s="4">
        <v>12862461.485000001</v>
      </c>
      <c r="E54" s="4">
        <v>4108269.9809999997</v>
      </c>
      <c r="F54" s="4">
        <v>738801.45199999993</v>
      </c>
      <c r="G54" s="25">
        <v>17709532.918000001</v>
      </c>
      <c r="I54" s="4">
        <v>24158337.899</v>
      </c>
      <c r="J54" s="4">
        <v>3443398.5080000004</v>
      </c>
      <c r="K54" s="4">
        <v>7390438.1239999998</v>
      </c>
      <c r="L54" s="4">
        <v>1939503.8110000002</v>
      </c>
      <c r="M54" s="25">
        <v>36931678.341999993</v>
      </c>
      <c r="O54" s="25">
        <v>54641211.260000005</v>
      </c>
    </row>
    <row r="55" spans="1:28" x14ac:dyDescent="0.2">
      <c r="C55" s="5" t="s">
        <v>23</v>
      </c>
      <c r="D55" s="7">
        <v>0.12101412320808169</v>
      </c>
      <c r="E55" s="7">
        <v>0.10893671600189325</v>
      </c>
      <c r="F55" s="7">
        <v>0.19075433323505497</v>
      </c>
      <c r="G55" s="26">
        <v>0.12112180074910128</v>
      </c>
      <c r="I55" s="7">
        <v>5.6001127410715279E-2</v>
      </c>
      <c r="J55" s="7">
        <v>8.2981180380473196E-2</v>
      </c>
      <c r="K55" s="7">
        <v>6.4551779092799189E-2</v>
      </c>
      <c r="L55" s="7">
        <v>2.955580823844417E-2</v>
      </c>
      <c r="M55" s="26">
        <v>5.8838944258081005E-2</v>
      </c>
      <c r="O55" s="26">
        <v>7.9025178637226912E-2</v>
      </c>
      <c r="Q55" s="3">
        <v>0.11768096889915562</v>
      </c>
      <c r="R55" s="3">
        <v>0.11194766615300167</v>
      </c>
      <c r="S55" s="3">
        <v>0.17923376377162067</v>
      </c>
      <c r="T55" s="21">
        <v>0.11902683712517748</v>
      </c>
      <c r="V55" s="3">
        <v>6.2297645586868941E-2</v>
      </c>
      <c r="W55" s="3">
        <v>8.0382736247033112E-2</v>
      </c>
      <c r="X55" s="3">
        <v>7.6075489204408209E-2</v>
      </c>
      <c r="Y55" s="3">
        <v>3.1574991626414216E-2</v>
      </c>
      <c r="Z55" s="21">
        <v>6.5165473198317919E-2</v>
      </c>
      <c r="AB55" s="21">
        <v>8.2638240219983852E-2</v>
      </c>
    </row>
    <row r="57" spans="1:28" x14ac:dyDescent="0.2">
      <c r="D57" s="25" t="s">
        <v>7</v>
      </c>
      <c r="E57" s="25"/>
      <c r="F57" s="25"/>
      <c r="H57" s="34"/>
      <c r="I57" s="25" t="s">
        <v>8</v>
      </c>
      <c r="J57" s="25"/>
      <c r="K57" s="25"/>
      <c r="L57" s="25"/>
      <c r="N57" s="38"/>
      <c r="O57" s="20" t="s">
        <v>24</v>
      </c>
      <c r="Q57" s="40" t="s">
        <v>62</v>
      </c>
      <c r="R57" s="41"/>
      <c r="S57" s="41"/>
      <c r="T57" s="41"/>
      <c r="U57" s="41"/>
      <c r="V57" s="41"/>
      <c r="W57" s="41"/>
      <c r="X57" s="41"/>
      <c r="Y57" s="41"/>
      <c r="Z57" s="42"/>
      <c r="AB57" s="20" t="s">
        <v>24</v>
      </c>
    </row>
    <row r="58" spans="1:28" x14ac:dyDescent="0.2">
      <c r="D58" s="23" t="s">
        <v>0</v>
      </c>
      <c r="E58" s="23" t="s">
        <v>1</v>
      </c>
      <c r="F58" s="23" t="s">
        <v>2</v>
      </c>
      <c r="G58" s="23" t="s">
        <v>24</v>
      </c>
      <c r="H58" s="35"/>
      <c r="I58" s="23" t="s">
        <v>3</v>
      </c>
      <c r="J58" s="23" t="s">
        <v>4</v>
      </c>
      <c r="K58" s="23" t="s">
        <v>5</v>
      </c>
      <c r="L58" s="23" t="s">
        <v>6</v>
      </c>
      <c r="M58" s="23" t="s">
        <v>24</v>
      </c>
      <c r="N58" s="38"/>
      <c r="O58" s="23" t="s">
        <v>49</v>
      </c>
      <c r="Q58" s="23" t="s">
        <v>0</v>
      </c>
      <c r="R58" s="23" t="s">
        <v>1</v>
      </c>
      <c r="S58" s="23" t="s">
        <v>2</v>
      </c>
      <c r="T58" s="23" t="s">
        <v>24</v>
      </c>
      <c r="U58" s="23"/>
      <c r="V58" s="23" t="s">
        <v>3</v>
      </c>
      <c r="W58" s="23" t="s">
        <v>4</v>
      </c>
      <c r="X58" s="23" t="s">
        <v>58</v>
      </c>
      <c r="Y58" s="23" t="s">
        <v>59</v>
      </c>
      <c r="Z58" s="23" t="s">
        <v>24</v>
      </c>
      <c r="AB58" s="20" t="s">
        <v>49</v>
      </c>
    </row>
    <row r="59" spans="1:28" x14ac:dyDescent="0.2">
      <c r="A59" s="5">
        <v>2014</v>
      </c>
    </row>
    <row r="60" spans="1:28" x14ac:dyDescent="0.2">
      <c r="A60" s="5" t="s">
        <v>9</v>
      </c>
      <c r="C60" s="5" t="s">
        <v>21</v>
      </c>
      <c r="D60" s="4">
        <v>1391902.2094614005</v>
      </c>
      <c r="E60" s="4">
        <v>435202.78539155511</v>
      </c>
      <c r="F60" s="4">
        <v>75332.524311699977</v>
      </c>
      <c r="G60" s="25">
        <v>1902437.5191646556</v>
      </c>
      <c r="I60" s="4">
        <v>2241940.0097225211</v>
      </c>
      <c r="J60" s="4">
        <v>293761.72558329994</v>
      </c>
      <c r="K60" s="4">
        <v>723354.48433042492</v>
      </c>
      <c r="L60" s="4">
        <v>186343.6438354</v>
      </c>
      <c r="M60" s="25">
        <v>3445399.8634716459</v>
      </c>
      <c r="O60" s="22">
        <v>5347837.3826363012</v>
      </c>
    </row>
    <row r="61" spans="1:28" x14ac:dyDescent="0.2">
      <c r="C61" s="5" t="s">
        <v>22</v>
      </c>
      <c r="D61" s="4">
        <v>1274574.9040000001</v>
      </c>
      <c r="E61" s="4">
        <v>392439.75300000003</v>
      </c>
      <c r="F61" s="4">
        <v>72676.323999999993</v>
      </c>
      <c r="G61" s="25">
        <v>1739690.9810000001</v>
      </c>
      <c r="I61" s="4">
        <v>2083016.0249999999</v>
      </c>
      <c r="J61" s="4">
        <v>268986.05599999998</v>
      </c>
      <c r="K61" s="4">
        <v>655714.76699999999</v>
      </c>
      <c r="L61" s="4">
        <v>181132.53700000001</v>
      </c>
      <c r="M61" s="25">
        <v>3188849.3849999998</v>
      </c>
      <c r="O61" s="22">
        <v>4928540.3660000004</v>
      </c>
    </row>
    <row r="62" spans="1:28" x14ac:dyDescent="0.2">
      <c r="C62" s="5" t="s">
        <v>23</v>
      </c>
      <c r="D62" s="7">
        <v>9.2052107014811035E-2</v>
      </c>
      <c r="E62" s="7">
        <v>0.10896712696574107</v>
      </c>
      <c r="F62" s="7">
        <v>3.6548358055368713E-2</v>
      </c>
      <c r="G62" s="26">
        <v>9.3549107250706198E-2</v>
      </c>
      <c r="H62" s="37"/>
      <c r="I62" s="7">
        <v>7.6295133025931161E-2</v>
      </c>
      <c r="J62" s="7">
        <v>9.2107635435570545E-2</v>
      </c>
      <c r="K62" s="7">
        <v>0.10315417729554488</v>
      </c>
      <c r="L62" s="7">
        <v>2.8769579014950697E-2</v>
      </c>
      <c r="M62" s="26">
        <v>8.0452366197798941E-2</v>
      </c>
      <c r="O62" s="26">
        <v>8.5075293190020496E-2</v>
      </c>
      <c r="Q62" s="3">
        <v>0.12621228033377227</v>
      </c>
      <c r="R62" s="3">
        <v>0.12201866041616487</v>
      </c>
      <c r="S62" s="3">
        <v>0.11853982364754341</v>
      </c>
      <c r="T62" s="21">
        <v>0.12426010339514129</v>
      </c>
      <c r="V62" s="3">
        <v>7.9595527233345065E-2</v>
      </c>
      <c r="W62" s="3">
        <v>5.2444744011964486E-2</v>
      </c>
      <c r="X62" s="3">
        <v>8.1250159323531884E-2</v>
      </c>
      <c r="Y62" s="3">
        <v>5.1470383571205924E-2</v>
      </c>
      <c r="Z62" s="21">
        <v>7.532058377087511E-2</v>
      </c>
      <c r="AB62" s="21">
        <v>9.2415879497600967E-2</v>
      </c>
    </row>
    <row r="64" spans="1:28" x14ac:dyDescent="0.2">
      <c r="A64" s="5" t="s">
        <v>10</v>
      </c>
      <c r="C64" s="5" t="s">
        <v>21</v>
      </c>
      <c r="D64" s="4">
        <v>1233293.7574666012</v>
      </c>
      <c r="E64" s="4">
        <v>394604.21332581877</v>
      </c>
      <c r="F64" s="4">
        <v>63874.102508999873</v>
      </c>
      <c r="G64" s="25">
        <v>1691772.0733014198</v>
      </c>
      <c r="I64" s="4">
        <v>1946213.984713739</v>
      </c>
      <c r="J64" s="4">
        <v>261547.2503339001</v>
      </c>
      <c r="K64" s="4">
        <v>663978.29072972096</v>
      </c>
      <c r="L64" s="4">
        <v>167434.62730699999</v>
      </c>
      <c r="M64" s="25">
        <v>3039174.1530843605</v>
      </c>
      <c r="O64" s="22">
        <v>4730946.2263857806</v>
      </c>
    </row>
    <row r="65" spans="1:28" x14ac:dyDescent="0.2">
      <c r="C65" s="5" t="s">
        <v>22</v>
      </c>
      <c r="D65" s="4">
        <v>1105685.3019999999</v>
      </c>
      <c r="E65" s="4">
        <v>362195.42099999997</v>
      </c>
      <c r="F65" s="4">
        <v>53323.476000000002</v>
      </c>
      <c r="G65" s="25">
        <v>1521204.1989999998</v>
      </c>
      <c r="I65" s="4">
        <v>1778181.71</v>
      </c>
      <c r="J65" s="4">
        <v>244209.22500000001</v>
      </c>
      <c r="K65" s="4">
        <v>618160.46200000006</v>
      </c>
      <c r="L65" s="4">
        <v>185353.60000000001</v>
      </c>
      <c r="M65" s="25">
        <v>2825904.997</v>
      </c>
      <c r="O65" s="22">
        <v>4347109.1959999995</v>
      </c>
    </row>
    <row r="66" spans="1:28" x14ac:dyDescent="0.2">
      <c r="C66" s="5" t="s">
        <v>23</v>
      </c>
      <c r="D66" s="7">
        <v>0.11541118909311621</v>
      </c>
      <c r="E66" s="7">
        <v>8.9478746684152011E-2</v>
      </c>
      <c r="F66" s="7">
        <v>0.19786081666918842</v>
      </c>
      <c r="G66" s="26">
        <v>0.11212687580901171</v>
      </c>
      <c r="H66" s="37"/>
      <c r="I66" s="7">
        <v>9.4496683757780309E-2</v>
      </c>
      <c r="J66" s="7">
        <v>7.0996602744634707E-2</v>
      </c>
      <c r="K66" s="7">
        <v>7.4119636479954787E-2</v>
      </c>
      <c r="L66" s="7">
        <v>-9.6674532855040352E-2</v>
      </c>
      <c r="M66" s="26">
        <v>7.5469329758349524E-2</v>
      </c>
      <c r="O66" s="26">
        <v>8.8297075845016559E-2</v>
      </c>
      <c r="Q66" s="3">
        <v>0.13541323907430991</v>
      </c>
      <c r="R66" s="3">
        <v>0.10610135660277656</v>
      </c>
      <c r="S66" s="3">
        <v>0.17640541280612868</v>
      </c>
      <c r="T66" s="21">
        <v>0.13014646570711158</v>
      </c>
      <c r="V66" s="3">
        <v>6.716919469490619E-2</v>
      </c>
      <c r="W66" s="3">
        <v>5.2254995866308662E-2</v>
      </c>
      <c r="X66" s="3">
        <v>0.10789464119145956</v>
      </c>
      <c r="Y66" s="3">
        <v>-2.19181092122267E-2</v>
      </c>
      <c r="Z66" s="21">
        <v>6.8445550453164736E-2</v>
      </c>
      <c r="AB66" s="21">
        <v>8.9443543417936408E-2</v>
      </c>
    </row>
    <row r="68" spans="1:28" x14ac:dyDescent="0.2">
      <c r="A68" s="5" t="s">
        <v>11</v>
      </c>
      <c r="C68" s="5" t="s">
        <v>21</v>
      </c>
      <c r="D68" s="4">
        <v>1195290.4249494995</v>
      </c>
      <c r="E68" s="4">
        <v>357801.56769229478</v>
      </c>
      <c r="F68" s="4">
        <v>69874.204424200041</v>
      </c>
      <c r="G68" s="25">
        <v>1622966.1970659944</v>
      </c>
      <c r="I68" s="4">
        <v>2012115.0995251401</v>
      </c>
      <c r="J68" s="4">
        <v>276643.54020180006</v>
      </c>
      <c r="K68" s="4">
        <v>686533.38635413698</v>
      </c>
      <c r="L68" s="4">
        <v>170618.14996799998</v>
      </c>
      <c r="M68" s="25">
        <v>3145910.176049077</v>
      </c>
      <c r="O68" s="22">
        <v>4768876.3731150711</v>
      </c>
    </row>
    <row r="69" spans="1:28" x14ac:dyDescent="0.2">
      <c r="C69" s="5" t="s">
        <v>22</v>
      </c>
      <c r="D69" s="4">
        <v>1048888.862</v>
      </c>
      <c r="E69" s="4">
        <v>331692.79800000001</v>
      </c>
      <c r="F69" s="4">
        <v>55248.428</v>
      </c>
      <c r="G69" s="25">
        <v>1435830.088</v>
      </c>
      <c r="I69" s="4">
        <v>1895016.52</v>
      </c>
      <c r="J69" s="4">
        <v>248354.296</v>
      </c>
      <c r="K69" s="4">
        <v>599570.29799999995</v>
      </c>
      <c r="L69" s="4">
        <v>172129.372</v>
      </c>
      <c r="M69" s="25">
        <v>2915070.486</v>
      </c>
      <c r="O69" s="22">
        <v>4350900.574</v>
      </c>
    </row>
    <row r="70" spans="1:28" x14ac:dyDescent="0.2">
      <c r="C70" s="5" t="s">
        <v>23</v>
      </c>
      <c r="D70" s="7">
        <v>0.13957776486475804</v>
      </c>
      <c r="E70" s="7">
        <v>7.871370692918922E-2</v>
      </c>
      <c r="F70" s="7">
        <v>0.26472746743491138</v>
      </c>
      <c r="G70" s="26">
        <v>0.13033304611039354</v>
      </c>
      <c r="H70" s="37"/>
      <c r="I70" s="7">
        <v>6.1792906969032613E-2</v>
      </c>
      <c r="J70" s="7">
        <v>0.11390680434132716</v>
      </c>
      <c r="K70" s="7">
        <v>0.1450423555740199</v>
      </c>
      <c r="L70" s="7">
        <v>-8.7795709380733555E-3</v>
      </c>
      <c r="M70" s="26">
        <v>7.9188373371317899E-2</v>
      </c>
      <c r="O70" s="26">
        <v>9.6066502096784356E-2</v>
      </c>
      <c r="Q70" s="3">
        <v>0.12934591044533589</v>
      </c>
      <c r="R70" s="3">
        <v>0.14200351306532766</v>
      </c>
      <c r="S70" s="3">
        <v>0.19077316244796264</v>
      </c>
      <c r="T70" s="21">
        <v>0.13432880225210869</v>
      </c>
      <c r="V70" s="3">
        <v>7.2404493816512969E-2</v>
      </c>
      <c r="W70" s="3">
        <v>7.8541619433317195E-2</v>
      </c>
      <c r="X70" s="3">
        <v>6.2164868971590126E-2</v>
      </c>
      <c r="Y70" s="3">
        <v>7.591941359844645E-2</v>
      </c>
      <c r="Z70" s="21">
        <v>7.0278705375323769E-2</v>
      </c>
      <c r="AB70" s="21">
        <v>9.1857512393288848E-2</v>
      </c>
    </row>
    <row r="72" spans="1:28" x14ac:dyDescent="0.2">
      <c r="A72" s="5" t="s">
        <v>12</v>
      </c>
      <c r="C72" s="5" t="s">
        <v>21</v>
      </c>
      <c r="D72" s="4">
        <v>1083920.9818606996</v>
      </c>
      <c r="E72" s="4">
        <v>313189.2354251041</v>
      </c>
      <c r="F72" s="4">
        <v>71026.461615700056</v>
      </c>
      <c r="G72" s="25">
        <v>1468136.6789015038</v>
      </c>
      <c r="I72" s="4">
        <v>1922587.2997041815</v>
      </c>
      <c r="J72" s="4">
        <v>274027.22557980014</v>
      </c>
      <c r="K72" s="4">
        <v>648876.36001856008</v>
      </c>
      <c r="L72" s="4">
        <v>162845.21827450002</v>
      </c>
      <c r="M72" s="25">
        <v>3008336.103577042</v>
      </c>
      <c r="O72" s="22">
        <v>4476472.7824785458</v>
      </c>
    </row>
    <row r="73" spans="1:28" x14ac:dyDescent="0.2">
      <c r="C73" s="5" t="s">
        <v>22</v>
      </c>
      <c r="D73" s="4">
        <v>975825.93099999998</v>
      </c>
      <c r="E73" s="4">
        <v>279708.91700000002</v>
      </c>
      <c r="F73" s="4">
        <v>53609.728999999999</v>
      </c>
      <c r="G73" s="25">
        <v>1309144.577</v>
      </c>
      <c r="I73" s="4">
        <v>1848369.277</v>
      </c>
      <c r="J73" s="4">
        <v>267410.70199999999</v>
      </c>
      <c r="K73" s="4">
        <v>558050.44900000002</v>
      </c>
      <c r="L73" s="4">
        <v>154792.81200000001</v>
      </c>
      <c r="M73" s="25">
        <v>2828623.2399999998</v>
      </c>
      <c r="O73" s="22">
        <v>4137767.8169999998</v>
      </c>
    </row>
    <row r="74" spans="1:28" x14ac:dyDescent="0.2">
      <c r="C74" s="5" t="s">
        <v>23</v>
      </c>
      <c r="D74" s="7">
        <v>0.11077288215729908</v>
      </c>
      <c r="E74" s="7">
        <v>0.11969700066839151</v>
      </c>
      <c r="F74" s="7">
        <v>0.32488007196790814</v>
      </c>
      <c r="G74" s="26">
        <v>0.1214473211704743</v>
      </c>
      <c r="H74" s="37"/>
      <c r="I74" s="7">
        <v>4.0153244066381211E-2</v>
      </c>
      <c r="J74" s="7">
        <v>2.4742927378426982E-2</v>
      </c>
      <c r="K74" s="7">
        <v>0.16275573504387597</v>
      </c>
      <c r="L74" s="7">
        <v>5.202054391582478E-2</v>
      </c>
      <c r="M74" s="26">
        <v>6.353368700210571E-2</v>
      </c>
      <c r="O74" s="26">
        <v>8.1856928773764936E-2</v>
      </c>
      <c r="Q74" s="3">
        <v>0.11440385252388094</v>
      </c>
      <c r="R74" s="3">
        <v>0.10779988491964634</v>
      </c>
      <c r="S74" s="3">
        <v>0.25875373434995941</v>
      </c>
      <c r="T74" s="21">
        <v>0.11889808285144125</v>
      </c>
      <c r="V74" s="3">
        <v>5.7053256167093516E-2</v>
      </c>
      <c r="W74" s="3">
        <v>6.7999741371277178E-2</v>
      </c>
      <c r="X74" s="3">
        <v>0.10043884212575716</v>
      </c>
      <c r="Y74" s="3">
        <v>-8.8975804591579603E-3</v>
      </c>
      <c r="Z74" s="21">
        <v>6.1844168783859878E-2</v>
      </c>
      <c r="AB74" s="21">
        <v>8.0427803491160965E-2</v>
      </c>
    </row>
    <row r="76" spans="1:28" x14ac:dyDescent="0.2">
      <c r="A76" s="5" t="s">
        <v>13</v>
      </c>
      <c r="C76" s="5" t="s">
        <v>21</v>
      </c>
      <c r="D76" s="4">
        <v>1109843.7985761999</v>
      </c>
      <c r="E76" s="4">
        <v>330248.23223149817</v>
      </c>
      <c r="F76" s="4">
        <v>78323.53330489996</v>
      </c>
      <c r="G76" s="25">
        <v>1518415.5641125981</v>
      </c>
      <c r="I76" s="4">
        <v>2083814.2029145586</v>
      </c>
      <c r="J76" s="4">
        <v>353080.43344169995</v>
      </c>
      <c r="K76" s="4">
        <v>650824.31244654802</v>
      </c>
      <c r="L76" s="4">
        <v>180211.30664240001</v>
      </c>
      <c r="M76" s="25">
        <v>3267930.255445207</v>
      </c>
      <c r="O76" s="22">
        <v>4786345.8195578046</v>
      </c>
    </row>
    <row r="77" spans="1:28" x14ac:dyDescent="0.2">
      <c r="C77" s="5" t="s">
        <v>22</v>
      </c>
      <c r="D77" s="4">
        <v>979242.51599999995</v>
      </c>
      <c r="E77" s="4">
        <v>286846.86300000001</v>
      </c>
      <c r="F77" s="4">
        <v>78053.27</v>
      </c>
      <c r="G77" s="25">
        <v>1344142.649</v>
      </c>
      <c r="I77" s="4">
        <v>1934205.9620000001</v>
      </c>
      <c r="J77" s="4">
        <v>304923.00699999998</v>
      </c>
      <c r="K77" s="4">
        <v>676223.99600000004</v>
      </c>
      <c r="L77" s="4">
        <v>160501.29199999999</v>
      </c>
      <c r="M77" s="25">
        <v>3075854.2569999998</v>
      </c>
      <c r="O77" s="22">
        <v>4419996.9059999995</v>
      </c>
    </row>
    <row r="78" spans="1:28" x14ac:dyDescent="0.2">
      <c r="C78" s="5" t="s">
        <v>23</v>
      </c>
      <c r="D78" s="7">
        <v>0.13336970203221843</v>
      </c>
      <c r="E78" s="7">
        <v>0.15130501612457281</v>
      </c>
      <c r="F78" s="7">
        <v>3.4625494216957708E-3</v>
      </c>
      <c r="G78" s="26">
        <v>0.12965358642719327</v>
      </c>
      <c r="H78" s="37"/>
      <c r="I78" s="7">
        <v>7.734866082196401E-2</v>
      </c>
      <c r="J78" s="7">
        <v>0.15793306945087271</v>
      </c>
      <c r="K78" s="7">
        <v>-3.7561050337900248E-2</v>
      </c>
      <c r="L78" s="7">
        <v>0.12280284100392191</v>
      </c>
      <c r="M78" s="26">
        <v>6.2446391277506841E-2</v>
      </c>
      <c r="O78" s="26">
        <v>8.2884427602313071E-2</v>
      </c>
      <c r="Q78" s="3">
        <v>0.10853575885318908</v>
      </c>
      <c r="R78" s="3">
        <v>0.1140799958152531</v>
      </c>
      <c r="S78" s="3">
        <v>0.19493421539918657</v>
      </c>
      <c r="T78" s="21">
        <v>0.11315630288322817</v>
      </c>
      <c r="V78" s="3">
        <v>4.8374766566815629E-2</v>
      </c>
      <c r="W78" s="3">
        <v>0.19293923812755986</v>
      </c>
      <c r="X78" s="3">
        <v>4.1184449851691694E-2</v>
      </c>
      <c r="Y78" s="3">
        <v>6.9200751854537931E-2</v>
      </c>
      <c r="Z78" s="21">
        <v>6.0539301626126953E-2</v>
      </c>
      <c r="AB78" s="21">
        <v>7.7146971340330245E-2</v>
      </c>
    </row>
    <row r="80" spans="1:28" x14ac:dyDescent="0.2">
      <c r="A80" s="5" t="s">
        <v>14</v>
      </c>
      <c r="C80" s="5" t="s">
        <v>21</v>
      </c>
      <c r="D80" s="4">
        <v>1104416.4772266995</v>
      </c>
      <c r="E80" s="4">
        <v>335279.35857748782</v>
      </c>
      <c r="F80" s="4">
        <v>78590.605865200036</v>
      </c>
      <c r="G80" s="25">
        <v>1518286.4416693873</v>
      </c>
      <c r="I80" s="4">
        <v>2186216.76620042</v>
      </c>
      <c r="J80" s="4">
        <v>440943.00624079991</v>
      </c>
      <c r="K80" s="4">
        <v>652034.70154404396</v>
      </c>
      <c r="L80" s="4">
        <v>171533.69062400001</v>
      </c>
      <c r="M80" s="25">
        <v>3450728.1646092641</v>
      </c>
      <c r="O80" s="22">
        <v>4969014.6062786514</v>
      </c>
    </row>
    <row r="81" spans="1:28" x14ac:dyDescent="0.2">
      <c r="C81" s="5" t="s">
        <v>22</v>
      </c>
      <c r="D81" s="4">
        <v>991328.60699999996</v>
      </c>
      <c r="E81" s="4">
        <v>316394.21899999998</v>
      </c>
      <c r="F81" s="4">
        <v>68310.642000000007</v>
      </c>
      <c r="G81" s="25">
        <v>1376033.4679999999</v>
      </c>
      <c r="I81" s="4">
        <v>2094384.578</v>
      </c>
      <c r="J81" s="4">
        <v>441406.14199999999</v>
      </c>
      <c r="K81" s="4">
        <v>533021.18700000003</v>
      </c>
      <c r="L81" s="4">
        <v>179048.58900000001</v>
      </c>
      <c r="M81" s="25">
        <v>3247860.4959999998</v>
      </c>
      <c r="O81" s="22">
        <v>4623893.9639999997</v>
      </c>
    </row>
    <row r="82" spans="1:28" x14ac:dyDescent="0.2">
      <c r="C82" s="5" t="s">
        <v>23</v>
      </c>
      <c r="D82" s="7">
        <v>0.11407707739710116</v>
      </c>
      <c r="E82" s="7">
        <v>5.9688636654539717E-2</v>
      </c>
      <c r="F82" s="7">
        <v>0.15048846803694249</v>
      </c>
      <c r="G82" s="26">
        <v>0.10337900710812309</v>
      </c>
      <c r="H82" s="37"/>
      <c r="I82" s="7">
        <v>4.3846860392809939E-2</v>
      </c>
      <c r="J82" s="7">
        <v>-1.049228171365324E-3</v>
      </c>
      <c r="K82" s="7">
        <v>0.22328102042976372</v>
      </c>
      <c r="L82" s="7">
        <v>-4.1971279516757276E-2</v>
      </c>
      <c r="M82" s="26">
        <v>6.2461940363236712E-2</v>
      </c>
      <c r="O82" s="26">
        <v>7.4638528687214434E-2</v>
      </c>
      <c r="Q82" s="3">
        <v>0.10505506053278202</v>
      </c>
      <c r="R82" s="3">
        <v>9.5973637761544509E-2</v>
      </c>
      <c r="S82" s="3">
        <v>0.11923107495461238</v>
      </c>
      <c r="T82" s="21">
        <v>0.10295724860931088</v>
      </c>
      <c r="V82" s="3">
        <v>6.2612176029112732E-2</v>
      </c>
      <c r="W82" s="3">
        <v>7.7161937050887114E-2</v>
      </c>
      <c r="X82" s="3">
        <v>7.0775059682014141E-2</v>
      </c>
      <c r="Y82" s="3">
        <v>-2.9269838999674259E-2</v>
      </c>
      <c r="Z82" s="21">
        <v>5.8948305700737211E-2</v>
      </c>
      <c r="AB82" s="21">
        <v>7.204470972904535E-2</v>
      </c>
    </row>
    <row r="84" spans="1:28" x14ac:dyDescent="0.2">
      <c r="A84" s="5" t="s">
        <v>15</v>
      </c>
      <c r="C84" s="5" t="s">
        <v>21</v>
      </c>
      <c r="D84" s="4">
        <v>1310173.4905823993</v>
      </c>
      <c r="E84" s="4">
        <v>422078.42602856411</v>
      </c>
      <c r="F84" s="4">
        <v>94821.935268500121</v>
      </c>
      <c r="G84" s="25">
        <v>1827073.8518794635</v>
      </c>
      <c r="I84" s="4">
        <v>2677285.0088045779</v>
      </c>
      <c r="J84" s="4">
        <v>495689.58387940016</v>
      </c>
      <c r="K84" s="4">
        <v>700756.52279431501</v>
      </c>
      <c r="L84" s="4">
        <v>178606.87871300001</v>
      </c>
      <c r="M84" s="25">
        <v>4052337.9941912931</v>
      </c>
      <c r="O84" s="22">
        <v>5879411.8460707571</v>
      </c>
    </row>
    <row r="85" spans="1:28" x14ac:dyDescent="0.2">
      <c r="C85" s="5" t="s">
        <v>22</v>
      </c>
      <c r="D85" s="4">
        <v>1218195.5090000001</v>
      </c>
      <c r="E85" s="4">
        <v>391412.72899999999</v>
      </c>
      <c r="F85" s="4">
        <v>82327.535000000003</v>
      </c>
      <c r="G85" s="25">
        <v>1691935.773</v>
      </c>
      <c r="I85" s="4">
        <v>2491098.6430000002</v>
      </c>
      <c r="J85" s="4">
        <v>409584.212</v>
      </c>
      <c r="K85" s="4">
        <v>750399.50399999996</v>
      </c>
      <c r="L85" s="4">
        <v>159733.09099999999</v>
      </c>
      <c r="M85" s="25">
        <v>3810815.45</v>
      </c>
      <c r="O85" s="22">
        <v>5502751.2230000002</v>
      </c>
    </row>
    <row r="86" spans="1:28" x14ac:dyDescent="0.2">
      <c r="C86" s="5" t="s">
        <v>23</v>
      </c>
      <c r="D86" s="7">
        <v>7.5503464676127896E-2</v>
      </c>
      <c r="E86" s="7">
        <v>7.834619253929298E-2</v>
      </c>
      <c r="F86" s="7">
        <v>0.15176453744789176</v>
      </c>
      <c r="G86" s="26">
        <v>7.9871872819290202E-2</v>
      </c>
      <c r="H86" s="37"/>
      <c r="I86" s="7">
        <v>7.474066365367027E-2</v>
      </c>
      <c r="J86" s="7">
        <v>0.21022629622110567</v>
      </c>
      <c r="K86" s="7">
        <v>-6.6155402477031666E-2</v>
      </c>
      <c r="L86" s="7">
        <v>0.11815828263787886</v>
      </c>
      <c r="M86" s="26">
        <v>6.337817912208088E-2</v>
      </c>
      <c r="O86" s="26">
        <v>6.8449509673709885E-2</v>
      </c>
      <c r="Q86" s="3">
        <v>9.3019137728192813E-2</v>
      </c>
      <c r="R86" s="3">
        <v>9.8174015288345823E-2</v>
      </c>
      <c r="S86" s="3">
        <v>0.15483722009309867</v>
      </c>
      <c r="T86" s="21">
        <v>9.6354239043165535E-2</v>
      </c>
      <c r="V86" s="3">
        <v>6.0944004711607748E-2</v>
      </c>
      <c r="W86" s="3">
        <v>0.12849779404140693</v>
      </c>
      <c r="X86" s="3">
        <v>8.2309144943907425E-2</v>
      </c>
      <c r="Y86" s="3">
        <v>6.3234851030095435E-2</v>
      </c>
      <c r="Z86" s="21">
        <v>7.0535563815803309E-2</v>
      </c>
      <c r="AB86" s="21">
        <v>7.8324701976599173E-2</v>
      </c>
    </row>
    <row r="88" spans="1:28" x14ac:dyDescent="0.2">
      <c r="A88" s="5" t="s">
        <v>16</v>
      </c>
      <c r="C88" s="5" t="s">
        <v>21</v>
      </c>
      <c r="D88" s="4">
        <v>1275842.9655593478</v>
      </c>
      <c r="E88" s="4">
        <v>408411.66205092933</v>
      </c>
      <c r="F88" s="4">
        <v>91482.466656499964</v>
      </c>
      <c r="G88" s="25">
        <v>1775737.0942667772</v>
      </c>
      <c r="I88" s="4">
        <v>2381506.6391080394</v>
      </c>
      <c r="J88" s="4">
        <v>310924.93007180042</v>
      </c>
      <c r="K88" s="4">
        <v>686249.16172382992</v>
      </c>
      <c r="L88" s="4">
        <v>162885.5922782</v>
      </c>
      <c r="M88" s="25">
        <v>3541566.3231818699</v>
      </c>
      <c r="O88" s="22">
        <v>5317303.4174486473</v>
      </c>
    </row>
    <row r="89" spans="1:28" x14ac:dyDescent="0.2">
      <c r="C89" s="5" t="s">
        <v>22</v>
      </c>
      <c r="D89" s="4">
        <v>1121790.307</v>
      </c>
      <c r="E89" s="4">
        <v>386117.26299999998</v>
      </c>
      <c r="F89" s="4">
        <v>69706.11</v>
      </c>
      <c r="G89" s="25">
        <v>1577613.6800000002</v>
      </c>
      <c r="I89" s="4">
        <v>2164575.5380000002</v>
      </c>
      <c r="J89" s="4">
        <v>303971.59600000002</v>
      </c>
      <c r="K89" s="4">
        <v>598590.83200000005</v>
      </c>
      <c r="L89" s="4">
        <v>168451.81299999999</v>
      </c>
      <c r="M89" s="25">
        <v>3235589.7790000001</v>
      </c>
      <c r="O89" s="22">
        <v>4813203.4590000007</v>
      </c>
    </row>
    <row r="90" spans="1:28" x14ac:dyDescent="0.2">
      <c r="C90" s="5" t="s">
        <v>23</v>
      </c>
      <c r="D90" s="7">
        <v>0.13732750015582695</v>
      </c>
      <c r="E90" s="7">
        <v>5.773996966027739E-2</v>
      </c>
      <c r="F90" s="7">
        <v>0.31240240857652157</v>
      </c>
      <c r="G90" s="26">
        <v>0.12558423952483544</v>
      </c>
      <c r="H90" s="37"/>
      <c r="I90" s="7">
        <v>0.10021877144027824</v>
      </c>
      <c r="J90" s="7">
        <v>2.2874946749302127E-2</v>
      </c>
      <c r="K90" s="7">
        <v>0.14644114984345413</v>
      </c>
      <c r="L90" s="7">
        <v>-3.3043400499346398E-2</v>
      </c>
      <c r="M90" s="26">
        <v>9.4565926177587301E-2</v>
      </c>
      <c r="O90" s="26">
        <v>0.10473273418476658</v>
      </c>
      <c r="Q90" s="3">
        <v>0.11125177083092153</v>
      </c>
      <c r="R90" s="3">
        <v>8.4174017151936287E-2</v>
      </c>
      <c r="S90" s="3">
        <v>0.20647084839188184</v>
      </c>
      <c r="T90" s="21">
        <v>0.10812361316905354</v>
      </c>
      <c r="V90" s="3">
        <v>7.9649983116672415E-2</v>
      </c>
      <c r="W90" s="3">
        <v>3.4594478757604977E-2</v>
      </c>
      <c r="X90" s="3">
        <v>0.11880554008361788</v>
      </c>
      <c r="Y90" s="3">
        <v>4.46249422695532E-2</v>
      </c>
      <c r="Z90" s="21">
        <v>7.9613079130578607E-2</v>
      </c>
      <c r="AB90" s="21">
        <v>8.8509601443937977E-2</v>
      </c>
    </row>
    <row r="92" spans="1:28" x14ac:dyDescent="0.2">
      <c r="A92" s="5" t="s">
        <v>17</v>
      </c>
      <c r="C92" s="5" t="s">
        <v>21</v>
      </c>
      <c r="D92" s="4">
        <v>1143263.5007560023</v>
      </c>
      <c r="E92" s="4">
        <v>365735.72921382048</v>
      </c>
      <c r="F92" s="4">
        <v>71726.961198300021</v>
      </c>
      <c r="G92" s="25">
        <v>1580726.1911681229</v>
      </c>
      <c r="I92" s="4">
        <v>2124907.094237159</v>
      </c>
      <c r="J92" s="4">
        <v>287267.38322430011</v>
      </c>
      <c r="K92" s="4">
        <v>652865.73911292106</v>
      </c>
      <c r="L92" s="4">
        <v>163787.6589176</v>
      </c>
      <c r="M92" s="25">
        <v>3228827.87549198</v>
      </c>
      <c r="O92" s="22">
        <v>4809554.0666601025</v>
      </c>
    </row>
    <row r="93" spans="1:28" x14ac:dyDescent="0.2">
      <c r="C93" s="5" t="s">
        <v>22</v>
      </c>
      <c r="D93" s="4">
        <v>1034517.941</v>
      </c>
      <c r="E93" s="4">
        <v>309833.39600000001</v>
      </c>
      <c r="F93" s="4">
        <v>59247.438999999998</v>
      </c>
      <c r="G93" s="25">
        <v>1403598.7760000001</v>
      </c>
      <c r="I93" s="4">
        <v>2033953.923</v>
      </c>
      <c r="J93" s="4">
        <v>263520.59600000002</v>
      </c>
      <c r="K93" s="4">
        <v>592877.84199999995</v>
      </c>
      <c r="L93" s="4">
        <v>157850.19899999999</v>
      </c>
      <c r="M93" s="25">
        <v>3048202.5599999996</v>
      </c>
      <c r="O93" s="22">
        <v>4451801.3359999992</v>
      </c>
    </row>
    <row r="94" spans="1:28" x14ac:dyDescent="0.2">
      <c r="C94" s="5" t="s">
        <v>23</v>
      </c>
      <c r="D94" s="7">
        <v>0.10511713276899304</v>
      </c>
      <c r="E94" s="7">
        <v>0.1804270744714056</v>
      </c>
      <c r="F94" s="7">
        <v>0.21063395159240583</v>
      </c>
      <c r="G94" s="26">
        <v>0.1261951906747194</v>
      </c>
      <c r="H94" s="37"/>
      <c r="I94" s="7">
        <v>4.4717419705853967E-2</v>
      </c>
      <c r="J94" s="7">
        <v>9.0113591061778298E-2</v>
      </c>
      <c r="K94" s="7">
        <v>0.10118087211787063</v>
      </c>
      <c r="L94" s="7">
        <v>3.7614522852771337E-2</v>
      </c>
      <c r="M94" s="26">
        <v>5.9256336131408682E-2</v>
      </c>
      <c r="O94" s="26">
        <v>8.0361342220528709E-2</v>
      </c>
      <c r="Q94" s="3">
        <v>0.10916995788590977</v>
      </c>
      <c r="R94" s="3">
        <v>0.15789690913937676</v>
      </c>
      <c r="S94" s="3">
        <v>0.22575023480901649</v>
      </c>
      <c r="T94" s="21">
        <v>0.12401923015901146</v>
      </c>
      <c r="V94" s="3">
        <v>5.5872688565244653E-2</v>
      </c>
      <c r="W94" s="3">
        <v>0.10432995322386351</v>
      </c>
      <c r="X94" s="3">
        <v>8.531322519982068E-2</v>
      </c>
      <c r="Y94" s="3">
        <v>0.11596094079904336</v>
      </c>
      <c r="Z94" s="21">
        <v>6.8523991166040202E-2</v>
      </c>
      <c r="AB94" s="21">
        <v>8.6118196860610313E-2</v>
      </c>
    </row>
    <row r="96" spans="1:28" x14ac:dyDescent="0.2">
      <c r="A96" s="5" t="s">
        <v>18</v>
      </c>
      <c r="C96" s="5" t="s">
        <v>21</v>
      </c>
      <c r="D96" s="4">
        <v>1128012.7445282917</v>
      </c>
      <c r="E96" s="4">
        <v>367361.53416467813</v>
      </c>
      <c r="F96" s="4">
        <v>65696.997689699987</v>
      </c>
      <c r="G96" s="25">
        <v>1561071.2763826698</v>
      </c>
      <c r="I96" s="4">
        <v>1937899.4597027197</v>
      </c>
      <c r="J96" s="4">
        <v>264065.69102570001</v>
      </c>
      <c r="K96" s="4">
        <v>681583.11133404693</v>
      </c>
      <c r="L96" s="4">
        <v>167873.61381929999</v>
      </c>
      <c r="M96" s="25">
        <v>3051421.8758817669</v>
      </c>
      <c r="O96" s="22">
        <v>4612493.1522644367</v>
      </c>
    </row>
    <row r="97" spans="1:28" x14ac:dyDescent="0.2">
      <c r="C97" s="5" t="s">
        <v>22</v>
      </c>
      <c r="D97" s="4">
        <v>928238.40599999996</v>
      </c>
      <c r="E97" s="4">
        <v>323566.52600000001</v>
      </c>
      <c r="F97" s="4">
        <v>51139.413999999997</v>
      </c>
      <c r="G97" s="25">
        <v>1302944.3460000001</v>
      </c>
      <c r="I97" s="4">
        <v>1829115.085</v>
      </c>
      <c r="J97" s="4">
        <v>250703.66500000001</v>
      </c>
      <c r="K97" s="4">
        <v>642252.23300000001</v>
      </c>
      <c r="L97" s="4">
        <v>164665.57800000001</v>
      </c>
      <c r="M97" s="25">
        <v>2886736.5610000002</v>
      </c>
      <c r="O97" s="22">
        <v>4189680.9070000006</v>
      </c>
    </row>
    <row r="98" spans="1:28" x14ac:dyDescent="0.2">
      <c r="C98" s="5" t="s">
        <v>23</v>
      </c>
      <c r="D98" s="7">
        <v>0.2152187813356774</v>
      </c>
      <c r="E98" s="7">
        <v>0.13535086186473477</v>
      </c>
      <c r="F98" s="7">
        <v>0.28466465590904089</v>
      </c>
      <c r="G98" s="26">
        <v>0.19811048044769652</v>
      </c>
      <c r="H98" s="37"/>
      <c r="I98" s="7">
        <v>5.9473772642752998E-2</v>
      </c>
      <c r="J98" s="7">
        <v>5.3298088106131125E-2</v>
      </c>
      <c r="K98" s="7">
        <v>6.123899040464198E-2</v>
      </c>
      <c r="L98" s="7">
        <v>1.9482127705524377E-2</v>
      </c>
      <c r="M98" s="26">
        <v>5.7048958712296871E-2</v>
      </c>
      <c r="O98" s="26">
        <v>0.10091752919846786</v>
      </c>
      <c r="Q98" s="3">
        <v>0.14384802131421209</v>
      </c>
      <c r="R98" s="3">
        <v>8.8971316360521913E-2</v>
      </c>
      <c r="S98" s="3">
        <v>0.12710100764420443</v>
      </c>
      <c r="T98" s="21">
        <v>0.12961593280709965</v>
      </c>
      <c r="V98" s="3">
        <v>5.1005798402718613E-2</v>
      </c>
      <c r="W98" s="3">
        <v>6.0005647834804554E-2</v>
      </c>
      <c r="X98" s="3">
        <v>9.7623784809534042E-2</v>
      </c>
      <c r="Y98" s="3">
        <v>4.8002054644785797E-2</v>
      </c>
      <c r="Z98" s="21">
        <v>6.0426111833870699E-2</v>
      </c>
      <c r="AB98" s="21">
        <v>8.2518163407402853E-2</v>
      </c>
    </row>
    <row r="100" spans="1:28" x14ac:dyDescent="0.2">
      <c r="A100" s="5" t="s">
        <v>19</v>
      </c>
      <c r="C100" s="5" t="s">
        <v>21</v>
      </c>
      <c r="D100" s="4">
        <v>1230976.6221809003</v>
      </c>
      <c r="E100" s="4">
        <v>408853.67834058648</v>
      </c>
      <c r="F100" s="4">
        <v>69948.06723349994</v>
      </c>
      <c r="G100" s="25">
        <v>1709778.3677549867</v>
      </c>
      <c r="I100" s="4">
        <v>1994374.4919448602</v>
      </c>
      <c r="J100" s="4">
        <v>236264.24484379994</v>
      </c>
      <c r="K100" s="4">
        <v>685711.94137296104</v>
      </c>
      <c r="L100" s="4">
        <v>164190.7487882</v>
      </c>
      <c r="M100" s="25">
        <v>3080541.4269498209</v>
      </c>
      <c r="O100" s="22">
        <v>4790319.7947048079</v>
      </c>
    </row>
    <row r="101" spans="1:28" x14ac:dyDescent="0.2">
      <c r="C101" s="5" t="s">
        <v>22</v>
      </c>
      <c r="D101" s="4">
        <v>1078896.1610000001</v>
      </c>
      <c r="E101" s="4">
        <v>366920.38699999999</v>
      </c>
      <c r="F101" s="4">
        <v>54154.34</v>
      </c>
      <c r="G101" s="25">
        <v>1499970.888</v>
      </c>
      <c r="I101" s="4">
        <v>1899050.0819999999</v>
      </c>
      <c r="J101" s="4">
        <v>222077.6</v>
      </c>
      <c r="K101" s="4">
        <v>656984.18999999994</v>
      </c>
      <c r="L101" s="4">
        <v>155741.258</v>
      </c>
      <c r="M101" s="25">
        <v>2933853.13</v>
      </c>
      <c r="O101" s="22">
        <v>4433824.0180000002</v>
      </c>
    </row>
    <row r="102" spans="1:28" x14ac:dyDescent="0.2">
      <c r="C102" s="5" t="s">
        <v>23</v>
      </c>
      <c r="D102" s="7">
        <v>0.14095931256251837</v>
      </c>
      <c r="E102" s="7">
        <v>0.11428444105665481</v>
      </c>
      <c r="F102" s="7">
        <v>0.29164287171628245</v>
      </c>
      <c r="G102" s="26">
        <v>0.13987436785172247</v>
      </c>
      <c r="H102" s="37"/>
      <c r="I102" s="7">
        <v>5.0195837828809875E-2</v>
      </c>
      <c r="J102" s="7">
        <v>6.3881475861590431E-2</v>
      </c>
      <c r="K102" s="7">
        <v>4.3726701205642593E-2</v>
      </c>
      <c r="L102" s="7">
        <v>5.4253387295741584E-2</v>
      </c>
      <c r="M102" s="26">
        <v>4.9998514053026577E-2</v>
      </c>
      <c r="O102" s="26">
        <v>8.0403682071625182E-2</v>
      </c>
      <c r="Q102" s="3">
        <v>0.136407652751735</v>
      </c>
      <c r="R102" s="3">
        <v>0.10925033089821268</v>
      </c>
      <c r="S102" s="3">
        <v>0.17292243111931271</v>
      </c>
      <c r="T102" s="21">
        <v>0.13098022136107607</v>
      </c>
      <c r="V102" s="3">
        <v>7.228198344483476E-2</v>
      </c>
      <c r="W102" s="3">
        <v>7.3969046611141037E-2</v>
      </c>
      <c r="X102" s="3">
        <v>3.4736997232768373E-2</v>
      </c>
      <c r="Y102" s="3">
        <v>-4.5450776013043811E-3</v>
      </c>
      <c r="Z102" s="21">
        <v>5.8836843042787509E-2</v>
      </c>
      <c r="AB102" s="21">
        <v>8.3101440272051616E-2</v>
      </c>
    </row>
    <row r="104" spans="1:28" x14ac:dyDescent="0.2">
      <c r="A104" s="5" t="s">
        <v>20</v>
      </c>
      <c r="C104" s="5" t="s">
        <v>21</v>
      </c>
      <c r="D104" s="4">
        <v>1329128.9222191009</v>
      </c>
      <c r="E104" s="4">
        <v>438407.66628479568</v>
      </c>
      <c r="F104" s="4">
        <v>76575.939211899997</v>
      </c>
      <c r="G104" s="25">
        <v>1844112.5277157966</v>
      </c>
      <c r="I104" s="4">
        <v>2196513.6459806585</v>
      </c>
      <c r="J104" s="4">
        <v>289765.43312870013</v>
      </c>
      <c r="K104" s="4">
        <v>731628.8510488451</v>
      </c>
      <c r="L104" s="4">
        <v>176076.97740870001</v>
      </c>
      <c r="M104" s="25">
        <v>3393984.9075669036</v>
      </c>
      <c r="O104" s="22">
        <v>5238097.4352826998</v>
      </c>
    </row>
    <row r="105" spans="1:28" x14ac:dyDescent="0.2">
      <c r="C105" s="5" t="s">
        <v>22</v>
      </c>
      <c r="D105" s="4">
        <v>1201551.2009999999</v>
      </c>
      <c r="E105" s="4">
        <v>370517.85100000002</v>
      </c>
      <c r="F105" s="4">
        <v>56350.728999999999</v>
      </c>
      <c r="G105" s="25">
        <v>1628419.781</v>
      </c>
      <c r="I105" s="4">
        <v>2054334.5379999999</v>
      </c>
      <c r="J105" s="4">
        <v>270026.98599999998</v>
      </c>
      <c r="K105" s="4">
        <v>680911.65700000001</v>
      </c>
      <c r="L105" s="4">
        <v>166113.818</v>
      </c>
      <c r="M105" s="25">
        <v>3171386.9989999998</v>
      </c>
      <c r="O105" s="22">
        <v>4799806.7799999993</v>
      </c>
    </row>
    <row r="106" spans="1:28" x14ac:dyDescent="0.2">
      <c r="C106" s="5" t="s">
        <v>23</v>
      </c>
      <c r="D106" s="7">
        <v>0.10617751545911935</v>
      </c>
      <c r="E106" s="7">
        <v>0.18322953968767264</v>
      </c>
      <c r="F106" s="7">
        <v>0.3589165672000445</v>
      </c>
      <c r="G106" s="26">
        <v>0.13245524847612788</v>
      </c>
      <c r="H106" s="37"/>
      <c r="I106" s="7">
        <v>6.920932562379889E-2</v>
      </c>
      <c r="J106" s="7">
        <v>7.3098053720823897E-2</v>
      </c>
      <c r="K106" s="7">
        <v>7.4484249942639913E-2</v>
      </c>
      <c r="L106" s="7">
        <v>5.9977908693303439E-2</v>
      </c>
      <c r="M106" s="26">
        <v>7.0189449801330905E-2</v>
      </c>
      <c r="O106" s="26">
        <v>9.1314228962087629E-2</v>
      </c>
      <c r="Q106" s="3">
        <v>0.12352534369839305</v>
      </c>
      <c r="R106" s="3">
        <v>0.13093489108263351</v>
      </c>
      <c r="S106" s="3">
        <v>0.17247637903342289</v>
      </c>
      <c r="T106" s="21">
        <v>0.12635499659329846</v>
      </c>
      <c r="V106" s="3">
        <v>5.5682360598923931E-2</v>
      </c>
      <c r="W106" s="3">
        <v>9.2306240002677648E-2</v>
      </c>
      <c r="X106" s="3">
        <v>7.5179291515202973E-2</v>
      </c>
      <c r="Y106" s="3">
        <v>1.7702278865865083E-2</v>
      </c>
      <c r="Z106" s="21">
        <v>5.9616101416171484E-2</v>
      </c>
      <c r="AB106" s="21">
        <v>8.2854029872124452E-2</v>
      </c>
    </row>
    <row r="108" spans="1:28" x14ac:dyDescent="0.2">
      <c r="A108" s="5" t="s">
        <v>57</v>
      </c>
      <c r="C108" s="5" t="s">
        <v>21</v>
      </c>
      <c r="D108" s="4">
        <v>14536065.895367146</v>
      </c>
      <c r="E108" s="4">
        <v>4577174.0887271333</v>
      </c>
      <c r="F108" s="4">
        <v>907273.79928909999</v>
      </c>
      <c r="G108" s="25">
        <v>20020513.783383377</v>
      </c>
      <c r="I108" s="4">
        <v>25705373.702558577</v>
      </c>
      <c r="J108" s="4">
        <v>3783980.4475550009</v>
      </c>
      <c r="K108" s="4">
        <v>8164396.8628103537</v>
      </c>
      <c r="L108" s="4">
        <v>2052408.1065763</v>
      </c>
      <c r="M108" s="25">
        <v>39706159.119500235</v>
      </c>
      <c r="O108" s="25">
        <v>59726672.902883604</v>
      </c>
    </row>
    <row r="109" spans="1:28" x14ac:dyDescent="0.2">
      <c r="C109" s="5" t="s">
        <v>22</v>
      </c>
      <c r="D109" s="4">
        <v>12958735.646999998</v>
      </c>
      <c r="E109" s="4">
        <v>4117646.1229999997</v>
      </c>
      <c r="F109" s="4">
        <v>754147.43599999999</v>
      </c>
      <c r="G109" s="25">
        <v>17830529.206</v>
      </c>
      <c r="I109" s="4">
        <v>24105301.880999997</v>
      </c>
      <c r="J109" s="4">
        <v>3495174.0829999996</v>
      </c>
      <c r="K109" s="4">
        <v>7562757.4169999994</v>
      </c>
      <c r="L109" s="4">
        <v>2005513.959</v>
      </c>
      <c r="M109" s="25">
        <v>37168747.339999996</v>
      </c>
      <c r="O109" s="25">
        <v>54999276.546000004</v>
      </c>
    </row>
    <row r="110" spans="1:28" x14ac:dyDescent="0.2">
      <c r="C110" s="5" t="s">
        <v>23</v>
      </c>
      <c r="D110" s="7">
        <v>0.12171945561157482</v>
      </c>
      <c r="E110" s="7">
        <v>0.11159967418286421</v>
      </c>
      <c r="F110" s="7">
        <v>0.20304565921656192</v>
      </c>
      <c r="G110" s="26">
        <v>0.12282218615510554</v>
      </c>
      <c r="I110" s="7">
        <v>6.6378418717077725E-2</v>
      </c>
      <c r="J110" s="7">
        <v>8.2630037216089525E-2</v>
      </c>
      <c r="K110" s="7">
        <v>7.9552921327075143E-2</v>
      </c>
      <c r="L110" s="7">
        <v>2.3382608416090189E-2</v>
      </c>
      <c r="M110" s="26">
        <v>6.8267347196001582E-2</v>
      </c>
      <c r="O110" s="26">
        <v>8.5953791645417832E-2</v>
      </c>
      <c r="Q110" s="3">
        <v>0.11943105963899985</v>
      </c>
      <c r="R110" s="3">
        <v>0.11178521469765465</v>
      </c>
      <c r="S110" s="3">
        <v>0.1675967680425523</v>
      </c>
      <c r="T110" s="21">
        <v>0.11979833125648751</v>
      </c>
      <c r="V110" s="3">
        <v>6.3490119052614702E-2</v>
      </c>
      <c r="W110" s="3">
        <v>8.3003220210490003E-2</v>
      </c>
      <c r="X110" s="3">
        <v>7.6436405009061084E-2</v>
      </c>
      <c r="Y110" s="3">
        <v>3.0509538195925189E-2</v>
      </c>
      <c r="Z110" s="21">
        <v>6.6226059833287415E-2</v>
      </c>
      <c r="AB110" s="21">
        <v>8.3685413096532407E-2</v>
      </c>
    </row>
    <row r="112" spans="1:28" x14ac:dyDescent="0.2">
      <c r="D112" s="25" t="s">
        <v>7</v>
      </c>
      <c r="E112" s="25"/>
      <c r="F112" s="25"/>
      <c r="H112" s="34"/>
      <c r="I112" s="25" t="s">
        <v>8</v>
      </c>
      <c r="J112" s="25"/>
      <c r="K112" s="25"/>
      <c r="L112" s="25"/>
      <c r="N112" s="38"/>
      <c r="O112" s="20" t="s">
        <v>24</v>
      </c>
      <c r="Q112" s="40" t="s">
        <v>63</v>
      </c>
      <c r="R112" s="41"/>
      <c r="S112" s="41"/>
      <c r="T112" s="41"/>
      <c r="U112" s="41"/>
      <c r="V112" s="41"/>
      <c r="W112" s="41"/>
      <c r="X112" s="41"/>
      <c r="Y112" s="41"/>
      <c r="Z112" s="42"/>
      <c r="AB112" s="19" t="s">
        <v>24</v>
      </c>
    </row>
    <row r="113" spans="1:28" x14ac:dyDescent="0.2">
      <c r="D113" s="23" t="s">
        <v>0</v>
      </c>
      <c r="E113" s="23" t="s">
        <v>1</v>
      </c>
      <c r="F113" s="23" t="s">
        <v>2</v>
      </c>
      <c r="G113" s="23" t="s">
        <v>24</v>
      </c>
      <c r="H113" s="35"/>
      <c r="I113" s="23" t="s">
        <v>3</v>
      </c>
      <c r="J113" s="23" t="s">
        <v>4</v>
      </c>
      <c r="K113" s="23" t="s">
        <v>5</v>
      </c>
      <c r="L113" s="23" t="s">
        <v>6</v>
      </c>
      <c r="M113" s="23" t="s">
        <v>24</v>
      </c>
      <c r="N113" s="38"/>
      <c r="O113" s="23" t="s">
        <v>49</v>
      </c>
      <c r="Q113" s="23" t="s">
        <v>0</v>
      </c>
      <c r="R113" s="23" t="s">
        <v>1</v>
      </c>
      <c r="S113" s="23" t="s">
        <v>2</v>
      </c>
      <c r="T113" s="23" t="s">
        <v>24</v>
      </c>
      <c r="U113" s="23"/>
      <c r="V113" s="23" t="s">
        <v>3</v>
      </c>
      <c r="W113" s="23" t="s">
        <v>4</v>
      </c>
      <c r="X113" s="23" t="s">
        <v>58</v>
      </c>
      <c r="Y113" s="23" t="s">
        <v>59</v>
      </c>
      <c r="Z113" s="23" t="s">
        <v>24</v>
      </c>
      <c r="AB113" s="23" t="s">
        <v>49</v>
      </c>
    </row>
    <row r="114" spans="1:28" x14ac:dyDescent="0.2">
      <c r="A114" s="5">
        <v>2013</v>
      </c>
      <c r="D114" s="16"/>
      <c r="E114" s="16"/>
      <c r="F114" s="16"/>
      <c r="G114" s="23"/>
      <c r="H114" s="28"/>
      <c r="I114" s="16"/>
      <c r="J114" s="16"/>
      <c r="K114" s="16"/>
      <c r="L114" s="32"/>
      <c r="M114" s="23"/>
      <c r="O114" s="23"/>
      <c r="Q114" s="16"/>
      <c r="R114" s="16"/>
      <c r="S114" s="16"/>
      <c r="T114" s="23"/>
      <c r="U114" s="16"/>
      <c r="V114" s="16"/>
      <c r="W114" s="16"/>
      <c r="X114" s="16"/>
      <c r="Y114" s="32"/>
      <c r="Z114" s="23"/>
      <c r="AB114" s="23"/>
    </row>
    <row r="115" spans="1:28" x14ac:dyDescent="0.2">
      <c r="A115" s="5" t="s">
        <v>9</v>
      </c>
      <c r="C115" s="5" t="s">
        <v>21</v>
      </c>
      <c r="D115" s="4">
        <v>1462136.5018388005</v>
      </c>
      <c r="E115" s="4">
        <v>465313.32286954048</v>
      </c>
      <c r="F115" s="4">
        <v>88949.414081800045</v>
      </c>
      <c r="G115" s="25">
        <v>2016399.238790141</v>
      </c>
      <c r="I115" s="4">
        <v>2301609.9115005322</v>
      </c>
      <c r="J115" s="4">
        <v>313221.43323780003</v>
      </c>
      <c r="K115" s="4">
        <v>720990.99805105699</v>
      </c>
      <c r="L115" s="4">
        <v>177977.78328450001</v>
      </c>
      <c r="M115" s="25">
        <v>3513800.1260738894</v>
      </c>
      <c r="O115" s="22">
        <v>5530199.3648640309</v>
      </c>
      <c r="Q115" s="16"/>
      <c r="R115" s="16"/>
      <c r="S115" s="16"/>
      <c r="T115" s="23"/>
      <c r="U115" s="16"/>
      <c r="V115" s="16"/>
      <c r="W115" s="16"/>
      <c r="X115" s="16"/>
      <c r="Y115" s="32"/>
      <c r="Z115" s="23"/>
      <c r="AB115" s="23"/>
    </row>
    <row r="116" spans="1:28" x14ac:dyDescent="0.2">
      <c r="C116" s="5" t="s">
        <v>22</v>
      </c>
      <c r="D116" s="4">
        <v>1315179.4469999999</v>
      </c>
      <c r="E116" s="4">
        <v>403209.592</v>
      </c>
      <c r="F116" s="4">
        <v>85267.763999999996</v>
      </c>
      <c r="G116" s="25">
        <v>1803656.8029999998</v>
      </c>
      <c r="I116" s="4">
        <v>2184618.8769999999</v>
      </c>
      <c r="J116" s="4">
        <v>301247.826</v>
      </c>
      <c r="K116" s="4">
        <v>662131.73100000003</v>
      </c>
      <c r="L116" s="4">
        <v>149014.503</v>
      </c>
      <c r="M116" s="25">
        <v>3297012.9369999999</v>
      </c>
      <c r="O116" s="22">
        <v>5100669.74</v>
      </c>
      <c r="Q116" s="16"/>
      <c r="R116" s="16"/>
      <c r="S116" s="16"/>
      <c r="T116" s="23"/>
      <c r="U116" s="16"/>
      <c r="V116" s="16"/>
      <c r="W116" s="16"/>
      <c r="X116" s="16"/>
      <c r="Y116" s="32"/>
      <c r="Z116" s="23"/>
      <c r="AB116" s="23"/>
    </row>
    <row r="117" spans="1:28" x14ac:dyDescent="0.2">
      <c r="C117" s="5" t="s">
        <v>23</v>
      </c>
      <c r="D117" s="7">
        <v>0.11173916622101876</v>
      </c>
      <c r="E117" s="7">
        <v>0.15402344612263219</v>
      </c>
      <c r="F117" s="7">
        <v>4.3177514093134306E-2</v>
      </c>
      <c r="G117" s="26">
        <v>0.11795061867440038</v>
      </c>
      <c r="H117" s="37"/>
      <c r="I117" s="7">
        <v>5.3552148492458596E-2</v>
      </c>
      <c r="J117" s="7">
        <v>3.9746700903328769E-2</v>
      </c>
      <c r="K117" s="7">
        <v>8.8893590648742027E-2</v>
      </c>
      <c r="L117" s="7">
        <v>0.19436551276153313</v>
      </c>
      <c r="M117" s="26">
        <v>6.5752604923396962E-2</v>
      </c>
      <c r="O117" s="26">
        <v>8.4210436424772439E-2</v>
      </c>
      <c r="Q117" s="3">
        <v>0.14490378783775273</v>
      </c>
      <c r="R117" s="3">
        <v>0.10985791266987879</v>
      </c>
      <c r="S117" s="3">
        <v>0.15699693973770068</v>
      </c>
      <c r="T117" s="21">
        <v>0.13614722970187954</v>
      </c>
      <c r="V117" s="3">
        <v>7.7435712483895219E-2</v>
      </c>
      <c r="W117" s="3">
        <v>3.6548218390583573E-2</v>
      </c>
      <c r="X117" s="3">
        <v>0.10503576988366392</v>
      </c>
      <c r="Y117" s="3">
        <v>4.9105473638641393E-2</v>
      </c>
      <c r="Z117" s="21">
        <v>7.7115970258061495E-2</v>
      </c>
      <c r="AB117" s="21">
        <v>9.7958287139038092E-2</v>
      </c>
    </row>
    <row r="119" spans="1:28" x14ac:dyDescent="0.2">
      <c r="A119" s="5" t="s">
        <v>10</v>
      </c>
      <c r="C119" s="5" t="s">
        <v>21</v>
      </c>
      <c r="D119" s="4">
        <v>1195740.5553839989</v>
      </c>
      <c r="E119" s="4">
        <v>362258.70255637803</v>
      </c>
      <c r="F119" s="4">
        <v>71598.484197499987</v>
      </c>
      <c r="G119" s="25">
        <v>1629597.7421378768</v>
      </c>
      <c r="I119" s="4">
        <v>1958995.1554636715</v>
      </c>
      <c r="J119" s="4">
        <v>265786.99511560012</v>
      </c>
      <c r="K119" s="4">
        <v>657041.56096512603</v>
      </c>
      <c r="L119" s="4">
        <v>170059.2865591</v>
      </c>
      <c r="M119" s="25">
        <v>3051882.9981034975</v>
      </c>
      <c r="O119" s="22">
        <v>4681480.7402413748</v>
      </c>
    </row>
    <row r="120" spans="1:28" x14ac:dyDescent="0.2">
      <c r="C120" s="5" t="s">
        <v>22</v>
      </c>
      <c r="D120" s="4">
        <v>1046375.697</v>
      </c>
      <c r="E120" s="4">
        <v>327558.65299999999</v>
      </c>
      <c r="F120" s="4">
        <v>59526.648999999998</v>
      </c>
      <c r="G120" s="25">
        <v>1433460.9990000001</v>
      </c>
      <c r="I120" s="4">
        <v>1855635.5090000001</v>
      </c>
      <c r="J120" s="4">
        <v>252826.35800000001</v>
      </c>
      <c r="K120" s="4">
        <v>566011.69299999997</v>
      </c>
      <c r="L120" s="4">
        <v>158261.23300000001</v>
      </c>
      <c r="M120" s="25">
        <v>2832734.7930000001</v>
      </c>
      <c r="O120" s="22">
        <v>4266195.7920000004</v>
      </c>
    </row>
    <row r="121" spans="1:28" x14ac:dyDescent="0.2">
      <c r="C121" s="5" t="s">
        <v>23</v>
      </c>
      <c r="D121" s="7">
        <v>0.14274496131000913</v>
      </c>
      <c r="E121" s="7">
        <v>0.10593537749215876</v>
      </c>
      <c r="F121" s="7">
        <v>0.20279715724464831</v>
      </c>
      <c r="G121" s="26">
        <v>0.13682740114638925</v>
      </c>
      <c r="H121" s="37"/>
      <c r="I121" s="7">
        <v>5.5700403426409917E-2</v>
      </c>
      <c r="J121" s="7">
        <v>5.1262998123004611E-2</v>
      </c>
      <c r="K121" s="7">
        <v>0.16082683289217159</v>
      </c>
      <c r="L121" s="7">
        <v>7.4547969426599803E-2</v>
      </c>
      <c r="M121" s="26">
        <v>7.7362768179017882E-2</v>
      </c>
      <c r="O121" s="26">
        <v>9.734315265607818E-2</v>
      </c>
      <c r="Q121" s="3">
        <v>0.13998717778924732</v>
      </c>
      <c r="R121" s="3">
        <v>0.10739398680617648</v>
      </c>
      <c r="S121" s="3">
        <v>0.16856734955215966</v>
      </c>
      <c r="T121" s="21">
        <v>0.13363095916430573</v>
      </c>
      <c r="V121" s="3">
        <v>6.3654669546340331E-2</v>
      </c>
      <c r="W121" s="3">
        <v>6.4605245077533152E-2</v>
      </c>
      <c r="X121" s="3">
        <v>0.10107558160368915</v>
      </c>
      <c r="Y121" s="3">
        <v>-1.0678132138342056E-2</v>
      </c>
      <c r="Z121" s="21">
        <v>6.6655934717057358E-2</v>
      </c>
      <c r="AB121" s="21">
        <v>8.9644167444085626E-2</v>
      </c>
    </row>
    <row r="123" spans="1:28" x14ac:dyDescent="0.2">
      <c r="A123" s="5" t="s">
        <v>11</v>
      </c>
      <c r="C123" s="5" t="s">
        <v>21</v>
      </c>
      <c r="D123" s="4">
        <v>1195820.5492334997</v>
      </c>
      <c r="E123" s="4">
        <v>355169.62765928573</v>
      </c>
      <c r="F123" s="4">
        <v>69782.583631800007</v>
      </c>
      <c r="G123" s="25">
        <v>1620772.7605245854</v>
      </c>
      <c r="I123" s="4">
        <v>2002423.945246537</v>
      </c>
      <c r="J123" s="4">
        <v>262853.74524599995</v>
      </c>
      <c r="K123" s="4">
        <v>689010.82130696997</v>
      </c>
      <c r="L123" s="4">
        <v>186997.80192269999</v>
      </c>
      <c r="M123" s="25">
        <v>3141286.3137222067</v>
      </c>
      <c r="O123" s="22">
        <v>4762059.0742467921</v>
      </c>
    </row>
    <row r="124" spans="1:28" x14ac:dyDescent="0.2">
      <c r="C124" s="5" t="s">
        <v>22</v>
      </c>
      <c r="D124" s="4">
        <v>1059688.03</v>
      </c>
      <c r="E124" s="4">
        <v>307672.19199999998</v>
      </c>
      <c r="F124" s="4">
        <v>59092.538</v>
      </c>
      <c r="G124" s="25">
        <v>1426452.76</v>
      </c>
      <c r="I124" s="4">
        <v>1852861.6629999999</v>
      </c>
      <c r="J124" s="4">
        <v>252238.01300000001</v>
      </c>
      <c r="K124" s="4">
        <v>663658.36800000002</v>
      </c>
      <c r="L124" s="4">
        <v>169750.90400000001</v>
      </c>
      <c r="M124" s="25">
        <v>2938508.9479999999</v>
      </c>
      <c r="O124" s="22">
        <v>4364961.7079999996</v>
      </c>
    </row>
    <row r="125" spans="1:28" x14ac:dyDescent="0.2">
      <c r="C125" s="5" t="s">
        <v>23</v>
      </c>
      <c r="D125" s="7">
        <v>0.12846471355678113</v>
      </c>
      <c r="E125" s="7">
        <v>0.15437675842763765</v>
      </c>
      <c r="F125" s="7">
        <v>0.18090347772505577</v>
      </c>
      <c r="G125" s="26">
        <v>0.13622603283727774</v>
      </c>
      <c r="H125" s="37"/>
      <c r="I125" s="7">
        <v>8.0719616166259334E-2</v>
      </c>
      <c r="J125" s="7">
        <v>4.2086171389242422E-2</v>
      </c>
      <c r="K125" s="7">
        <v>3.8201060258415964E-2</v>
      </c>
      <c r="L125" s="7">
        <v>0.10160121399235655</v>
      </c>
      <c r="M125" s="26">
        <v>6.9006890675020971E-2</v>
      </c>
      <c r="O125" s="26">
        <v>9.0973848755420139E-2</v>
      </c>
      <c r="Q125" s="3">
        <v>0.12403159313098464</v>
      </c>
      <c r="R125" s="3">
        <v>0.15079019695057477</v>
      </c>
      <c r="S125" s="3">
        <v>0.16220387724875635</v>
      </c>
      <c r="T125" s="21">
        <v>0.13135722261708027</v>
      </c>
      <c r="V125" s="3">
        <v>6.7199878045133193E-2</v>
      </c>
      <c r="W125" s="3">
        <v>5.4904577209993644E-2</v>
      </c>
      <c r="X125" s="3">
        <v>5.4024233942561041E-2</v>
      </c>
      <c r="Y125" s="3">
        <v>0.13535042655576804</v>
      </c>
      <c r="Z125" s="21">
        <v>6.6422918513244417E-2</v>
      </c>
      <c r="AB125" s="21">
        <v>8.8684939583306033E-2</v>
      </c>
    </row>
    <row r="127" spans="1:28" x14ac:dyDescent="0.2">
      <c r="A127" s="5" t="s">
        <v>12</v>
      </c>
      <c r="C127" s="5" t="s">
        <v>21</v>
      </c>
      <c r="D127" s="4">
        <v>1084803.2940392005</v>
      </c>
      <c r="E127" s="4">
        <v>321570.220860067</v>
      </c>
      <c r="F127" s="4">
        <v>68392.414068700018</v>
      </c>
      <c r="G127" s="25">
        <v>1474765.9289679676</v>
      </c>
      <c r="I127" s="4">
        <v>1863136.3669988008</v>
      </c>
      <c r="J127" s="4">
        <v>271528.63041870005</v>
      </c>
      <c r="K127" s="4">
        <v>656441.98284809501</v>
      </c>
      <c r="L127" s="4">
        <v>165532.8262985</v>
      </c>
      <c r="M127" s="25">
        <v>2956639.8065640959</v>
      </c>
      <c r="O127" s="22">
        <v>4431405.735532064</v>
      </c>
    </row>
    <row r="128" spans="1:28" x14ac:dyDescent="0.2">
      <c r="C128" s="5" t="s">
        <v>22</v>
      </c>
      <c r="D128" s="4">
        <v>982806.38800000004</v>
      </c>
      <c r="E128" s="4">
        <v>281886.96600000001</v>
      </c>
      <c r="F128" s="4">
        <v>55357.381999999998</v>
      </c>
      <c r="G128" s="25">
        <v>1320050.736</v>
      </c>
      <c r="I128" s="4">
        <v>1787471.3160000001</v>
      </c>
      <c r="J128" s="4">
        <v>238013.25200000001</v>
      </c>
      <c r="K128" s="4">
        <v>601438.60199999996</v>
      </c>
      <c r="L128" s="4">
        <v>185114.58900000001</v>
      </c>
      <c r="M128" s="25">
        <v>2812037.7590000001</v>
      </c>
      <c r="O128" s="22">
        <v>4132088.4950000001</v>
      </c>
    </row>
    <row r="129" spans="1:28" x14ac:dyDescent="0.2">
      <c r="C129" s="5" t="s">
        <v>23</v>
      </c>
      <c r="D129" s="7">
        <v>0.10378128111963436</v>
      </c>
      <c r="E129" s="7">
        <v>0.14077718960608832</v>
      </c>
      <c r="F129" s="7">
        <v>0.23547052981479544</v>
      </c>
      <c r="G129" s="26">
        <v>0.11720397462659915</v>
      </c>
      <c r="H129" s="37"/>
      <c r="I129" s="7">
        <v>4.2330777742561887E-2</v>
      </c>
      <c r="J129" s="7">
        <v>0.14081307715883007</v>
      </c>
      <c r="K129" s="7">
        <v>9.1453027233684425E-2</v>
      </c>
      <c r="L129" s="7">
        <v>-0.10578184467945961</v>
      </c>
      <c r="M129" s="26">
        <v>5.142251276722476E-2</v>
      </c>
      <c r="O129" s="26">
        <v>7.2437277394772792E-2</v>
      </c>
      <c r="Q129" s="3">
        <v>0.11548155577137628</v>
      </c>
      <c r="R129" s="3">
        <v>0.10954434505260199</v>
      </c>
      <c r="S129" s="3">
        <v>0.24847849052467619</v>
      </c>
      <c r="T129" s="21">
        <v>0.11970963621119415</v>
      </c>
      <c r="V129" s="3">
        <v>6.6462350659939065E-2</v>
      </c>
      <c r="W129" s="3">
        <v>7.9420017558950382E-2</v>
      </c>
      <c r="X129" s="3">
        <v>7.8079208906077294E-2</v>
      </c>
      <c r="Y129" s="3">
        <v>-2.7445740515298377E-2</v>
      </c>
      <c r="Z129" s="21">
        <v>6.3065510244728576E-2</v>
      </c>
      <c r="AB129" s="21">
        <v>8.1877948149979091E-2</v>
      </c>
    </row>
    <row r="131" spans="1:28" x14ac:dyDescent="0.2">
      <c r="A131" s="5" t="s">
        <v>13</v>
      </c>
      <c r="C131" s="5" t="s">
        <v>21</v>
      </c>
      <c r="D131" s="4">
        <v>1101742.3143727006</v>
      </c>
      <c r="E131" s="4">
        <v>334791.77377991646</v>
      </c>
      <c r="F131" s="4">
        <v>78908.548242500037</v>
      </c>
      <c r="G131" s="25">
        <v>1515442.6363951173</v>
      </c>
      <c r="I131" s="4">
        <v>1989009.0236021804</v>
      </c>
      <c r="J131" s="4">
        <v>360691.58344850002</v>
      </c>
      <c r="K131" s="4">
        <v>668826.13801929005</v>
      </c>
      <c r="L131" s="4">
        <v>168929.25699630001</v>
      </c>
      <c r="M131" s="25">
        <v>3187456.0020662704</v>
      </c>
      <c r="O131" s="22">
        <v>4702898.6384613877</v>
      </c>
    </row>
    <row r="132" spans="1:28" x14ac:dyDescent="0.2">
      <c r="C132" s="5" t="s">
        <v>22</v>
      </c>
      <c r="D132" s="4">
        <v>994042.08</v>
      </c>
      <c r="E132" s="4">
        <v>312885.19699999999</v>
      </c>
      <c r="F132" s="4">
        <v>57786.322999999997</v>
      </c>
      <c r="G132" s="25">
        <v>1364713.6</v>
      </c>
      <c r="I132" s="4">
        <v>1915852.9779999999</v>
      </c>
      <c r="J132" s="4">
        <v>318904.533</v>
      </c>
      <c r="K132" s="4">
        <v>625226.91099999996</v>
      </c>
      <c r="L132" s="4">
        <v>158499.18400000001</v>
      </c>
      <c r="M132" s="25">
        <v>3018483.6059999997</v>
      </c>
      <c r="O132" s="22">
        <v>4383197.2060000002</v>
      </c>
    </row>
    <row r="133" spans="1:28" x14ac:dyDescent="0.2">
      <c r="C133" s="5" t="s">
        <v>23</v>
      </c>
      <c r="D133" s="7">
        <v>0.10834574968164401</v>
      </c>
      <c r="E133" s="7">
        <v>7.0014743394576362E-2</v>
      </c>
      <c r="F133" s="7">
        <v>0.36552291521473079</v>
      </c>
      <c r="G133" s="26">
        <v>0.11044737620781175</v>
      </c>
      <c r="H133" s="37"/>
      <c r="I133" s="7">
        <v>3.8184582242082987E-2</v>
      </c>
      <c r="J133" s="7">
        <v>0.13103310277656055</v>
      </c>
      <c r="K133" s="7">
        <v>6.9733445973329422E-2</v>
      </c>
      <c r="L133" s="7">
        <v>6.5805215730952993E-2</v>
      </c>
      <c r="M133" s="26">
        <v>5.597923266185556E-2</v>
      </c>
      <c r="O133" s="26">
        <v>7.2937953150672641E-2</v>
      </c>
      <c r="Q133" s="3">
        <v>0.1058089355627541</v>
      </c>
      <c r="R133" s="3">
        <v>0.10819612995191488</v>
      </c>
      <c r="S133" s="3">
        <v>0.20613130710776734</v>
      </c>
      <c r="T133" s="21">
        <v>0.11059227773700822</v>
      </c>
      <c r="V133" s="3">
        <v>4.6327063992193773E-2</v>
      </c>
      <c r="W133" s="3">
        <v>0.18369605285710544</v>
      </c>
      <c r="X133" s="3">
        <v>5.6838977834359247E-2</v>
      </c>
      <c r="Y133" s="3">
        <v>3.820583754596156E-2</v>
      </c>
      <c r="Z133" s="21">
        <v>5.9910041701765768E-2</v>
      </c>
      <c r="AB133" s="21">
        <v>7.6326736588024108E-2</v>
      </c>
    </row>
    <row r="135" spans="1:28" x14ac:dyDescent="0.2">
      <c r="A135" s="5" t="s">
        <v>14</v>
      </c>
      <c r="C135" s="5" t="s">
        <v>21</v>
      </c>
      <c r="D135" s="4">
        <v>1102616.6993218991</v>
      </c>
      <c r="E135" s="4">
        <v>340453.59632538958</v>
      </c>
      <c r="F135" s="4">
        <v>82444.102456099979</v>
      </c>
      <c r="G135" s="25">
        <v>1525514.3981033887</v>
      </c>
      <c r="I135" s="4">
        <v>2263290.2196953562</v>
      </c>
      <c r="J135" s="4">
        <v>465724.04289939994</v>
      </c>
      <c r="K135" s="4">
        <v>686748.00746393506</v>
      </c>
      <c r="L135" s="4">
        <v>163735.22282290002</v>
      </c>
      <c r="M135" s="25">
        <v>3579497.4928815914</v>
      </c>
      <c r="O135" s="22">
        <v>5105011.8909849804</v>
      </c>
    </row>
    <row r="136" spans="1:28" x14ac:dyDescent="0.2">
      <c r="C136" s="5" t="s">
        <v>22</v>
      </c>
      <c r="D136" s="4">
        <v>983008.34600000002</v>
      </c>
      <c r="E136" s="4">
        <v>309947.87699999998</v>
      </c>
      <c r="F136" s="4">
        <v>79200.745999999999</v>
      </c>
      <c r="G136" s="25">
        <v>1372156.969</v>
      </c>
      <c r="I136" s="4">
        <v>2150657.7319999998</v>
      </c>
      <c r="J136" s="4">
        <v>405839.08500000002</v>
      </c>
      <c r="K136" s="4">
        <v>628297.11199999996</v>
      </c>
      <c r="L136" s="4">
        <v>169438.61300000001</v>
      </c>
      <c r="M136" s="25">
        <v>3354232.5419999994</v>
      </c>
      <c r="O136" s="22">
        <v>4726389.5109999999</v>
      </c>
    </row>
    <row r="137" spans="1:28" x14ac:dyDescent="0.2">
      <c r="C137" s="5" t="s">
        <v>23</v>
      </c>
      <c r="D137" s="7">
        <v>0.12167582687227663</v>
      </c>
      <c r="E137" s="7">
        <v>9.842209477495345E-2</v>
      </c>
      <c r="F137" s="7">
        <v>4.0951084679176963E-2</v>
      </c>
      <c r="G137" s="26">
        <v>0.11176376505608721</v>
      </c>
      <c r="H137" s="37"/>
      <c r="I137" s="7">
        <v>5.237118208977587E-2</v>
      </c>
      <c r="J137" s="7">
        <v>0.14755837994115306</v>
      </c>
      <c r="K137" s="7">
        <v>9.3030660729720438E-2</v>
      </c>
      <c r="L137" s="7">
        <v>-3.3660510294073243E-2</v>
      </c>
      <c r="M137" s="26">
        <v>6.7158417927480674E-2</v>
      </c>
      <c r="O137" s="26">
        <v>8.0108162711471476E-2</v>
      </c>
      <c r="Q137" s="3">
        <v>0.1075847014401972</v>
      </c>
      <c r="R137" s="3">
        <v>8.6221035396662898E-2</v>
      </c>
      <c r="S137" s="3">
        <v>0.11398529122074304</v>
      </c>
      <c r="T137" s="21">
        <v>0.10193921843613762</v>
      </c>
      <c r="V137" s="3">
        <v>7.286681369551111E-2</v>
      </c>
      <c r="W137" s="3">
        <v>6.1690263174663397E-2</v>
      </c>
      <c r="X137" s="3">
        <v>3.2871933599303273E-2</v>
      </c>
      <c r="Y137" s="3">
        <v>-2.2548940328536427E-2</v>
      </c>
      <c r="Z137" s="21">
        <v>5.8573611295221449E-2</v>
      </c>
      <c r="AB137" s="21">
        <v>7.1822881820573059E-2</v>
      </c>
    </row>
    <row r="139" spans="1:28" x14ac:dyDescent="0.2">
      <c r="A139" s="5" t="s">
        <v>15</v>
      </c>
      <c r="C139" s="5" t="s">
        <v>21</v>
      </c>
      <c r="D139" s="4">
        <v>1268821.2500146178</v>
      </c>
      <c r="E139" s="4">
        <v>416455.01596128946</v>
      </c>
      <c r="F139" s="4">
        <v>89643.707173500021</v>
      </c>
      <c r="G139" s="25">
        <v>1774919.9731494072</v>
      </c>
      <c r="I139" s="4">
        <v>2616230.6688832785</v>
      </c>
      <c r="J139" s="4">
        <v>483825.6739061001</v>
      </c>
      <c r="K139" s="4">
        <v>711264.58998205001</v>
      </c>
      <c r="L139" s="4">
        <v>163629.5318878</v>
      </c>
      <c r="M139" s="25">
        <v>3974950.4646592285</v>
      </c>
      <c r="O139" s="22">
        <v>5749870.4378086366</v>
      </c>
    </row>
    <row r="140" spans="1:28" x14ac:dyDescent="0.2">
      <c r="C140" s="5" t="s">
        <v>22</v>
      </c>
      <c r="D140" s="4">
        <v>1171858.405</v>
      </c>
      <c r="E140" s="4">
        <v>365556.72200000001</v>
      </c>
      <c r="F140" s="4">
        <v>71066.665999999997</v>
      </c>
      <c r="G140" s="25">
        <v>1608481.7930000001</v>
      </c>
      <c r="I140" s="4">
        <v>2345322.7239999999</v>
      </c>
      <c r="J140" s="4">
        <v>477608.73599999998</v>
      </c>
      <c r="K140" s="4">
        <v>691928.09900000005</v>
      </c>
      <c r="L140" s="4">
        <v>154101.391</v>
      </c>
      <c r="M140" s="25">
        <v>3668960.9499999997</v>
      </c>
      <c r="O140" s="22">
        <v>5277442.7430000007</v>
      </c>
    </row>
    <row r="141" spans="1:28" x14ac:dyDescent="0.2">
      <c r="C141" s="5" t="s">
        <v>23</v>
      </c>
      <c r="D141" s="7">
        <v>8.274279947210661E-2</v>
      </c>
      <c r="E141" s="7">
        <v>0.13923501032293828</v>
      </c>
      <c r="F141" s="7">
        <v>0.26140302084102296</v>
      </c>
      <c r="G141" s="26">
        <v>0.10347532740111487</v>
      </c>
      <c r="H141" s="37"/>
      <c r="I141" s="7">
        <v>0.11550987934881696</v>
      </c>
      <c r="J141" s="7">
        <v>1.3016801070615536E-2</v>
      </c>
      <c r="K141" s="7">
        <v>2.7945809701897861E-2</v>
      </c>
      <c r="L141" s="7">
        <v>6.1830336676195197E-2</v>
      </c>
      <c r="M141" s="26">
        <v>8.3399501610729621E-2</v>
      </c>
      <c r="O141" s="26">
        <v>8.9518298504567273E-2</v>
      </c>
      <c r="Q141" s="3">
        <v>9.3883959668040223E-2</v>
      </c>
      <c r="R141" s="3">
        <v>0.10701668314354307</v>
      </c>
      <c r="S141" s="3">
        <v>0.11911652749399115</v>
      </c>
      <c r="T141" s="21">
        <v>9.7016434004827401E-2</v>
      </c>
      <c r="V141" s="3">
        <v>4.8508181298851573E-2</v>
      </c>
      <c r="W141" s="3">
        <v>0.17262825840579582</v>
      </c>
      <c r="X141" s="3">
        <v>0.10829240260176549</v>
      </c>
      <c r="Y141" s="3">
        <v>3.4821941591438942E-2</v>
      </c>
      <c r="Z141" s="21">
        <v>6.9245782996303573E-2</v>
      </c>
      <c r="AB141" s="21">
        <v>7.7790907256770403E-2</v>
      </c>
    </row>
    <row r="143" spans="1:28" x14ac:dyDescent="0.2">
      <c r="A143" s="5" t="s">
        <v>16</v>
      </c>
      <c r="C143" s="5" t="s">
        <v>21</v>
      </c>
      <c r="D143" s="4">
        <v>1217353.8847252517</v>
      </c>
      <c r="E143" s="4">
        <v>400200.37875261321</v>
      </c>
      <c r="F143" s="4">
        <v>79210.831732099978</v>
      </c>
      <c r="G143" s="25">
        <v>1696765.0952099648</v>
      </c>
      <c r="I143" s="4">
        <v>2545807.2041348186</v>
      </c>
      <c r="J143" s="4">
        <v>377392.76185100042</v>
      </c>
      <c r="K143" s="4">
        <v>717823.169349342</v>
      </c>
      <c r="L143" s="4">
        <v>156126.4290831</v>
      </c>
      <c r="M143" s="25">
        <v>3797149.5644182614</v>
      </c>
      <c r="O143" s="22">
        <v>5493914.6596282255</v>
      </c>
    </row>
    <row r="144" spans="1:28" x14ac:dyDescent="0.2">
      <c r="C144" s="5" t="s">
        <v>22</v>
      </c>
      <c r="D144" s="4">
        <v>1074565.4709999999</v>
      </c>
      <c r="E144" s="4">
        <v>352039.58</v>
      </c>
      <c r="F144" s="4">
        <v>82150.652000000002</v>
      </c>
      <c r="G144" s="25">
        <v>1508755.703</v>
      </c>
      <c r="I144" s="4">
        <v>2443953.0180000002</v>
      </c>
      <c r="J144" s="4">
        <v>321653.81800000003</v>
      </c>
      <c r="K144" s="4">
        <v>602036.80000000005</v>
      </c>
      <c r="L144" s="4">
        <v>148614.91399999999</v>
      </c>
      <c r="M144" s="25">
        <v>3516258.55</v>
      </c>
      <c r="O144" s="22">
        <v>5025014.2530000005</v>
      </c>
    </row>
    <row r="145" spans="1:28" x14ac:dyDescent="0.2">
      <c r="C145" s="5" t="s">
        <v>23</v>
      </c>
      <c r="D145" s="7">
        <v>0.13288014325676367</v>
      </c>
      <c r="E145" s="7">
        <v>0.13680506820458427</v>
      </c>
      <c r="F145" s="7">
        <v>-3.5785720457824577E-2</v>
      </c>
      <c r="G145" s="26">
        <v>0.12461221643512466</v>
      </c>
      <c r="H145" s="37"/>
      <c r="I145" s="7">
        <v>4.1676000064097218E-2</v>
      </c>
      <c r="J145" s="7">
        <v>0.17328861257602224</v>
      </c>
      <c r="K145" s="7">
        <v>0.19232440500205628</v>
      </c>
      <c r="L145" s="7">
        <v>5.0543481006892765E-2</v>
      </c>
      <c r="M145" s="26">
        <v>7.9883492759160513E-2</v>
      </c>
      <c r="O145" s="26">
        <v>9.3313249081489635E-2</v>
      </c>
      <c r="Q145" s="3">
        <v>0.10377439554350376</v>
      </c>
      <c r="R145" s="3">
        <v>0.11422750972882807</v>
      </c>
      <c r="S145" s="3">
        <v>0.18641285126005117</v>
      </c>
      <c r="T145" s="21">
        <v>0.10865806881964905</v>
      </c>
      <c r="V145" s="3">
        <v>7.6940176505178481E-2</v>
      </c>
      <c r="W145" s="3">
        <v>8.1387744165045683E-3</v>
      </c>
      <c r="X145" s="3">
        <v>0.13114326120822478</v>
      </c>
      <c r="Y145" s="3">
        <v>4.4243518676847372E-2</v>
      </c>
      <c r="Z145" s="21">
        <v>7.7449958632439794E-2</v>
      </c>
      <c r="AB145" s="21">
        <v>8.7287436129770052E-2</v>
      </c>
    </row>
    <row r="147" spans="1:28" x14ac:dyDescent="0.2">
      <c r="A147" s="5" t="s">
        <v>17</v>
      </c>
      <c r="C147" s="5" t="s">
        <v>21</v>
      </c>
      <c r="D147" s="4">
        <v>1099911.8389514</v>
      </c>
      <c r="E147" s="4">
        <v>359288.28255878016</v>
      </c>
      <c r="F147" s="4">
        <v>68862.567506600055</v>
      </c>
      <c r="G147" s="25">
        <v>1528062.6890167804</v>
      </c>
      <c r="I147" s="4">
        <v>2083380.4534942207</v>
      </c>
      <c r="J147" s="4">
        <v>290290.34518600022</v>
      </c>
      <c r="K147" s="4">
        <v>628003.77307379397</v>
      </c>
      <c r="L147" s="4">
        <v>158445.43515799998</v>
      </c>
      <c r="M147" s="25">
        <v>3160120.0069120144</v>
      </c>
      <c r="O147" s="22">
        <v>4688182.6959287953</v>
      </c>
    </row>
    <row r="148" spans="1:28" x14ac:dyDescent="0.2">
      <c r="C148" s="5" t="s">
        <v>22</v>
      </c>
      <c r="D148" s="4">
        <v>985360.49399999995</v>
      </c>
      <c r="E148" s="4">
        <v>337939.72600000002</v>
      </c>
      <c r="F148" s="4">
        <v>51588.673000000003</v>
      </c>
      <c r="G148" s="25">
        <v>1374888.8929999999</v>
      </c>
      <c r="I148" s="4">
        <v>1980062.574</v>
      </c>
      <c r="J148" s="4">
        <v>262935.00900000002</v>
      </c>
      <c r="K148" s="4">
        <v>617007.24699999997</v>
      </c>
      <c r="L148" s="4">
        <v>141562.04500000001</v>
      </c>
      <c r="M148" s="25">
        <v>3001566.875</v>
      </c>
      <c r="O148" s="22">
        <v>4376455.7680000002</v>
      </c>
    </row>
    <row r="149" spans="1:28" x14ac:dyDescent="0.2">
      <c r="C149" s="5" t="s">
        <v>23</v>
      </c>
      <c r="D149" s="7">
        <v>0.11625323488095929</v>
      </c>
      <c r="E149" s="7">
        <v>6.3172675232565423E-2</v>
      </c>
      <c r="F149" s="7">
        <v>0.33483889974452441</v>
      </c>
      <c r="G149" s="26">
        <v>0.11140812671964784</v>
      </c>
      <c r="H149" s="37"/>
      <c r="I149" s="7">
        <v>5.2179098201681651E-2</v>
      </c>
      <c r="J149" s="7">
        <v>0.10403839446880281</v>
      </c>
      <c r="K149" s="7">
        <v>1.7822361288722499E-2</v>
      </c>
      <c r="L149" s="7">
        <v>0.11926494957034528</v>
      </c>
      <c r="M149" s="26">
        <v>5.2823454720466456E-2</v>
      </c>
      <c r="O149" s="26">
        <v>7.1228168283590687E-2</v>
      </c>
      <c r="Q149" s="3">
        <v>0.11634134481605418</v>
      </c>
      <c r="R149" s="3">
        <v>0.13846575682274445</v>
      </c>
      <c r="S149" s="3">
        <v>0.21127839719216679</v>
      </c>
      <c r="T149" s="21">
        <v>0.12419228364400196</v>
      </c>
      <c r="V149" s="3">
        <v>5.0801403054016793E-2</v>
      </c>
      <c r="W149" s="3">
        <v>0.14162570239577277</v>
      </c>
      <c r="X149" s="3">
        <v>8.5061492331913596E-2</v>
      </c>
      <c r="Y149" s="3">
        <v>0.19126540795678584</v>
      </c>
      <c r="Z149" s="21">
        <v>7.0176692744781818E-2</v>
      </c>
      <c r="AB149" s="21">
        <v>8.7476674391031434E-2</v>
      </c>
    </row>
    <row r="151" spans="1:28" x14ac:dyDescent="0.2">
      <c r="A151" s="5" t="s">
        <v>18</v>
      </c>
      <c r="C151" s="5" t="s">
        <v>21</v>
      </c>
      <c r="D151" s="4">
        <v>1152497.4927903998</v>
      </c>
      <c r="E151" s="4">
        <v>357447.56695361453</v>
      </c>
      <c r="F151" s="4">
        <v>63809.194852599991</v>
      </c>
      <c r="G151" s="25">
        <v>1573754.2545966143</v>
      </c>
      <c r="I151" s="4">
        <v>1998853.9649304985</v>
      </c>
      <c r="J151" s="4">
        <v>271608.17171979975</v>
      </c>
      <c r="K151" s="4">
        <v>702682.92927220894</v>
      </c>
      <c r="L151" s="4">
        <v>172744.91280809999</v>
      </c>
      <c r="M151" s="25">
        <v>3145889.9787306068</v>
      </c>
      <c r="O151" s="22">
        <v>4719644.2333272211</v>
      </c>
    </row>
    <row r="152" spans="1:28" x14ac:dyDescent="0.2">
      <c r="C152" s="5" t="s">
        <v>22</v>
      </c>
      <c r="D152" s="4">
        <v>1048672.3640000001</v>
      </c>
      <c r="E152" s="4">
        <v>322424.42</v>
      </c>
      <c r="F152" s="4">
        <v>58969.71</v>
      </c>
      <c r="G152" s="25">
        <v>1430066.4939999999</v>
      </c>
      <c r="I152" s="4">
        <v>1856793.774</v>
      </c>
      <c r="J152" s="4">
        <v>272164.609</v>
      </c>
      <c r="K152" s="4">
        <v>631722.27800000005</v>
      </c>
      <c r="L152" s="4">
        <v>162777.109</v>
      </c>
      <c r="M152" s="25">
        <v>2923457.77</v>
      </c>
      <c r="O152" s="22">
        <v>4353524.2640000004</v>
      </c>
    </row>
    <row r="153" spans="1:28" x14ac:dyDescent="0.2">
      <c r="C153" s="5" t="s">
        <v>23</v>
      </c>
      <c r="D153" s="7">
        <v>9.900626006236557E-2</v>
      </c>
      <c r="E153" s="7">
        <v>0.10862436211752979</v>
      </c>
      <c r="F153" s="7">
        <v>8.2067299510206082E-2</v>
      </c>
      <c r="G153" s="26">
        <v>0.10047627938943537</v>
      </c>
      <c r="H153" s="37"/>
      <c r="I153" s="7">
        <v>7.6508330068592034E-2</v>
      </c>
      <c r="J153" s="7">
        <v>-2.0444880112985286E-3</v>
      </c>
      <c r="K153" s="7">
        <v>0.11232887258126567</v>
      </c>
      <c r="L153" s="7">
        <v>6.1235906383495298E-2</v>
      </c>
      <c r="M153" s="26">
        <v>7.6085316166755179E-2</v>
      </c>
      <c r="O153" s="26">
        <v>8.4097376544958413E-2</v>
      </c>
      <c r="Q153" s="3">
        <v>0.12249804135695959</v>
      </c>
      <c r="R153" s="3">
        <v>8.1715254375317861E-2</v>
      </c>
      <c r="S153" s="3">
        <v>0.1080362795627872</v>
      </c>
      <c r="T153" s="21">
        <v>0.11191318783878837</v>
      </c>
      <c r="V153" s="3">
        <v>5.3893540059217801E-2</v>
      </c>
      <c r="W153" s="3">
        <v>9.3469893910262364E-2</v>
      </c>
      <c r="X153" s="3">
        <v>9.4866917496553252E-2</v>
      </c>
      <c r="Y153" s="3">
        <v>4.1233589316077568E-2</v>
      </c>
      <c r="Z153" s="21">
        <v>6.3656847915930695E-2</v>
      </c>
      <c r="AB153" s="21">
        <v>7.9501805022407182E-2</v>
      </c>
    </row>
    <row r="155" spans="1:28" x14ac:dyDescent="0.2">
      <c r="A155" s="5" t="s">
        <v>19</v>
      </c>
      <c r="C155" s="5" t="s">
        <v>21</v>
      </c>
      <c r="D155" s="4">
        <v>1229917.5004652999</v>
      </c>
      <c r="E155" s="4">
        <v>388309.114252183</v>
      </c>
      <c r="F155" s="4">
        <v>66169.581234299912</v>
      </c>
      <c r="G155" s="25">
        <v>1684396.1959517829</v>
      </c>
      <c r="I155" s="4">
        <v>2029354.787659921</v>
      </c>
      <c r="J155" s="4">
        <v>244955.22129650001</v>
      </c>
      <c r="K155" s="4">
        <v>694722.64041975699</v>
      </c>
      <c r="L155" s="4">
        <v>165698.48640299999</v>
      </c>
      <c r="M155" s="25">
        <v>3134731.1357791782</v>
      </c>
      <c r="O155" s="22">
        <v>4819127.3317309618</v>
      </c>
    </row>
    <row r="156" spans="1:28" x14ac:dyDescent="0.2">
      <c r="C156" s="5" t="s">
        <v>22</v>
      </c>
      <c r="D156" s="4">
        <v>1087948.7220000001</v>
      </c>
      <c r="E156" s="4">
        <v>352722.71799999999</v>
      </c>
      <c r="F156" s="4">
        <v>60990.139000000003</v>
      </c>
      <c r="G156" s="25">
        <v>1501661.5789999999</v>
      </c>
      <c r="I156" s="4">
        <v>1907844.2150000001</v>
      </c>
      <c r="J156" s="4">
        <v>225811.73199999999</v>
      </c>
      <c r="K156" s="4">
        <v>668428.38500000001</v>
      </c>
      <c r="L156" s="4">
        <v>175703.149</v>
      </c>
      <c r="M156" s="25">
        <v>2977787.4810000006</v>
      </c>
      <c r="O156" s="22">
        <v>4479449.0600000005</v>
      </c>
    </row>
    <row r="157" spans="1:28" x14ac:dyDescent="0.2">
      <c r="C157" s="5" t="s">
        <v>23</v>
      </c>
      <c r="D157" s="7">
        <v>0.13049215978149742</v>
      </c>
      <c r="E157" s="7">
        <v>0.10089057051375705</v>
      </c>
      <c r="F157" s="7">
        <v>8.4922617315233762E-2</v>
      </c>
      <c r="G157" s="26">
        <v>0.12168828150579114</v>
      </c>
      <c r="H157" s="37"/>
      <c r="I157" s="7">
        <v>6.3689986689988043E-2</v>
      </c>
      <c r="J157" s="7">
        <v>8.4776327283562214E-2</v>
      </c>
      <c r="K157" s="7">
        <v>3.9337430919779148E-2</v>
      </c>
      <c r="L157" s="7">
        <v>-5.6940713094447815E-2</v>
      </c>
      <c r="M157" s="26">
        <v>5.2704786953591709E-2</v>
      </c>
      <c r="O157" s="26">
        <v>7.5830368239740986E-2</v>
      </c>
      <c r="Q157" s="3">
        <v>0.14175502889475439</v>
      </c>
      <c r="R157" s="3">
        <v>9.3674526076941197E-2</v>
      </c>
      <c r="S157" s="3">
        <v>0.15102544181297989</v>
      </c>
      <c r="T157" s="21">
        <v>0.13027522596958235</v>
      </c>
      <c r="V157" s="3">
        <v>9.2598824909154012E-2</v>
      </c>
      <c r="W157" s="3">
        <v>6.0628496986476675E-2</v>
      </c>
      <c r="X157" s="3">
        <v>1.5998119149333533E-2</v>
      </c>
      <c r="Y157" s="3">
        <v>-3.3168651914012859E-3</v>
      </c>
      <c r="Z157" s="21">
        <v>6.4775334635113466E-2</v>
      </c>
      <c r="AB157" s="21">
        <v>8.6924999769614694E-2</v>
      </c>
    </row>
    <row r="159" spans="1:28" x14ac:dyDescent="0.2">
      <c r="A159" s="5" t="s">
        <v>20</v>
      </c>
      <c r="C159" s="5" t="s">
        <v>21</v>
      </c>
      <c r="D159" s="4">
        <v>1513229.5866854989</v>
      </c>
      <c r="E159" s="4">
        <v>471153.54952873487</v>
      </c>
      <c r="F159" s="4">
        <v>85280.810754600083</v>
      </c>
      <c r="G159" s="25">
        <v>2069663.9469688339</v>
      </c>
      <c r="I159" s="4">
        <v>2318177.1363948775</v>
      </c>
      <c r="J159" s="4">
        <v>309251.59305449988</v>
      </c>
      <c r="K159" s="4">
        <v>743638.63432428101</v>
      </c>
      <c r="L159" s="4">
        <v>187692.70986970002</v>
      </c>
      <c r="M159" s="25">
        <v>3558760.0736433584</v>
      </c>
      <c r="O159" s="22">
        <v>5628424.0206121923</v>
      </c>
    </row>
    <row r="160" spans="1:28" x14ac:dyDescent="0.2">
      <c r="C160" s="5" t="s">
        <v>22</v>
      </c>
      <c r="D160" s="4">
        <v>1340463.6299999999</v>
      </c>
      <c r="E160" s="4">
        <v>418844.32900000003</v>
      </c>
      <c r="F160" s="4">
        <v>73837.095000000001</v>
      </c>
      <c r="G160" s="25">
        <v>1833145.0539999998</v>
      </c>
      <c r="I160" s="4">
        <v>2228958.267</v>
      </c>
      <c r="J160" s="4">
        <v>292403.09999999998</v>
      </c>
      <c r="K160" s="4">
        <v>662591.13100000005</v>
      </c>
      <c r="L160" s="4">
        <v>160386.54699999999</v>
      </c>
      <c r="M160" s="25">
        <v>3344339.0449999999</v>
      </c>
      <c r="O160" s="22">
        <v>5177484.0989999995</v>
      </c>
    </row>
    <row r="161" spans="1:28" x14ac:dyDescent="0.2">
      <c r="C161" s="5" t="s">
        <v>23</v>
      </c>
      <c r="D161" s="7">
        <v>0.12888522509596112</v>
      </c>
      <c r="E161" s="7">
        <v>0.12488940856290043</v>
      </c>
      <c r="F161" s="7">
        <v>0.15498599659967782</v>
      </c>
      <c r="G161" s="26">
        <v>0.12902355569339141</v>
      </c>
      <c r="H161" s="37"/>
      <c r="I161" s="7">
        <v>4.0027160093472292E-2</v>
      </c>
      <c r="J161" s="7">
        <v>5.7620774384744555E-2</v>
      </c>
      <c r="K161" s="7">
        <v>0.12231902833043051</v>
      </c>
      <c r="L161" s="7">
        <v>0.1702522024475035</v>
      </c>
      <c r="M161" s="26">
        <v>6.4114620485004936E-2</v>
      </c>
      <c r="O161" s="26">
        <v>8.7096341193841464E-2</v>
      </c>
      <c r="Q161" s="3">
        <v>0.11338447130163795</v>
      </c>
      <c r="R161" s="3">
        <v>0.13441735689882212</v>
      </c>
      <c r="S161" s="3">
        <v>0.11206706638496935</v>
      </c>
      <c r="T161" s="21">
        <v>0.11704927884000722</v>
      </c>
      <c r="V161" s="3">
        <v>4.6818529682149189E-2</v>
      </c>
      <c r="W161" s="3">
        <v>8.9141770743370069E-2</v>
      </c>
      <c r="X161" s="3">
        <v>8.0503677005208107E-2</v>
      </c>
      <c r="Y161" s="3">
        <v>2.1476166446346534E-2</v>
      </c>
      <c r="Z161" s="21">
        <v>5.4913550167118561E-2</v>
      </c>
      <c r="AB161" s="21">
        <v>7.6860198106155811E-2</v>
      </c>
    </row>
    <row r="163" spans="1:28" x14ac:dyDescent="0.2">
      <c r="A163" s="15" t="s">
        <v>56</v>
      </c>
      <c r="C163" s="5" t="s">
        <v>21</v>
      </c>
      <c r="D163" s="4">
        <v>14624591.467822567</v>
      </c>
      <c r="E163" s="4">
        <v>4572411.152057793</v>
      </c>
      <c r="F163" s="4">
        <v>913052.23993210017</v>
      </c>
      <c r="G163" s="25">
        <v>20110054.859812461</v>
      </c>
      <c r="I163" s="4">
        <v>25970268.838004693</v>
      </c>
      <c r="J163" s="4">
        <v>3917130.1973799006</v>
      </c>
      <c r="K163" s="4">
        <v>8277195.2450759057</v>
      </c>
      <c r="L163" s="4">
        <v>2037569.6830937003</v>
      </c>
      <c r="M163" s="25">
        <v>40202163.963554196</v>
      </c>
      <c r="O163" s="25">
        <v>60312218.823366672</v>
      </c>
    </row>
    <row r="164" spans="1:28" x14ac:dyDescent="0.2">
      <c r="C164" s="5" t="s">
        <v>22</v>
      </c>
      <c r="D164" s="4">
        <v>13089969.073999997</v>
      </c>
      <c r="E164" s="4">
        <v>4092687.9719999996</v>
      </c>
      <c r="F164" s="4">
        <v>794834.33699999982</v>
      </c>
      <c r="G164" s="25">
        <v>17977491.383000001</v>
      </c>
      <c r="I164" s="4">
        <v>24510032.647</v>
      </c>
      <c r="J164" s="4">
        <v>3621646.071</v>
      </c>
      <c r="K164" s="4">
        <v>7620478.3570000008</v>
      </c>
      <c r="L164" s="4">
        <v>1933224.1810000001</v>
      </c>
      <c r="M164" s="25">
        <v>37685381.255999997</v>
      </c>
      <c r="O164" s="25">
        <v>55662872.639000006</v>
      </c>
    </row>
    <row r="165" spans="1:28" x14ac:dyDescent="0.2">
      <c r="C165" s="5" t="s">
        <v>23</v>
      </c>
      <c r="D165" s="7">
        <v>0.11723651791284362</v>
      </c>
      <c r="E165" s="7">
        <v>0.11721469687887387</v>
      </c>
      <c r="F165" s="7">
        <v>0.1487327577949118</v>
      </c>
      <c r="G165" s="26">
        <v>0.11862408560679771</v>
      </c>
      <c r="I165" s="7">
        <v>5.9577080619818146E-2</v>
      </c>
      <c r="J165" s="7">
        <v>8.1588349768897395E-2</v>
      </c>
      <c r="K165" s="7">
        <v>8.6177908696854821E-2</v>
      </c>
      <c r="L165" s="7">
        <v>5.3974858745934551E-2</v>
      </c>
      <c r="M165" s="26">
        <v>6.6784058530746426E-2</v>
      </c>
      <c r="O165" s="26">
        <v>8.3526881814380394E-2</v>
      </c>
      <c r="Q165" s="3">
        <v>0.11895043477902778</v>
      </c>
      <c r="R165" s="3">
        <v>0.1105896102736303</v>
      </c>
      <c r="S165" s="3">
        <v>0.15364344143358077</v>
      </c>
      <c r="T165" s="21">
        <v>0.11860456856233551</v>
      </c>
      <c r="V165" s="3">
        <v>6.2925081034311964E-2</v>
      </c>
      <c r="W165" s="3">
        <v>8.4366276538184598E-2</v>
      </c>
      <c r="X165" s="3">
        <v>7.5935224112039373E-2</v>
      </c>
      <c r="Y165" s="3">
        <v>3.4334787295939549E-2</v>
      </c>
      <c r="Z165" s="21">
        <v>6.6093846804066297E-2</v>
      </c>
      <c r="AB165" s="21">
        <v>8.346426731465631E-2</v>
      </c>
    </row>
    <row r="167" spans="1:28" x14ac:dyDescent="0.2">
      <c r="D167" s="25" t="s">
        <v>7</v>
      </c>
      <c r="E167" s="25"/>
      <c r="F167" s="25"/>
      <c r="H167" s="34"/>
      <c r="I167" s="25" t="s">
        <v>8</v>
      </c>
      <c r="J167" s="25"/>
      <c r="K167" s="25"/>
      <c r="L167" s="25"/>
      <c r="N167" s="38"/>
      <c r="O167" s="20" t="s">
        <v>24</v>
      </c>
      <c r="Q167" s="40" t="s">
        <v>64</v>
      </c>
      <c r="R167" s="41"/>
      <c r="S167" s="41"/>
      <c r="T167" s="41"/>
      <c r="U167" s="41"/>
      <c r="V167" s="41"/>
      <c r="W167" s="41"/>
      <c r="X167" s="41"/>
      <c r="Y167" s="41"/>
      <c r="Z167" s="42"/>
      <c r="AB167" s="19" t="s">
        <v>24</v>
      </c>
    </row>
    <row r="168" spans="1:28" x14ac:dyDescent="0.2">
      <c r="D168" s="23" t="s">
        <v>0</v>
      </c>
      <c r="E168" s="23" t="s">
        <v>1</v>
      </c>
      <c r="F168" s="23" t="s">
        <v>2</v>
      </c>
      <c r="G168" s="23" t="s">
        <v>24</v>
      </c>
      <c r="H168" s="35"/>
      <c r="I168" s="23" t="s">
        <v>3</v>
      </c>
      <c r="J168" s="23" t="s">
        <v>4</v>
      </c>
      <c r="K168" s="23" t="s">
        <v>5</v>
      </c>
      <c r="L168" s="23" t="s">
        <v>6</v>
      </c>
      <c r="M168" s="23" t="s">
        <v>24</v>
      </c>
      <c r="N168" s="38"/>
      <c r="O168" s="23" t="s">
        <v>49</v>
      </c>
      <c r="Q168" s="23" t="s">
        <v>0</v>
      </c>
      <c r="R168" s="23" t="s">
        <v>1</v>
      </c>
      <c r="S168" s="23" t="s">
        <v>2</v>
      </c>
      <c r="T168" s="23" t="s">
        <v>24</v>
      </c>
      <c r="U168" s="23"/>
      <c r="V168" s="23" t="s">
        <v>3</v>
      </c>
      <c r="W168" s="23" t="s">
        <v>4</v>
      </c>
      <c r="X168" s="23" t="s">
        <v>58</v>
      </c>
      <c r="Y168" s="23" t="s">
        <v>59</v>
      </c>
      <c r="Z168" s="23" t="s">
        <v>24</v>
      </c>
      <c r="AB168" s="23" t="s">
        <v>49</v>
      </c>
    </row>
    <row r="169" spans="1:28" x14ac:dyDescent="0.2">
      <c r="A169" s="5">
        <v>2012</v>
      </c>
      <c r="D169" s="14"/>
      <c r="E169" s="14"/>
      <c r="F169" s="14"/>
      <c r="G169" s="23"/>
      <c r="H169" s="28"/>
      <c r="I169" s="14"/>
      <c r="J169" s="14"/>
      <c r="K169" s="14"/>
      <c r="L169" s="32"/>
      <c r="M169" s="23"/>
      <c r="O169" s="23"/>
      <c r="Q169" s="14"/>
      <c r="R169" s="14"/>
      <c r="S169" s="14"/>
      <c r="T169" s="23"/>
      <c r="U169" s="14"/>
      <c r="V169" s="14"/>
      <c r="W169" s="14"/>
      <c r="X169" s="14"/>
      <c r="Y169" s="32"/>
      <c r="Z169" s="23"/>
      <c r="AB169" s="23"/>
    </row>
    <row r="170" spans="1:28" x14ac:dyDescent="0.2">
      <c r="A170" s="5" t="s">
        <v>9</v>
      </c>
      <c r="C170" s="5" t="s">
        <v>21</v>
      </c>
      <c r="D170" s="4">
        <v>1383031.8508993003</v>
      </c>
      <c r="E170" s="4">
        <v>448251.22214057046</v>
      </c>
      <c r="F170" s="4">
        <v>79854.451707600048</v>
      </c>
      <c r="G170" s="25">
        <v>1911137.5247474709</v>
      </c>
      <c r="I170" s="4">
        <v>2150328.0562673048</v>
      </c>
      <c r="J170" s="4">
        <v>276248.42314789991</v>
      </c>
      <c r="K170" s="4">
        <v>709935.56467237603</v>
      </c>
      <c r="L170" s="4">
        <v>194566.63055989999</v>
      </c>
      <c r="M170" s="25">
        <v>3331078.6746474807</v>
      </c>
      <c r="O170" s="22">
        <v>5242216.1993949516</v>
      </c>
      <c r="Q170" s="14"/>
      <c r="R170" s="14"/>
      <c r="S170" s="14"/>
      <c r="T170" s="23"/>
      <c r="U170" s="14"/>
      <c r="V170" s="14"/>
      <c r="W170" s="14"/>
      <c r="X170" s="14"/>
      <c r="Y170" s="32"/>
      <c r="Z170" s="23"/>
      <c r="AB170" s="23"/>
    </row>
    <row r="171" spans="1:28" x14ac:dyDescent="0.2">
      <c r="C171" s="5" t="s">
        <v>22</v>
      </c>
      <c r="D171" s="4">
        <v>1206073.872</v>
      </c>
      <c r="E171" s="4">
        <v>399841.95400000003</v>
      </c>
      <c r="F171" s="4">
        <v>67609.433999999994</v>
      </c>
      <c r="G171" s="25">
        <v>1673525.2599999998</v>
      </c>
      <c r="I171" s="4">
        <v>1957615.0360000001</v>
      </c>
      <c r="J171" s="4">
        <v>284262.82699999999</v>
      </c>
      <c r="K171" s="4">
        <v>671592.03200000001</v>
      </c>
      <c r="L171" s="4">
        <v>177354.34299999999</v>
      </c>
      <c r="M171" s="25">
        <v>3090824.2379999999</v>
      </c>
      <c r="O171" s="22">
        <v>4764349.4979999997</v>
      </c>
      <c r="Q171" s="14"/>
      <c r="R171" s="14"/>
      <c r="S171" s="14"/>
      <c r="T171" s="23"/>
      <c r="U171" s="14"/>
      <c r="V171" s="14"/>
      <c r="W171" s="14"/>
      <c r="X171" s="14"/>
      <c r="Y171" s="32"/>
      <c r="Z171" s="23"/>
      <c r="AB171" s="23"/>
    </row>
    <row r="172" spans="1:28" x14ac:dyDescent="0.2">
      <c r="C172" s="5" t="s">
        <v>23</v>
      </c>
      <c r="D172" s="7">
        <v>0.14672233849644356</v>
      </c>
      <c r="E172" s="7">
        <v>0.12107100732248433</v>
      </c>
      <c r="F172" s="7">
        <v>0.1811140396116917</v>
      </c>
      <c r="G172" s="26">
        <v>0.14198307633998364</v>
      </c>
      <c r="H172" s="37"/>
      <c r="I172" s="7">
        <v>9.8442756478350102E-2</v>
      </c>
      <c r="J172" s="7">
        <v>-2.8193640148734933E-2</v>
      </c>
      <c r="K172" s="7">
        <v>5.7093489567154432E-2</v>
      </c>
      <c r="L172" s="7">
        <v>9.7050273868399151E-2</v>
      </c>
      <c r="M172" s="26">
        <v>7.773151047985305E-2</v>
      </c>
      <c r="O172" s="26">
        <v>0.1003005135529107</v>
      </c>
      <c r="Q172" s="3">
        <v>0.15277202995273501</v>
      </c>
      <c r="R172" s="3">
        <v>0.10324537128275843</v>
      </c>
      <c r="S172" s="3">
        <v>0.16009114261211921</v>
      </c>
      <c r="T172" s="21">
        <v>0.14058309295808064</v>
      </c>
      <c r="V172" s="3">
        <v>8.0171737427748774E-2</v>
      </c>
      <c r="W172" s="3">
        <v>7.0937584498906747E-2</v>
      </c>
      <c r="X172" s="3">
        <v>0.10669697710780243</v>
      </c>
      <c r="Y172" s="3">
        <v>7.2664345993810137E-2</v>
      </c>
      <c r="Z172" s="21">
        <v>8.2602766345591896E-2</v>
      </c>
      <c r="AB172" s="21">
        <v>0.1032978891512422</v>
      </c>
    </row>
    <row r="174" spans="1:28" x14ac:dyDescent="0.2">
      <c r="A174" s="5" t="s">
        <v>10</v>
      </c>
      <c r="C174" s="5" t="s">
        <v>21</v>
      </c>
      <c r="D174" s="4">
        <v>1243153.4967103989</v>
      </c>
      <c r="E174" s="4">
        <v>383074.55307529343</v>
      </c>
      <c r="F174" s="4">
        <v>71141.789368499987</v>
      </c>
      <c r="G174" s="25">
        <v>1697369.8391541922</v>
      </c>
      <c r="I174" s="4">
        <v>1993695.958135565</v>
      </c>
      <c r="J174" s="4">
        <v>267001.4192415002</v>
      </c>
      <c r="K174" s="4">
        <v>660392.94516811194</v>
      </c>
      <c r="L174" s="4">
        <v>170190.6801842</v>
      </c>
      <c r="M174" s="25">
        <v>3091281.0027293772</v>
      </c>
      <c r="O174" s="22">
        <v>4788650.84188357</v>
      </c>
    </row>
    <row r="175" spans="1:28" x14ac:dyDescent="0.2">
      <c r="C175" s="5" t="s">
        <v>22</v>
      </c>
      <c r="D175" s="4">
        <v>1078748.669</v>
      </c>
      <c r="E175" s="4">
        <v>341144.4</v>
      </c>
      <c r="F175" s="4">
        <v>65555.721999999994</v>
      </c>
      <c r="G175" s="25">
        <v>1485448.7910000002</v>
      </c>
      <c r="I175" s="4">
        <v>1874420.7660000001</v>
      </c>
      <c r="J175" s="4">
        <v>238731.128</v>
      </c>
      <c r="K175" s="4">
        <v>589458.92200000002</v>
      </c>
      <c r="L175" s="4">
        <v>183816.122</v>
      </c>
      <c r="M175" s="25">
        <v>2886426.9379999996</v>
      </c>
      <c r="O175" s="22">
        <v>4371875.7290000003</v>
      </c>
    </row>
    <row r="176" spans="1:28" x14ac:dyDescent="0.2">
      <c r="C176" s="5" t="s">
        <v>23</v>
      </c>
      <c r="D176" s="7">
        <v>0.15240327282424571</v>
      </c>
      <c r="E176" s="7">
        <v>0.12291027809717359</v>
      </c>
      <c r="F176" s="7">
        <v>8.5210980797373992E-2</v>
      </c>
      <c r="G176" s="26">
        <v>0.14266466096857333</v>
      </c>
      <c r="H176" s="37"/>
      <c r="I176" s="7">
        <v>6.3633093646362715E-2</v>
      </c>
      <c r="J176" s="7">
        <v>0.11841895725261353</v>
      </c>
      <c r="K176" s="7">
        <v>0.12033751720550234</v>
      </c>
      <c r="L176" s="7">
        <v>-7.4125390458406049E-2</v>
      </c>
      <c r="M176" s="26">
        <v>7.0971505300363003E-2</v>
      </c>
      <c r="O176" s="26">
        <v>9.5330960603242199E-2</v>
      </c>
      <c r="Q176" s="3">
        <v>0.13292545356851879</v>
      </c>
      <c r="R176" s="3">
        <v>0.1045978664300264</v>
      </c>
      <c r="S176" s="3">
        <v>0.15408161197416081</v>
      </c>
      <c r="T176" s="21">
        <v>0.12729723751087127</v>
      </c>
      <c r="V176" s="3">
        <v>7.5208230351259203E-2</v>
      </c>
      <c r="W176" s="3">
        <v>5.8019216350307601E-2</v>
      </c>
      <c r="X176" s="3">
        <v>8.0572395427676954E-2</v>
      </c>
      <c r="Y176" s="3">
        <v>-1.1391809067634063E-2</v>
      </c>
      <c r="Z176" s="21">
        <v>6.9152778986095953E-2</v>
      </c>
      <c r="AB176" s="21">
        <v>8.9274192250744913E-2</v>
      </c>
    </row>
    <row r="178" spans="1:28" x14ac:dyDescent="0.2">
      <c r="A178" s="5" t="s">
        <v>11</v>
      </c>
      <c r="C178" s="5" t="s">
        <v>21</v>
      </c>
      <c r="D178" s="4">
        <v>1262700.1728413005</v>
      </c>
      <c r="E178" s="4">
        <v>367213.90713160031</v>
      </c>
      <c r="F178" s="4">
        <v>74686.687366399987</v>
      </c>
      <c r="G178" s="25">
        <v>1704600.7673393008</v>
      </c>
      <c r="I178" s="4">
        <v>1965407.7387672639</v>
      </c>
      <c r="J178" s="4">
        <v>260991.42958940001</v>
      </c>
      <c r="K178" s="4">
        <v>661200.64543449203</v>
      </c>
      <c r="L178" s="4">
        <v>173819.49905010001</v>
      </c>
      <c r="M178" s="25">
        <v>3061419.3128412557</v>
      </c>
      <c r="O178" s="22">
        <v>4766020.0801805565</v>
      </c>
    </row>
    <row r="179" spans="1:28" x14ac:dyDescent="0.2">
      <c r="C179" s="5" t="s">
        <v>22</v>
      </c>
      <c r="D179" s="4">
        <v>1115799.818</v>
      </c>
      <c r="E179" s="4">
        <v>315191.31400000001</v>
      </c>
      <c r="F179" s="4">
        <v>64558.794999999998</v>
      </c>
      <c r="G179" s="25">
        <v>1495549.9269999999</v>
      </c>
      <c r="I179" s="4">
        <v>1807946.942</v>
      </c>
      <c r="J179" s="4">
        <v>241510.61900000001</v>
      </c>
      <c r="K179" s="4">
        <v>639416.152</v>
      </c>
      <c r="L179" s="4">
        <v>159990.54300000001</v>
      </c>
      <c r="M179" s="25">
        <v>2848864.2560000001</v>
      </c>
      <c r="O179" s="22">
        <v>4344414.1830000002</v>
      </c>
    </row>
    <row r="180" spans="1:28" x14ac:dyDescent="0.2">
      <c r="C180" s="5" t="s">
        <v>23</v>
      </c>
      <c r="D180" s="7">
        <v>0.13165475784411762</v>
      </c>
      <c r="E180" s="7">
        <v>0.16505084633011258</v>
      </c>
      <c r="F180" s="7">
        <v>0.15687858434160651</v>
      </c>
      <c r="G180" s="26">
        <v>0.13978192005842738</v>
      </c>
      <c r="H180" s="37"/>
      <c r="I180" s="7">
        <v>8.7093704527123172E-2</v>
      </c>
      <c r="J180" s="7">
        <v>8.0662335553038256E-2</v>
      </c>
      <c r="K180" s="7">
        <v>3.406935118287735E-2</v>
      </c>
      <c r="L180" s="7">
        <v>8.6436084225928411E-2</v>
      </c>
      <c r="M180" s="26">
        <v>7.4610454462192388E-2</v>
      </c>
      <c r="O180" s="26">
        <v>9.7045511643510052E-2</v>
      </c>
      <c r="Q180" s="3">
        <v>0.11660154226957986</v>
      </c>
      <c r="R180" s="3">
        <v>0.14511302448167046</v>
      </c>
      <c r="S180" s="3">
        <v>0.15380123912932131</v>
      </c>
      <c r="T180" s="21">
        <v>0.12419039698563243</v>
      </c>
      <c r="V180" s="3">
        <v>6.5172549313606248E-2</v>
      </c>
      <c r="W180" s="3">
        <v>9.0252946698864994E-2</v>
      </c>
      <c r="X180" s="3">
        <v>5.9843868336806459E-2</v>
      </c>
      <c r="Y180" s="3">
        <v>0.14129112153744852</v>
      </c>
      <c r="Z180" s="21">
        <v>6.9468253621559478E-2</v>
      </c>
      <c r="AB180" s="21">
        <v>8.8544923553503324E-2</v>
      </c>
    </row>
    <row r="182" spans="1:28" x14ac:dyDescent="0.2">
      <c r="A182" s="5" t="s">
        <v>12</v>
      </c>
      <c r="C182" s="5" t="s">
        <v>21</v>
      </c>
      <c r="D182" s="4">
        <v>1065718.8080995001</v>
      </c>
      <c r="E182" s="4">
        <v>306169.00140328828</v>
      </c>
      <c r="F182" s="4">
        <v>69240.279708800139</v>
      </c>
      <c r="G182" s="25">
        <v>1441128.0892115885</v>
      </c>
      <c r="I182" s="4">
        <v>1880882.4327810924</v>
      </c>
      <c r="J182" s="4">
        <v>237199.14022419992</v>
      </c>
      <c r="K182" s="4">
        <v>620485.27314725996</v>
      </c>
      <c r="L182" s="4">
        <v>169028.3722059</v>
      </c>
      <c r="M182" s="25">
        <v>2907595.218358452</v>
      </c>
      <c r="O182" s="22">
        <v>4348723.3075700402</v>
      </c>
    </row>
    <row r="183" spans="1:28" x14ac:dyDescent="0.2">
      <c r="C183" s="5" t="s">
        <v>22</v>
      </c>
      <c r="D183" s="4">
        <v>959035.02300000004</v>
      </c>
      <c r="E183" s="4">
        <v>273663.77600000001</v>
      </c>
      <c r="F183" s="4">
        <v>51743.919000000002</v>
      </c>
      <c r="G183" s="25">
        <v>1284442.7180000001</v>
      </c>
      <c r="I183" s="4">
        <v>1766007.798</v>
      </c>
      <c r="J183" s="4">
        <v>223455.527</v>
      </c>
      <c r="K183" s="4">
        <v>595674.54099999997</v>
      </c>
      <c r="L183" s="4">
        <v>165668.448</v>
      </c>
      <c r="M183" s="25">
        <v>2750806.3139999998</v>
      </c>
      <c r="O183" s="22">
        <v>4035249.0319999997</v>
      </c>
    </row>
    <row r="184" spans="1:28" x14ac:dyDescent="0.2">
      <c r="C184" s="5" t="s">
        <v>23</v>
      </c>
      <c r="D184" s="7">
        <v>0.11124076028608187</v>
      </c>
      <c r="E184" s="7">
        <v>0.118777961330506</v>
      </c>
      <c r="F184" s="7">
        <v>0.3381336598953808</v>
      </c>
      <c r="G184" s="26">
        <v>0.12198704466600296</v>
      </c>
      <c r="H184" s="37"/>
      <c r="I184" s="7">
        <v>6.5047637338401243E-2</v>
      </c>
      <c r="J184" s="7">
        <v>6.1504915133291371E-2</v>
      </c>
      <c r="K184" s="7">
        <v>4.1651489932083452E-2</v>
      </c>
      <c r="L184" s="7">
        <v>2.0281014559272004E-2</v>
      </c>
      <c r="M184" s="26">
        <v>5.6997435101296734E-2</v>
      </c>
      <c r="O184" s="26">
        <v>7.7683997464382593E-2</v>
      </c>
      <c r="Q184" s="3">
        <v>0.12188075384398611</v>
      </c>
      <c r="R184" s="3">
        <v>0.12504887927918565</v>
      </c>
      <c r="S184" s="3">
        <v>0.23099302260449722</v>
      </c>
      <c r="T184" s="21">
        <v>0.12680760168606825</v>
      </c>
      <c r="V184" s="3">
        <v>7.3312687462644452E-2</v>
      </c>
      <c r="W184" s="3">
        <v>6.2518736227349159E-2</v>
      </c>
      <c r="X184" s="3">
        <v>7.878096181059964E-2</v>
      </c>
      <c r="Y184" s="3">
        <v>1.8701209698443511E-2</v>
      </c>
      <c r="Z184" s="21">
        <v>6.8971432053162252E-2</v>
      </c>
      <c r="AB184" s="21">
        <v>8.8624318912739225E-2</v>
      </c>
    </row>
    <row r="186" spans="1:28" x14ac:dyDescent="0.2">
      <c r="A186" s="5" t="s">
        <v>13</v>
      </c>
      <c r="C186" s="5" t="s">
        <v>21</v>
      </c>
      <c r="D186" s="4">
        <v>1079566.6859548001</v>
      </c>
      <c r="E186" s="4">
        <v>325052.58099567279</v>
      </c>
      <c r="F186" s="4">
        <v>81839.72414320003</v>
      </c>
      <c r="G186" s="25">
        <v>1486458.991093673</v>
      </c>
      <c r="I186" s="4">
        <v>1989004.4153471787</v>
      </c>
      <c r="J186" s="4">
        <v>369142.78606260027</v>
      </c>
      <c r="K186" s="4">
        <v>637017.40941448195</v>
      </c>
      <c r="L186" s="4">
        <v>167040.93022469999</v>
      </c>
      <c r="M186" s="25">
        <v>3162205.5410489608</v>
      </c>
      <c r="O186" s="22">
        <v>4648664.5321426336</v>
      </c>
    </row>
    <row r="187" spans="1:28" x14ac:dyDescent="0.2">
      <c r="C187" s="5" t="s">
        <v>22</v>
      </c>
      <c r="D187" s="4">
        <v>989734.31299999997</v>
      </c>
      <c r="E187" s="4">
        <v>292628.484</v>
      </c>
      <c r="F187" s="4">
        <v>65106.067999999999</v>
      </c>
      <c r="G187" s="25">
        <v>1347468.865</v>
      </c>
      <c r="I187" s="4">
        <v>1924978.558</v>
      </c>
      <c r="J187" s="4">
        <v>305846.56300000002</v>
      </c>
      <c r="K187" s="4">
        <v>576060.005</v>
      </c>
      <c r="L187" s="4">
        <v>167228.33499999999</v>
      </c>
      <c r="M187" s="25">
        <v>2974113.4609999997</v>
      </c>
      <c r="O187" s="22">
        <v>4321582.3259999994</v>
      </c>
    </row>
    <row r="188" spans="1:28" x14ac:dyDescent="0.2">
      <c r="C188" s="5" t="s">
        <v>23</v>
      </c>
      <c r="D188" s="7">
        <v>9.0764129094916157E-2</v>
      </c>
      <c r="E188" s="7">
        <v>0.11080294218956754</v>
      </c>
      <c r="F188" s="7">
        <v>0.2570214521816927</v>
      </c>
      <c r="G188" s="26">
        <v>0.10314904463018748</v>
      </c>
      <c r="H188" s="37"/>
      <c r="I188" s="7">
        <v>3.3260556114297568E-2</v>
      </c>
      <c r="J188" s="7">
        <v>0.20695417480496658</v>
      </c>
      <c r="K188" s="7">
        <v>0.10581780350205339</v>
      </c>
      <c r="L188" s="7">
        <v>-1.1206520432078815E-3</v>
      </c>
      <c r="M188" s="26">
        <v>6.3243074790333642E-2</v>
      </c>
      <c r="O188" s="26">
        <v>7.5685751530129242E-2</v>
      </c>
      <c r="Q188" s="3">
        <v>0.10814102811109461</v>
      </c>
      <c r="R188" s="3">
        <v>9.3653197887311385E-2</v>
      </c>
      <c r="S188" s="3">
        <v>0.1522851163860266</v>
      </c>
      <c r="T188" s="21">
        <v>0.10671335880327222</v>
      </c>
      <c r="V188" s="3">
        <v>5.0784310534594826E-2</v>
      </c>
      <c r="W188" s="3">
        <v>0.17903358503180603</v>
      </c>
      <c r="X188" s="3">
        <v>4.9790402655781787E-2</v>
      </c>
      <c r="Y188" s="3">
        <v>6.137839143544279E-2</v>
      </c>
      <c r="Z188" s="21">
        <v>6.1615527458572926E-2</v>
      </c>
      <c r="AB188" s="21">
        <v>7.6493796068068762E-2</v>
      </c>
    </row>
    <row r="190" spans="1:28" x14ac:dyDescent="0.2">
      <c r="A190" s="5" t="s">
        <v>14</v>
      </c>
      <c r="C190" s="5" t="s">
        <v>21</v>
      </c>
      <c r="D190" s="4">
        <v>1057564.6314360003</v>
      </c>
      <c r="E190" s="4">
        <v>323131.77181303431</v>
      </c>
      <c r="F190" s="4">
        <v>80930.112567000033</v>
      </c>
      <c r="G190" s="25">
        <v>1461626.5158160347</v>
      </c>
      <c r="I190" s="4">
        <v>2249832.0295864046</v>
      </c>
      <c r="J190" s="4">
        <v>442557.32664680074</v>
      </c>
      <c r="K190" s="4">
        <v>667797.07749245199</v>
      </c>
      <c r="L190" s="4">
        <v>155577.32063399997</v>
      </c>
      <c r="M190" s="25">
        <v>3515763.7543596569</v>
      </c>
      <c r="O190" s="22">
        <v>4977390.2701756917</v>
      </c>
    </row>
    <row r="191" spans="1:28" x14ac:dyDescent="0.2">
      <c r="C191" s="5" t="s">
        <v>22</v>
      </c>
      <c r="D191" s="4">
        <v>965521.95600000001</v>
      </c>
      <c r="E191" s="4">
        <v>288147.76299999998</v>
      </c>
      <c r="F191" s="4">
        <v>71876.567999999999</v>
      </c>
      <c r="G191" s="25">
        <v>1325546.287</v>
      </c>
      <c r="I191" s="4">
        <v>2073589.2009999999</v>
      </c>
      <c r="J191" s="4">
        <v>404044.86800000002</v>
      </c>
      <c r="K191" s="4">
        <v>662640.52599999995</v>
      </c>
      <c r="L191" s="4">
        <v>174711.90100000001</v>
      </c>
      <c r="M191" s="25">
        <v>3314986.4960000003</v>
      </c>
      <c r="O191" s="22">
        <v>4640532.7829999998</v>
      </c>
    </row>
    <row r="192" spans="1:28" x14ac:dyDescent="0.2">
      <c r="C192" s="5" t="s">
        <v>23</v>
      </c>
      <c r="D192" s="7">
        <v>9.5329448350732537E-2</v>
      </c>
      <c r="E192" s="7">
        <v>0.12140996150309991</v>
      </c>
      <c r="F192" s="7">
        <v>0.12595961130197586</v>
      </c>
      <c r="G192" s="26">
        <v>0.10265973368912973</v>
      </c>
      <c r="H192" s="37"/>
      <c r="I192" s="7">
        <v>8.4994090681708157E-2</v>
      </c>
      <c r="J192" s="7">
        <v>9.5317282056904373E-2</v>
      </c>
      <c r="K192" s="7">
        <v>7.7818233116215829E-3</v>
      </c>
      <c r="L192" s="7">
        <v>-0.10952076107282493</v>
      </c>
      <c r="M192" s="26">
        <v>6.0566538838671802E-2</v>
      </c>
      <c r="O192" s="26">
        <v>7.2590261275542911E-2</v>
      </c>
      <c r="Q192" s="3">
        <v>0.10001746821891566</v>
      </c>
      <c r="R192" s="3">
        <v>9.4885168634118555E-2</v>
      </c>
      <c r="S192" s="3">
        <v>0.13659605618351128</v>
      </c>
      <c r="T192" s="21">
        <v>9.9413415680318848E-2</v>
      </c>
      <c r="V192" s="3">
        <v>7.140201940068347E-2</v>
      </c>
      <c r="W192" s="3">
        <v>5.1122370039832554E-2</v>
      </c>
      <c r="X192" s="3">
        <v>2.0209644580880703E-2</v>
      </c>
      <c r="Y192" s="3">
        <v>-1.63213562805661E-2</v>
      </c>
      <c r="Z192" s="21">
        <v>5.4255906204571144E-2</v>
      </c>
      <c r="AB192" s="21">
        <v>6.8351687040359807E-2</v>
      </c>
    </row>
    <row r="194" spans="1:28" x14ac:dyDescent="0.2">
      <c r="A194" s="5" t="s">
        <v>15</v>
      </c>
      <c r="C194" s="5" t="s">
        <v>21</v>
      </c>
      <c r="D194" s="4">
        <v>1183149.8605787996</v>
      </c>
      <c r="E194" s="4">
        <v>392662.43265940057</v>
      </c>
      <c r="F194" s="4">
        <v>89247.618895899956</v>
      </c>
      <c r="G194" s="25">
        <v>1665059.9121341002</v>
      </c>
      <c r="I194" s="4">
        <v>2513630.6340363887</v>
      </c>
      <c r="J194" s="4">
        <v>467630.47643029998</v>
      </c>
      <c r="K194" s="4">
        <v>695893.42607051705</v>
      </c>
      <c r="L194" s="4">
        <v>155865.22544330001</v>
      </c>
      <c r="M194" s="25">
        <v>3833019.7619805057</v>
      </c>
      <c r="O194" s="22">
        <v>5498079.6741146054</v>
      </c>
    </row>
    <row r="195" spans="1:28" x14ac:dyDescent="0.2">
      <c r="C195" s="5" t="s">
        <v>22</v>
      </c>
      <c r="D195" s="4">
        <v>1081551.2350000001</v>
      </c>
      <c r="E195" s="4">
        <v>363285.68599999999</v>
      </c>
      <c r="F195" s="4">
        <v>81105.726999999999</v>
      </c>
      <c r="G195" s="25">
        <v>1525942.648</v>
      </c>
      <c r="I195" s="4">
        <v>2398487.4219999998</v>
      </c>
      <c r="J195" s="4">
        <v>413020.89799999999</v>
      </c>
      <c r="K195" s="4">
        <v>604402.41399999999</v>
      </c>
      <c r="L195" s="4">
        <v>136675.13500000001</v>
      </c>
      <c r="M195" s="25">
        <v>3552585.8689999999</v>
      </c>
      <c r="O195" s="22">
        <v>5078528.517</v>
      </c>
    </row>
    <row r="196" spans="1:28" x14ac:dyDescent="0.2">
      <c r="C196" s="5" t="s">
        <v>23</v>
      </c>
      <c r="D196" s="7">
        <v>9.3937875794482872E-2</v>
      </c>
      <c r="E196" s="7">
        <v>8.0864035637783438E-2</v>
      </c>
      <c r="F196" s="7">
        <v>0.10038615270534423</v>
      </c>
      <c r="G196" s="26">
        <v>9.1168081786321631E-2</v>
      </c>
      <c r="H196" s="37"/>
      <c r="I196" s="7">
        <v>4.8006594064343933E-2</v>
      </c>
      <c r="J196" s="7">
        <v>0.13221989176513782</v>
      </c>
      <c r="K196" s="7">
        <v>0.15137433264870626</v>
      </c>
      <c r="L196" s="7">
        <v>0.14040659585446913</v>
      </c>
      <c r="M196" s="26">
        <v>7.8937963309369197E-2</v>
      </c>
      <c r="O196" s="26">
        <v>8.2612740227841375E-2</v>
      </c>
      <c r="Q196" s="3">
        <v>9.580668228089699E-2</v>
      </c>
      <c r="R196" s="3">
        <v>9.6126849943234977E-2</v>
      </c>
      <c r="S196" s="3">
        <v>8.2901916087106994E-2</v>
      </c>
      <c r="T196" s="21">
        <v>9.4339830196469299E-2</v>
      </c>
      <c r="V196" s="3">
        <v>3.4165993420132643E-2</v>
      </c>
      <c r="W196" s="3">
        <v>0.21048760247991818</v>
      </c>
      <c r="X196" s="3">
        <v>0.11149843757557285</v>
      </c>
      <c r="Y196" s="3">
        <v>5.0574420761083427E-2</v>
      </c>
      <c r="Z196" s="21">
        <v>6.5778193503339022E-2</v>
      </c>
      <c r="AB196" s="21">
        <v>7.4632840954719046E-2</v>
      </c>
    </row>
    <row r="198" spans="1:28" x14ac:dyDescent="0.2">
      <c r="A198" s="5" t="s">
        <v>16</v>
      </c>
      <c r="C198" s="5" t="s">
        <v>21</v>
      </c>
      <c r="D198" s="4">
        <v>1247105.5411253006</v>
      </c>
      <c r="E198" s="4">
        <v>399015.92391294317</v>
      </c>
      <c r="F198" s="4">
        <v>89334.415797600072</v>
      </c>
      <c r="G198" s="25">
        <v>1735455.8808358437</v>
      </c>
      <c r="I198" s="4">
        <v>2546173.189996494</v>
      </c>
      <c r="J198" s="4">
        <v>395917.92476720025</v>
      </c>
      <c r="K198" s="4">
        <v>682151.34840607003</v>
      </c>
      <c r="L198" s="4">
        <v>164718.92280850001</v>
      </c>
      <c r="M198" s="25">
        <v>3788961.3859782643</v>
      </c>
      <c r="O198" s="22">
        <v>5524417.266814108</v>
      </c>
    </row>
    <row r="199" spans="1:28" x14ac:dyDescent="0.2">
      <c r="C199" s="5" t="s">
        <v>22</v>
      </c>
      <c r="D199" s="4">
        <v>1132474.1540000001</v>
      </c>
      <c r="E199" s="4">
        <v>386974.20899999997</v>
      </c>
      <c r="F199" s="4">
        <v>60971.97</v>
      </c>
      <c r="G199" s="25">
        <v>1580420.3330000001</v>
      </c>
      <c r="I199" s="4">
        <v>2369228.7519999999</v>
      </c>
      <c r="J199" s="4">
        <v>399181.99800000002</v>
      </c>
      <c r="K199" s="4">
        <v>632393.71200000006</v>
      </c>
      <c r="L199" s="4">
        <v>160804.019</v>
      </c>
      <c r="M199" s="25">
        <v>3561608.4810000001</v>
      </c>
      <c r="O199" s="22">
        <v>5142028.8140000002</v>
      </c>
    </row>
    <row r="200" spans="1:28" x14ac:dyDescent="0.2">
      <c r="C200" s="5" t="s">
        <v>23</v>
      </c>
      <c r="D200" s="7">
        <v>0.1012220779789208</v>
      </c>
      <c r="E200" s="7">
        <v>3.1117616194786812E-2</v>
      </c>
      <c r="F200" s="7">
        <v>0.46517187812038996</v>
      </c>
      <c r="G200" s="26">
        <v>9.8097667182976966E-2</v>
      </c>
      <c r="H200" s="37"/>
      <c r="I200" s="7">
        <v>7.4684404301241569E-2</v>
      </c>
      <c r="J200" s="7">
        <v>-8.1769048933909572E-3</v>
      </c>
      <c r="K200" s="7">
        <v>7.8681421813488805E-2</v>
      </c>
      <c r="L200" s="7">
        <v>2.4345808225725962E-2</v>
      </c>
      <c r="M200" s="26">
        <v>6.3834333894676076E-2</v>
      </c>
      <c r="O200" s="26">
        <v>7.4365287835998384E-2</v>
      </c>
      <c r="Q200" s="3">
        <v>0.10520720779916144</v>
      </c>
      <c r="R200" s="3">
        <v>0.1006440574928165</v>
      </c>
      <c r="S200" s="3">
        <v>0.24020400634755604</v>
      </c>
      <c r="T200" s="21">
        <v>0.109375707770376</v>
      </c>
      <c r="V200" s="3">
        <v>8.451255437911645E-2</v>
      </c>
      <c r="W200" s="3">
        <v>-1.1063361707609576E-2</v>
      </c>
      <c r="X200" s="3">
        <v>0.10504369804418165</v>
      </c>
      <c r="Y200" s="3">
        <v>3.5546642822364083E-2</v>
      </c>
      <c r="Z200" s="21">
        <v>7.6018974481948873E-2</v>
      </c>
      <c r="AB200" s="21">
        <v>8.673164576865941E-2</v>
      </c>
    </row>
    <row r="202" spans="1:28" x14ac:dyDescent="0.2">
      <c r="A202" s="5" t="s">
        <v>17</v>
      </c>
      <c r="C202" s="5" t="s">
        <v>21</v>
      </c>
      <c r="D202" s="4">
        <v>1095443.8163009009</v>
      </c>
      <c r="E202" s="4">
        <v>350324.08898905572</v>
      </c>
      <c r="F202" s="4">
        <v>72236.990446399883</v>
      </c>
      <c r="G202" s="25">
        <v>1518004.8957363565</v>
      </c>
      <c r="I202" s="4">
        <v>2062716.2429840707</v>
      </c>
      <c r="J202" s="4">
        <v>283826.68276520009</v>
      </c>
      <c r="K202" s="4">
        <v>623371.62543118303</v>
      </c>
      <c r="L202" s="4">
        <v>172948.01692610001</v>
      </c>
      <c r="M202" s="25">
        <v>3142862.568106554</v>
      </c>
      <c r="O202" s="22">
        <v>4660867.4638429107</v>
      </c>
    </row>
    <row r="203" spans="1:28" x14ac:dyDescent="0.2">
      <c r="C203" s="5" t="s">
        <v>22</v>
      </c>
      <c r="D203" s="4">
        <v>976411.99100000004</v>
      </c>
      <c r="E203" s="4">
        <v>301192.70400000003</v>
      </c>
      <c r="F203" s="4">
        <v>64756.993999999999</v>
      </c>
      <c r="G203" s="25">
        <v>1342361.689</v>
      </c>
      <c r="I203" s="4">
        <v>1909616.0560000001</v>
      </c>
      <c r="J203" s="4">
        <v>266770.65999999997</v>
      </c>
      <c r="K203" s="4">
        <v>579063.19900000002</v>
      </c>
      <c r="L203" s="4">
        <v>152426.59700000001</v>
      </c>
      <c r="M203" s="25">
        <v>2907876.5120000001</v>
      </c>
      <c r="O203" s="22">
        <v>4250238.2010000004</v>
      </c>
    </row>
    <row r="204" spans="1:28" x14ac:dyDescent="0.2">
      <c r="C204" s="5" t="s">
        <v>23</v>
      </c>
      <c r="D204" s="7">
        <v>0.1219073776214008</v>
      </c>
      <c r="E204" s="7">
        <v>0.16312275940474197</v>
      </c>
      <c r="F204" s="7">
        <v>0.11550870391543944</v>
      </c>
      <c r="G204" s="26">
        <v>0.13084640911288448</v>
      </c>
      <c r="H204" s="37"/>
      <c r="I204" s="7">
        <v>8.0173282217140374E-2</v>
      </c>
      <c r="J204" s="7">
        <v>6.3935152258498551E-2</v>
      </c>
      <c r="K204" s="7">
        <v>7.6517427644686054E-2</v>
      </c>
      <c r="L204" s="7">
        <v>0.13463149036975475</v>
      </c>
      <c r="M204" s="26">
        <v>8.0810190920017178E-2</v>
      </c>
      <c r="O204" s="26">
        <v>9.6613235170277534E-2</v>
      </c>
      <c r="Q204" s="3">
        <v>0.12172140365515882</v>
      </c>
      <c r="R204" s="3">
        <v>0.16748978589568891</v>
      </c>
      <c r="S204" s="3">
        <v>0.10232605300947362</v>
      </c>
      <c r="T204" s="21">
        <v>0.12869243935433833</v>
      </c>
      <c r="V204" s="3">
        <v>6.4881406171697395E-2</v>
      </c>
      <c r="W204" s="3">
        <v>0.13940002760304457</v>
      </c>
      <c r="X204" s="3">
        <v>0.10091557684999999</v>
      </c>
      <c r="Y204" s="3">
        <v>0.15666492734614818</v>
      </c>
      <c r="Z204" s="21">
        <v>8.0611860995134108E-2</v>
      </c>
      <c r="AB204" s="21">
        <v>9.6251279898343256E-2</v>
      </c>
    </row>
    <row r="206" spans="1:28" x14ac:dyDescent="0.2">
      <c r="A206" s="5" t="s">
        <v>18</v>
      </c>
      <c r="C206" s="5" t="s">
        <v>21</v>
      </c>
      <c r="D206" s="4">
        <v>1135552.3503223991</v>
      </c>
      <c r="E206" s="4">
        <v>366823.26342600246</v>
      </c>
      <c r="F206" s="4">
        <v>63235.495168900074</v>
      </c>
      <c r="G206" s="25">
        <v>1565611.1089173015</v>
      </c>
      <c r="I206" s="4">
        <v>1976277.0938441218</v>
      </c>
      <c r="J206" s="4">
        <v>264303.29762300011</v>
      </c>
      <c r="K206" s="4">
        <v>683605.31686200399</v>
      </c>
      <c r="L206" s="4">
        <v>190960.8040145</v>
      </c>
      <c r="M206" s="25">
        <v>3115146.5123436255</v>
      </c>
      <c r="O206" s="22">
        <v>4680757.6212609271</v>
      </c>
    </row>
    <row r="207" spans="1:28" x14ac:dyDescent="0.2">
      <c r="C207" s="5" t="s">
        <v>22</v>
      </c>
      <c r="D207" s="4">
        <v>1008493.419</v>
      </c>
      <c r="E207" s="4">
        <v>342188.19400000002</v>
      </c>
      <c r="F207" s="4">
        <v>59068.105000000003</v>
      </c>
      <c r="G207" s="25">
        <v>1409749.7179999999</v>
      </c>
      <c r="I207" s="4">
        <v>1923127.1470000001</v>
      </c>
      <c r="J207" s="4">
        <v>268267.31199999998</v>
      </c>
      <c r="K207" s="4">
        <v>612854.62399999995</v>
      </c>
      <c r="L207" s="4">
        <v>169805.08</v>
      </c>
      <c r="M207" s="25">
        <v>2974054.1630000002</v>
      </c>
      <c r="O207" s="22">
        <v>4383803.8810000001</v>
      </c>
    </row>
    <row r="208" spans="1:28" x14ac:dyDescent="0.2">
      <c r="C208" s="5" t="s">
        <v>23</v>
      </c>
      <c r="D208" s="7">
        <v>0.12598885518597425</v>
      </c>
      <c r="E208" s="7">
        <v>7.1992750942197814E-2</v>
      </c>
      <c r="F208" s="7">
        <v>7.0552291611523099E-2</v>
      </c>
      <c r="G208" s="26">
        <v>0.11055961843952056</v>
      </c>
      <c r="H208" s="37"/>
      <c r="I208" s="7">
        <v>2.7637250572347005E-2</v>
      </c>
      <c r="J208" s="7">
        <v>-1.4776359994988386E-2</v>
      </c>
      <c r="K208" s="7">
        <v>0.11544449546652036</v>
      </c>
      <c r="L208" s="7">
        <v>0.12458828684336187</v>
      </c>
      <c r="M208" s="26">
        <v>4.7441082647029509E-2</v>
      </c>
      <c r="O208" s="26">
        <v>6.7738828725428357E-2</v>
      </c>
      <c r="Q208" s="3">
        <v>0.12893132129234802</v>
      </c>
      <c r="R208" s="3">
        <v>7.2570186731004599E-2</v>
      </c>
      <c r="S208" s="3">
        <v>0.18492911907226631</v>
      </c>
      <c r="T208" s="21">
        <v>0.11705659162120523</v>
      </c>
      <c r="V208" s="3">
        <v>4.5927533851773505E-2</v>
      </c>
      <c r="W208" s="3">
        <v>0.12276241363366294</v>
      </c>
      <c r="X208" s="3">
        <v>7.3014614308305331E-2</v>
      </c>
      <c r="Y208" s="3">
        <v>5.5014160175536508E-2</v>
      </c>
      <c r="Z208" s="21">
        <v>5.6844764459936623E-2</v>
      </c>
      <c r="AB208" s="21">
        <v>7.681865169346587E-2</v>
      </c>
    </row>
    <row r="210" spans="1:28" x14ac:dyDescent="0.2">
      <c r="A210" s="5" t="s">
        <v>19</v>
      </c>
      <c r="C210" s="5" t="s">
        <v>21</v>
      </c>
      <c r="D210" s="4">
        <v>1179217.7483934006</v>
      </c>
      <c r="E210" s="4">
        <v>389236.66627823922</v>
      </c>
      <c r="F210" s="4">
        <v>68878.196330499966</v>
      </c>
      <c r="G210" s="25">
        <v>1637332.61100214</v>
      </c>
      <c r="I210" s="4">
        <v>2010847.9308816481</v>
      </c>
      <c r="J210" s="4">
        <v>243386.28172489937</v>
      </c>
      <c r="K210" s="4">
        <v>687629.19747665094</v>
      </c>
      <c r="L210" s="4">
        <v>180201.6341115</v>
      </c>
      <c r="M210" s="25">
        <v>3122065.0441946983</v>
      </c>
      <c r="O210" s="22">
        <v>4759397.6551968381</v>
      </c>
    </row>
    <row r="211" spans="1:28" x14ac:dyDescent="0.2">
      <c r="C211" s="5" t="s">
        <v>22</v>
      </c>
      <c r="D211" s="4">
        <v>1060718.44</v>
      </c>
      <c r="E211" s="4">
        <v>335068.038</v>
      </c>
      <c r="F211" s="4">
        <v>65393.057999999997</v>
      </c>
      <c r="G211" s="25">
        <v>1461179.5359999998</v>
      </c>
      <c r="I211" s="4">
        <v>1827155.284</v>
      </c>
      <c r="J211" s="4">
        <v>228276.356</v>
      </c>
      <c r="K211" s="4">
        <v>652928.33900000004</v>
      </c>
      <c r="L211" s="4">
        <v>195469.071</v>
      </c>
      <c r="M211" s="25">
        <v>2903829.05</v>
      </c>
      <c r="O211" s="22">
        <v>4365008.5859999992</v>
      </c>
    </row>
    <row r="212" spans="1:28" x14ac:dyDescent="0.2">
      <c r="C212" s="5" t="s">
        <v>23</v>
      </c>
      <c r="D212" s="7">
        <v>0.11171608216163431</v>
      </c>
      <c r="E212" s="7">
        <v>0.16166456401382945</v>
      </c>
      <c r="F212" s="7">
        <v>5.3295234036921268E-2</v>
      </c>
      <c r="G212" s="26">
        <v>0.12055539422921413</v>
      </c>
      <c r="H212" s="37"/>
      <c r="I212" s="7">
        <v>0.10053477582896453</v>
      </c>
      <c r="J212" s="7">
        <v>6.6191374304658046E-2</v>
      </c>
      <c r="K212" s="7">
        <v>5.3146503841137394E-2</v>
      </c>
      <c r="L212" s="7">
        <v>-7.8106663168721946E-2</v>
      </c>
      <c r="M212" s="26">
        <v>7.5154559871456028E-2</v>
      </c>
      <c r="O212" s="26">
        <v>9.0352415448109902E-2</v>
      </c>
      <c r="Q212" s="3">
        <v>0.14239797769148668</v>
      </c>
      <c r="R212" s="3">
        <v>0.10021929080308975</v>
      </c>
      <c r="S212" s="3">
        <v>0.16030159862810622</v>
      </c>
      <c r="T212" s="21">
        <v>0.13265389230130684</v>
      </c>
      <c r="V212" s="3">
        <v>9.7132159165290499E-2</v>
      </c>
      <c r="W212" s="3">
        <v>3.8443247195887209E-2</v>
      </c>
      <c r="X212" s="3">
        <v>2.8851895263810313E-2</v>
      </c>
      <c r="Y212" s="3">
        <v>-7.8604650961406897E-3</v>
      </c>
      <c r="Z212" s="21">
        <v>6.832373764639485E-2</v>
      </c>
      <c r="AB212" s="21">
        <v>9.0232793533154249E-2</v>
      </c>
    </row>
    <row r="214" spans="1:28" x14ac:dyDescent="0.2">
      <c r="A214" s="5" t="s">
        <v>20</v>
      </c>
      <c r="C214" s="5" t="s">
        <v>21</v>
      </c>
      <c r="D214" s="4">
        <v>1361023.4586571006</v>
      </c>
      <c r="E214" s="4">
        <v>433564.93843131355</v>
      </c>
      <c r="F214" s="4">
        <v>82209.482545499995</v>
      </c>
      <c r="G214" s="25">
        <v>1876797.879633914</v>
      </c>
      <c r="I214" s="4">
        <v>2208316.5528507223</v>
      </c>
      <c r="J214" s="4">
        <v>291497.38173900003</v>
      </c>
      <c r="K214" s="4">
        <v>703455.24062122696</v>
      </c>
      <c r="L214" s="4">
        <v>169139.1163691</v>
      </c>
      <c r="M214" s="25">
        <v>3372408.2915800489</v>
      </c>
      <c r="O214" s="22">
        <v>5249206.1712139631</v>
      </c>
    </row>
    <row r="215" spans="1:28" x14ac:dyDescent="0.2">
      <c r="C215" s="5" t="s">
        <v>22</v>
      </c>
      <c r="D215" s="4">
        <v>1204218.398</v>
      </c>
      <c r="E215" s="4">
        <v>402571.33299999998</v>
      </c>
      <c r="F215" s="4">
        <v>64914.860999999997</v>
      </c>
      <c r="G215" s="25">
        <v>1671704.5920000002</v>
      </c>
      <c r="I215" s="4">
        <v>2098093.0490000001</v>
      </c>
      <c r="J215" s="4">
        <v>244258.49600000001</v>
      </c>
      <c r="K215" s="4">
        <v>639007</v>
      </c>
      <c r="L215" s="4">
        <v>198666.11199999999</v>
      </c>
      <c r="M215" s="25">
        <v>3180024.6570000001</v>
      </c>
      <c r="O215" s="22">
        <v>4851729.2489999998</v>
      </c>
    </row>
    <row r="216" spans="1:28" x14ac:dyDescent="0.2">
      <c r="C216" s="5" t="s">
        <v>23</v>
      </c>
      <c r="D216" s="7">
        <v>0.13021314150118179</v>
      </c>
      <c r="E216" s="7">
        <v>7.698910203154874E-2</v>
      </c>
      <c r="F216" s="7">
        <v>0.26642006589985612</v>
      </c>
      <c r="G216" s="26">
        <v>0.12268512547934285</v>
      </c>
      <c r="H216" s="37"/>
      <c r="I216" s="7">
        <v>5.2535088423870002E-2</v>
      </c>
      <c r="J216" s="7">
        <v>0.19339710393942666</v>
      </c>
      <c r="K216" s="7">
        <v>0.10085686169514108</v>
      </c>
      <c r="L216" s="7">
        <v>-0.14862623189051993</v>
      </c>
      <c r="M216" s="26">
        <v>6.0497529211468892E-2</v>
      </c>
      <c r="O216" s="26">
        <v>8.1924794607178164E-2</v>
      </c>
      <c r="Q216" s="3">
        <v>0.10388177772580791</v>
      </c>
      <c r="R216" s="3">
        <v>0.15050551949449584</v>
      </c>
      <c r="S216" s="3">
        <v>0.12835600905706007</v>
      </c>
      <c r="T216" s="21">
        <v>0.11400997824978107</v>
      </c>
      <c r="V216" s="3">
        <v>5.6885560234621699E-2</v>
      </c>
      <c r="W216" s="3">
        <v>0.10772273926300216</v>
      </c>
      <c r="X216" s="3">
        <v>4.1040173738110905E-2</v>
      </c>
      <c r="Y216" s="3">
        <v>2.6796376473194616E-2</v>
      </c>
      <c r="Z216" s="21">
        <v>5.347510720782167E-2</v>
      </c>
      <c r="AB216" s="21">
        <v>7.5082712494970227E-2</v>
      </c>
    </row>
    <row r="218" spans="1:28" x14ac:dyDescent="0.2">
      <c r="A218" s="15" t="s">
        <v>55</v>
      </c>
      <c r="C218" s="5" t="s">
        <v>21</v>
      </c>
      <c r="D218" s="4">
        <v>14293228.421319202</v>
      </c>
      <c r="E218" s="4">
        <v>4484520.3502564151</v>
      </c>
      <c r="F218" s="4">
        <v>922835.24404630018</v>
      </c>
      <c r="G218" s="25">
        <v>19700584.015621919</v>
      </c>
      <c r="I218" s="4">
        <v>25547112.275478259</v>
      </c>
      <c r="J218" s="4">
        <v>3799702.5699620014</v>
      </c>
      <c r="K218" s="4">
        <v>8032935.0701968251</v>
      </c>
      <c r="L218" s="4">
        <v>2064057.1525318001</v>
      </c>
      <c r="M218" s="25">
        <v>39443807.068168879</v>
      </c>
      <c r="O218" s="25">
        <v>59144391.083790794</v>
      </c>
    </row>
    <row r="219" spans="1:28" x14ac:dyDescent="0.2">
      <c r="C219" s="5" t="s">
        <v>22</v>
      </c>
      <c r="D219" s="4">
        <v>12778781.288000001</v>
      </c>
      <c r="E219" s="4">
        <v>4041897.8550000004</v>
      </c>
      <c r="F219" s="4">
        <v>782661.2209999999</v>
      </c>
      <c r="G219" s="25">
        <v>17603340.364</v>
      </c>
      <c r="I219" s="4">
        <v>23930266.010999996</v>
      </c>
      <c r="J219" s="4">
        <v>3517627.2520000003</v>
      </c>
      <c r="K219" s="4">
        <v>7455491.466</v>
      </c>
      <c r="L219" s="4">
        <v>2042615.7060000002</v>
      </c>
      <c r="M219" s="25">
        <v>36946000.434999995</v>
      </c>
      <c r="O219" s="25">
        <v>54549340.798999995</v>
      </c>
    </row>
    <row r="220" spans="1:28" x14ac:dyDescent="0.2">
      <c r="C220" s="5" t="s">
        <v>23</v>
      </c>
      <c r="D220" s="7">
        <v>0.11851264210471713</v>
      </c>
      <c r="E220" s="7">
        <v>0.10950858016089438</v>
      </c>
      <c r="F220" s="7">
        <v>0.17909923129601468</v>
      </c>
      <c r="G220" s="26">
        <v>0.11913895932563578</v>
      </c>
      <c r="I220" s="7">
        <v>6.7564909798121242E-2</v>
      </c>
      <c r="J220" s="7">
        <v>8.0189087061917297E-2</v>
      </c>
      <c r="K220" s="7">
        <v>7.7452117922768293E-2</v>
      </c>
      <c r="L220" s="7">
        <v>1.0497053591048688E-2</v>
      </c>
      <c r="M220" s="26">
        <v>6.760695619985535E-2</v>
      </c>
      <c r="O220" s="26">
        <v>8.423658686770108E-2</v>
      </c>
      <c r="Q220" s="3">
        <v>0.1188779713855594</v>
      </c>
      <c r="R220" s="3">
        <v>0.1111451849425515</v>
      </c>
      <c r="S220" s="3">
        <v>0.14781124934715301</v>
      </c>
      <c r="T220" s="21">
        <v>0.11841374953184229</v>
      </c>
      <c r="V220" s="3">
        <v>6.5678994506055716E-2</v>
      </c>
      <c r="W220" s="3">
        <v>9.0797521783679128E-2</v>
      </c>
      <c r="X220" s="3">
        <v>6.8278455037324465E-2</v>
      </c>
      <c r="Y220" s="3">
        <v>4.0467130042552847E-2</v>
      </c>
      <c r="Z220" s="21">
        <v>6.7152216644853185E-2</v>
      </c>
      <c r="AB220" s="21">
        <v>8.4358169854114623E-2</v>
      </c>
    </row>
    <row r="222" spans="1:28" x14ac:dyDescent="0.2">
      <c r="D222" s="25" t="s">
        <v>7</v>
      </c>
      <c r="E222" s="25"/>
      <c r="F222" s="25"/>
      <c r="H222" s="34"/>
      <c r="I222" s="25" t="s">
        <v>8</v>
      </c>
      <c r="J222" s="25"/>
      <c r="K222" s="25"/>
      <c r="L222" s="25"/>
      <c r="N222" s="38"/>
      <c r="O222" s="20" t="s">
        <v>24</v>
      </c>
      <c r="Q222" s="40" t="s">
        <v>65</v>
      </c>
      <c r="R222" s="41"/>
      <c r="S222" s="41"/>
      <c r="T222" s="41"/>
      <c r="U222" s="41"/>
      <c r="V222" s="41"/>
      <c r="W222" s="41"/>
      <c r="X222" s="41"/>
      <c r="Y222" s="41"/>
      <c r="Z222" s="42"/>
      <c r="AB222" s="19" t="s">
        <v>24</v>
      </c>
    </row>
    <row r="223" spans="1:28" x14ac:dyDescent="0.2">
      <c r="D223" s="23" t="s">
        <v>0</v>
      </c>
      <c r="E223" s="23" t="s">
        <v>1</v>
      </c>
      <c r="F223" s="23" t="s">
        <v>2</v>
      </c>
      <c r="G223" s="23" t="s">
        <v>24</v>
      </c>
      <c r="H223" s="35"/>
      <c r="I223" s="23" t="s">
        <v>3</v>
      </c>
      <c r="J223" s="23" t="s">
        <v>4</v>
      </c>
      <c r="K223" s="23" t="s">
        <v>5</v>
      </c>
      <c r="L223" s="23" t="s">
        <v>6</v>
      </c>
      <c r="M223" s="23" t="s">
        <v>24</v>
      </c>
      <c r="N223" s="38"/>
      <c r="O223" s="23" t="s">
        <v>49</v>
      </c>
      <c r="Q223" s="23" t="s">
        <v>0</v>
      </c>
      <c r="R223" s="23" t="s">
        <v>1</v>
      </c>
      <c r="S223" s="23" t="s">
        <v>2</v>
      </c>
      <c r="T223" s="23" t="s">
        <v>24</v>
      </c>
      <c r="U223" s="23"/>
      <c r="V223" s="23" t="s">
        <v>3</v>
      </c>
      <c r="W223" s="23" t="s">
        <v>4</v>
      </c>
      <c r="X223" s="23" t="s">
        <v>58</v>
      </c>
      <c r="Y223" s="23" t="s">
        <v>59</v>
      </c>
      <c r="Z223" s="23" t="s">
        <v>24</v>
      </c>
      <c r="AA223" s="6"/>
      <c r="AB223" s="23" t="s">
        <v>49</v>
      </c>
    </row>
    <row r="224" spans="1:28" x14ac:dyDescent="0.2">
      <c r="A224" s="5">
        <v>2011</v>
      </c>
      <c r="D224" s="12"/>
      <c r="E224" s="12"/>
      <c r="F224" s="12"/>
      <c r="G224" s="23"/>
      <c r="H224" s="28"/>
      <c r="I224" s="12"/>
      <c r="J224" s="12"/>
      <c r="K224" s="12"/>
      <c r="L224" s="32"/>
      <c r="M224" s="23"/>
      <c r="O224" s="23"/>
      <c r="Q224" s="12"/>
      <c r="R224" s="12"/>
      <c r="S224" s="12"/>
      <c r="T224" s="23"/>
      <c r="U224" s="12"/>
      <c r="V224" s="12"/>
      <c r="W224" s="12"/>
      <c r="X224" s="12"/>
      <c r="Y224" s="32"/>
      <c r="Z224" s="23"/>
      <c r="AA224" s="12"/>
      <c r="AB224" s="23"/>
    </row>
    <row r="225" spans="1:28" x14ac:dyDescent="0.2">
      <c r="A225" s="5" t="s">
        <v>9</v>
      </c>
      <c r="C225" s="5" t="s">
        <v>21</v>
      </c>
      <c r="D225" s="4">
        <v>1372261.6832369007</v>
      </c>
      <c r="E225" s="4">
        <v>435015.86642519716</v>
      </c>
      <c r="F225" s="4">
        <v>86809.13249090004</v>
      </c>
      <c r="G225" s="25">
        <v>1894086.6821529979</v>
      </c>
      <c r="I225" s="4">
        <v>2136611.1874465547</v>
      </c>
      <c r="J225" s="4">
        <v>300878.61305469996</v>
      </c>
      <c r="K225" s="4">
        <v>764569.48085470812</v>
      </c>
      <c r="L225" s="4">
        <v>162133.89305130002</v>
      </c>
      <c r="M225" s="25">
        <v>3364193.1744072628</v>
      </c>
      <c r="O225" s="22">
        <v>5258279.856560261</v>
      </c>
      <c r="Q225" s="12"/>
      <c r="R225" s="12"/>
      <c r="S225" s="12"/>
      <c r="T225" s="23"/>
      <c r="U225" s="12"/>
      <c r="V225" s="12"/>
      <c r="W225" s="12"/>
      <c r="X225" s="12"/>
      <c r="Y225" s="32"/>
      <c r="Z225" s="23"/>
      <c r="AA225" s="12"/>
      <c r="AB225" s="23"/>
    </row>
    <row r="226" spans="1:28" x14ac:dyDescent="0.2">
      <c r="C226" s="5" t="s">
        <v>22</v>
      </c>
      <c r="D226" s="4">
        <v>1228629.8659999999</v>
      </c>
      <c r="E226" s="4">
        <v>378155.63400000002</v>
      </c>
      <c r="F226" s="4">
        <v>68674.557000000001</v>
      </c>
      <c r="G226" s="25">
        <v>1675460.057</v>
      </c>
      <c r="I226" s="4">
        <v>1983160.6459999999</v>
      </c>
      <c r="J226" s="4">
        <v>282062.97100000002</v>
      </c>
      <c r="K226" s="4">
        <v>696780.15</v>
      </c>
      <c r="L226" s="4">
        <v>165612.13200000001</v>
      </c>
      <c r="M226" s="25">
        <v>3127615.8990000002</v>
      </c>
      <c r="O226" s="22">
        <v>4803075.9560000002</v>
      </c>
      <c r="Q226" s="12"/>
      <c r="R226" s="12"/>
      <c r="S226" s="12"/>
      <c r="T226" s="23"/>
      <c r="U226" s="12"/>
      <c r="V226" s="12"/>
      <c r="W226" s="12"/>
      <c r="X226" s="12"/>
      <c r="Y226" s="32"/>
      <c r="Z226" s="23"/>
      <c r="AA226" s="12"/>
      <c r="AB226" s="23"/>
    </row>
    <row r="227" spans="1:28" x14ac:dyDescent="0.2">
      <c r="C227" s="5" t="s">
        <v>23</v>
      </c>
      <c r="D227" s="7">
        <v>0.11690405809889426</v>
      </c>
      <c r="E227" s="7">
        <v>0.15036198674008694</v>
      </c>
      <c r="F227" s="7">
        <v>0.26406541640887515</v>
      </c>
      <c r="G227" s="26">
        <v>0.13048751848161655</v>
      </c>
      <c r="H227" s="37"/>
      <c r="I227" s="7">
        <v>7.7376758033224302E-2</v>
      </c>
      <c r="J227" s="7">
        <v>6.6707239124627726E-2</v>
      </c>
      <c r="K227" s="7">
        <v>9.7289411666948489E-2</v>
      </c>
      <c r="L227" s="7">
        <v>-2.1002319737662645E-2</v>
      </c>
      <c r="M227" s="26">
        <v>7.5641409638218082E-2</v>
      </c>
      <c r="O227" s="26">
        <v>9.4773412856738348E-2</v>
      </c>
      <c r="Q227" s="3">
        <v>0.13730642788900296</v>
      </c>
      <c r="R227" s="3">
        <v>0.1074779903975763</v>
      </c>
      <c r="S227" s="3">
        <v>0.12649259441108426</v>
      </c>
      <c r="T227" s="21">
        <v>0.12850708702504315</v>
      </c>
      <c r="V227" s="3">
        <v>7.8297328125843182E-2</v>
      </c>
      <c r="W227" s="3">
        <v>8.3610775076388144E-2</v>
      </c>
      <c r="X227" s="3">
        <v>0.11375768517150453</v>
      </c>
      <c r="Y227" s="3">
        <v>8.0693159897322952E-2</v>
      </c>
      <c r="Z227" s="21">
        <v>8.4250594494586564E-2</v>
      </c>
      <c r="AB227" s="21">
        <v>0.10008260073650814</v>
      </c>
    </row>
    <row r="229" spans="1:28" x14ac:dyDescent="0.2">
      <c r="A229" s="5" t="s">
        <v>10</v>
      </c>
      <c r="C229" s="5" t="s">
        <v>21</v>
      </c>
      <c r="D229" s="4">
        <v>1234580.3959141008</v>
      </c>
      <c r="E229" s="4">
        <v>374011.4865823437</v>
      </c>
      <c r="F229" s="4">
        <v>78646.177241299971</v>
      </c>
      <c r="G229" s="25">
        <v>1687238.0597377445</v>
      </c>
      <c r="I229" s="4">
        <v>1883748.3739997074</v>
      </c>
      <c r="J229" s="4">
        <v>260406.44989012534</v>
      </c>
      <c r="K229" s="4">
        <v>691044.39395448228</v>
      </c>
      <c r="L229" s="4">
        <v>153151.28364559996</v>
      </c>
      <c r="M229" s="25">
        <v>2988350.5014899154</v>
      </c>
      <c r="O229" s="22">
        <v>4675588.5612276597</v>
      </c>
    </row>
    <row r="230" spans="1:28" x14ac:dyDescent="0.2">
      <c r="C230" s="5" t="s">
        <v>22</v>
      </c>
      <c r="D230" s="4">
        <v>1083905.3810000001</v>
      </c>
      <c r="E230" s="4">
        <v>347793.16700000002</v>
      </c>
      <c r="F230" s="4">
        <v>69172.888999999996</v>
      </c>
      <c r="G230" s="25">
        <v>1500871.4369999999</v>
      </c>
      <c r="I230" s="4">
        <v>1770443.1810000001</v>
      </c>
      <c r="J230" s="4">
        <v>267610.94900000002</v>
      </c>
      <c r="K230" s="4">
        <v>635878.67200000002</v>
      </c>
      <c r="L230" s="4">
        <v>145888.78400000001</v>
      </c>
      <c r="M230" s="25">
        <v>2819821.5860000001</v>
      </c>
      <c r="O230" s="22">
        <v>4320693.023</v>
      </c>
    </row>
    <row r="231" spans="1:28" x14ac:dyDescent="0.2">
      <c r="C231" s="5" t="s">
        <v>23</v>
      </c>
      <c r="D231" s="7">
        <v>0.13901122510812658</v>
      </c>
      <c r="E231" s="7">
        <v>7.5384803584550353E-2</v>
      </c>
      <c r="F231" s="7">
        <v>0.13695088318922144</v>
      </c>
      <c r="G231" s="26">
        <v>0.12417227628121252</v>
      </c>
      <c r="H231" s="37"/>
      <c r="I231" s="7">
        <v>6.3998209157838604E-2</v>
      </c>
      <c r="J231" s="7">
        <v>-2.6921540904048302E-2</v>
      </c>
      <c r="K231" s="7">
        <v>8.6755106569264218E-2</v>
      </c>
      <c r="L231" s="7">
        <v>4.9781069157447622E-2</v>
      </c>
      <c r="M231" s="26">
        <v>5.9765807995313169E-2</v>
      </c>
      <c r="O231" s="26">
        <v>8.2138568127490874E-2</v>
      </c>
      <c r="Q231" s="3">
        <v>0.13121642555219157</v>
      </c>
      <c r="R231" s="3">
        <v>9.2798780130534816E-2</v>
      </c>
      <c r="S231" s="3">
        <v>0.20335704239176552</v>
      </c>
      <c r="T231" s="21">
        <v>0.12543398289682761</v>
      </c>
      <c r="V231" s="3">
        <v>8.1394924300857957E-2</v>
      </c>
      <c r="W231" s="3">
        <v>2.127482413793973E-2</v>
      </c>
      <c r="X231" s="3">
        <v>8.2393466707214286E-2</v>
      </c>
      <c r="Y231" s="3">
        <v>-1.8809784850868438E-2</v>
      </c>
      <c r="Z231" s="21">
        <v>7.0747889921957616E-2</v>
      </c>
      <c r="AB231" s="21">
        <v>9.011474759380618E-2</v>
      </c>
    </row>
    <row r="233" spans="1:28" x14ac:dyDescent="0.2">
      <c r="A233" s="5" t="s">
        <v>11</v>
      </c>
      <c r="C233" s="5" t="s">
        <v>21</v>
      </c>
      <c r="D233" s="4">
        <v>1260005.0291511994</v>
      </c>
      <c r="E233" s="4">
        <v>368692.87800733669</v>
      </c>
      <c r="F233" s="4">
        <v>82828.347890399964</v>
      </c>
      <c r="G233" s="25">
        <v>1711526.255048936</v>
      </c>
      <c r="I233" s="4">
        <v>1992961.7733092315</v>
      </c>
      <c r="J233" s="4">
        <v>274689.228189677</v>
      </c>
      <c r="K233" s="4">
        <v>716090.88624521403</v>
      </c>
      <c r="L233" s="4">
        <v>167613.98326970002</v>
      </c>
      <c r="M233" s="25">
        <v>3151355.8710138225</v>
      </c>
      <c r="O233" s="22">
        <v>4862882.1260627583</v>
      </c>
    </row>
    <row r="234" spans="1:28" x14ac:dyDescent="0.2">
      <c r="C234" s="5" t="s">
        <v>22</v>
      </c>
      <c r="D234" s="4">
        <v>1142232.7660000001</v>
      </c>
      <c r="E234" s="4">
        <v>319688.91100000002</v>
      </c>
      <c r="F234" s="4">
        <v>68850.84</v>
      </c>
      <c r="G234" s="25">
        <v>1530772.5170000002</v>
      </c>
      <c r="I234" s="4">
        <v>1853590.3810000001</v>
      </c>
      <c r="J234" s="4">
        <v>258268.38399999999</v>
      </c>
      <c r="K234" s="4">
        <v>709454.14300000004</v>
      </c>
      <c r="L234" s="4">
        <v>152456.52600000001</v>
      </c>
      <c r="M234" s="25">
        <v>2973769.4340000004</v>
      </c>
      <c r="O234" s="22">
        <v>4504541.9510000004</v>
      </c>
    </row>
    <row r="235" spans="1:28" x14ac:dyDescent="0.2">
      <c r="C235" s="5" t="s">
        <v>23</v>
      </c>
      <c r="D235" s="7">
        <v>0.10310706071200149</v>
      </c>
      <c r="E235" s="7">
        <v>0.153286414765061</v>
      </c>
      <c r="F235" s="7">
        <v>0.20301143588662063</v>
      </c>
      <c r="G235" s="26">
        <v>0.11808007789633956</v>
      </c>
      <c r="H235" s="37"/>
      <c r="I235" s="7">
        <v>7.518996307805681E-2</v>
      </c>
      <c r="J235" s="7">
        <v>6.3580543368703557E-2</v>
      </c>
      <c r="K235" s="7">
        <v>9.3547177230508538E-3</v>
      </c>
      <c r="L235" s="7">
        <v>9.9421505050561132E-2</v>
      </c>
      <c r="M235" s="26">
        <v>5.9717621340586557E-2</v>
      </c>
      <c r="O235" s="26">
        <v>7.9550857547948217E-2</v>
      </c>
      <c r="Q235" s="3">
        <v>0.10678893000009229</v>
      </c>
      <c r="R235" s="3">
        <v>0.15205300117988182</v>
      </c>
      <c r="S235" s="3">
        <v>0.22531708265467892</v>
      </c>
      <c r="T235" s="21">
        <v>0.12093385848413077</v>
      </c>
      <c r="V235" s="3">
        <v>6.3786647416463588E-2</v>
      </c>
      <c r="W235" s="3">
        <v>0.12429550533359288</v>
      </c>
      <c r="X235" s="3">
        <v>6.9365368227279942E-2</v>
      </c>
      <c r="Y235" s="3">
        <v>0.1776124456132869</v>
      </c>
      <c r="Z235" s="21">
        <v>7.4440960714054635E-2</v>
      </c>
      <c r="AB235" s="21">
        <v>9.0828887630898025E-2</v>
      </c>
    </row>
    <row r="237" spans="1:28" x14ac:dyDescent="0.2">
      <c r="A237" s="5" t="s">
        <v>12</v>
      </c>
      <c r="C237" s="5" t="s">
        <v>21</v>
      </c>
      <c r="D237" s="4">
        <v>1139642.6466137012</v>
      </c>
      <c r="E237" s="4">
        <v>330807.97944721888</v>
      </c>
      <c r="F237" s="4">
        <v>75188.536362899948</v>
      </c>
      <c r="G237" s="25">
        <v>1545639.16242382</v>
      </c>
      <c r="I237" s="4">
        <v>1852486.724227957</v>
      </c>
      <c r="J237" s="4">
        <v>259461.14090120839</v>
      </c>
      <c r="K237" s="4">
        <v>677122.93613356305</v>
      </c>
      <c r="L237" s="4">
        <v>163949.62244539999</v>
      </c>
      <c r="M237" s="25">
        <v>2953020.4237081283</v>
      </c>
      <c r="O237" s="22">
        <v>4498659.586131948</v>
      </c>
    </row>
    <row r="238" spans="1:28" x14ac:dyDescent="0.2">
      <c r="C238" s="5" t="s">
        <v>22</v>
      </c>
      <c r="D238" s="4">
        <v>1018256.4350000001</v>
      </c>
      <c r="E238" s="4">
        <v>309242.22600000002</v>
      </c>
      <c r="F238" s="4">
        <v>62966.46</v>
      </c>
      <c r="G238" s="25">
        <v>1390465.121</v>
      </c>
      <c r="I238" s="4">
        <v>1769886.818</v>
      </c>
      <c r="J238" s="4">
        <v>242659.06099999999</v>
      </c>
      <c r="K238" s="4">
        <v>563025.24300000002</v>
      </c>
      <c r="L238" s="4">
        <v>162156.11799999999</v>
      </c>
      <c r="M238" s="25">
        <v>2737727.2399999998</v>
      </c>
      <c r="O238" s="22">
        <v>4128192.3609999996</v>
      </c>
    </row>
    <row r="239" spans="1:28" x14ac:dyDescent="0.2">
      <c r="C239" s="5" t="s">
        <v>23</v>
      </c>
      <c r="D239" s="7">
        <v>0.11920986447161641</v>
      </c>
      <c r="E239" s="7">
        <v>6.9737414990729052E-2</v>
      </c>
      <c r="F239" s="7">
        <v>0.19410454967454016</v>
      </c>
      <c r="G239" s="26">
        <v>0.1115986579456385</v>
      </c>
      <c r="H239" s="37"/>
      <c r="I239" s="7">
        <v>4.6669597958414188E-2</v>
      </c>
      <c r="J239" s="7">
        <v>6.9241510421934827E-2</v>
      </c>
      <c r="K239" s="7">
        <v>0.2026511147628296</v>
      </c>
      <c r="L239" s="7">
        <v>1.1060356325254483E-2</v>
      </c>
      <c r="M239" s="26">
        <v>7.8639383997994194E-2</v>
      </c>
      <c r="O239" s="26">
        <v>8.9740785490482367E-2</v>
      </c>
      <c r="Q239" s="3">
        <v>0.12088428854926159</v>
      </c>
      <c r="R239" s="3">
        <v>0.11486742178101532</v>
      </c>
      <c r="S239" s="3">
        <v>0.24367720542826804</v>
      </c>
      <c r="T239" s="21">
        <v>0.12462493343198715</v>
      </c>
      <c r="V239" s="3">
        <v>7.5192648079536004E-2</v>
      </c>
      <c r="W239" s="3">
        <v>6.6895301516319214E-2</v>
      </c>
      <c r="X239" s="3">
        <v>7.8528167667832036E-2</v>
      </c>
      <c r="Y239" s="3">
        <v>6.1803194766422379E-3</v>
      </c>
      <c r="Z239" s="21">
        <v>7.0129102916127686E-2</v>
      </c>
      <c r="AB239" s="21">
        <v>8.913984672341306E-2</v>
      </c>
    </row>
    <row r="241" spans="1:28" x14ac:dyDescent="0.2">
      <c r="A241" s="5" t="s">
        <v>13</v>
      </c>
      <c r="C241" s="5" t="s">
        <v>21</v>
      </c>
      <c r="D241" s="4">
        <v>1091663.003466001</v>
      </c>
      <c r="E241" s="4">
        <v>316578.96991183935</v>
      </c>
      <c r="F241" s="4">
        <v>80029.250612900054</v>
      </c>
      <c r="G241" s="25">
        <v>1488271.2239907405</v>
      </c>
      <c r="I241" s="4">
        <v>1871759.0223916844</v>
      </c>
      <c r="J241" s="4">
        <v>280700.78213379899</v>
      </c>
      <c r="K241" s="4">
        <v>687723.93654654198</v>
      </c>
      <c r="L241" s="4">
        <v>170850.53291380001</v>
      </c>
      <c r="M241" s="25">
        <v>3011034.273985825</v>
      </c>
      <c r="O241" s="22">
        <v>4499305.4979765657</v>
      </c>
    </row>
    <row r="242" spans="1:28" x14ac:dyDescent="0.2">
      <c r="C242" s="5" t="s">
        <v>22</v>
      </c>
      <c r="D242" s="4">
        <v>1000898.569</v>
      </c>
      <c r="E242" s="4">
        <v>283700.20299999998</v>
      </c>
      <c r="F242" s="4">
        <v>63641.964</v>
      </c>
      <c r="G242" s="25">
        <v>1348240.7359999998</v>
      </c>
      <c r="I242" s="4">
        <v>1779282.4110000001</v>
      </c>
      <c r="J242" s="4">
        <v>215744.77</v>
      </c>
      <c r="K242" s="4">
        <v>685104.78300000005</v>
      </c>
      <c r="L242" s="4">
        <v>155092.59099999999</v>
      </c>
      <c r="M242" s="25">
        <v>2835224.5550000002</v>
      </c>
      <c r="O242" s="22">
        <v>4183465.2910000002</v>
      </c>
    </row>
    <row r="243" spans="1:28" x14ac:dyDescent="0.2">
      <c r="C243" s="5" t="s">
        <v>23</v>
      </c>
      <c r="D243" s="7">
        <v>9.0682949578680949E-2</v>
      </c>
      <c r="E243" s="7">
        <v>0.11589264499694196</v>
      </c>
      <c r="F243" s="7">
        <v>0.25749184316342055</v>
      </c>
      <c r="G243" s="26">
        <v>0.1038616355756965</v>
      </c>
      <c r="H243" s="37"/>
      <c r="I243" s="7">
        <v>5.1974105302210027E-2</v>
      </c>
      <c r="J243" s="7">
        <v>0.30107803834039171</v>
      </c>
      <c r="K243" s="7">
        <v>3.8229970240069022E-3</v>
      </c>
      <c r="L243" s="7">
        <v>0.10160344741290728</v>
      </c>
      <c r="M243" s="26">
        <v>6.2009098600595669E-2</v>
      </c>
      <c r="O243" s="26">
        <v>7.5497269609488882E-2</v>
      </c>
      <c r="Q243" s="3">
        <v>0.11729826156642789</v>
      </c>
      <c r="R243" s="3">
        <v>6.3845756185637231E-2</v>
      </c>
      <c r="S243" s="3">
        <v>0.12002848598858176</v>
      </c>
      <c r="T243" s="21">
        <v>0.10521670260490437</v>
      </c>
      <c r="V243" s="3">
        <v>4.8545465511336872E-2</v>
      </c>
      <c r="W243" s="3">
        <v>0.19224543002364491</v>
      </c>
      <c r="X243" s="3">
        <v>4.0547716012343082E-2</v>
      </c>
      <c r="Y243" s="3">
        <v>6.6651281621493252E-2</v>
      </c>
      <c r="Z243" s="21">
        <v>6.0334735917514724E-2</v>
      </c>
      <c r="AB243" s="21">
        <v>7.5362332170666541E-2</v>
      </c>
    </row>
    <row r="245" spans="1:28" x14ac:dyDescent="0.2">
      <c r="A245" s="5" t="s">
        <v>14</v>
      </c>
      <c r="C245" s="5" t="s">
        <v>21</v>
      </c>
      <c r="D245" s="4">
        <v>1057221.9270533007</v>
      </c>
      <c r="E245" s="4">
        <v>320864.33117565518</v>
      </c>
      <c r="F245" s="4">
        <v>81654.134837199992</v>
      </c>
      <c r="G245" s="25">
        <v>1459740.3930661557</v>
      </c>
      <c r="I245" s="4">
        <v>1992633.8670131154</v>
      </c>
      <c r="J245" s="4">
        <v>353087.7340622</v>
      </c>
      <c r="K245" s="4">
        <v>673864.09537198802</v>
      </c>
      <c r="L245" s="4">
        <v>154677.38702659999</v>
      </c>
      <c r="M245" s="25">
        <v>3174263.0834739036</v>
      </c>
      <c r="O245" s="22">
        <v>4634003.4765400589</v>
      </c>
    </row>
    <row r="246" spans="1:28" x14ac:dyDescent="0.2">
      <c r="C246" s="5" t="s">
        <v>22</v>
      </c>
      <c r="D246" s="4">
        <v>982388.23800000001</v>
      </c>
      <c r="E246" s="4">
        <v>269881.18</v>
      </c>
      <c r="F246" s="4">
        <v>69941.025999999998</v>
      </c>
      <c r="G246" s="25">
        <v>1322210.4440000001</v>
      </c>
      <c r="I246" s="4">
        <v>1894686.1839999999</v>
      </c>
      <c r="J246" s="4">
        <v>319041.87</v>
      </c>
      <c r="K246" s="4">
        <v>633705.58799999999</v>
      </c>
      <c r="L246" s="4">
        <v>165179.16099999999</v>
      </c>
      <c r="M246" s="25">
        <v>3012612.8029999998</v>
      </c>
      <c r="O246" s="22">
        <v>4334823.2469999995</v>
      </c>
    </row>
    <row r="247" spans="1:28" x14ac:dyDescent="0.2">
      <c r="C247" s="5" t="s">
        <v>23</v>
      </c>
      <c r="D247" s="7">
        <v>7.6175269774861221E-2</v>
      </c>
      <c r="E247" s="7">
        <v>0.18890962006189249</v>
      </c>
      <c r="F247" s="7">
        <v>0.167471218354732</v>
      </c>
      <c r="G247" s="26">
        <v>0.10401517374956959</v>
      </c>
      <c r="H247" s="37"/>
      <c r="I247" s="7">
        <v>5.1695992634691379E-2</v>
      </c>
      <c r="J247" s="7">
        <v>0.10671284011155024</v>
      </c>
      <c r="K247" s="7">
        <v>6.3370921974555738E-2</v>
      </c>
      <c r="L247" s="7">
        <v>-6.3578080369351198E-2</v>
      </c>
      <c r="M247" s="26">
        <v>5.3657834924199399E-2</v>
      </c>
      <c r="O247" s="26">
        <v>6.9017861281221338E-2</v>
      </c>
      <c r="Q247" s="3">
        <v>9.393854029641617E-2</v>
      </c>
      <c r="R247" s="3">
        <v>0.12458831790012584</v>
      </c>
      <c r="S247" s="3">
        <v>0.18102750368794845</v>
      </c>
      <c r="T247" s="21">
        <v>0.10216271784141991</v>
      </c>
      <c r="V247" s="3">
        <v>6.922947884738892E-2</v>
      </c>
      <c r="W247" s="3">
        <v>4.1842638045943015E-2</v>
      </c>
      <c r="X247" s="3">
        <v>2.9757534520392138E-2</v>
      </c>
      <c r="Y247" s="3">
        <v>2.1370837321109736E-2</v>
      </c>
      <c r="Z247" s="21">
        <v>5.5555362058497516E-2</v>
      </c>
      <c r="AB247" s="21">
        <v>7.0426809067705154E-2</v>
      </c>
    </row>
    <row r="249" spans="1:28" x14ac:dyDescent="0.2">
      <c r="A249" s="5" t="s">
        <v>15</v>
      </c>
      <c r="C249" s="5" t="s">
        <v>21</v>
      </c>
      <c r="D249" s="4">
        <v>1152002.9506913007</v>
      </c>
      <c r="E249" s="4">
        <v>363478.905945045</v>
      </c>
      <c r="F249" s="4">
        <v>89111.520533500036</v>
      </c>
      <c r="G249" s="25">
        <v>1604593.3771698456</v>
      </c>
      <c r="I249" s="4">
        <v>2359561.7364099561</v>
      </c>
      <c r="J249" s="4">
        <v>496920.97263280011</v>
      </c>
      <c r="K249" s="4">
        <v>718821.56345883105</v>
      </c>
      <c r="L249" s="4">
        <v>159571.1663907</v>
      </c>
      <c r="M249" s="25">
        <v>3734875.4388922872</v>
      </c>
      <c r="O249" s="22">
        <v>5339468.8160621328</v>
      </c>
    </row>
    <row r="250" spans="1:28" x14ac:dyDescent="0.2">
      <c r="C250" s="5" t="s">
        <v>22</v>
      </c>
      <c r="D250" s="4">
        <v>1022126.672</v>
      </c>
      <c r="E250" s="4">
        <v>358783.48499999999</v>
      </c>
      <c r="F250" s="4">
        <v>75245.597999999998</v>
      </c>
      <c r="G250" s="25">
        <v>1456155.7550000001</v>
      </c>
      <c r="I250" s="4">
        <v>2232161.159</v>
      </c>
      <c r="J250" s="4">
        <v>446027.58</v>
      </c>
      <c r="K250" s="4">
        <v>690585.72699999996</v>
      </c>
      <c r="L250" s="4">
        <v>154713.21100000001</v>
      </c>
      <c r="M250" s="25">
        <v>3523487.6770000001</v>
      </c>
      <c r="O250" s="22">
        <v>4979643.432</v>
      </c>
    </row>
    <row r="251" spans="1:28" x14ac:dyDescent="0.2">
      <c r="C251" s="5" t="s">
        <v>23</v>
      </c>
      <c r="D251" s="7">
        <v>0.12706475845813814</v>
      </c>
      <c r="E251" s="7">
        <v>1.308705986019687E-2</v>
      </c>
      <c r="F251" s="7">
        <v>0.18427553108821115</v>
      </c>
      <c r="G251" s="26">
        <v>0.10193801154866544</v>
      </c>
      <c r="H251" s="37"/>
      <c r="I251" s="7">
        <v>5.7074990708570139E-2</v>
      </c>
      <c r="J251" s="7">
        <v>0.11410368980501184</v>
      </c>
      <c r="K251" s="7">
        <v>4.0886794144286087E-2</v>
      </c>
      <c r="L251" s="7">
        <v>3.1399745110971766E-2</v>
      </c>
      <c r="M251" s="26">
        <v>5.999389845241887E-2</v>
      </c>
      <c r="O251" s="26">
        <v>7.2259266948680789E-2</v>
      </c>
      <c r="Q251" s="3">
        <v>9.6847505357861241E-2</v>
      </c>
      <c r="R251" s="3">
        <v>0.104636217410133</v>
      </c>
      <c r="S251" s="3">
        <v>6.5426977626530561E-2</v>
      </c>
      <c r="T251" s="21">
        <v>9.6065611138851453E-2</v>
      </c>
      <c r="V251" s="3">
        <v>3.609415333755002E-2</v>
      </c>
      <c r="W251" s="3">
        <v>0.21544944146522554</v>
      </c>
      <c r="X251" s="3">
        <v>0.101305300505418</v>
      </c>
      <c r="Y251" s="3">
        <v>3.4700967616917121E-2</v>
      </c>
      <c r="Z251" s="21">
        <v>6.5371669540228355E-2</v>
      </c>
      <c r="AB251" s="21">
        <v>7.4983129770862925E-2</v>
      </c>
    </row>
    <row r="253" spans="1:28" x14ac:dyDescent="0.2">
      <c r="A253" s="5" t="s">
        <v>16</v>
      </c>
      <c r="C253" s="5" t="s">
        <v>21</v>
      </c>
      <c r="D253" s="4">
        <v>1225307.3646709002</v>
      </c>
      <c r="E253" s="4">
        <v>392504.25324364653</v>
      </c>
      <c r="F253" s="4">
        <v>89268.452709700025</v>
      </c>
      <c r="G253" s="25">
        <v>1707080.0706242467</v>
      </c>
      <c r="I253" s="4">
        <v>2466491.0135054295</v>
      </c>
      <c r="J253" s="4">
        <v>346769.06174690026</v>
      </c>
      <c r="K253" s="4">
        <v>649245.84427711193</v>
      </c>
      <c r="L253" s="4">
        <v>165534.67051259999</v>
      </c>
      <c r="M253" s="25">
        <v>3628040.5900420416</v>
      </c>
      <c r="O253" s="22">
        <v>5335120.6606662888</v>
      </c>
    </row>
    <row r="254" spans="1:28" x14ac:dyDescent="0.2">
      <c r="C254" s="5" t="s">
        <v>22</v>
      </c>
      <c r="D254" s="4">
        <v>1149132.514</v>
      </c>
      <c r="E254" s="4">
        <v>359804.28899999999</v>
      </c>
      <c r="F254" s="4">
        <v>80071.142999999996</v>
      </c>
      <c r="G254" s="25">
        <v>1589007.9459999998</v>
      </c>
      <c r="I254" s="4">
        <v>2239007.1409999998</v>
      </c>
      <c r="J254" s="4">
        <v>371910.22</v>
      </c>
      <c r="K254" s="4">
        <v>614242.64599999995</v>
      </c>
      <c r="L254" s="4">
        <v>148939.86300000001</v>
      </c>
      <c r="M254" s="25">
        <v>3374099.8699999992</v>
      </c>
      <c r="O254" s="22">
        <v>4963107.8159999987</v>
      </c>
    </row>
    <row r="255" spans="1:28" x14ac:dyDescent="0.2">
      <c r="C255" s="5" t="s">
        <v>23</v>
      </c>
      <c r="D255" s="7">
        <v>6.6289004743016244E-2</v>
      </c>
      <c r="E255" s="7">
        <v>9.0882641600880332E-2</v>
      </c>
      <c r="F255" s="7">
        <v>0.11486422405260321</v>
      </c>
      <c r="G255" s="26">
        <v>7.430555959236651E-2</v>
      </c>
      <c r="H255" s="37"/>
      <c r="I255" s="7">
        <v>0.10160033362101273</v>
      </c>
      <c r="J255" s="7">
        <v>-6.7600073622875234E-2</v>
      </c>
      <c r="K255" s="7">
        <v>5.6985946034609825E-2</v>
      </c>
      <c r="L255" s="7">
        <v>0.11141951642992964</v>
      </c>
      <c r="M255" s="26">
        <v>7.5261767530918622E-2</v>
      </c>
      <c r="O255" s="26">
        <v>7.4955624269736898E-2</v>
      </c>
      <c r="Q255" s="3">
        <v>0.10709859811788269</v>
      </c>
      <c r="R255" s="3">
        <v>0.10642557758228541</v>
      </c>
      <c r="S255" s="3">
        <v>0.16669119162156559</v>
      </c>
      <c r="T255" s="21">
        <v>0.10947237702298236</v>
      </c>
      <c r="V255" s="3">
        <v>8.6754011404868964E-2</v>
      </c>
      <c r="W255" s="3">
        <v>-8.81196831191473E-3</v>
      </c>
      <c r="X255" s="3">
        <v>9.765489037737636E-2</v>
      </c>
      <c r="Y255" s="3">
        <v>4.6542008680864555E-2</v>
      </c>
      <c r="Z255" s="21">
        <v>7.6862153942880027E-2</v>
      </c>
      <c r="AB255" s="21">
        <v>8.7480912737068067E-2</v>
      </c>
    </row>
    <row r="257" spans="1:28" x14ac:dyDescent="0.2">
      <c r="A257" s="5" t="s">
        <v>17</v>
      </c>
      <c r="C257" s="5" t="s">
        <v>21</v>
      </c>
      <c r="D257" s="4">
        <v>1134151.5786552988</v>
      </c>
      <c r="E257" s="4">
        <v>356351.01850815414</v>
      </c>
      <c r="F257" s="4">
        <v>70653.603309699844</v>
      </c>
      <c r="G257" s="25">
        <v>1561156.2004731528</v>
      </c>
      <c r="I257" s="4">
        <v>2017478.0835519077</v>
      </c>
      <c r="J257" s="4">
        <v>277690.96316229965</v>
      </c>
      <c r="K257" s="4">
        <v>655227.37790932204</v>
      </c>
      <c r="L257" s="4">
        <v>161526.145796</v>
      </c>
      <c r="M257" s="25">
        <v>3111922.5704195295</v>
      </c>
      <c r="O257" s="22">
        <v>4673078.7708926825</v>
      </c>
    </row>
    <row r="258" spans="1:28" x14ac:dyDescent="0.2">
      <c r="C258" s="5" t="s">
        <v>22</v>
      </c>
      <c r="D258" s="4">
        <v>1041965.676</v>
      </c>
      <c r="E258" s="4">
        <v>296014.68300000002</v>
      </c>
      <c r="F258" s="4">
        <v>53331.913</v>
      </c>
      <c r="G258" s="25">
        <v>1391312.2719999999</v>
      </c>
      <c r="I258" s="4">
        <v>1927835.6040000001</v>
      </c>
      <c r="J258" s="4">
        <v>231301.03200000001</v>
      </c>
      <c r="K258" s="4">
        <v>571195.63800000004</v>
      </c>
      <c r="L258" s="4">
        <v>148901.726</v>
      </c>
      <c r="M258" s="25">
        <v>2879234</v>
      </c>
      <c r="O258" s="22">
        <v>4270546.2719999999</v>
      </c>
    </row>
    <row r="259" spans="1:28" x14ac:dyDescent="0.2">
      <c r="C259" s="5" t="s">
        <v>23</v>
      </c>
      <c r="D259" s="7">
        <v>8.847307044622732E-2</v>
      </c>
      <c r="E259" s="7">
        <v>0.20382886043579851</v>
      </c>
      <c r="F259" s="7">
        <v>0.32479034287969077</v>
      </c>
      <c r="G259" s="26">
        <v>0.12207462831403304</v>
      </c>
      <c r="H259" s="37"/>
      <c r="I259" s="7">
        <v>4.6499026870295168E-2</v>
      </c>
      <c r="J259" s="7">
        <v>0.20056084817770992</v>
      </c>
      <c r="K259" s="7">
        <v>0.14711551405321122</v>
      </c>
      <c r="L259" s="7">
        <v>8.4783569238143119E-2</v>
      </c>
      <c r="M259" s="26">
        <v>8.0816137354424722E-2</v>
      </c>
      <c r="O259" s="26">
        <v>9.4257847416828744E-2</v>
      </c>
      <c r="Q259" s="3">
        <v>0.11977234312947775</v>
      </c>
      <c r="R259" s="3">
        <v>0.1685832562490695</v>
      </c>
      <c r="S259" s="3">
        <v>0.11940891275056202</v>
      </c>
      <c r="T259" s="21">
        <v>0.1281376174336662</v>
      </c>
      <c r="V259" s="3">
        <v>6.8690967947791878E-2</v>
      </c>
      <c r="W259" s="3">
        <v>0.15602356855851793</v>
      </c>
      <c r="X259" s="3">
        <v>9.8006525344907169E-2</v>
      </c>
      <c r="Y259" s="3">
        <v>0.15807713736556089</v>
      </c>
      <c r="Z259" s="21">
        <v>8.3770159397829322E-2</v>
      </c>
      <c r="AB259" s="21">
        <v>9.8432972805548011E-2</v>
      </c>
    </row>
    <row r="261" spans="1:28" x14ac:dyDescent="0.2">
      <c r="A261" s="5" t="s">
        <v>18</v>
      </c>
      <c r="C261" s="5" t="s">
        <v>21</v>
      </c>
      <c r="D261" s="4">
        <v>1118064.1216613005</v>
      </c>
      <c r="E261" s="4">
        <v>345195.40035250259</v>
      </c>
      <c r="F261" s="4">
        <v>63779.389688500065</v>
      </c>
      <c r="G261" s="25">
        <v>1527038.911702303</v>
      </c>
      <c r="I261" s="4">
        <v>1937227.7424222422</v>
      </c>
      <c r="J261" s="4">
        <v>270550.69434750004</v>
      </c>
      <c r="K261" s="4">
        <v>707032.55011235899</v>
      </c>
      <c r="L261" s="4">
        <v>171347.28749759999</v>
      </c>
      <c r="M261" s="25">
        <v>3086158.2743797009</v>
      </c>
      <c r="O261" s="22">
        <v>4613197.1860820036</v>
      </c>
    </row>
    <row r="262" spans="1:28" x14ac:dyDescent="0.2">
      <c r="C262" s="5" t="s">
        <v>22</v>
      </c>
      <c r="D262" s="4">
        <v>977262.51399999997</v>
      </c>
      <c r="E262" s="4">
        <v>321004.16100000002</v>
      </c>
      <c r="F262" s="4">
        <v>63293.017</v>
      </c>
      <c r="G262" s="25">
        <v>1361559.692</v>
      </c>
      <c r="I262" s="4">
        <v>1844728.7220000001</v>
      </c>
      <c r="J262" s="4">
        <v>271634.26400000002</v>
      </c>
      <c r="K262" s="4">
        <v>615087.53700000001</v>
      </c>
      <c r="L262" s="4">
        <v>163167.17300000001</v>
      </c>
      <c r="M262" s="25">
        <v>2894617.696</v>
      </c>
      <c r="O262" s="22">
        <v>4256177.3880000003</v>
      </c>
    </row>
    <row r="263" spans="1:28" x14ac:dyDescent="0.2">
      <c r="C263" s="5" t="s">
        <v>23</v>
      </c>
      <c r="D263" s="7">
        <v>0.14407756937794569</v>
      </c>
      <c r="E263" s="7">
        <v>7.5361139485361939E-2</v>
      </c>
      <c r="F263" s="7">
        <v>7.6844604911165959E-3</v>
      </c>
      <c r="G263" s="26">
        <v>0.12153651483265482</v>
      </c>
      <c r="H263" s="37"/>
      <c r="I263" s="7">
        <v>5.0142343055166183E-2</v>
      </c>
      <c r="J263" s="7">
        <v>-3.9890757393551413E-3</v>
      </c>
      <c r="K263" s="7">
        <v>0.14948280948888581</v>
      </c>
      <c r="L263" s="7">
        <v>5.0133334709427047E-2</v>
      </c>
      <c r="M263" s="26">
        <v>6.6171287021559388E-2</v>
      </c>
      <c r="O263" s="26">
        <v>8.3882734560969174E-2</v>
      </c>
      <c r="Q263" s="3">
        <v>0.12730412240031613</v>
      </c>
      <c r="R263" s="3">
        <v>8.4142466530779239E-2</v>
      </c>
      <c r="S263" s="3">
        <v>0.21912036644492461</v>
      </c>
      <c r="T263" s="21">
        <v>0.12008079234251219</v>
      </c>
      <c r="V263" s="3">
        <v>6.440098509120662E-2</v>
      </c>
      <c r="W263" s="3">
        <v>0.135503848234173</v>
      </c>
      <c r="X263" s="3">
        <v>6.3797132563395434E-2</v>
      </c>
      <c r="Y263" s="3">
        <v>5.0805353722658576E-2</v>
      </c>
      <c r="Z263" s="21">
        <v>6.7445968288177574E-2</v>
      </c>
      <c r="AB263" s="21">
        <v>8.5208729964661639E-2</v>
      </c>
    </row>
    <row r="265" spans="1:28" x14ac:dyDescent="0.2">
      <c r="A265" s="5" t="s">
        <v>19</v>
      </c>
      <c r="C265" s="5" t="s">
        <v>21</v>
      </c>
      <c r="D265" s="4">
        <v>1217790.9136235998</v>
      </c>
      <c r="E265" s="4">
        <v>394413.46872377559</v>
      </c>
      <c r="F265" s="4">
        <v>70915.805596300022</v>
      </c>
      <c r="G265" s="25">
        <v>1683120.1879436753</v>
      </c>
      <c r="I265" s="4">
        <v>1996734.1229581423</v>
      </c>
      <c r="J265" s="4">
        <v>275111.24082349986</v>
      </c>
      <c r="K265" s="4">
        <v>729188.57779367303</v>
      </c>
      <c r="L265" s="4">
        <v>181573.6513158</v>
      </c>
      <c r="M265" s="25">
        <v>3182607.5928911152</v>
      </c>
      <c r="O265" s="22">
        <v>4865727.7808347903</v>
      </c>
    </row>
    <row r="266" spans="1:28" x14ac:dyDescent="0.2">
      <c r="C266" s="5" t="s">
        <v>22</v>
      </c>
      <c r="D266" s="4">
        <v>1058715.7819999999</v>
      </c>
      <c r="E266" s="4">
        <v>362153.89399999997</v>
      </c>
      <c r="F266" s="4">
        <v>56742.281000000003</v>
      </c>
      <c r="G266" s="25">
        <v>1477611.9569999999</v>
      </c>
      <c r="I266" s="4">
        <v>1867536.7180000001</v>
      </c>
      <c r="J266" s="4">
        <v>259674.27900000001</v>
      </c>
      <c r="K266" s="4">
        <v>726536.07200000004</v>
      </c>
      <c r="L266" s="4">
        <v>171249.97500000001</v>
      </c>
      <c r="M266" s="25">
        <v>3024997.0440000002</v>
      </c>
      <c r="O266" s="22">
        <v>4502609.0010000002</v>
      </c>
    </row>
    <row r="267" spans="1:28" x14ac:dyDescent="0.2">
      <c r="C267" s="5" t="s">
        <v>23</v>
      </c>
      <c r="D267" s="7">
        <v>0.15025291426476528</v>
      </c>
      <c r="E267" s="7">
        <v>8.9076978760238346E-2</v>
      </c>
      <c r="F267" s="7">
        <v>0.24978771291023749</v>
      </c>
      <c r="G267" s="26">
        <v>0.13908132644034588</v>
      </c>
      <c r="H267" s="37"/>
      <c r="I267" s="7">
        <v>6.9180650486220907E-2</v>
      </c>
      <c r="J267" s="7">
        <v>5.9447404197856102E-2</v>
      </c>
      <c r="K267" s="7">
        <v>3.6508934599368548E-3</v>
      </c>
      <c r="L267" s="7">
        <v>6.028425006076632E-2</v>
      </c>
      <c r="M267" s="26">
        <v>5.2102711704704374E-2</v>
      </c>
      <c r="O267" s="26">
        <v>8.0646305231954152E-2</v>
      </c>
      <c r="Q267" s="3">
        <v>0.14594594744859024</v>
      </c>
      <c r="R267" s="3">
        <v>8.7885075255732664E-2</v>
      </c>
      <c r="S267" s="3">
        <v>0.19322789208971103</v>
      </c>
      <c r="T267" s="21">
        <v>0.13384923870189919</v>
      </c>
      <c r="V267" s="3">
        <v>9.1513321729594255E-2</v>
      </c>
      <c r="W267" s="3">
        <v>4.9247003122023639E-2</v>
      </c>
      <c r="X267" s="3">
        <v>3.0941820115067187E-2</v>
      </c>
      <c r="Y267" s="3">
        <v>1.6717387669425897E-2</v>
      </c>
      <c r="Z267" s="21">
        <v>6.8031105636743125E-2</v>
      </c>
      <c r="AB267" s="21">
        <v>9.078159814670346E-2</v>
      </c>
    </row>
    <row r="269" spans="1:28" x14ac:dyDescent="0.2">
      <c r="A269" s="5" t="s">
        <v>20</v>
      </c>
      <c r="C269" s="5" t="s">
        <v>21</v>
      </c>
      <c r="D269" s="4">
        <v>1442470.8567852001</v>
      </c>
      <c r="E269" s="4">
        <v>458522.19668798824</v>
      </c>
      <c r="F269" s="4">
        <v>80902.584795000061</v>
      </c>
      <c r="G269" s="25">
        <v>1981895.6382681883</v>
      </c>
      <c r="I269" s="4">
        <v>2177428.2033062582</v>
      </c>
      <c r="J269" s="4">
        <v>300366.50797069987</v>
      </c>
      <c r="K269" s="4">
        <v>782789.85932262498</v>
      </c>
      <c r="L269" s="4">
        <v>177993.7079946</v>
      </c>
      <c r="M269" s="25">
        <v>3438578.2785941828</v>
      </c>
      <c r="O269" s="22">
        <v>5420473.9168623714</v>
      </c>
    </row>
    <row r="270" spans="1:28" x14ac:dyDescent="0.2">
      <c r="C270" s="5" t="s">
        <v>22</v>
      </c>
      <c r="D270" s="4">
        <v>1309058.77</v>
      </c>
      <c r="E270" s="4">
        <v>399640.842</v>
      </c>
      <c r="F270" s="4">
        <v>76716.373000000007</v>
      </c>
      <c r="G270" s="25">
        <v>1785415.9849999999</v>
      </c>
      <c r="I270" s="4">
        <v>2082404.2930000001</v>
      </c>
      <c r="J270" s="4">
        <v>274313.37800000003</v>
      </c>
      <c r="K270" s="4">
        <v>738680.57200000004</v>
      </c>
      <c r="L270" s="4">
        <v>179176.11799999999</v>
      </c>
      <c r="M270" s="25">
        <v>3274574.361</v>
      </c>
      <c r="O270" s="22">
        <v>5059990.3459999999</v>
      </c>
    </row>
    <row r="271" spans="1:28" x14ac:dyDescent="0.2">
      <c r="C271" s="5" t="s">
        <v>23</v>
      </c>
      <c r="D271" s="7">
        <v>0.10191451281075792</v>
      </c>
      <c r="E271" s="7">
        <v>0.14733567868918729</v>
      </c>
      <c r="F271" s="7">
        <v>5.4567384135848718E-2</v>
      </c>
      <c r="G271" s="26">
        <v>0.11004698900362353</v>
      </c>
      <c r="H271" s="37"/>
      <c r="I271" s="7">
        <v>4.5631825974274509E-2</v>
      </c>
      <c r="J271" s="7">
        <v>9.4975790683820893E-2</v>
      </c>
      <c r="K271" s="7">
        <v>5.9713615051764091E-2</v>
      </c>
      <c r="L271" s="7">
        <v>-6.5991495886744689E-3</v>
      </c>
      <c r="M271" s="26">
        <v>5.0084041317693284E-2</v>
      </c>
      <c r="O271" s="26">
        <v>7.1241948346272954E-2</v>
      </c>
      <c r="Q271" s="3">
        <v>9.9016358449829187E-2</v>
      </c>
      <c r="R271" s="3">
        <v>0.15322003861058503</v>
      </c>
      <c r="S271" s="3">
        <v>0.1150909721766233</v>
      </c>
      <c r="T271" s="21">
        <v>0.11077700289777015</v>
      </c>
      <c r="V271" s="3">
        <v>5.9277300745378E-2</v>
      </c>
      <c r="W271" s="3">
        <v>8.1068683226688476E-2</v>
      </c>
      <c r="X271" s="3">
        <v>4.0420549728430302E-2</v>
      </c>
      <c r="Y271" s="3">
        <v>4.7867865207312274E-2</v>
      </c>
      <c r="Z271" s="21">
        <v>5.484321272573358E-2</v>
      </c>
      <c r="AB271" s="21">
        <v>7.5088410968374972E-2</v>
      </c>
    </row>
    <row r="273" spans="1:28" x14ac:dyDescent="0.2">
      <c r="A273" s="5" t="s">
        <v>54</v>
      </c>
      <c r="C273" s="5" t="s">
        <v>21</v>
      </c>
      <c r="D273" s="4">
        <v>14445162.471522802</v>
      </c>
      <c r="E273" s="4">
        <v>4456436.7550107026</v>
      </c>
      <c r="F273" s="4">
        <v>949786.93606829992</v>
      </c>
      <c r="G273" s="25">
        <v>19851386.162601806</v>
      </c>
      <c r="I273" s="4">
        <v>24685121.850542184</v>
      </c>
      <c r="J273" s="4">
        <v>3696633.3889154098</v>
      </c>
      <c r="K273" s="4">
        <v>8452721.5019804183</v>
      </c>
      <c r="L273" s="4">
        <v>1989923.3318597001</v>
      </c>
      <c r="M273" s="25">
        <v>38824400.073297709</v>
      </c>
      <c r="O273" s="25">
        <v>58675786.235899508</v>
      </c>
    </row>
    <row r="274" spans="1:28" x14ac:dyDescent="0.2">
      <c r="C274" s="5" t="s">
        <v>22</v>
      </c>
      <c r="D274" s="4">
        <v>13014573.183000002</v>
      </c>
      <c r="E274" s="4">
        <v>4005862.6749999998</v>
      </c>
      <c r="F274" s="4">
        <v>808648.06099999987</v>
      </c>
      <c r="G274" s="25">
        <v>17829083.919</v>
      </c>
      <c r="I274" s="4">
        <v>23244723.257999998</v>
      </c>
      <c r="J274" s="4">
        <v>3440248.7579999999</v>
      </c>
      <c r="K274" s="4">
        <v>7880276.7709999997</v>
      </c>
      <c r="L274" s="4">
        <v>1912533.378</v>
      </c>
      <c r="M274" s="25">
        <v>36477782.164999999</v>
      </c>
      <c r="O274" s="25">
        <v>54306866.084000006</v>
      </c>
    </row>
    <row r="275" spans="1:28" x14ac:dyDescent="0.2">
      <c r="C275" s="5" t="s">
        <v>23</v>
      </c>
      <c r="D275" s="7">
        <v>0.10992210565856086</v>
      </c>
      <c r="E275" s="7">
        <v>0.11247866354048264</v>
      </c>
      <c r="F275" s="7">
        <v>0.17453683731556002</v>
      </c>
      <c r="G275" s="26">
        <v>0.11342715378924706</v>
      </c>
      <c r="I275" s="7">
        <v>6.1966691388612327E-2</v>
      </c>
      <c r="J275" s="7">
        <v>7.4525026807788164E-2</v>
      </c>
      <c r="K275" s="7">
        <v>7.2642718982543597E-2</v>
      </c>
      <c r="L275" s="7">
        <v>4.0464629140553487E-2</v>
      </c>
      <c r="M275" s="26">
        <v>6.4330059806905204E-2</v>
      </c>
      <c r="O275" s="26">
        <v>8.044876213519303E-2</v>
      </c>
      <c r="Q275" s="3">
        <v>0.11627561863120413</v>
      </c>
      <c r="R275" s="3">
        <v>0.1114975749067629</v>
      </c>
      <c r="S275" s="3">
        <v>0.15261438658075194</v>
      </c>
      <c r="T275" s="21">
        <v>0.11684057278626225</v>
      </c>
      <c r="V275" s="3">
        <v>6.7523307786651013E-2</v>
      </c>
      <c r="W275" s="3">
        <v>9.3650715073251775E-2</v>
      </c>
      <c r="X275" s="3">
        <v>6.7642034578276083E-2</v>
      </c>
      <c r="Y275" s="3">
        <v>4.8965539016082804E-2</v>
      </c>
      <c r="Z275" s="21">
        <v>6.9086133778926723E-2</v>
      </c>
      <c r="AB275" s="21">
        <v>8.5390990701065705E-2</v>
      </c>
    </row>
    <row r="276" spans="1:28" x14ac:dyDescent="0.2">
      <c r="D276" s="12"/>
      <c r="E276" s="12"/>
      <c r="F276" s="12"/>
      <c r="G276" s="23"/>
      <c r="H276" s="28"/>
      <c r="I276" s="12"/>
      <c r="J276" s="12"/>
      <c r="K276" s="12"/>
      <c r="L276" s="32"/>
      <c r="M276" s="23"/>
      <c r="O276" s="23"/>
      <c r="Q276" s="12"/>
      <c r="R276" s="12"/>
      <c r="S276" s="12"/>
      <c r="T276" s="23"/>
      <c r="U276" s="12"/>
      <c r="V276" s="12"/>
      <c r="W276" s="12"/>
      <c r="X276" s="12"/>
      <c r="Y276" s="32"/>
      <c r="Z276" s="23"/>
      <c r="AA276" s="12"/>
      <c r="AB276" s="23"/>
    </row>
    <row r="277" spans="1:28" x14ac:dyDescent="0.2">
      <c r="D277" s="25" t="s">
        <v>7</v>
      </c>
      <c r="E277" s="25"/>
      <c r="F277" s="25"/>
      <c r="H277" s="34"/>
      <c r="I277" s="25" t="s">
        <v>8</v>
      </c>
      <c r="J277" s="25"/>
      <c r="K277" s="25"/>
      <c r="L277" s="25"/>
      <c r="N277" s="38"/>
      <c r="O277" s="20" t="s">
        <v>24</v>
      </c>
      <c r="Q277" s="40" t="s">
        <v>66</v>
      </c>
      <c r="R277" s="41"/>
      <c r="S277" s="41"/>
      <c r="T277" s="41"/>
      <c r="U277" s="41"/>
      <c r="V277" s="41"/>
      <c r="W277" s="41"/>
      <c r="X277" s="41"/>
      <c r="Y277" s="41"/>
      <c r="Z277" s="42"/>
      <c r="AB277" s="19" t="s">
        <v>24</v>
      </c>
    </row>
    <row r="278" spans="1:28" x14ac:dyDescent="0.2">
      <c r="D278" s="23" t="s">
        <v>0</v>
      </c>
      <c r="E278" s="23" t="s">
        <v>1</v>
      </c>
      <c r="F278" s="23" t="s">
        <v>2</v>
      </c>
      <c r="G278" s="23" t="s">
        <v>24</v>
      </c>
      <c r="H278" s="35"/>
      <c r="I278" s="23" t="s">
        <v>3</v>
      </c>
      <c r="J278" s="23" t="s">
        <v>4</v>
      </c>
      <c r="K278" s="23" t="s">
        <v>5</v>
      </c>
      <c r="L278" s="23" t="s">
        <v>6</v>
      </c>
      <c r="M278" s="23" t="s">
        <v>24</v>
      </c>
      <c r="N278" s="38"/>
      <c r="O278" s="23" t="s">
        <v>49</v>
      </c>
      <c r="Q278" s="23" t="s">
        <v>0</v>
      </c>
      <c r="R278" s="23" t="s">
        <v>1</v>
      </c>
      <c r="S278" s="23" t="s">
        <v>2</v>
      </c>
      <c r="T278" s="23" t="s">
        <v>24</v>
      </c>
      <c r="U278" s="23"/>
      <c r="V278" s="23" t="s">
        <v>3</v>
      </c>
      <c r="W278" s="23" t="s">
        <v>4</v>
      </c>
      <c r="X278" s="23" t="s">
        <v>58</v>
      </c>
      <c r="Y278" s="23" t="s">
        <v>59</v>
      </c>
      <c r="Z278" s="23" t="s">
        <v>24</v>
      </c>
      <c r="AA278" s="12"/>
      <c r="AB278" s="23" t="s">
        <v>49</v>
      </c>
    </row>
    <row r="279" spans="1:28" x14ac:dyDescent="0.2">
      <c r="A279" s="5">
        <v>2010</v>
      </c>
    </row>
    <row r="280" spans="1:28" x14ac:dyDescent="0.2">
      <c r="A280" s="5" t="s">
        <v>9</v>
      </c>
      <c r="C280" s="5" t="s">
        <v>21</v>
      </c>
      <c r="D280" s="4">
        <v>1304599.4601523003</v>
      </c>
      <c r="E280" s="4">
        <v>422794.78605550004</v>
      </c>
      <c r="F280" s="4">
        <v>80851.40239930003</v>
      </c>
      <c r="G280" s="25">
        <v>1808245.6486071004</v>
      </c>
      <c r="I280" s="4">
        <v>2078360.3655104558</v>
      </c>
      <c r="J280" s="4">
        <v>295955.09994470025</v>
      </c>
      <c r="K280" s="4">
        <v>732159.8648246309</v>
      </c>
      <c r="L280" s="4">
        <v>171057.54916219987</v>
      </c>
      <c r="M280" s="25">
        <v>3277532.8794419863</v>
      </c>
      <c r="O280" s="22">
        <v>5085778.5280490872</v>
      </c>
    </row>
    <row r="281" spans="1:28" x14ac:dyDescent="0.2">
      <c r="C281" s="5" t="s">
        <v>22</v>
      </c>
      <c r="D281" s="4">
        <v>1121133.0619999999</v>
      </c>
      <c r="E281" s="4">
        <v>393052.6</v>
      </c>
      <c r="F281" s="4">
        <v>75718.179999999993</v>
      </c>
      <c r="G281" s="25">
        <v>1589903.8419999999</v>
      </c>
      <c r="I281" s="4">
        <v>1902718.7949999999</v>
      </c>
      <c r="J281" s="4">
        <v>271056.951</v>
      </c>
      <c r="K281" s="4">
        <v>690834.08200000005</v>
      </c>
      <c r="L281" s="4">
        <v>178525.47099999999</v>
      </c>
      <c r="M281" s="25">
        <v>3043135.2989999996</v>
      </c>
      <c r="O281" s="22">
        <v>4633039.1409999998</v>
      </c>
    </row>
    <row r="282" spans="1:28" x14ac:dyDescent="0.2">
      <c r="C282" s="5" t="s">
        <v>23</v>
      </c>
      <c r="D282" s="7">
        <v>0.16364373183769376</v>
      </c>
      <c r="E282" s="7">
        <v>7.5669734929879828E-2</v>
      </c>
      <c r="F282" s="7">
        <v>6.7793790068647164E-2</v>
      </c>
      <c r="G282" s="26">
        <v>0.13733019622899967</v>
      </c>
      <c r="H282" s="37"/>
      <c r="I282" s="7">
        <v>9.2310840136761163E-2</v>
      </c>
      <c r="J282" s="7">
        <v>9.1855784745030311E-2</v>
      </c>
      <c r="K282" s="7">
        <v>5.9820127439269566E-2</v>
      </c>
      <c r="L282" s="7">
        <v>-4.1831128051190714E-2</v>
      </c>
      <c r="M282" s="26">
        <v>7.7025027615108543E-2</v>
      </c>
      <c r="O282" s="26">
        <v>9.7719741463562881E-2</v>
      </c>
      <c r="Q282" s="3">
        <v>0.13082313247944968</v>
      </c>
      <c r="R282" s="3">
        <v>0.11057586290930468</v>
      </c>
      <c r="S282" s="3">
        <v>0.13979795257677452</v>
      </c>
      <c r="T282" s="21">
        <v>0.12463348908751812</v>
      </c>
      <c r="V282" s="3">
        <v>7.8216708194398923E-2</v>
      </c>
      <c r="W282" s="3">
        <v>0.10318247652858541</v>
      </c>
      <c r="X282" s="3">
        <v>0.11225077002016648</v>
      </c>
      <c r="Y282" s="3">
        <v>8.0992681903638439E-2</v>
      </c>
      <c r="Z282" s="21">
        <v>8.6011658274123132E-2</v>
      </c>
      <c r="AB282" s="21">
        <v>0.10009113255442292</v>
      </c>
    </row>
    <row r="284" spans="1:28" x14ac:dyDescent="0.2">
      <c r="A284" s="5" t="s">
        <v>10</v>
      </c>
      <c r="C284" s="5" t="s">
        <v>21</v>
      </c>
      <c r="D284" s="4">
        <v>1155294.3612841005</v>
      </c>
      <c r="E284" s="4">
        <v>345537.85740137135</v>
      </c>
      <c r="F284" s="4">
        <v>71589.241261300005</v>
      </c>
      <c r="G284" s="25">
        <v>1572421.4599467719</v>
      </c>
      <c r="I284" s="4">
        <v>1855341.8636443424</v>
      </c>
      <c r="J284" s="4">
        <v>263286.96289819985</v>
      </c>
      <c r="K284" s="4">
        <v>661423.04814034852</v>
      </c>
      <c r="L284" s="4">
        <v>149608.22148690012</v>
      </c>
      <c r="M284" s="25">
        <v>2929660.0961697907</v>
      </c>
      <c r="O284" s="22">
        <v>4502081.5561165623</v>
      </c>
    </row>
    <row r="285" spans="1:28" x14ac:dyDescent="0.2">
      <c r="C285" s="5" t="s">
        <v>22</v>
      </c>
      <c r="D285" s="4">
        <v>1024655.365</v>
      </c>
      <c r="E285" s="4">
        <v>303957.24300000002</v>
      </c>
      <c r="F285" s="4">
        <v>56852.629000000001</v>
      </c>
      <c r="G285" s="25">
        <v>1385465.237</v>
      </c>
      <c r="I285" s="4">
        <v>1753602.1070000001</v>
      </c>
      <c r="J285" s="4">
        <v>251343.62599999999</v>
      </c>
      <c r="K285" s="4">
        <v>602699.55200000003</v>
      </c>
      <c r="L285" s="4">
        <v>159687.652</v>
      </c>
      <c r="M285" s="25">
        <v>2767332.9369999999</v>
      </c>
      <c r="O285" s="22">
        <v>4152798.1739999996</v>
      </c>
    </row>
    <row r="286" spans="1:28" x14ac:dyDescent="0.2">
      <c r="C286" s="5" t="s">
        <v>23</v>
      </c>
      <c r="D286" s="7">
        <v>0.12749554703605193</v>
      </c>
      <c r="E286" s="7">
        <v>0.13679757715584806</v>
      </c>
      <c r="F286" s="7">
        <v>0.25920722613021119</v>
      </c>
      <c r="G286" s="26">
        <v>0.13494111433037115</v>
      </c>
      <c r="H286" s="37"/>
      <c r="I286" s="7">
        <v>5.801758348613939E-2</v>
      </c>
      <c r="J286" s="7">
        <v>4.7517962115338763E-2</v>
      </c>
      <c r="K286" s="7">
        <v>9.7434112810404816E-2</v>
      </c>
      <c r="L286" s="7">
        <v>-6.3119661331734522E-2</v>
      </c>
      <c r="M286" s="26">
        <v>5.8658341032780115E-2</v>
      </c>
      <c r="O286" s="26">
        <v>8.4107959857854242E-2</v>
      </c>
      <c r="Q286" s="3">
        <v>0.12440606162665482</v>
      </c>
      <c r="R286" s="3">
        <v>0.11860360611651162</v>
      </c>
      <c r="S286" s="3">
        <v>0.19199695898116037</v>
      </c>
      <c r="T286" s="21">
        <v>0.12554714437481329</v>
      </c>
      <c r="V286" s="3">
        <v>7.7112105658690047E-2</v>
      </c>
      <c r="W286" s="3">
        <v>5.7861656865324851E-2</v>
      </c>
      <c r="X286" s="3">
        <v>7.3195690015356391E-2</v>
      </c>
      <c r="Y286" s="3">
        <v>-4.1675639134680975E-2</v>
      </c>
      <c r="Z286" s="21">
        <v>6.8459582866692958E-2</v>
      </c>
      <c r="AB286" s="21">
        <v>8.9124331723736155E-2</v>
      </c>
    </row>
    <row r="288" spans="1:28" x14ac:dyDescent="0.2">
      <c r="A288" s="5" t="s">
        <v>11</v>
      </c>
      <c r="C288" s="5" t="s">
        <v>21</v>
      </c>
      <c r="D288" s="4">
        <v>1233852.1457249494</v>
      </c>
      <c r="E288" s="4">
        <v>354933.85115692561</v>
      </c>
      <c r="F288" s="4">
        <v>76427.525148199988</v>
      </c>
      <c r="G288" s="25">
        <v>1665213.5220300751</v>
      </c>
      <c r="I288" s="4">
        <v>1854706.9141247442</v>
      </c>
      <c r="J288" s="4">
        <v>272177.2989139001</v>
      </c>
      <c r="K288" s="4">
        <v>700348.01548388321</v>
      </c>
      <c r="L288" s="4">
        <v>160492.84355100009</v>
      </c>
      <c r="M288" s="25">
        <v>2987725.0720735276</v>
      </c>
      <c r="O288" s="22">
        <v>4652938.5941036027</v>
      </c>
    </row>
    <row r="289" spans="1:28" x14ac:dyDescent="0.2">
      <c r="C289" s="5" t="s">
        <v>22</v>
      </c>
      <c r="D289" s="4">
        <v>1078612.558</v>
      </c>
      <c r="E289" s="4">
        <v>306349.87400000001</v>
      </c>
      <c r="F289" s="4">
        <v>66554.506999999998</v>
      </c>
      <c r="G289" s="25">
        <v>1451516.939</v>
      </c>
      <c r="I289" s="4">
        <v>1754314.05</v>
      </c>
      <c r="J289" s="4">
        <v>249138.86900000001</v>
      </c>
      <c r="K289" s="4">
        <v>645984.02800000005</v>
      </c>
      <c r="L289" s="4">
        <v>145780.946</v>
      </c>
      <c r="M289" s="25">
        <v>2795217.8930000002</v>
      </c>
      <c r="O289" s="22">
        <v>4246734.8320000004</v>
      </c>
    </row>
    <row r="290" spans="1:28" x14ac:dyDescent="0.2">
      <c r="C290" s="5" t="s">
        <v>23</v>
      </c>
      <c r="D290" s="7">
        <v>0.14392525524902111</v>
      </c>
      <c r="E290" s="7">
        <v>0.15858983887463785</v>
      </c>
      <c r="F290" s="7">
        <v>0.14834484685161886</v>
      </c>
      <c r="G290" s="26">
        <v>0.1472229343581053</v>
      </c>
      <c r="H290" s="37"/>
      <c r="I290" s="7">
        <v>5.7226278342092929E-2</v>
      </c>
      <c r="J290" s="7">
        <v>9.247224251427455E-2</v>
      </c>
      <c r="K290" s="7">
        <v>8.4156860119586563E-2</v>
      </c>
      <c r="L290" s="7">
        <v>0.10091783566145951</v>
      </c>
      <c r="M290" s="26">
        <v>6.8870187027501029E-2</v>
      </c>
      <c r="O290" s="26">
        <v>9.5650841922781504E-2</v>
      </c>
      <c r="Q290" s="3">
        <v>0.11207346987318134</v>
      </c>
      <c r="R290" s="3">
        <v>0.1324085751117384</v>
      </c>
      <c r="S290" s="3">
        <v>0.21511095456046525</v>
      </c>
      <c r="T290" s="21">
        <v>0.12016337144015661</v>
      </c>
      <c r="V290" s="3">
        <v>6.6413533175787756E-2</v>
      </c>
      <c r="W290" s="3">
        <v>0.15517478053385442</v>
      </c>
      <c r="X290" s="3">
        <v>8.9980191623656974E-2</v>
      </c>
      <c r="Y290" s="3">
        <v>0.20531559794059212</v>
      </c>
      <c r="Z290" s="21">
        <v>8.4519205070965955E-2</v>
      </c>
      <c r="AB290" s="21">
        <v>9.7267493630471463E-2</v>
      </c>
    </row>
    <row r="292" spans="1:28" x14ac:dyDescent="0.2">
      <c r="A292" s="5" t="s">
        <v>12</v>
      </c>
      <c r="C292" s="5" t="s">
        <v>21</v>
      </c>
      <c r="D292" s="4">
        <v>1148930.9548026989</v>
      </c>
      <c r="E292" s="4">
        <v>329525.10287093074</v>
      </c>
      <c r="F292" s="4">
        <v>74482.140974699898</v>
      </c>
      <c r="G292" s="25">
        <v>1552938.1986483296</v>
      </c>
      <c r="I292" s="4">
        <v>1747776.1493822611</v>
      </c>
      <c r="J292" s="4">
        <v>259024.8686442</v>
      </c>
      <c r="K292" s="4">
        <v>655088.08843270328</v>
      </c>
      <c r="L292" s="4">
        <v>150195.82834479987</v>
      </c>
      <c r="M292" s="25">
        <v>2812084.9348039646</v>
      </c>
      <c r="O292" s="22">
        <v>4365023.1334522944</v>
      </c>
    </row>
    <row r="293" spans="1:28" x14ac:dyDescent="0.2">
      <c r="C293" s="5" t="s">
        <v>22</v>
      </c>
      <c r="D293" s="4">
        <v>1019446.4939999999</v>
      </c>
      <c r="E293" s="4">
        <v>302313.87400000001</v>
      </c>
      <c r="F293" s="4">
        <v>62007.483999999997</v>
      </c>
      <c r="G293" s="25">
        <v>1383767.852</v>
      </c>
      <c r="I293" s="4">
        <v>1601899.1640000001</v>
      </c>
      <c r="J293" s="4">
        <v>248180.31299999999</v>
      </c>
      <c r="K293" s="4">
        <v>652684.35400000005</v>
      </c>
      <c r="L293" s="4">
        <v>153585.141</v>
      </c>
      <c r="M293" s="25">
        <v>2656348.9720000001</v>
      </c>
      <c r="O293" s="22">
        <v>4040116.824</v>
      </c>
    </row>
    <row r="294" spans="1:28" x14ac:dyDescent="0.2">
      <c r="C294" s="5" t="s">
        <v>23</v>
      </c>
      <c r="D294" s="7">
        <v>0.127014474584773</v>
      </c>
      <c r="E294" s="7">
        <v>9.0009858002516818E-2</v>
      </c>
      <c r="F294" s="7">
        <v>0.20117986039717239</v>
      </c>
      <c r="G294" s="26">
        <v>0.12225341584849136</v>
      </c>
      <c r="H294" s="37"/>
      <c r="I294" s="7">
        <v>9.1065023729709038E-2</v>
      </c>
      <c r="J294" s="7">
        <v>4.3696276763902642E-2</v>
      </c>
      <c r="K294" s="7">
        <v>3.682843656312329E-3</v>
      </c>
      <c r="L294" s="7">
        <v>-2.2067972416681458E-2</v>
      </c>
      <c r="M294" s="26">
        <v>5.8627825050677984E-2</v>
      </c>
      <c r="O294" s="26">
        <v>8.0420028332402138E-2</v>
      </c>
      <c r="Q294" s="3">
        <v>0.12107079923259594</v>
      </c>
      <c r="R294" s="3">
        <v>0.12488392428240705</v>
      </c>
      <c r="S294" s="3">
        <v>0.23079004341749515</v>
      </c>
      <c r="T294" s="21">
        <v>0.12641407466847104</v>
      </c>
      <c r="V294" s="3">
        <v>8.3294792171991094E-2</v>
      </c>
      <c r="W294" s="3">
        <v>6.2020239715300463E-2</v>
      </c>
      <c r="X294" s="3">
        <v>4.4828669637978713E-2</v>
      </c>
      <c r="Y294" s="3">
        <v>-2.455433920074368E-2</v>
      </c>
      <c r="Z294" s="21">
        <v>6.6571041114513327E-2</v>
      </c>
      <c r="AB294" s="21">
        <v>8.7697815764951143E-2</v>
      </c>
    </row>
    <row r="296" spans="1:28" x14ac:dyDescent="0.2">
      <c r="A296" s="5" t="s">
        <v>13</v>
      </c>
      <c r="C296" s="5" t="s">
        <v>21</v>
      </c>
      <c r="D296" s="4">
        <v>1105832.4580072009</v>
      </c>
      <c r="E296" s="4">
        <v>325367.55692429189</v>
      </c>
      <c r="F296" s="4">
        <v>75909.377255000043</v>
      </c>
      <c r="G296" s="25">
        <v>1507109.3921864927</v>
      </c>
      <c r="I296" s="4">
        <v>1773930.2894707459</v>
      </c>
      <c r="J296" s="4">
        <v>297306.43355639983</v>
      </c>
      <c r="K296" s="4">
        <v>661761.28287907597</v>
      </c>
      <c r="L296" s="4">
        <v>158054.92248860004</v>
      </c>
      <c r="M296" s="25">
        <v>2891052.9283948215</v>
      </c>
      <c r="O296" s="22">
        <v>4398162.3205813142</v>
      </c>
    </row>
    <row r="297" spans="1:28" x14ac:dyDescent="0.2">
      <c r="C297" s="5" t="s">
        <v>22</v>
      </c>
      <c r="D297" s="4">
        <v>987777.03700000001</v>
      </c>
      <c r="E297" s="4">
        <v>289889.533</v>
      </c>
      <c r="F297" s="4">
        <v>69566.81</v>
      </c>
      <c r="G297" s="25">
        <v>1347233.3800000001</v>
      </c>
      <c r="I297" s="4">
        <v>1703890.297</v>
      </c>
      <c r="J297" s="4">
        <v>254609.054</v>
      </c>
      <c r="K297" s="4">
        <v>621892.353</v>
      </c>
      <c r="L297" s="4">
        <v>149543.94200000001</v>
      </c>
      <c r="M297" s="25">
        <v>2729935.6459999997</v>
      </c>
      <c r="O297" s="22">
        <v>4077169.0259999996</v>
      </c>
    </row>
    <row r="298" spans="1:28" x14ac:dyDescent="0.2">
      <c r="C298" s="5" t="s">
        <v>23</v>
      </c>
      <c r="D298" s="7">
        <v>0.11951626387848591</v>
      </c>
      <c r="E298" s="7">
        <v>0.12238463237060682</v>
      </c>
      <c r="F298" s="7">
        <v>9.117231701439299E-2</v>
      </c>
      <c r="G298" s="26">
        <v>0.11866987157525188</v>
      </c>
      <c r="H298" s="37"/>
      <c r="I298" s="7">
        <v>4.1105928353523558E-2</v>
      </c>
      <c r="J298" s="7">
        <v>0.16769780526500777</v>
      </c>
      <c r="K298" s="7">
        <v>6.4109053096969015E-2</v>
      </c>
      <c r="L298" s="7">
        <v>5.6912907168115368E-2</v>
      </c>
      <c r="M298" s="26">
        <v>5.9018710800343044E-2</v>
      </c>
      <c r="O298" s="26">
        <v>7.8729454809047361E-2</v>
      </c>
      <c r="Q298" s="3">
        <v>0.11132015482428029</v>
      </c>
      <c r="R298" s="3">
        <v>5.9423801395489619E-2</v>
      </c>
      <c r="S298" s="3">
        <v>0.13077034149345387</v>
      </c>
      <c r="T298" s="21">
        <v>0.10026430543723146</v>
      </c>
      <c r="V298" s="3">
        <v>5.245218571425099E-2</v>
      </c>
      <c r="W298" s="3">
        <v>0.1425074729961377</v>
      </c>
      <c r="X298" s="3">
        <v>5.6337908019864179E-2</v>
      </c>
      <c r="Y298" s="3">
        <v>7.8091677946532864E-2</v>
      </c>
      <c r="Z298" s="21">
        <v>6.2795399300410892E-2</v>
      </c>
      <c r="AB298" s="21">
        <v>7.5467543624808717E-2</v>
      </c>
    </row>
    <row r="300" spans="1:28" x14ac:dyDescent="0.2">
      <c r="A300" s="5" t="s">
        <v>14</v>
      </c>
      <c r="C300" s="5" t="s">
        <v>21</v>
      </c>
      <c r="D300" s="4">
        <v>1060074.9974606</v>
      </c>
      <c r="E300" s="4">
        <v>310849.01043728454</v>
      </c>
      <c r="F300" s="4">
        <v>79250.224622000009</v>
      </c>
      <c r="G300" s="25">
        <v>1450174.2325198846</v>
      </c>
      <c r="I300" s="4">
        <v>1986651.2428044828</v>
      </c>
      <c r="J300" s="4">
        <v>332471.9232170998</v>
      </c>
      <c r="K300" s="4">
        <v>650249.6895323639</v>
      </c>
      <c r="L300" s="4">
        <v>158565.18986170014</v>
      </c>
      <c r="M300" s="25">
        <v>3127938.0454156464</v>
      </c>
      <c r="O300" s="22">
        <v>4578112.277935531</v>
      </c>
    </row>
    <row r="301" spans="1:28" x14ac:dyDescent="0.2">
      <c r="C301" s="5" t="s">
        <v>22</v>
      </c>
      <c r="D301" s="4">
        <v>948173.73300000001</v>
      </c>
      <c r="E301" s="4">
        <v>307333.76500000001</v>
      </c>
      <c r="F301" s="4">
        <v>71314.042000000001</v>
      </c>
      <c r="G301" s="25">
        <v>1326821.54</v>
      </c>
      <c r="I301" s="4">
        <v>1839231.7520000001</v>
      </c>
      <c r="J301" s="4">
        <v>320525.79499999998</v>
      </c>
      <c r="K301" s="4">
        <v>672850.13899999997</v>
      </c>
      <c r="L301" s="4">
        <v>143838.76999999999</v>
      </c>
      <c r="M301" s="25">
        <v>2976446.4560000002</v>
      </c>
      <c r="O301" s="22">
        <v>4303267.9960000003</v>
      </c>
    </row>
    <row r="302" spans="1:28" x14ac:dyDescent="0.2">
      <c r="C302" s="5" t="s">
        <v>23</v>
      </c>
      <c r="D302" s="7">
        <v>0.11801768026893855</v>
      </c>
      <c r="E302" s="7">
        <v>1.1437875813236964E-2</v>
      </c>
      <c r="F302" s="7">
        <v>0.11128499240023459</v>
      </c>
      <c r="G302" s="26">
        <v>9.2968563443644792E-2</v>
      </c>
      <c r="H302" s="37"/>
      <c r="I302" s="7">
        <v>8.0152754346578314E-2</v>
      </c>
      <c r="J302" s="7">
        <v>3.7270411316193242E-2</v>
      </c>
      <c r="K302" s="7">
        <v>-3.3589128035590776E-2</v>
      </c>
      <c r="L302" s="7">
        <v>0.10238143625463536</v>
      </c>
      <c r="M302" s="26">
        <v>5.0896796450097481E-2</v>
      </c>
      <c r="O302" s="26">
        <v>6.3868734689776607E-2</v>
      </c>
      <c r="Q302" s="3">
        <v>9.6992798115646123E-2</v>
      </c>
      <c r="R302" s="3">
        <v>0.10710518782859477</v>
      </c>
      <c r="S302" s="3">
        <v>0.1761145703034393</v>
      </c>
      <c r="T302" s="21">
        <v>0.10066036714093865</v>
      </c>
      <c r="V302" s="3">
        <v>7.2560296167445776E-2</v>
      </c>
      <c r="W302" s="3">
        <v>4.8028742993275822E-2</v>
      </c>
      <c r="X302" s="3">
        <v>3.5578715434586239E-2</v>
      </c>
      <c r="Y302" s="3">
        <v>4.5888956899323576E-2</v>
      </c>
      <c r="Z302" s="21">
        <v>6.105139229200849E-2</v>
      </c>
      <c r="AB302" s="21">
        <v>7.3894843700542084E-2</v>
      </c>
    </row>
    <row r="304" spans="1:28" x14ac:dyDescent="0.2">
      <c r="A304" s="5" t="s">
        <v>15</v>
      </c>
      <c r="C304" s="5" t="s">
        <v>21</v>
      </c>
      <c r="D304" s="4">
        <v>1245549.9470166008</v>
      </c>
      <c r="E304" s="4">
        <v>394267.16044745507</v>
      </c>
      <c r="F304" s="4">
        <v>89602.441781800037</v>
      </c>
      <c r="G304" s="25">
        <v>1729419.5492458558</v>
      </c>
      <c r="I304" s="4">
        <v>2379459.0359732625</v>
      </c>
      <c r="J304" s="4">
        <v>501025.67011979991</v>
      </c>
      <c r="K304" s="4">
        <v>709112.39469891659</v>
      </c>
      <c r="L304" s="4">
        <v>159456.87995</v>
      </c>
      <c r="M304" s="25">
        <v>3749053.9807419791</v>
      </c>
      <c r="O304" s="22">
        <v>5478473.5299878344</v>
      </c>
    </row>
    <row r="305" spans="1:28" x14ac:dyDescent="0.2">
      <c r="C305" s="5" t="s">
        <v>22</v>
      </c>
      <c r="D305" s="4">
        <v>1147077.0630000001</v>
      </c>
      <c r="E305" s="4">
        <v>334312.33</v>
      </c>
      <c r="F305" s="4">
        <v>83246.035999999993</v>
      </c>
      <c r="G305" s="25">
        <v>1564635.4290000002</v>
      </c>
      <c r="I305" s="4">
        <v>2357328.6800000002</v>
      </c>
      <c r="J305" s="4">
        <v>427160.15700000001</v>
      </c>
      <c r="K305" s="4">
        <v>563909.08200000005</v>
      </c>
      <c r="L305" s="4">
        <v>165346.644</v>
      </c>
      <c r="M305" s="25">
        <v>3513744.5630000001</v>
      </c>
      <c r="O305" s="22">
        <v>5078379.9920000006</v>
      </c>
    </row>
    <row r="306" spans="1:28" x14ac:dyDescent="0.2">
      <c r="C306" s="5" t="s">
        <v>23</v>
      </c>
      <c r="D306" s="7">
        <v>8.584679024010855E-2</v>
      </c>
      <c r="E306" s="7">
        <v>0.17933777808151752</v>
      </c>
      <c r="F306" s="7">
        <v>7.6356858383023196E-2</v>
      </c>
      <c r="G306" s="26">
        <v>0.10531790166043553</v>
      </c>
      <c r="H306" s="37"/>
      <c r="I306" s="7">
        <v>9.3878957826374343E-3</v>
      </c>
      <c r="J306" s="7">
        <v>0.17292229134516379</v>
      </c>
      <c r="K306" s="7">
        <v>0.25749419070167856</v>
      </c>
      <c r="L306" s="7">
        <v>-3.5620705129037811E-2</v>
      </c>
      <c r="M306" s="26">
        <v>6.6968276584417952E-2</v>
      </c>
      <c r="O306" s="26">
        <v>7.8783694528196557E-2</v>
      </c>
      <c r="Q306" s="3">
        <v>9.2117992950891209E-2</v>
      </c>
      <c r="R306" s="3">
        <v>0.11140151739544742</v>
      </c>
      <c r="S306" s="3">
        <v>4.3822068156794722E-2</v>
      </c>
      <c r="T306" s="21">
        <v>9.3439031934529113E-2</v>
      </c>
      <c r="V306" s="3">
        <v>3.9109920893202019E-2</v>
      </c>
      <c r="W306" s="3">
        <v>0.20407365180386416</v>
      </c>
      <c r="X306" s="3">
        <v>0.10219304335999894</v>
      </c>
      <c r="Y306" s="3">
        <v>2.3112548131555589E-2</v>
      </c>
      <c r="Z306" s="21">
        <v>6.584221889970987E-2</v>
      </c>
      <c r="AB306" s="21">
        <v>7.4789111921808121E-2</v>
      </c>
    </row>
    <row r="308" spans="1:28" x14ac:dyDescent="0.2">
      <c r="A308" s="5" t="s">
        <v>16</v>
      </c>
      <c r="C308" s="5" t="s">
        <v>21</v>
      </c>
      <c r="D308" s="4">
        <v>1225719.5233780448</v>
      </c>
      <c r="E308" s="4">
        <v>384809.8502587775</v>
      </c>
      <c r="F308" s="4">
        <v>85602.558163099995</v>
      </c>
      <c r="G308" s="25">
        <v>1696131.9317999221</v>
      </c>
      <c r="I308" s="4">
        <v>2289693.4840563578</v>
      </c>
      <c r="J308" s="4">
        <v>362203.70838409977</v>
      </c>
      <c r="K308" s="4">
        <v>718997.60736378899</v>
      </c>
      <c r="L308" s="4">
        <v>153502.27385120015</v>
      </c>
      <c r="M308" s="25">
        <v>3524397.0736554465</v>
      </c>
      <c r="O308" s="22">
        <v>5220529.0054553691</v>
      </c>
    </row>
    <row r="309" spans="1:28" x14ac:dyDescent="0.2">
      <c r="C309" s="5" t="s">
        <v>22</v>
      </c>
      <c r="D309" s="4">
        <v>1095820.787</v>
      </c>
      <c r="E309" s="4">
        <v>348457.13299999997</v>
      </c>
      <c r="F309" s="4">
        <v>72809.774999999994</v>
      </c>
      <c r="G309" s="25">
        <v>1517087.6949999998</v>
      </c>
      <c r="I309" s="4">
        <v>2119948.358</v>
      </c>
      <c r="J309" s="4">
        <v>344108.484</v>
      </c>
      <c r="K309" s="4">
        <v>642194.49899999995</v>
      </c>
      <c r="L309" s="4">
        <v>143478.935</v>
      </c>
      <c r="M309" s="25">
        <v>3249730.2760000001</v>
      </c>
      <c r="O309" s="22">
        <v>4766817.9709999999</v>
      </c>
    </row>
    <row r="310" spans="1:28" x14ac:dyDescent="0.2">
      <c r="C310" s="5" t="s">
        <v>23</v>
      </c>
      <c r="D310" s="7">
        <v>0.11854012802007996</v>
      </c>
      <c r="E310" s="7">
        <v>0.10432479009915263</v>
      </c>
      <c r="F310" s="7">
        <v>0.17570145166771911</v>
      </c>
      <c r="G310" s="26">
        <v>0.11801838310996415</v>
      </c>
      <c r="H310" s="37"/>
      <c r="I310" s="7">
        <v>8.0070406156732332E-2</v>
      </c>
      <c r="J310" s="7">
        <v>5.2585812978966695E-2</v>
      </c>
      <c r="K310" s="7">
        <v>0.11959477772448035</v>
      </c>
      <c r="L310" s="7">
        <v>6.9859306184564041E-2</v>
      </c>
      <c r="M310" s="26">
        <v>8.4519875290550495E-2</v>
      </c>
      <c r="O310" s="26">
        <v>9.5181111847698396E-2</v>
      </c>
      <c r="Q310" s="3">
        <v>0.11340972881568998</v>
      </c>
      <c r="R310" s="3">
        <v>0.11339328819894626</v>
      </c>
      <c r="S310" s="3">
        <v>0.13773316844039044</v>
      </c>
      <c r="T310" s="21">
        <v>0.1140374501547127</v>
      </c>
      <c r="V310" s="3">
        <v>8.1743018790529212E-2</v>
      </c>
      <c r="W310" s="3">
        <v>2.5002110981398262E-2</v>
      </c>
      <c r="X310" s="3">
        <v>9.6076244264098554E-2</v>
      </c>
      <c r="Y310" s="3">
        <v>2.7915512813683475E-2</v>
      </c>
      <c r="Z310" s="21">
        <v>7.6210215994040986E-2</v>
      </c>
      <c r="AB310" s="21">
        <v>8.8624535153221551E-2</v>
      </c>
    </row>
    <row r="312" spans="1:28" x14ac:dyDescent="0.2">
      <c r="A312" s="5" t="s">
        <v>17</v>
      </c>
      <c r="C312" s="5" t="s">
        <v>21</v>
      </c>
      <c r="D312" s="4">
        <v>1087840.0686618017</v>
      </c>
      <c r="E312" s="4">
        <v>341096.00833412947</v>
      </c>
      <c r="F312" s="4">
        <v>70467.415510299994</v>
      </c>
      <c r="G312" s="25">
        <v>1499403.4925062312</v>
      </c>
      <c r="I312" s="4">
        <v>1955004.9118198154</v>
      </c>
      <c r="J312" s="4">
        <v>281539.24768379977</v>
      </c>
      <c r="K312" s="4">
        <v>675850.73803555639</v>
      </c>
      <c r="L312" s="4">
        <v>147498.68881569998</v>
      </c>
      <c r="M312" s="25">
        <v>3059893.5863548713</v>
      </c>
      <c r="O312" s="22">
        <v>4559297.0788611025</v>
      </c>
    </row>
    <row r="313" spans="1:28" x14ac:dyDescent="0.2">
      <c r="C313" s="5" t="s">
        <v>22</v>
      </c>
      <c r="D313" s="4">
        <v>976430.36600000004</v>
      </c>
      <c r="E313" s="4">
        <v>289325.99</v>
      </c>
      <c r="F313" s="4">
        <v>61652.4</v>
      </c>
      <c r="G313" s="25">
        <v>1327408.7560000001</v>
      </c>
      <c r="I313" s="4">
        <v>1851690.5490000001</v>
      </c>
      <c r="J313" s="4">
        <v>264853.03499999997</v>
      </c>
      <c r="K313" s="4">
        <v>623518.83299999998</v>
      </c>
      <c r="L313" s="4">
        <v>122557.077</v>
      </c>
      <c r="M313" s="25">
        <v>2862619.4940000004</v>
      </c>
      <c r="O313" s="22">
        <v>4190028.2500000005</v>
      </c>
    </row>
    <row r="314" spans="1:28" x14ac:dyDescent="0.2">
      <c r="C314" s="5" t="s">
        <v>23</v>
      </c>
      <c r="D314" s="7">
        <v>0.11409897371196842</v>
      </c>
      <c r="E314" s="7">
        <v>0.17893317615237225</v>
      </c>
      <c r="F314" s="7">
        <v>0.14297927591302195</v>
      </c>
      <c r="G314" s="26">
        <v>0.12957179597377255</v>
      </c>
      <c r="H314" s="37"/>
      <c r="I314" s="7">
        <v>5.5794615831252115E-2</v>
      </c>
      <c r="J314" s="7">
        <v>6.3001780152527997E-2</v>
      </c>
      <c r="K314" s="7">
        <v>8.392995089461297E-2</v>
      </c>
      <c r="L314" s="7">
        <v>0.20351017196420229</v>
      </c>
      <c r="M314" s="26">
        <v>6.8913836703883957E-2</v>
      </c>
      <c r="O314" s="26">
        <v>8.8130391211825865E-2</v>
      </c>
      <c r="Q314" s="3">
        <v>0.12044769593992247</v>
      </c>
      <c r="R314" s="3">
        <v>0.16746326276270276</v>
      </c>
      <c r="S314" s="3">
        <v>9.5641713623367777E-2</v>
      </c>
      <c r="T314" s="21">
        <v>0.12740742138267419</v>
      </c>
      <c r="V314" s="3">
        <v>7.9889665356603509E-2</v>
      </c>
      <c r="W314" s="3">
        <v>9.9602822021871651E-2</v>
      </c>
      <c r="X314" s="3">
        <v>8.4031824852068573E-2</v>
      </c>
      <c r="Y314" s="3">
        <v>0.18980235902140988</v>
      </c>
      <c r="Z314" s="21">
        <v>8.3318751056185331E-2</v>
      </c>
      <c r="AB314" s="21">
        <v>9.8174991280098128E-2</v>
      </c>
    </row>
    <row r="316" spans="1:28" x14ac:dyDescent="0.2">
      <c r="A316" s="5" t="s">
        <v>18</v>
      </c>
      <c r="C316" s="5" t="s">
        <v>21</v>
      </c>
      <c r="D316" s="4">
        <v>1134157.4508874994</v>
      </c>
      <c r="E316" s="4">
        <v>358466.76000470511</v>
      </c>
      <c r="F316" s="4">
        <v>68237.991105799971</v>
      </c>
      <c r="G316" s="25">
        <v>1560862.2019980045</v>
      </c>
      <c r="I316" s="4">
        <v>1858132.4852932584</v>
      </c>
      <c r="J316" s="4">
        <v>246550.22637879982</v>
      </c>
      <c r="K316" s="4">
        <v>694916.14596411737</v>
      </c>
      <c r="L316" s="4">
        <v>170489.1568992</v>
      </c>
      <c r="M316" s="25">
        <v>2970088.0145353754</v>
      </c>
      <c r="O316" s="22">
        <v>4530950.2165333796</v>
      </c>
    </row>
    <row r="317" spans="1:28" x14ac:dyDescent="0.2">
      <c r="C317" s="5" t="s">
        <v>22</v>
      </c>
      <c r="D317" s="4">
        <v>999302.88500000001</v>
      </c>
      <c r="E317" s="4">
        <v>340253.83399999997</v>
      </c>
      <c r="F317" s="4">
        <v>57317.017</v>
      </c>
      <c r="G317" s="25">
        <v>1396873.736</v>
      </c>
      <c r="I317" s="4">
        <v>1784491.3529999999</v>
      </c>
      <c r="J317" s="4">
        <v>194510.79399999999</v>
      </c>
      <c r="K317" s="4">
        <v>662062.13600000006</v>
      </c>
      <c r="L317" s="4">
        <v>173160.92300000001</v>
      </c>
      <c r="M317" s="25">
        <v>2814225.2059999998</v>
      </c>
      <c r="O317" s="22">
        <v>4211098.9419999998</v>
      </c>
    </row>
    <row r="318" spans="1:28" x14ac:dyDescent="0.2">
      <c r="C318" s="5" t="s">
        <v>23</v>
      </c>
      <c r="D318" s="7">
        <v>0.13494864060909761</v>
      </c>
      <c r="E318" s="7">
        <v>5.3527467392785244E-2</v>
      </c>
      <c r="F318" s="7">
        <v>0.19053633069913545</v>
      </c>
      <c r="G318" s="26">
        <v>0.11739677092619094</v>
      </c>
      <c r="H318" s="37"/>
      <c r="I318" s="7">
        <v>4.1267295674734861E-2</v>
      </c>
      <c r="J318" s="7">
        <v>0.2675400748135337</v>
      </c>
      <c r="K318" s="7">
        <v>4.9623756106356387E-2</v>
      </c>
      <c r="L318" s="7">
        <v>-1.5429382417879611E-2</v>
      </c>
      <c r="M318" s="26">
        <v>5.5383914621712549E-2</v>
      </c>
      <c r="O318" s="26">
        <v>7.5954348007190475E-2</v>
      </c>
      <c r="Q318" s="3">
        <v>0.12067412750076149</v>
      </c>
      <c r="R318" s="3">
        <v>8.3777409779084572E-2</v>
      </c>
      <c r="S318" s="3">
        <v>0.24945626599715834</v>
      </c>
      <c r="T318" s="21">
        <v>0.11665216051377678</v>
      </c>
      <c r="V318" s="3">
        <v>6.8619416844667394E-2</v>
      </c>
      <c r="W318" s="3">
        <v>0.16749834334161848</v>
      </c>
      <c r="X318" s="3">
        <v>4.9126060843112815E-2</v>
      </c>
      <c r="Y318" s="3">
        <v>2.952657615471117E-2</v>
      </c>
      <c r="Z318" s="21">
        <v>6.9227693123145168E-2</v>
      </c>
      <c r="AB318" s="21">
        <v>8.5630241811234686E-2</v>
      </c>
    </row>
    <row r="320" spans="1:28" x14ac:dyDescent="0.2">
      <c r="A320" s="5" t="s">
        <v>19</v>
      </c>
      <c r="C320" s="5" t="s">
        <v>21</v>
      </c>
      <c r="D320" s="4">
        <v>1267444.0230633987</v>
      </c>
      <c r="E320" s="4">
        <v>402477.44252565509</v>
      </c>
      <c r="F320" s="4">
        <v>79114.526957299953</v>
      </c>
      <c r="G320" s="25">
        <v>1749035.9925463537</v>
      </c>
      <c r="I320" s="4">
        <v>1968932.5726348688</v>
      </c>
      <c r="J320" s="4">
        <v>253602.86813030002</v>
      </c>
      <c r="K320" s="4">
        <v>710971.52857837221</v>
      </c>
      <c r="L320" s="4">
        <v>167626.93081680004</v>
      </c>
      <c r="M320" s="25">
        <v>3101133.9001603411</v>
      </c>
      <c r="O320" s="22">
        <v>4850169.892706695</v>
      </c>
    </row>
    <row r="321" spans="1:40" x14ac:dyDescent="0.2">
      <c r="C321" s="5" t="s">
        <v>22</v>
      </c>
      <c r="D321" s="4">
        <v>1103451.4950000001</v>
      </c>
      <c r="E321" s="4">
        <v>372548.70500000002</v>
      </c>
      <c r="F321" s="4">
        <v>66765.357999999993</v>
      </c>
      <c r="G321" s="25">
        <v>1542765.5580000002</v>
      </c>
      <c r="I321" s="4">
        <v>1826792.3</v>
      </c>
      <c r="J321" s="4">
        <v>231484.807</v>
      </c>
      <c r="K321" s="4">
        <v>687710.77300000004</v>
      </c>
      <c r="L321" s="4">
        <v>167999.158</v>
      </c>
      <c r="M321" s="25">
        <v>2913987.0379999997</v>
      </c>
      <c r="O321" s="22">
        <v>4456752.5959999999</v>
      </c>
    </row>
    <row r="322" spans="1:40" x14ac:dyDescent="0.2">
      <c r="C322" s="5" t="s">
        <v>23</v>
      </c>
      <c r="D322" s="7">
        <v>0.14861779498825967</v>
      </c>
      <c r="E322" s="7">
        <v>8.0335100146583738E-2</v>
      </c>
      <c r="F322" s="7">
        <v>0.1849637196178886</v>
      </c>
      <c r="G322" s="26">
        <v>0.13370173677830666</v>
      </c>
      <c r="H322" s="37"/>
      <c r="I322" s="7">
        <v>7.7808666390190462E-2</v>
      </c>
      <c r="J322" s="7">
        <v>9.5548651408038365E-2</v>
      </c>
      <c r="K322" s="7">
        <v>3.3823456737345881E-2</v>
      </c>
      <c r="L322" s="7">
        <v>-2.2156490998600509E-3</v>
      </c>
      <c r="M322" s="26">
        <v>6.4223642631158873E-2</v>
      </c>
      <c r="O322" s="26">
        <v>8.8274430368827872E-2</v>
      </c>
      <c r="Q322" s="3">
        <v>0.14260209567714544</v>
      </c>
      <c r="R322" s="3">
        <v>8.5705060751747469E-2</v>
      </c>
      <c r="S322" s="3">
        <v>0.19616018755703815</v>
      </c>
      <c r="T322" s="21">
        <v>0.13118264191775858</v>
      </c>
      <c r="V322" s="3">
        <v>9.8095871219247635E-2</v>
      </c>
      <c r="W322" s="3">
        <v>3.1819131015886314E-2</v>
      </c>
      <c r="X322" s="3">
        <v>4.1547888819061886E-2</v>
      </c>
      <c r="Y322" s="3">
        <v>-5.7355467516005728E-3</v>
      </c>
      <c r="Z322" s="21">
        <v>7.2436282535890448E-2</v>
      </c>
      <c r="AB322" s="21">
        <v>9.3376021952956065E-2</v>
      </c>
    </row>
    <row r="324" spans="1:40" x14ac:dyDescent="0.2">
      <c r="A324" s="5" t="s">
        <v>20</v>
      </c>
      <c r="C324" s="5" t="s">
        <v>21</v>
      </c>
      <c r="D324" s="4">
        <v>1398113.1465555991</v>
      </c>
      <c r="E324" s="4">
        <v>445341.49308005284</v>
      </c>
      <c r="F324" s="4">
        <v>89227.704249900009</v>
      </c>
      <c r="G324" s="25">
        <v>1932682.3438855519</v>
      </c>
      <c r="I324" s="4">
        <v>2121451.8946739682</v>
      </c>
      <c r="J324" s="4">
        <v>280752.19554819982</v>
      </c>
      <c r="K324" s="4">
        <v>758925.53503346129</v>
      </c>
      <c r="L324" s="4">
        <v>167349.97216079992</v>
      </c>
      <c r="M324" s="25">
        <v>3328479.5974164288</v>
      </c>
      <c r="O324" s="22">
        <v>5261161.941301981</v>
      </c>
    </row>
    <row r="325" spans="1:40" x14ac:dyDescent="0.2">
      <c r="C325" s="5" t="s">
        <v>22</v>
      </c>
      <c r="D325" s="4">
        <v>1215289.4669999999</v>
      </c>
      <c r="E325" s="4">
        <v>396835.94699999999</v>
      </c>
      <c r="F325" s="4">
        <v>86840.301000000007</v>
      </c>
      <c r="G325" s="25">
        <v>1698965.7149999999</v>
      </c>
      <c r="I325" s="4">
        <v>1980798.5530000001</v>
      </c>
      <c r="J325" s="4">
        <v>269322.29800000001</v>
      </c>
      <c r="K325" s="4">
        <v>745123.82799999998</v>
      </c>
      <c r="L325" s="4">
        <v>165119.755</v>
      </c>
      <c r="M325" s="25">
        <v>3160364.4340000004</v>
      </c>
      <c r="O325" s="22">
        <v>4859330.1490000002</v>
      </c>
    </row>
    <row r="326" spans="1:40" x14ac:dyDescent="0.2">
      <c r="C326" s="5" t="s">
        <v>23</v>
      </c>
      <c r="D326" s="7">
        <v>0.15043632362494508</v>
      </c>
      <c r="E326" s="7">
        <v>0.12223072644185851</v>
      </c>
      <c r="F326" s="7">
        <v>2.749188133168734E-2</v>
      </c>
      <c r="G326" s="26">
        <v>0.13756406431400658</v>
      </c>
      <c r="H326" s="37"/>
      <c r="I326" s="7">
        <v>7.1008402879203958E-2</v>
      </c>
      <c r="J326" s="7">
        <v>4.2439477284572202E-2</v>
      </c>
      <c r="K326" s="7">
        <v>1.8522702556039272E-2</v>
      </c>
      <c r="L326" s="7">
        <v>1.3506664667712887E-2</v>
      </c>
      <c r="M326" s="26">
        <v>5.3194866265359408E-2</v>
      </c>
      <c r="O326" s="26">
        <v>8.2692836251242019E-2</v>
      </c>
      <c r="Q326" s="3">
        <v>0.10477453440577755</v>
      </c>
      <c r="R326" s="3">
        <v>0.14741529987311802</v>
      </c>
      <c r="S326" s="3">
        <v>0.15396430352108137</v>
      </c>
      <c r="T326" s="21">
        <v>0.11528603609100645</v>
      </c>
      <c r="V326" s="3">
        <v>5.3567325614091964E-2</v>
      </c>
      <c r="W326" s="3">
        <v>0.14416785203122365</v>
      </c>
      <c r="X326" s="3">
        <v>3.7591971933488087E-2</v>
      </c>
      <c r="Y326" s="3">
        <v>6.5516983949597082E-2</v>
      </c>
      <c r="Z326" s="21">
        <v>5.5400694234328231E-2</v>
      </c>
      <c r="AB326" s="21">
        <v>7.7356794471630769E-2</v>
      </c>
    </row>
    <row r="328" spans="1:40" x14ac:dyDescent="0.2">
      <c r="A328" s="5" t="s">
        <v>53</v>
      </c>
      <c r="C328" s="5" t="s">
        <v>21</v>
      </c>
      <c r="D328" s="4">
        <v>14367408.536994794</v>
      </c>
      <c r="E328" s="4">
        <v>4415466.8794970792</v>
      </c>
      <c r="F328" s="4">
        <v>940762.54942869977</v>
      </c>
      <c r="G328" s="25">
        <v>19723637.965920579</v>
      </c>
      <c r="I328" s="4">
        <v>23869441.209388562</v>
      </c>
      <c r="J328" s="4">
        <v>3645896.5034194998</v>
      </c>
      <c r="K328" s="4">
        <v>8329803.9389672196</v>
      </c>
      <c r="L328" s="4">
        <v>1913898.4573889002</v>
      </c>
      <c r="M328" s="25">
        <v>37759040.109164178</v>
      </c>
      <c r="O328" s="25">
        <v>57482678.075084746</v>
      </c>
    </row>
    <row r="329" spans="1:40" x14ac:dyDescent="0.2">
      <c r="C329" s="5" t="s">
        <v>22</v>
      </c>
      <c r="D329" s="4">
        <v>12717170.312000003</v>
      </c>
      <c r="E329" s="4">
        <v>3984630.8280000002</v>
      </c>
      <c r="F329" s="4">
        <v>830644.53899999999</v>
      </c>
      <c r="G329" s="25">
        <v>17532445.678999998</v>
      </c>
      <c r="I329" s="4">
        <v>22476705.957999997</v>
      </c>
      <c r="J329" s="4">
        <v>3326294.1830000007</v>
      </c>
      <c r="K329" s="4">
        <v>7811463.6589999991</v>
      </c>
      <c r="L329" s="4">
        <v>1868624.4140000003</v>
      </c>
      <c r="M329" s="25">
        <v>35483088.214000002</v>
      </c>
      <c r="O329" s="25">
        <v>53015533.893000007</v>
      </c>
    </row>
    <row r="330" spans="1:40" x14ac:dyDescent="0.2">
      <c r="C330" s="5" t="s">
        <v>23</v>
      </c>
      <c r="D330" s="7">
        <v>0.12976457690730281</v>
      </c>
      <c r="E330" s="7">
        <v>0.10812445872515819</v>
      </c>
      <c r="F330" s="7">
        <v>0.13256935458971308</v>
      </c>
      <c r="G330" s="26">
        <v>0.12497927140565146</v>
      </c>
      <c r="I330" s="7">
        <v>6.1963494739444069E-2</v>
      </c>
      <c r="J330" s="7">
        <v>9.6083600197757635E-2</v>
      </c>
      <c r="K330" s="7">
        <v>6.6356358116063552E-2</v>
      </c>
      <c r="L330" s="7">
        <v>2.4228541085999034E-2</v>
      </c>
      <c r="M330" s="26">
        <v>6.414187743292854E-2</v>
      </c>
      <c r="O330" s="26">
        <v>8.4261043019969728E-2</v>
      </c>
      <c r="Q330" s="3">
        <v>0.11535878567698976</v>
      </c>
      <c r="R330" s="3">
        <v>0.11162153720702364</v>
      </c>
      <c r="S330" s="3">
        <v>0.15063474328895757</v>
      </c>
      <c r="T330" s="21">
        <v>0.11609764872142389</v>
      </c>
      <c r="V330" s="3">
        <v>6.9516897104727263E-2</v>
      </c>
      <c r="W330" s="3">
        <v>9.9541620377848486E-2</v>
      </c>
      <c r="X330" s="3">
        <v>6.6363853371535567E-2</v>
      </c>
      <c r="Y330" s="3">
        <v>4.603337434364687E-2</v>
      </c>
      <c r="Z330" s="21">
        <v>7.0710719339257627E-2</v>
      </c>
      <c r="AB330" s="21">
        <v>8.6515124065094623E-2</v>
      </c>
    </row>
    <row r="332" spans="1:40" x14ac:dyDescent="0.2">
      <c r="D332" s="25" t="s">
        <v>7</v>
      </c>
      <c r="E332" s="25"/>
      <c r="F332" s="25"/>
      <c r="H332" s="34"/>
      <c r="I332" s="25" t="s">
        <v>8</v>
      </c>
      <c r="J332" s="25"/>
      <c r="K332" s="25"/>
      <c r="L332" s="25"/>
      <c r="N332" s="38"/>
      <c r="O332" s="20" t="s">
        <v>24</v>
      </c>
      <c r="Q332" s="40" t="s">
        <v>67</v>
      </c>
      <c r="R332" s="41"/>
      <c r="S332" s="41"/>
      <c r="T332" s="41"/>
      <c r="U332" s="41"/>
      <c r="V332" s="41"/>
      <c r="W332" s="41"/>
      <c r="X332" s="41"/>
      <c r="Y332" s="41"/>
      <c r="Z332" s="42"/>
      <c r="AB332" s="19" t="s">
        <v>24</v>
      </c>
    </row>
    <row r="333" spans="1:40" x14ac:dyDescent="0.2">
      <c r="D333" s="23" t="s">
        <v>0</v>
      </c>
      <c r="E333" s="23" t="s">
        <v>1</v>
      </c>
      <c r="F333" s="23" t="s">
        <v>2</v>
      </c>
      <c r="G333" s="23" t="s">
        <v>24</v>
      </c>
      <c r="H333" s="35"/>
      <c r="I333" s="23" t="s">
        <v>3</v>
      </c>
      <c r="J333" s="23" t="s">
        <v>4</v>
      </c>
      <c r="K333" s="23" t="s">
        <v>5</v>
      </c>
      <c r="L333" s="23" t="s">
        <v>6</v>
      </c>
      <c r="M333" s="23" t="s">
        <v>24</v>
      </c>
      <c r="N333" s="38"/>
      <c r="O333" s="23" t="s">
        <v>49</v>
      </c>
      <c r="Q333" s="23" t="s">
        <v>0</v>
      </c>
      <c r="R333" s="23" t="s">
        <v>1</v>
      </c>
      <c r="S333" s="23" t="s">
        <v>2</v>
      </c>
      <c r="T333" s="23" t="s">
        <v>24</v>
      </c>
      <c r="U333" s="23"/>
      <c r="V333" s="23" t="s">
        <v>3</v>
      </c>
      <c r="W333" s="23" t="s">
        <v>4</v>
      </c>
      <c r="X333" s="23" t="s">
        <v>58</v>
      </c>
      <c r="Y333" s="23" t="s">
        <v>59</v>
      </c>
      <c r="Z333" s="23" t="s">
        <v>24</v>
      </c>
      <c r="AA333" s="6"/>
      <c r="AB333" s="23" t="s">
        <v>49</v>
      </c>
    </row>
    <row r="334" spans="1:40" x14ac:dyDescent="0.2">
      <c r="A334" s="5">
        <v>2009</v>
      </c>
    </row>
    <row r="335" spans="1:40" x14ac:dyDescent="0.2">
      <c r="A335" s="5" t="s">
        <v>9</v>
      </c>
      <c r="C335" s="5" t="s">
        <v>21</v>
      </c>
      <c r="D335" s="4">
        <v>1458612.1487249006</v>
      </c>
      <c r="E335" s="4">
        <v>454914.27887379966</v>
      </c>
      <c r="F335" s="4">
        <v>88717.185029199871</v>
      </c>
      <c r="G335" s="25">
        <v>2002243.6126279</v>
      </c>
      <c r="I335" s="4">
        <v>2082761.6211331408</v>
      </c>
      <c r="J335" s="4">
        <v>276425.79629170004</v>
      </c>
      <c r="K335" s="4">
        <v>732133.94727256091</v>
      </c>
      <c r="L335" s="4">
        <v>164452.17187490012</v>
      </c>
      <c r="M335" s="25">
        <v>3255773.5365723018</v>
      </c>
      <c r="O335" s="22">
        <v>5258017.149200202</v>
      </c>
      <c r="AK335" s="2"/>
      <c r="AL335" s="2"/>
      <c r="AN335" s="2"/>
    </row>
    <row r="336" spans="1:40" x14ac:dyDescent="0.2">
      <c r="C336" s="5" t="s">
        <v>22</v>
      </c>
      <c r="D336" s="4">
        <v>1230367.172</v>
      </c>
      <c r="E336" s="4">
        <v>434010.84600000002</v>
      </c>
      <c r="F336" s="4">
        <v>72196.236000000004</v>
      </c>
      <c r="G336" s="25">
        <v>1736574.2540000002</v>
      </c>
      <c r="I336" s="4">
        <v>1954734.2320000001</v>
      </c>
      <c r="J336" s="4">
        <v>272979.429</v>
      </c>
      <c r="K336" s="4">
        <v>599087.30299999996</v>
      </c>
      <c r="L336" s="4">
        <v>161711.95800000001</v>
      </c>
      <c r="M336" s="25">
        <v>2988512.9220000003</v>
      </c>
      <c r="O336" s="22">
        <v>4725087.1760000009</v>
      </c>
      <c r="AK336" s="2"/>
      <c r="AL336" s="2"/>
      <c r="AN336" s="2"/>
    </row>
    <row r="337" spans="1:40" x14ac:dyDescent="0.2">
      <c r="C337" s="5" t="s">
        <v>23</v>
      </c>
      <c r="D337" s="7">
        <v>0.1855096445347133</v>
      </c>
      <c r="E337" s="7">
        <v>4.8163388234310656E-2</v>
      </c>
      <c r="F337" s="7">
        <v>0.22883393850615508</v>
      </c>
      <c r="G337" s="26">
        <v>0.15298473878439744</v>
      </c>
      <c r="H337" s="37"/>
      <c r="I337" s="7">
        <v>6.5496059278681962E-2</v>
      </c>
      <c r="J337" s="7">
        <v>1.2625007328666005E-2</v>
      </c>
      <c r="K337" s="7">
        <v>0.22208223009620509</v>
      </c>
      <c r="L337" s="7">
        <v>1.6945029352128049E-2</v>
      </c>
      <c r="M337" s="26">
        <v>8.9429298633730836E-2</v>
      </c>
      <c r="O337" s="26">
        <v>0.11278733139720609</v>
      </c>
      <c r="Q337" s="3">
        <v>0.1236974085406278</v>
      </c>
      <c r="R337" s="3">
        <v>0.10163265514900033</v>
      </c>
      <c r="S337" s="3">
        <v>0.19772252003650764</v>
      </c>
      <c r="T337" s="21">
        <v>0.11963738058840101</v>
      </c>
      <c r="V337" s="3">
        <v>7.4854197400010938E-2</v>
      </c>
      <c r="W337" s="3">
        <v>9.3687323458831975E-2</v>
      </c>
      <c r="X337" s="3">
        <v>0.10265447922698967</v>
      </c>
      <c r="Y337" s="3">
        <v>0.11035927260036518</v>
      </c>
      <c r="Z337" s="21">
        <v>8.2344513944612216E-2</v>
      </c>
      <c r="AB337" s="21">
        <v>9.6408000019124127E-2</v>
      </c>
      <c r="AK337" s="7"/>
      <c r="AL337" s="7"/>
      <c r="AN337" s="7"/>
    </row>
    <row r="339" spans="1:40" x14ac:dyDescent="0.2">
      <c r="A339" s="5" t="s">
        <v>10</v>
      </c>
      <c r="C339" s="5" t="s">
        <v>21</v>
      </c>
      <c r="D339" s="4">
        <v>1257389.1212947001</v>
      </c>
      <c r="E339" s="4">
        <v>378196.14662320045</v>
      </c>
      <c r="F339" s="4">
        <v>77678.840345300021</v>
      </c>
      <c r="G339" s="25">
        <v>1713264.1082632006</v>
      </c>
      <c r="I339" s="4">
        <v>1819970.6986324477</v>
      </c>
      <c r="J339" s="4">
        <v>253094.77704519976</v>
      </c>
      <c r="K339" s="4">
        <v>641458.87831377028</v>
      </c>
      <c r="L339" s="4">
        <v>143801.2589291998</v>
      </c>
      <c r="M339" s="25">
        <v>2858325.6129206182</v>
      </c>
      <c r="O339" s="22">
        <v>4571589.7211838188</v>
      </c>
      <c r="AK339" s="2"/>
      <c r="AL339" s="2"/>
      <c r="AN339" s="2"/>
    </row>
    <row r="340" spans="1:40" x14ac:dyDescent="0.2">
      <c r="C340" s="5" t="s">
        <v>22</v>
      </c>
      <c r="D340" s="4">
        <v>1104638.706</v>
      </c>
      <c r="E340" s="4">
        <v>345087.77100000001</v>
      </c>
      <c r="F340" s="4">
        <v>67041.354999999996</v>
      </c>
      <c r="G340" s="25">
        <v>1516767.8319999999</v>
      </c>
      <c r="I340" s="4">
        <v>1689971.2520000001</v>
      </c>
      <c r="J340" s="4">
        <v>223434.348</v>
      </c>
      <c r="K340" s="4">
        <v>616772.94900000002</v>
      </c>
      <c r="L340" s="4">
        <v>149867.076</v>
      </c>
      <c r="M340" s="25">
        <v>2680045.625</v>
      </c>
      <c r="O340" s="22">
        <v>4196813.4570000004</v>
      </c>
      <c r="AK340" s="2"/>
      <c r="AL340" s="2"/>
      <c r="AN340" s="2"/>
    </row>
    <row r="341" spans="1:40" x14ac:dyDescent="0.2">
      <c r="C341" s="5" t="s">
        <v>23</v>
      </c>
      <c r="D341" s="7">
        <v>0.13828088266780325</v>
      </c>
      <c r="E341" s="7">
        <v>9.594189770115169E-2</v>
      </c>
      <c r="F341" s="7">
        <v>0.15867050039934338</v>
      </c>
      <c r="G341" s="26">
        <v>0.12954934309498234</v>
      </c>
      <c r="H341" s="37"/>
      <c r="I341" s="7">
        <v>7.6924058014951058E-2</v>
      </c>
      <c r="J341" s="7">
        <v>0.13274784880075718</v>
      </c>
      <c r="K341" s="7">
        <v>4.0024338541102766E-2</v>
      </c>
      <c r="L341" s="7">
        <v>-4.0474647485617132E-2</v>
      </c>
      <c r="M341" s="26">
        <v>6.6521251077812593E-2</v>
      </c>
      <c r="O341" s="26">
        <v>8.9300195975762664E-2</v>
      </c>
      <c r="Q341" s="3">
        <v>0.11300303313916235</v>
      </c>
      <c r="R341" s="3">
        <v>0.13902859620601435</v>
      </c>
      <c r="S341" s="3">
        <v>0.14222409594913232</v>
      </c>
      <c r="T341" s="21">
        <v>0.11894328578387711</v>
      </c>
      <c r="V341" s="3">
        <v>7.1873673423104731E-2</v>
      </c>
      <c r="W341" s="3">
        <v>5.2791463477090982E-2</v>
      </c>
      <c r="X341" s="3">
        <v>8.9780302078770274E-2</v>
      </c>
      <c r="Y341" s="3">
        <v>-2.9879207628628057E-2</v>
      </c>
      <c r="Z341" s="21">
        <v>6.8695542786821481E-2</v>
      </c>
      <c r="AB341" s="21">
        <v>8.74043825364689E-2</v>
      </c>
      <c r="AK341" s="7"/>
      <c r="AL341" s="7"/>
      <c r="AN341" s="7"/>
    </row>
    <row r="343" spans="1:40" x14ac:dyDescent="0.2">
      <c r="A343" s="5" t="s">
        <v>11</v>
      </c>
      <c r="C343" s="5" t="s">
        <v>21</v>
      </c>
      <c r="D343" s="4">
        <v>1307513.6632783008</v>
      </c>
      <c r="E343" s="4">
        <v>381870.21626519988</v>
      </c>
      <c r="F343" s="4">
        <v>80715.756521600008</v>
      </c>
      <c r="G343" s="25">
        <v>1770099.6360651008</v>
      </c>
      <c r="I343" s="4">
        <v>1833784.7700784786</v>
      </c>
      <c r="J343" s="4">
        <v>236667.95246319997</v>
      </c>
      <c r="K343" s="4">
        <v>679973.91653731954</v>
      </c>
      <c r="L343" s="4">
        <v>172774.57565040013</v>
      </c>
      <c r="M343" s="25">
        <v>2923201.214729398</v>
      </c>
      <c r="O343" s="22">
        <v>4693300.8507944988</v>
      </c>
      <c r="AK343" s="2"/>
      <c r="AL343" s="2"/>
      <c r="AN343" s="2"/>
    </row>
    <row r="344" spans="1:40" x14ac:dyDescent="0.2">
      <c r="C344" s="5" t="s">
        <v>22</v>
      </c>
      <c r="D344" s="4">
        <v>1174758.675</v>
      </c>
      <c r="E344" s="4">
        <v>340151.6</v>
      </c>
      <c r="F344" s="4">
        <v>71946.804999999993</v>
      </c>
      <c r="G344" s="25">
        <v>1586857.0799999998</v>
      </c>
      <c r="I344" s="4">
        <v>1770455.868</v>
      </c>
      <c r="J344" s="4">
        <v>237684.86499999999</v>
      </c>
      <c r="K344" s="4">
        <v>615729.23300000001</v>
      </c>
      <c r="L344" s="4">
        <v>134102.65599999999</v>
      </c>
      <c r="M344" s="25">
        <v>2757972.622</v>
      </c>
      <c r="O344" s="22">
        <v>4344829.7019999996</v>
      </c>
      <c r="AK344" s="2"/>
      <c r="AL344" s="2"/>
      <c r="AN344" s="2"/>
    </row>
    <row r="345" spans="1:40" x14ac:dyDescent="0.2">
      <c r="C345" s="5" t="s">
        <v>23</v>
      </c>
      <c r="D345" s="7">
        <v>0.11300617829300186</v>
      </c>
      <c r="E345" s="7">
        <v>0.12264712635542474</v>
      </c>
      <c r="F345" s="7">
        <v>0.12188104143888001</v>
      </c>
      <c r="G345" s="26">
        <v>0.11547514793525138</v>
      </c>
      <c r="H345" s="37"/>
      <c r="I345" s="7">
        <v>3.5769828112133695E-2</v>
      </c>
      <c r="J345" s="7">
        <v>-4.2784067752905663E-3</v>
      </c>
      <c r="K345" s="7">
        <v>0.10433918042887447</v>
      </c>
      <c r="L345" s="7">
        <v>0.28837549384853456</v>
      </c>
      <c r="M345" s="26">
        <v>5.9909439060921166E-2</v>
      </c>
      <c r="O345" s="26">
        <v>8.0203638046870251E-2</v>
      </c>
      <c r="Q345" s="3">
        <v>0.10375085142195997</v>
      </c>
      <c r="R345" s="3">
        <v>9.7324501679015102E-2</v>
      </c>
      <c r="S345" s="3">
        <v>0.21386065093720902</v>
      </c>
      <c r="T345" s="21">
        <v>0.10572718215818115</v>
      </c>
      <c r="V345" s="3">
        <v>7.3294810769560834E-2</v>
      </c>
      <c r="W345" s="3">
        <v>0.16662052487823237</v>
      </c>
      <c r="X345" s="3">
        <v>0.10045540975495984</v>
      </c>
      <c r="Y345" s="3">
        <v>0.1906516901243151</v>
      </c>
      <c r="Z345" s="21">
        <v>9.1788712236196002E-2</v>
      </c>
      <c r="AB345" s="21">
        <v>9.6863451780387827E-2</v>
      </c>
      <c r="AK345" s="7"/>
      <c r="AL345" s="7"/>
      <c r="AN345" s="7"/>
    </row>
    <row r="347" spans="1:40" x14ac:dyDescent="0.2">
      <c r="A347" s="5" t="s">
        <v>12</v>
      </c>
      <c r="C347" s="5" t="s">
        <v>21</v>
      </c>
      <c r="D347" s="4">
        <v>1129715.359235201</v>
      </c>
      <c r="E347" s="4">
        <v>325952.25872240012</v>
      </c>
      <c r="F347" s="4">
        <v>74133.69912759999</v>
      </c>
      <c r="G347" s="25">
        <v>1529801.3170852012</v>
      </c>
      <c r="I347" s="4">
        <v>1719833.8864393739</v>
      </c>
      <c r="J347" s="4">
        <v>209843.37477310013</v>
      </c>
      <c r="K347" s="4">
        <v>622817.49921984447</v>
      </c>
      <c r="L347" s="4">
        <v>165767.61472050016</v>
      </c>
      <c r="M347" s="25">
        <v>2718262.3751528189</v>
      </c>
      <c r="O347" s="22">
        <v>4248063.6922380198</v>
      </c>
      <c r="AK347" s="2"/>
      <c r="AL347" s="2"/>
      <c r="AN347" s="2"/>
    </row>
    <row r="348" spans="1:40" x14ac:dyDescent="0.2">
      <c r="C348" s="5" t="s">
        <v>22</v>
      </c>
      <c r="D348" s="4">
        <v>1012143.37</v>
      </c>
      <c r="E348" s="4">
        <v>288857.39399999997</v>
      </c>
      <c r="F348" s="4">
        <v>58212.387000000002</v>
      </c>
      <c r="G348" s="25">
        <v>1359213.1510000001</v>
      </c>
      <c r="I348" s="4">
        <v>1581894.699</v>
      </c>
      <c r="J348" s="4">
        <v>193968.18299999999</v>
      </c>
      <c r="K348" s="4">
        <v>592619.07200000004</v>
      </c>
      <c r="L348" s="4">
        <v>172804.24799999999</v>
      </c>
      <c r="M348" s="25">
        <v>2541286.202</v>
      </c>
      <c r="O348" s="22">
        <v>3900499.3530000001</v>
      </c>
      <c r="AD348" s="2"/>
      <c r="AE348" s="2"/>
      <c r="AF348" s="2"/>
      <c r="AG348" s="2"/>
      <c r="AI348" s="2"/>
      <c r="AJ348" s="2"/>
      <c r="AK348" s="2"/>
      <c r="AL348" s="2"/>
      <c r="AN348" s="2"/>
    </row>
    <row r="349" spans="1:40" x14ac:dyDescent="0.2">
      <c r="C349" s="5" t="s">
        <v>23</v>
      </c>
      <c r="D349" s="7">
        <v>0.11616139839477579</v>
      </c>
      <c r="E349" s="7">
        <v>0.12841930133316981</v>
      </c>
      <c r="F349" s="7">
        <v>0.27350385284149215</v>
      </c>
      <c r="G349" s="26">
        <v>0.12550508796923876</v>
      </c>
      <c r="H349" s="37"/>
      <c r="I349" s="7">
        <v>8.7198716530608955E-2</v>
      </c>
      <c r="J349" s="7">
        <v>8.1844308316793013E-2</v>
      </c>
      <c r="K349" s="7">
        <v>5.095756894547665E-2</v>
      </c>
      <c r="L349" s="7">
        <v>-4.0720256364877305E-2</v>
      </c>
      <c r="M349" s="26">
        <v>6.9640394306449194E-2</v>
      </c>
      <c r="O349" s="26">
        <v>8.9107652067855536E-2</v>
      </c>
      <c r="Q349" s="3">
        <v>0.11892613770515639</v>
      </c>
      <c r="R349" s="3">
        <v>0.11762061155644417</v>
      </c>
      <c r="S349" s="3">
        <v>0.22171613408832011</v>
      </c>
      <c r="T349" s="21">
        <v>0.12265854194320132</v>
      </c>
      <c r="V349" s="3">
        <v>9.0677726061894059E-2</v>
      </c>
      <c r="W349" s="3">
        <v>6.7391613364792977E-2</v>
      </c>
      <c r="X349" s="3">
        <v>6.0466393237338378E-2</v>
      </c>
      <c r="Y349" s="3">
        <v>-2.1167824812991308E-2</v>
      </c>
      <c r="Z349" s="21">
        <v>7.6137632596302712E-2</v>
      </c>
      <c r="AB349" s="21">
        <v>9.2681615198168504E-2</v>
      </c>
      <c r="AD349" s="7"/>
      <c r="AE349" s="7"/>
      <c r="AF349" s="7"/>
      <c r="AG349" s="7"/>
      <c r="AI349" s="7"/>
      <c r="AJ349" s="7"/>
      <c r="AK349" s="7"/>
      <c r="AL349" s="7"/>
      <c r="AN349" s="7"/>
    </row>
    <row r="351" spans="1:40" x14ac:dyDescent="0.2">
      <c r="A351" s="5" t="s">
        <v>13</v>
      </c>
      <c r="C351" s="5" t="s">
        <v>21</v>
      </c>
      <c r="D351" s="4">
        <v>1128217.4437935997</v>
      </c>
      <c r="E351" s="4">
        <v>340549.13170000032</v>
      </c>
      <c r="F351" s="4">
        <v>82298.155396699862</v>
      </c>
      <c r="G351" s="25">
        <v>1551064.7308902999</v>
      </c>
      <c r="I351" s="4">
        <v>1814729.476816054</v>
      </c>
      <c r="J351" s="4">
        <v>271095.46822350018</v>
      </c>
      <c r="K351" s="4">
        <v>630754.6238280806</v>
      </c>
      <c r="L351" s="4">
        <v>156569.05365419982</v>
      </c>
      <c r="M351" s="25">
        <v>2873148.6225218344</v>
      </c>
      <c r="O351" s="22">
        <v>4424213.3534121346</v>
      </c>
      <c r="AD351" s="2"/>
      <c r="AE351" s="2"/>
      <c r="AF351" s="2"/>
      <c r="AG351" s="2"/>
      <c r="AI351" s="2"/>
      <c r="AJ351" s="2"/>
      <c r="AK351" s="2"/>
      <c r="AL351" s="2"/>
      <c r="AN351" s="2"/>
    </row>
    <row r="352" spans="1:40" x14ac:dyDescent="0.2">
      <c r="C352" s="5" t="s">
        <v>22</v>
      </c>
      <c r="D352" s="4">
        <v>1007574.876</v>
      </c>
      <c r="E352" s="4">
        <v>303550.652</v>
      </c>
      <c r="F352" s="4">
        <v>77680.221000000005</v>
      </c>
      <c r="G352" s="25">
        <v>1388805.7489999998</v>
      </c>
      <c r="I352" s="4">
        <v>1700601.8359999999</v>
      </c>
      <c r="J352" s="4">
        <v>243852.91699999999</v>
      </c>
      <c r="K352" s="4">
        <v>606080.13800000004</v>
      </c>
      <c r="L352" s="4">
        <v>161773.59</v>
      </c>
      <c r="M352" s="25">
        <v>2712308.4809999997</v>
      </c>
      <c r="O352" s="22">
        <v>4101114.2299999995</v>
      </c>
      <c r="AD352" s="2"/>
      <c r="AE352" s="2"/>
      <c r="AF352" s="2"/>
      <c r="AG352" s="2"/>
      <c r="AI352" s="2"/>
      <c r="AJ352" s="2"/>
      <c r="AK352" s="2"/>
      <c r="AL352" s="2"/>
      <c r="AN352" s="2"/>
    </row>
    <row r="353" spans="1:40" x14ac:dyDescent="0.2">
      <c r="C353" s="5" t="s">
        <v>23</v>
      </c>
      <c r="D353" s="7">
        <v>0.11973558558004349</v>
      </c>
      <c r="E353" s="7">
        <v>0.1218856868078817</v>
      </c>
      <c r="F353" s="7">
        <v>5.9448007964599592E-2</v>
      </c>
      <c r="G353" s="26">
        <v>0.11683346069609346</v>
      </c>
      <c r="H353" s="37"/>
      <c r="I353" s="7">
        <v>6.7110147948854726E-2</v>
      </c>
      <c r="J353" s="7">
        <v>0.11171714309860059</v>
      </c>
      <c r="K353" s="7">
        <v>4.0711589575437523E-2</v>
      </c>
      <c r="L353" s="7">
        <v>-3.2171730538959942E-2</v>
      </c>
      <c r="M353" s="26">
        <v>5.9300091655700937E-2</v>
      </c>
      <c r="O353" s="26">
        <v>7.8783253840782441E-2</v>
      </c>
      <c r="Q353" s="3">
        <v>0.10653061962350323</v>
      </c>
      <c r="R353" s="3">
        <v>5.6113521344873483E-2</v>
      </c>
      <c r="S353" s="3">
        <v>0.11352057199267777</v>
      </c>
      <c r="T353" s="21">
        <v>9.5220209829014774E-2</v>
      </c>
      <c r="V353" s="3">
        <v>5.2779202107959125E-2</v>
      </c>
      <c r="W353" s="3">
        <v>0.14436096462026432</v>
      </c>
      <c r="X353" s="3">
        <v>5.7015194241288203E-2</v>
      </c>
      <c r="Y353" s="3">
        <v>8.6833883452891045E-2</v>
      </c>
      <c r="Z353" s="21">
        <v>6.3527516142336579E-2</v>
      </c>
      <c r="AB353" s="21">
        <v>7.4411483068587095E-2</v>
      </c>
      <c r="AD353" s="7"/>
      <c r="AE353" s="7"/>
      <c r="AF353" s="7"/>
      <c r="AG353" s="7"/>
      <c r="AI353" s="7"/>
      <c r="AJ353" s="7"/>
      <c r="AK353" s="7"/>
      <c r="AL353" s="7"/>
      <c r="AN353" s="7"/>
    </row>
    <row r="355" spans="1:40" x14ac:dyDescent="0.2">
      <c r="A355" s="5" t="s">
        <v>14</v>
      </c>
      <c r="C355" s="5" t="s">
        <v>21</v>
      </c>
      <c r="D355" s="4">
        <v>1110155.2520635012</v>
      </c>
      <c r="E355" s="4">
        <v>343310.96896620013</v>
      </c>
      <c r="F355" s="4">
        <v>71444.126553499955</v>
      </c>
      <c r="G355" s="25">
        <v>1524910.3475832012</v>
      </c>
      <c r="I355" s="4">
        <v>1840159.1706561327</v>
      </c>
      <c r="J355" s="4">
        <v>209826.17492240039</v>
      </c>
      <c r="K355" s="4">
        <v>619103.2175922168</v>
      </c>
      <c r="L355" s="4">
        <v>148325.95754500001</v>
      </c>
      <c r="M355" s="25">
        <v>2817414.5207157498</v>
      </c>
      <c r="O355" s="22">
        <v>4342324.8682989515</v>
      </c>
      <c r="AD355" s="2"/>
      <c r="AE355" s="2"/>
      <c r="AF355" s="2"/>
      <c r="AG355" s="2"/>
      <c r="AI355" s="2"/>
      <c r="AJ355" s="2"/>
      <c r="AK355" s="2"/>
      <c r="AL355" s="2"/>
      <c r="AN355" s="2"/>
    </row>
    <row r="356" spans="1:40" x14ac:dyDescent="0.2">
      <c r="C356" s="5" t="s">
        <v>22</v>
      </c>
      <c r="D356" s="4">
        <v>985293.63800000004</v>
      </c>
      <c r="E356" s="4">
        <v>339600.62</v>
      </c>
      <c r="F356" s="4">
        <v>63547.716</v>
      </c>
      <c r="G356" s="25">
        <v>1388441.9739999999</v>
      </c>
      <c r="I356" s="4">
        <v>1680326.4380000001</v>
      </c>
      <c r="J356" s="4">
        <v>227677.848</v>
      </c>
      <c r="K356" s="4">
        <v>598881.74199999997</v>
      </c>
      <c r="L356" s="4">
        <v>149577.44</v>
      </c>
      <c r="M356" s="25">
        <v>2656463.4679999999</v>
      </c>
      <c r="O356" s="22">
        <v>4044905.4419999998</v>
      </c>
      <c r="AD356" s="2"/>
      <c r="AE356" s="2"/>
      <c r="AF356" s="2"/>
      <c r="AG356" s="2"/>
      <c r="AI356" s="2"/>
      <c r="AJ356" s="2"/>
      <c r="AK356" s="2"/>
      <c r="AL356" s="2"/>
      <c r="AN356" s="2"/>
    </row>
    <row r="357" spans="1:40" x14ac:dyDescent="0.2">
      <c r="C357" s="5" t="s">
        <v>23</v>
      </c>
      <c r="D357" s="7">
        <v>0.12672528193417709</v>
      </c>
      <c r="E357" s="7">
        <v>1.0925624830131708E-2</v>
      </c>
      <c r="F357" s="7">
        <v>0.12425954936759576</v>
      </c>
      <c r="G357" s="26">
        <v>9.8288856242256806E-2</v>
      </c>
      <c r="H357" s="37"/>
      <c r="I357" s="7">
        <v>9.5120048724801842E-2</v>
      </c>
      <c r="J357" s="7">
        <v>-7.8407597552483943E-2</v>
      </c>
      <c r="K357" s="7">
        <v>3.3765390016209373E-2</v>
      </c>
      <c r="L357" s="7">
        <v>-8.3667861610681182E-3</v>
      </c>
      <c r="M357" s="26">
        <v>6.0588468335657897E-2</v>
      </c>
      <c r="O357" s="26">
        <v>7.3529389144852964E-2</v>
      </c>
      <c r="Q357" s="3">
        <v>9.5303917208119232E-2</v>
      </c>
      <c r="R357" s="3">
        <v>0.11226580581812215</v>
      </c>
      <c r="S357" s="3">
        <v>0.18362615288035927</v>
      </c>
      <c r="T357" s="21">
        <v>0.1008559802459819</v>
      </c>
      <c r="V357" s="3">
        <v>7.5429165977956014E-2</v>
      </c>
      <c r="W357" s="3">
        <v>5.5119465447876451E-2</v>
      </c>
      <c r="X357" s="3">
        <v>5.6047077128965971E-2</v>
      </c>
      <c r="Y357" s="3">
        <v>1.6080634944926953E-2</v>
      </c>
      <c r="Z357" s="21">
        <v>6.7109784006594703E-2</v>
      </c>
      <c r="AB357" s="21">
        <v>7.8255361404451662E-2</v>
      </c>
      <c r="AD357" s="7"/>
      <c r="AE357" s="7"/>
      <c r="AF357" s="7"/>
      <c r="AG357" s="7"/>
      <c r="AI357" s="7"/>
      <c r="AJ357" s="7"/>
      <c r="AK357" s="7"/>
      <c r="AL357" s="7"/>
      <c r="AN357" s="7"/>
    </row>
    <row r="359" spans="1:40" x14ac:dyDescent="0.2">
      <c r="A359" s="5" t="s">
        <v>15</v>
      </c>
      <c r="C359" s="5" t="s">
        <v>21</v>
      </c>
      <c r="D359" s="4">
        <v>1313387.9325661017</v>
      </c>
      <c r="E359" s="4">
        <v>413977.49965260056</v>
      </c>
      <c r="F359" s="4">
        <v>92346.511524900081</v>
      </c>
      <c r="G359" s="25">
        <v>1819711.9437436024</v>
      </c>
      <c r="I359" s="4">
        <v>2323062.1097125877</v>
      </c>
      <c r="J359" s="4">
        <v>418211.46895100025</v>
      </c>
      <c r="K359" s="4">
        <v>611648.21558702609</v>
      </c>
      <c r="L359" s="4">
        <v>138068.07527380012</v>
      </c>
      <c r="M359" s="25">
        <v>3490989.8695244142</v>
      </c>
      <c r="O359" s="22">
        <v>5310701.813268017</v>
      </c>
      <c r="AD359" s="2"/>
      <c r="AE359" s="2"/>
      <c r="AF359" s="2"/>
      <c r="AG359" s="2"/>
      <c r="AI359" s="2"/>
      <c r="AJ359" s="2"/>
      <c r="AK359" s="2"/>
      <c r="AL359" s="2"/>
      <c r="AN359" s="2"/>
    </row>
    <row r="360" spans="1:40" x14ac:dyDescent="0.2">
      <c r="C360" s="5" t="s">
        <v>22</v>
      </c>
      <c r="D360" s="4">
        <v>1216294.1229999999</v>
      </c>
      <c r="E360" s="4">
        <v>368779.99599999998</v>
      </c>
      <c r="F360" s="4">
        <v>94893.346999999994</v>
      </c>
      <c r="G360" s="25">
        <v>1679967.466</v>
      </c>
      <c r="I360" s="4">
        <v>2294242.8709999998</v>
      </c>
      <c r="J360" s="4">
        <v>292275.99300000002</v>
      </c>
      <c r="K360" s="4">
        <v>574986.56299999997</v>
      </c>
      <c r="L360" s="4">
        <v>141449.60699999999</v>
      </c>
      <c r="M360" s="25">
        <v>3302955.034</v>
      </c>
      <c r="O360" s="22">
        <v>4982922.5</v>
      </c>
      <c r="AD360" s="2"/>
      <c r="AE360" s="2"/>
      <c r="AF360" s="2"/>
      <c r="AG360" s="2"/>
      <c r="AI360" s="2"/>
      <c r="AJ360" s="2"/>
      <c r="AK360" s="2"/>
      <c r="AL360" s="2"/>
      <c r="AN360" s="2"/>
    </row>
    <row r="361" spans="1:40" x14ac:dyDescent="0.2">
      <c r="C361" s="5" t="s">
        <v>23</v>
      </c>
      <c r="D361" s="7">
        <v>7.9827574375364918E-2</v>
      </c>
      <c r="E361" s="7">
        <v>0.12255953181527923</v>
      </c>
      <c r="F361" s="7">
        <v>-2.6838925547645776E-2</v>
      </c>
      <c r="G361" s="26">
        <v>8.3182847627599532E-2</v>
      </c>
      <c r="H361" s="37"/>
      <c r="I361" s="7">
        <v>1.2561546589889394E-2</v>
      </c>
      <c r="J361" s="7">
        <v>0.43087861804305017</v>
      </c>
      <c r="K361" s="7">
        <v>6.3760885812258694E-2</v>
      </c>
      <c r="L361" s="7">
        <v>-2.3906264555403567E-2</v>
      </c>
      <c r="M361" s="26">
        <v>5.6929275024582227E-2</v>
      </c>
      <c r="O361" s="26">
        <v>6.5780536074566021E-2</v>
      </c>
      <c r="Q361" s="3">
        <v>8.8580295908870621E-2</v>
      </c>
      <c r="R361" s="3">
        <v>9.2961018789619265E-2</v>
      </c>
      <c r="S361" s="3">
        <v>3.1882727767812293E-2</v>
      </c>
      <c r="T361" s="21">
        <v>8.6252772605761363E-2</v>
      </c>
      <c r="V361" s="3">
        <v>4.4350183798910384E-2</v>
      </c>
      <c r="W361" s="3">
        <v>0.22269962916930633</v>
      </c>
      <c r="X361" s="3">
        <v>6.8122853605927958E-2</v>
      </c>
      <c r="Y361" s="3">
        <v>0.14125028680391818</v>
      </c>
      <c r="Z361" s="21">
        <v>6.8991432257356863E-2</v>
      </c>
      <c r="AB361" s="21">
        <v>7.4663796761019266E-2</v>
      </c>
      <c r="AD361" s="7"/>
      <c r="AE361" s="7"/>
      <c r="AF361" s="7"/>
      <c r="AG361" s="7"/>
      <c r="AI361" s="7"/>
      <c r="AJ361" s="7"/>
      <c r="AK361" s="7"/>
      <c r="AL361" s="7"/>
      <c r="AN361" s="7"/>
    </row>
    <row r="363" spans="1:40" x14ac:dyDescent="0.2">
      <c r="A363" s="5" t="s">
        <v>16</v>
      </c>
      <c r="C363" s="5" t="s">
        <v>21</v>
      </c>
      <c r="D363" s="4">
        <v>1237617.5242335999</v>
      </c>
      <c r="E363" s="4">
        <v>395816.7216177996</v>
      </c>
      <c r="F363" s="4">
        <v>82809.197114199851</v>
      </c>
      <c r="G363" s="25">
        <v>1716243.4429655992</v>
      </c>
      <c r="I363" s="4">
        <v>2231527.5768473544</v>
      </c>
      <c r="J363" s="4">
        <v>273942.47122229979</v>
      </c>
      <c r="K363" s="4">
        <v>660788.31912428187</v>
      </c>
      <c r="L363" s="4">
        <v>118793.81300849981</v>
      </c>
      <c r="M363" s="25">
        <v>3285052.1802024357</v>
      </c>
      <c r="O363" s="22">
        <v>5001295.6231680345</v>
      </c>
      <c r="AD363" s="2"/>
      <c r="AE363" s="2"/>
      <c r="AF363" s="2"/>
      <c r="AG363" s="2"/>
      <c r="AI363" s="2"/>
      <c r="AJ363" s="2"/>
      <c r="AK363" s="2"/>
      <c r="AL363" s="2"/>
      <c r="AN363" s="2"/>
    </row>
    <row r="364" spans="1:40" x14ac:dyDescent="0.2">
      <c r="C364" s="5" t="s">
        <v>22</v>
      </c>
      <c r="D364" s="4">
        <v>1125167.575</v>
      </c>
      <c r="E364" s="4">
        <v>327660.83299999998</v>
      </c>
      <c r="F364" s="4">
        <v>68318.082999999999</v>
      </c>
      <c r="G364" s="25">
        <v>1521146.4909999999</v>
      </c>
      <c r="I364" s="4">
        <v>2053547.18</v>
      </c>
      <c r="J364" s="4">
        <v>307594.39799999999</v>
      </c>
      <c r="K364" s="4">
        <v>546951.44799999997</v>
      </c>
      <c r="L364" s="4">
        <v>123096.08500000001</v>
      </c>
      <c r="M364" s="25">
        <v>3031189.1109999996</v>
      </c>
      <c r="O364" s="22">
        <v>4552335.602</v>
      </c>
      <c r="AD364" s="2"/>
      <c r="AE364" s="2"/>
      <c r="AF364" s="2"/>
      <c r="AG364" s="2"/>
      <c r="AI364" s="2"/>
      <c r="AJ364" s="2"/>
      <c r="AK364" s="2"/>
      <c r="AL364" s="2"/>
      <c r="AN364" s="2"/>
    </row>
    <row r="365" spans="1:40" x14ac:dyDescent="0.2">
      <c r="C365" s="5" t="s">
        <v>23</v>
      </c>
      <c r="D365" s="7">
        <v>9.9940623718738131E-2</v>
      </c>
      <c r="E365" s="7">
        <v>0.2080074325447363</v>
      </c>
      <c r="F365" s="7">
        <v>0.21211242291736809</v>
      </c>
      <c r="G365" s="26">
        <v>0.128256517777813</v>
      </c>
      <c r="H365" s="37"/>
      <c r="I365" s="7">
        <v>8.6669738382808559E-2</v>
      </c>
      <c r="J365" s="7">
        <v>-0.1094035749561999</v>
      </c>
      <c r="K365" s="7">
        <v>0.20812975546648871</v>
      </c>
      <c r="L365" s="7">
        <v>-3.4950518462875557E-2</v>
      </c>
      <c r="M365" s="26">
        <v>8.375032368689328E-2</v>
      </c>
      <c r="O365" s="26">
        <v>9.8621907613926973E-2</v>
      </c>
      <c r="Q365" s="3">
        <v>0.10548650770799103</v>
      </c>
      <c r="R365" s="3">
        <v>0.10085192736504967</v>
      </c>
      <c r="S365" s="3">
        <v>0.1599488806500789</v>
      </c>
      <c r="T365" s="21">
        <v>0.10625353337048105</v>
      </c>
      <c r="V365" s="3">
        <v>8.2537300727286267E-2</v>
      </c>
      <c r="W365" s="3">
        <v>2.0506897298000305E-2</v>
      </c>
      <c r="X365" s="3">
        <v>8.4125829680862282E-2</v>
      </c>
      <c r="Y365" s="3">
        <v>1.6627175851956454E-2</v>
      </c>
      <c r="Z365" s="21">
        <v>7.3425611129675078E-2</v>
      </c>
      <c r="AB365" s="21">
        <v>8.4316244066828056E-2</v>
      </c>
      <c r="AD365" s="7"/>
      <c r="AE365" s="7"/>
      <c r="AF365" s="7"/>
      <c r="AG365" s="7"/>
      <c r="AI365" s="7"/>
      <c r="AJ365" s="7"/>
      <c r="AK365" s="7"/>
      <c r="AL365" s="7"/>
      <c r="AN365" s="7"/>
    </row>
    <row r="367" spans="1:40" x14ac:dyDescent="0.2">
      <c r="A367" s="5" t="s">
        <v>17</v>
      </c>
      <c r="C367" s="5" t="s">
        <v>21</v>
      </c>
      <c r="D367" s="4">
        <v>1134292.0395079006</v>
      </c>
      <c r="E367" s="4">
        <v>360098.33515240002</v>
      </c>
      <c r="F367" s="4">
        <v>73502.957993600037</v>
      </c>
      <c r="G367" s="25">
        <v>1567893.3326539006</v>
      </c>
      <c r="I367" s="4">
        <v>1985164.4856024985</v>
      </c>
      <c r="J367" s="4">
        <v>247722.80680919986</v>
      </c>
      <c r="K367" s="4">
        <v>646108.57084002893</v>
      </c>
      <c r="L367" s="4">
        <v>139462.00730280011</v>
      </c>
      <c r="M367" s="25">
        <v>3018457.8705545277</v>
      </c>
      <c r="O367" s="22">
        <v>4586351.2032084279</v>
      </c>
      <c r="AD367" s="2"/>
      <c r="AE367" s="2"/>
      <c r="AF367" s="2"/>
      <c r="AG367" s="2"/>
      <c r="AI367" s="2"/>
      <c r="AJ367" s="2"/>
      <c r="AK367" s="2"/>
      <c r="AL367" s="2"/>
      <c r="AN367" s="2"/>
    </row>
    <row r="368" spans="1:40" x14ac:dyDescent="0.2">
      <c r="C368" s="5" t="s">
        <v>22</v>
      </c>
      <c r="D368" s="4">
        <v>994143.576</v>
      </c>
      <c r="E368" s="4">
        <v>332417.49400000001</v>
      </c>
      <c r="F368" s="4">
        <v>64574.002999999997</v>
      </c>
      <c r="G368" s="25">
        <v>1391135.0730000001</v>
      </c>
      <c r="I368" s="4">
        <v>1947459.733</v>
      </c>
      <c r="J368" s="4">
        <v>194050.05</v>
      </c>
      <c r="K368" s="4">
        <v>587412.97</v>
      </c>
      <c r="L368" s="4">
        <v>98619.88</v>
      </c>
      <c r="M368" s="25">
        <v>2827542.6329999994</v>
      </c>
      <c r="O368" s="22">
        <v>4218677.7059999993</v>
      </c>
      <c r="AD368" s="2"/>
      <c r="AE368" s="2"/>
      <c r="AF368" s="2"/>
      <c r="AG368" s="2"/>
      <c r="AI368" s="2"/>
      <c r="AJ368" s="2"/>
      <c r="AK368" s="2"/>
      <c r="AL368" s="2"/>
      <c r="AN368" s="2"/>
    </row>
    <row r="369" spans="1:40" x14ac:dyDescent="0.2">
      <c r="C369" s="5" t="s">
        <v>23</v>
      </c>
      <c r="D369" s="7">
        <v>0.14097406741971508</v>
      </c>
      <c r="E369" s="7">
        <v>8.3271312888244076E-2</v>
      </c>
      <c r="F369" s="7">
        <v>0.13827476350815737</v>
      </c>
      <c r="G369" s="26">
        <v>0.12706045809967192</v>
      </c>
      <c r="H369" s="37"/>
      <c r="I369" s="7">
        <v>1.9360992149714651E-2</v>
      </c>
      <c r="J369" s="7">
        <v>0.27659233692132457</v>
      </c>
      <c r="K369" s="7">
        <v>9.992220777833527E-2</v>
      </c>
      <c r="L369" s="7">
        <v>0.41413685864148375</v>
      </c>
      <c r="M369" s="26">
        <v>6.7519844025116793E-2</v>
      </c>
      <c r="O369" s="26">
        <v>8.7153729872634367E-2</v>
      </c>
      <c r="Q369" s="3">
        <v>0.10662068215242146</v>
      </c>
      <c r="R369" s="3">
        <v>0.18206328213731138</v>
      </c>
      <c r="S369" s="3">
        <v>9.4690413757618372E-2</v>
      </c>
      <c r="T369" s="21">
        <v>0.12008122865177642</v>
      </c>
      <c r="V369" s="3">
        <v>9.7497646305802155E-2</v>
      </c>
      <c r="W369" s="3">
        <v>6.7693744184110255E-2</v>
      </c>
      <c r="X369" s="3">
        <v>8.4222911476441453E-2</v>
      </c>
      <c r="Y369" s="3">
        <v>0.14958388153332694</v>
      </c>
      <c r="Z369" s="21">
        <v>8.8779874660021824E-2</v>
      </c>
      <c r="AB369" s="21">
        <v>9.955364821135651E-2</v>
      </c>
      <c r="AD369" s="7"/>
      <c r="AE369" s="7"/>
      <c r="AF369" s="7"/>
      <c r="AG369" s="7"/>
      <c r="AI369" s="7"/>
      <c r="AJ369" s="7"/>
      <c r="AK369" s="7"/>
      <c r="AL369" s="7"/>
      <c r="AN369" s="7"/>
    </row>
    <row r="371" spans="1:40" x14ac:dyDescent="0.2">
      <c r="A371" s="5" t="s">
        <v>18</v>
      </c>
      <c r="C371" s="5" t="s">
        <v>21</v>
      </c>
      <c r="D371" s="4">
        <v>1173340.8079602004</v>
      </c>
      <c r="E371" s="4">
        <v>366225.76193701045</v>
      </c>
      <c r="F371" s="4">
        <v>70118.164505900102</v>
      </c>
      <c r="G371" s="25">
        <v>1609684.7344031108</v>
      </c>
      <c r="I371" s="4">
        <v>1810496.9013460679</v>
      </c>
      <c r="J371" s="4">
        <v>251643.74167640007</v>
      </c>
      <c r="K371" s="4">
        <v>705888.11275801633</v>
      </c>
      <c r="L371" s="4">
        <v>160250.95375939991</v>
      </c>
      <c r="M371" s="25">
        <v>2928279.7095398838</v>
      </c>
      <c r="O371" s="22">
        <v>4537964.4439429948</v>
      </c>
      <c r="AD371" s="2"/>
      <c r="AE371" s="2"/>
      <c r="AF371" s="2"/>
      <c r="AG371" s="2"/>
      <c r="AI371" s="2"/>
      <c r="AJ371" s="2"/>
      <c r="AK371" s="2"/>
      <c r="AL371" s="2"/>
      <c r="AN371" s="2"/>
    </row>
    <row r="372" spans="1:40" x14ac:dyDescent="0.2">
      <c r="C372" s="5" t="s">
        <v>22</v>
      </c>
      <c r="D372" s="4">
        <v>1058523.9040000001</v>
      </c>
      <c r="E372" s="4">
        <v>333214.06099999999</v>
      </c>
      <c r="F372" s="4">
        <v>58955.474999999999</v>
      </c>
      <c r="G372" s="25">
        <v>1450693.4400000002</v>
      </c>
      <c r="I372" s="4">
        <v>1685888.686</v>
      </c>
      <c r="J372" s="4">
        <v>206160.70699999999</v>
      </c>
      <c r="K372" s="4">
        <v>673908.04</v>
      </c>
      <c r="L372" s="4">
        <v>162585.717</v>
      </c>
      <c r="M372" s="25">
        <v>2728543.1500000004</v>
      </c>
      <c r="O372" s="22">
        <v>4179236.5900000008</v>
      </c>
      <c r="AD372" s="2"/>
      <c r="AE372" s="2"/>
      <c r="AF372" s="2"/>
      <c r="AG372" s="2"/>
      <c r="AI372" s="2"/>
      <c r="AJ372" s="2"/>
      <c r="AK372" s="2"/>
      <c r="AL372" s="2"/>
      <c r="AN372" s="2"/>
    </row>
    <row r="373" spans="1:40" x14ac:dyDescent="0.2">
      <c r="C373" s="5" t="s">
        <v>23</v>
      </c>
      <c r="D373" s="7">
        <v>0.10846888154941481</v>
      </c>
      <c r="E373" s="7">
        <v>9.9070551938714502E-2</v>
      </c>
      <c r="F373" s="7">
        <v>0.18934101550195481</v>
      </c>
      <c r="G373" s="26">
        <v>0.10959675560614013</v>
      </c>
      <c r="H373" s="37"/>
      <c r="I373" s="7">
        <v>7.3912480925248936E-2</v>
      </c>
      <c r="J373" s="7">
        <v>0.2206193184834202</v>
      </c>
      <c r="K373" s="7">
        <v>4.7454653839738015E-2</v>
      </c>
      <c r="L373" s="7">
        <v>-1.4360198938016766E-2</v>
      </c>
      <c r="M373" s="26">
        <v>7.3202639122596835E-2</v>
      </c>
      <c r="O373" s="26">
        <v>8.5835737273489476E-2</v>
      </c>
      <c r="Q373" s="3">
        <v>0.12358275369110502</v>
      </c>
      <c r="R373" s="3">
        <v>8.9916850674006982E-2</v>
      </c>
      <c r="S373" s="3">
        <v>0.25041831618640786</v>
      </c>
      <c r="T373" s="21">
        <v>0.12024914882731959</v>
      </c>
      <c r="V373" s="3">
        <v>7.796377003284069E-2</v>
      </c>
      <c r="W373" s="3">
        <v>0.17166135569529023</v>
      </c>
      <c r="X373" s="3">
        <v>6.8674337057146137E-2</v>
      </c>
      <c r="Y373" s="3">
        <v>8.1315297469685792E-3</v>
      </c>
      <c r="Z373" s="21">
        <v>8.0166188006817546E-2</v>
      </c>
      <c r="AB373" s="21">
        <v>9.4297466021082688E-2</v>
      </c>
      <c r="AD373" s="7"/>
      <c r="AE373" s="7"/>
      <c r="AF373" s="7"/>
      <c r="AG373" s="7"/>
      <c r="AI373" s="7"/>
      <c r="AJ373" s="7"/>
      <c r="AK373" s="7"/>
      <c r="AL373" s="7"/>
      <c r="AN373" s="7"/>
    </row>
    <row r="375" spans="1:40" x14ac:dyDescent="0.2">
      <c r="A375" s="5" t="s">
        <v>19</v>
      </c>
      <c r="C375" s="5" t="s">
        <v>21</v>
      </c>
      <c r="D375" s="4">
        <v>1256123.2885907013</v>
      </c>
      <c r="E375" s="4">
        <v>380284.3489756374</v>
      </c>
      <c r="F375" s="4">
        <v>76166.323996799998</v>
      </c>
      <c r="G375" s="25">
        <v>1712573.9615631388</v>
      </c>
      <c r="I375" s="4">
        <v>1896760.8782355012</v>
      </c>
      <c r="J375" s="4">
        <v>269943.57795550016</v>
      </c>
      <c r="K375" s="4">
        <v>683271.30084328807</v>
      </c>
      <c r="L375" s="4">
        <v>171924.89402109993</v>
      </c>
      <c r="M375" s="25">
        <v>3021900.6510553895</v>
      </c>
      <c r="O375" s="22">
        <v>4734474.6126185283</v>
      </c>
      <c r="AD375" s="2"/>
      <c r="AE375" s="2"/>
      <c r="AF375" s="2"/>
      <c r="AG375" s="2"/>
      <c r="AI375" s="2"/>
      <c r="AJ375" s="2"/>
      <c r="AK375" s="2"/>
      <c r="AL375" s="2"/>
      <c r="AN375" s="2"/>
    </row>
    <row r="376" spans="1:40" x14ac:dyDescent="0.2">
      <c r="C376" s="5" t="s">
        <v>22</v>
      </c>
      <c r="D376" s="4">
        <v>1075727.827</v>
      </c>
      <c r="E376" s="4">
        <v>366926.24599999998</v>
      </c>
      <c r="F376" s="4">
        <v>64429.906000000003</v>
      </c>
      <c r="G376" s="25">
        <v>1507083.9790000001</v>
      </c>
      <c r="I376" s="4">
        <v>1646808.2479999999</v>
      </c>
      <c r="J376" s="4">
        <v>270707.31699999998</v>
      </c>
      <c r="K376" s="4">
        <v>719208.48699999996</v>
      </c>
      <c r="L376" s="4">
        <v>162132.96299999999</v>
      </c>
      <c r="M376" s="25">
        <v>2798857.0150000001</v>
      </c>
      <c r="O376" s="22">
        <v>4305940.9939999999</v>
      </c>
      <c r="AD376" s="2"/>
      <c r="AE376" s="2"/>
      <c r="AF376" s="2"/>
      <c r="AG376" s="2"/>
      <c r="AI376" s="2"/>
      <c r="AJ376" s="2"/>
      <c r="AK376" s="2"/>
      <c r="AL376" s="2"/>
      <c r="AN376" s="2"/>
    </row>
    <row r="377" spans="1:40" x14ac:dyDescent="0.2">
      <c r="C377" s="5" t="s">
        <v>23</v>
      </c>
      <c r="D377" s="7">
        <v>0.16769619327761531</v>
      </c>
      <c r="E377" s="7">
        <v>3.640541695029742E-2</v>
      </c>
      <c r="F377" s="7">
        <v>0.18215792518461837</v>
      </c>
      <c r="G377" s="26">
        <v>0.13634939089425391</v>
      </c>
      <c r="H377" s="37"/>
      <c r="I377" s="7">
        <v>0.15178004515040611</v>
      </c>
      <c r="J377" s="7">
        <v>-2.8212722617313446E-3</v>
      </c>
      <c r="K377" s="7">
        <v>-4.9967689211531607E-2</v>
      </c>
      <c r="L377" s="7">
        <v>6.0394449345257062E-2</v>
      </c>
      <c r="M377" s="26">
        <v>7.9690972014656358E-2</v>
      </c>
      <c r="O377" s="26">
        <v>9.9521479559440573E-2</v>
      </c>
      <c r="Q377" s="3">
        <v>0.13072468099350321</v>
      </c>
      <c r="R377" s="3">
        <v>0.10385630359849896</v>
      </c>
      <c r="S377" s="3">
        <v>0.20489788634662628</v>
      </c>
      <c r="T377" s="21">
        <v>0.1269716155166854</v>
      </c>
      <c r="V377" s="3">
        <v>0.10119300672130702</v>
      </c>
      <c r="W377" s="3">
        <v>2.0074783699726862E-2</v>
      </c>
      <c r="X377" s="3">
        <v>5.0222268158898256E-2</v>
      </c>
      <c r="Y377" s="3">
        <v>8.6857238925717398E-3</v>
      </c>
      <c r="Z377" s="21">
        <v>7.6282334231371568E-2</v>
      </c>
      <c r="AB377" s="21">
        <v>9.465794754104713E-2</v>
      </c>
      <c r="AD377" s="7"/>
      <c r="AE377" s="7"/>
      <c r="AF377" s="7"/>
      <c r="AG377" s="7"/>
      <c r="AI377" s="7"/>
      <c r="AJ377" s="7"/>
      <c r="AK377" s="7"/>
      <c r="AL377" s="7"/>
      <c r="AN377" s="7"/>
    </row>
    <row r="379" spans="1:40" x14ac:dyDescent="0.2">
      <c r="A379" s="5" t="s">
        <v>20</v>
      </c>
      <c r="C379" s="5" t="s">
        <v>21</v>
      </c>
      <c r="D379" s="4">
        <v>1517144.7323771005</v>
      </c>
      <c r="E379" s="4">
        <v>484436.63929718174</v>
      </c>
      <c r="F379" s="4">
        <v>91345.07257989989</v>
      </c>
      <c r="G379" s="25">
        <v>2092926.444254182</v>
      </c>
      <c r="I379" s="4">
        <v>2143961.7285935548</v>
      </c>
      <c r="J379" s="4">
        <v>301641.8451503003</v>
      </c>
      <c r="K379" s="4">
        <v>748007.85395220143</v>
      </c>
      <c r="L379" s="4">
        <v>186989.73293359997</v>
      </c>
      <c r="M379" s="25">
        <v>3380601.1606296566</v>
      </c>
      <c r="O379" s="22">
        <v>5473527.6048838384</v>
      </c>
      <c r="AD379" s="2"/>
      <c r="AE379" s="2"/>
      <c r="AF379" s="2"/>
      <c r="AG379" s="2"/>
      <c r="AI379" s="2"/>
      <c r="AJ379" s="2"/>
      <c r="AK379" s="2"/>
      <c r="AL379" s="2"/>
      <c r="AN379" s="2"/>
    </row>
    <row r="380" spans="1:40" x14ac:dyDescent="0.2">
      <c r="C380" s="5" t="s">
        <v>22</v>
      </c>
      <c r="D380" s="4">
        <v>1437407.2209999999</v>
      </c>
      <c r="E380" s="4">
        <v>403481.38099999999</v>
      </c>
      <c r="F380" s="4">
        <v>86429.808999999994</v>
      </c>
      <c r="G380" s="25">
        <v>1927318.4109999998</v>
      </c>
      <c r="I380" s="4">
        <v>2091894.1259999999</v>
      </c>
      <c r="J380" s="4">
        <v>285301.027</v>
      </c>
      <c r="K380" s="4">
        <v>679324.00100000005</v>
      </c>
      <c r="L380" s="4">
        <v>173323.625</v>
      </c>
      <c r="M380" s="25">
        <v>3229842.7790000001</v>
      </c>
      <c r="O380" s="22">
        <v>5157161.1899999995</v>
      </c>
      <c r="AD380" s="2"/>
      <c r="AE380" s="2"/>
      <c r="AF380" s="2"/>
      <c r="AG380" s="2"/>
      <c r="AI380" s="2"/>
      <c r="AJ380" s="2"/>
      <c r="AK380" s="2"/>
      <c r="AL380" s="2"/>
      <c r="AN380" s="2"/>
    </row>
    <row r="381" spans="1:40" x14ac:dyDescent="0.2">
      <c r="C381" s="5" t="s">
        <v>23</v>
      </c>
      <c r="D381" s="7">
        <v>5.5473153475343873E-2</v>
      </c>
      <c r="E381" s="7">
        <v>0.20064186876861556</v>
      </c>
      <c r="F381" s="7">
        <v>5.6870003957776749E-2</v>
      </c>
      <c r="G381" s="26">
        <v>8.5926659709671727E-2</v>
      </c>
      <c r="H381" s="37"/>
      <c r="I381" s="7">
        <v>2.4890171039925191E-2</v>
      </c>
      <c r="J381" s="7">
        <v>5.7275707424286004E-2</v>
      </c>
      <c r="K381" s="7">
        <v>0.10110617739266559</v>
      </c>
      <c r="L381" s="7">
        <v>7.8847346595710688E-2</v>
      </c>
      <c r="M381" s="26">
        <v>4.6676693556066295E-2</v>
      </c>
      <c r="O381" s="26">
        <v>6.1345070132244439E-2</v>
      </c>
      <c r="Q381" s="3">
        <v>9.8320296057728115E-2</v>
      </c>
      <c r="R381" s="3">
        <v>0.14672466089967001</v>
      </c>
      <c r="S381" s="3">
        <v>0.1453857693868473</v>
      </c>
      <c r="T381" s="21">
        <v>0.11007940069289224</v>
      </c>
      <c r="V381" s="3">
        <v>5.1430979309444604E-2</v>
      </c>
      <c r="W381" s="3">
        <v>0.15107059987848165</v>
      </c>
      <c r="X381" s="3">
        <v>6.1731892979954697E-2</v>
      </c>
      <c r="Y381" s="3">
        <v>7.4610762570631067E-2</v>
      </c>
      <c r="Z381" s="21">
        <v>6.0582124718389661E-2</v>
      </c>
      <c r="AB381" s="21">
        <v>7.9168395598841992E-2</v>
      </c>
      <c r="AD381" s="7"/>
      <c r="AE381" s="7"/>
      <c r="AF381" s="7"/>
      <c r="AG381" s="7"/>
      <c r="AI381" s="7"/>
      <c r="AJ381" s="7"/>
      <c r="AK381" s="7"/>
      <c r="AL381" s="7"/>
      <c r="AN381" s="7"/>
    </row>
    <row r="383" spans="1:40" x14ac:dyDescent="0.2">
      <c r="A383" s="5" t="s">
        <v>52</v>
      </c>
      <c r="C383" s="5" t="s">
        <v>21</v>
      </c>
      <c r="D383" s="4">
        <v>15023509.313625811</v>
      </c>
      <c r="E383" s="4">
        <v>4625632.3077834304</v>
      </c>
      <c r="F383" s="4">
        <v>961275.99068919977</v>
      </c>
      <c r="G383" s="25">
        <v>20610417.612098437</v>
      </c>
      <c r="I383" s="4">
        <v>23502213.304093193</v>
      </c>
      <c r="J383" s="4">
        <v>3220059.4554838007</v>
      </c>
      <c r="K383" s="4">
        <v>7981954.4558686344</v>
      </c>
      <c r="L383" s="4">
        <v>1867180.1086734</v>
      </c>
      <c r="M383" s="25">
        <v>36571407.324119031</v>
      </c>
      <c r="O383" s="25">
        <v>57181824.936217472</v>
      </c>
      <c r="AD383" s="4"/>
      <c r="AE383" s="4"/>
      <c r="AF383" s="4"/>
      <c r="AG383" s="4"/>
      <c r="AH383" s="4"/>
      <c r="AI383" s="4"/>
      <c r="AJ383" s="4"/>
      <c r="AK383" s="4"/>
      <c r="AL383" s="4"/>
      <c r="AN383" s="4"/>
    </row>
    <row r="384" spans="1:40" x14ac:dyDescent="0.2">
      <c r="C384" s="5" t="s">
        <v>22</v>
      </c>
      <c r="D384" s="4">
        <v>13422040.662999999</v>
      </c>
      <c r="E384" s="4">
        <v>4183738.8939999999</v>
      </c>
      <c r="F384" s="4">
        <v>848225.34299999999</v>
      </c>
      <c r="G384" s="25">
        <v>18454004.899999999</v>
      </c>
      <c r="I384" s="4">
        <v>22097825.168999996</v>
      </c>
      <c r="J384" s="4">
        <v>2955687.0819999995</v>
      </c>
      <c r="K384" s="4">
        <v>7410961.9459999995</v>
      </c>
      <c r="L384" s="4">
        <v>1791044.845</v>
      </c>
      <c r="M384" s="25">
        <v>34255519.041999996</v>
      </c>
      <c r="O384" s="25">
        <v>52709523.942000002</v>
      </c>
      <c r="AD384" s="4"/>
      <c r="AE384" s="4"/>
      <c r="AF384" s="4"/>
      <c r="AG384" s="4"/>
      <c r="AH384" s="4"/>
      <c r="AI384" s="4"/>
      <c r="AJ384" s="4"/>
      <c r="AK384" s="4"/>
      <c r="AL384" s="4"/>
      <c r="AN384" s="4"/>
    </row>
    <row r="385" spans="1:40" x14ac:dyDescent="0.2">
      <c r="C385" s="5" t="s">
        <v>23</v>
      </c>
      <c r="D385" s="7">
        <v>0.11931633131171449</v>
      </c>
      <c r="E385" s="7">
        <v>0.10562165206274243</v>
      </c>
      <c r="F385" s="7">
        <v>0.13327902617170428</v>
      </c>
      <c r="G385" s="26">
        <v>0.11685337268434548</v>
      </c>
      <c r="I385" s="7">
        <v>6.3553228625564007E-2</v>
      </c>
      <c r="J385" s="7">
        <v>8.9445318854562528E-2</v>
      </c>
      <c r="K385" s="7">
        <v>7.7047016841966576E-2</v>
      </c>
      <c r="L385" s="7">
        <v>4.2508853916161993E-2</v>
      </c>
      <c r="M385" s="26">
        <v>6.7606282049895938E-2</v>
      </c>
      <c r="O385" s="26">
        <v>8.4848062736037289E-2</v>
      </c>
      <c r="Q385" s="3">
        <v>0.10888336120798554</v>
      </c>
      <c r="R385" s="3">
        <v>0.1090072118632984</v>
      </c>
      <c r="S385" s="3">
        <v>0.15004096806776715</v>
      </c>
      <c r="T385" s="21">
        <v>0.11076566685506326</v>
      </c>
      <c r="V385" s="3">
        <v>7.2842512869811499E-2</v>
      </c>
      <c r="W385" s="3">
        <v>9.8849062825029102E-2</v>
      </c>
      <c r="X385" s="3">
        <v>7.1818852408419787E-2</v>
      </c>
      <c r="Y385" s="3">
        <v>5.0558285469850882E-2</v>
      </c>
      <c r="Z385" s="21">
        <v>7.4344704082262195E-2</v>
      </c>
      <c r="AB385" s="21">
        <v>8.7304590462658288E-2</v>
      </c>
      <c r="AD385" s="7"/>
      <c r="AE385" s="7"/>
      <c r="AF385" s="7"/>
      <c r="AG385" s="7"/>
      <c r="AH385" s="4"/>
      <c r="AI385" s="7"/>
      <c r="AJ385" s="7"/>
      <c r="AK385" s="7"/>
      <c r="AL385" s="7"/>
      <c r="AN385" s="7"/>
    </row>
    <row r="387" spans="1:40" x14ac:dyDescent="0.2">
      <c r="D387" s="25" t="s">
        <v>7</v>
      </c>
      <c r="E387" s="25"/>
      <c r="F387" s="25"/>
      <c r="H387" s="34"/>
      <c r="I387" s="25" t="s">
        <v>8</v>
      </c>
      <c r="J387" s="25"/>
      <c r="K387" s="25"/>
      <c r="L387" s="25"/>
      <c r="N387" s="38"/>
      <c r="O387" s="20" t="s">
        <v>24</v>
      </c>
      <c r="Q387" s="40" t="s">
        <v>68</v>
      </c>
      <c r="R387" s="41"/>
      <c r="S387" s="41"/>
      <c r="T387" s="41"/>
      <c r="U387" s="41"/>
      <c r="V387" s="41"/>
      <c r="W387" s="41"/>
      <c r="X387" s="41"/>
      <c r="Y387" s="41"/>
      <c r="Z387" s="42"/>
      <c r="AB387" s="19" t="s">
        <v>24</v>
      </c>
    </row>
    <row r="388" spans="1:40" x14ac:dyDescent="0.2">
      <c r="D388" s="23" t="s">
        <v>0</v>
      </c>
      <c r="E388" s="23" t="s">
        <v>1</v>
      </c>
      <c r="F388" s="23" t="s">
        <v>2</v>
      </c>
      <c r="G388" s="23" t="s">
        <v>24</v>
      </c>
      <c r="H388" s="35"/>
      <c r="I388" s="23" t="s">
        <v>3</v>
      </c>
      <c r="J388" s="23" t="s">
        <v>4</v>
      </c>
      <c r="K388" s="23" t="s">
        <v>5</v>
      </c>
      <c r="L388" s="23" t="s">
        <v>6</v>
      </c>
      <c r="M388" s="23" t="s">
        <v>24</v>
      </c>
      <c r="N388" s="38"/>
      <c r="O388" s="23" t="s">
        <v>49</v>
      </c>
      <c r="Q388" s="23" t="s">
        <v>0</v>
      </c>
      <c r="R388" s="23" t="s">
        <v>1</v>
      </c>
      <c r="S388" s="23" t="s">
        <v>2</v>
      </c>
      <c r="T388" s="23" t="s">
        <v>24</v>
      </c>
      <c r="U388" s="23"/>
      <c r="V388" s="23" t="s">
        <v>3</v>
      </c>
      <c r="W388" s="23" t="s">
        <v>4</v>
      </c>
      <c r="X388" s="23" t="s">
        <v>58</v>
      </c>
      <c r="Y388" s="23" t="s">
        <v>59</v>
      </c>
      <c r="Z388" s="23" t="s">
        <v>24</v>
      </c>
      <c r="AA388" s="33"/>
      <c r="AB388" s="23" t="s">
        <v>49</v>
      </c>
      <c r="AC388" s="6"/>
    </row>
    <row r="389" spans="1:40" x14ac:dyDescent="0.2">
      <c r="A389" s="5">
        <v>2008</v>
      </c>
    </row>
    <row r="390" spans="1:40" x14ac:dyDescent="0.2">
      <c r="A390" s="5" t="s">
        <v>9</v>
      </c>
      <c r="C390" s="5" t="s">
        <v>21</v>
      </c>
      <c r="D390" s="4">
        <v>1564188.6169620007</v>
      </c>
      <c r="E390" s="4">
        <v>463037.94172079995</v>
      </c>
      <c r="F390" s="4">
        <v>90455.872043399868</v>
      </c>
      <c r="G390" s="25">
        <v>2117682.4307262008</v>
      </c>
      <c r="I390" s="4">
        <v>2174768.5081201247</v>
      </c>
      <c r="J390" s="4">
        <v>316240.81565890001</v>
      </c>
      <c r="K390" s="4">
        <v>741722.39846128202</v>
      </c>
      <c r="L390" s="4">
        <v>115332.52967340001</v>
      </c>
      <c r="M390" s="25">
        <v>3348064.2519137063</v>
      </c>
      <c r="O390" s="22">
        <v>5465746.6826399071</v>
      </c>
      <c r="AE390" s="6"/>
      <c r="AF390" s="6"/>
      <c r="AG390" s="6"/>
      <c r="AH390" s="6"/>
      <c r="AI390" s="6"/>
      <c r="AJ390" s="6"/>
    </row>
    <row r="391" spans="1:40" x14ac:dyDescent="0.2">
      <c r="C391" s="5" t="s">
        <v>22</v>
      </c>
      <c r="D391" s="4">
        <v>1358887.3970000001</v>
      </c>
      <c r="E391" s="4">
        <v>413072.39899999998</v>
      </c>
      <c r="F391" s="4">
        <v>85444.668000000005</v>
      </c>
      <c r="G391" s="25">
        <v>1857404.4640000002</v>
      </c>
      <c r="I391" s="4">
        <v>2037764.939</v>
      </c>
      <c r="J391" s="4">
        <v>260990.76</v>
      </c>
      <c r="K391" s="4">
        <v>676014.08200000005</v>
      </c>
      <c r="L391" s="4">
        <v>87895.180999999997</v>
      </c>
      <c r="M391" s="25">
        <v>3062664.9619999998</v>
      </c>
      <c r="O391" s="22">
        <v>4920069.426</v>
      </c>
    </row>
    <row r="392" spans="1:40" x14ac:dyDescent="0.2">
      <c r="C392" s="5" t="s">
        <v>23</v>
      </c>
      <c r="D392" s="7">
        <v>0.15108037679593012</v>
      </c>
      <c r="E392" s="7">
        <v>0.12096073918703043</v>
      </c>
      <c r="F392" s="7">
        <v>5.8648528465226946E-2</v>
      </c>
      <c r="G392" s="26">
        <v>0.14012993495540593</v>
      </c>
      <c r="H392" s="37"/>
      <c r="I392" s="7">
        <v>6.7232273211726312E-2</v>
      </c>
      <c r="J392" s="7">
        <v>0.21169353144494463</v>
      </c>
      <c r="K392" s="7">
        <v>9.7199626769434611E-2</v>
      </c>
      <c r="L392" s="7">
        <v>0.31215987453737681</v>
      </c>
      <c r="M392" s="26">
        <v>9.3186585361048957E-2</v>
      </c>
      <c r="O392" s="26">
        <v>0.11090844648579301</v>
      </c>
      <c r="Q392" s="3">
        <v>9.7930134496545349E-2</v>
      </c>
      <c r="R392" s="3">
        <v>0.11536996798305968</v>
      </c>
      <c r="S392" s="3">
        <v>0.17127329586198453</v>
      </c>
      <c r="T392" s="21">
        <v>0.10346428543466976</v>
      </c>
      <c r="V392" s="3">
        <v>7.6617632401266705E-2</v>
      </c>
      <c r="W392" s="3">
        <v>9.9005632304626265E-2</v>
      </c>
      <c r="X392" s="3">
        <v>6.5664536222564657E-2</v>
      </c>
      <c r="Y392" s="3">
        <v>9.8153508106511994E-2</v>
      </c>
      <c r="Z392" s="21">
        <v>7.5984952283272511E-2</v>
      </c>
      <c r="AB392" s="21">
        <v>8.6513695298316942E-2</v>
      </c>
      <c r="AD392" s="3"/>
      <c r="AE392" s="3"/>
      <c r="AF392" s="3"/>
      <c r="AG392" s="3"/>
      <c r="AH392" s="3"/>
      <c r="AI392" s="3"/>
      <c r="AJ392" s="3"/>
    </row>
    <row r="394" spans="1:40" x14ac:dyDescent="0.2">
      <c r="A394" s="5" t="s">
        <v>10</v>
      </c>
      <c r="C394" s="5" t="s">
        <v>21</v>
      </c>
      <c r="D394" s="4">
        <v>1333681.7682848989</v>
      </c>
      <c r="E394" s="4">
        <v>375361.11825549958</v>
      </c>
      <c r="F394" s="4">
        <v>80532.889089900098</v>
      </c>
      <c r="G394" s="25">
        <v>1789575.7756302985</v>
      </c>
      <c r="I394" s="4">
        <v>1953431.5012354739</v>
      </c>
      <c r="J394" s="4">
        <v>271253.11572809995</v>
      </c>
      <c r="K394" s="4">
        <v>686458.89948012505</v>
      </c>
      <c r="L394" s="4">
        <v>109872.50352010007</v>
      </c>
      <c r="M394" s="25">
        <v>3021016.0199637986</v>
      </c>
      <c r="O394" s="22">
        <v>4810591.7955940971</v>
      </c>
      <c r="AD394" s="3"/>
      <c r="AE394" s="3"/>
      <c r="AF394" s="3"/>
      <c r="AG394" s="3"/>
      <c r="AH394" s="3"/>
      <c r="AI394" s="3"/>
      <c r="AJ394" s="3"/>
    </row>
    <row r="395" spans="1:40" x14ac:dyDescent="0.2">
      <c r="C395" s="5" t="s">
        <v>22</v>
      </c>
      <c r="D395" s="4">
        <v>1204296.554</v>
      </c>
      <c r="E395" s="4">
        <v>343751.52399999998</v>
      </c>
      <c r="F395" s="4">
        <v>71244.812000000005</v>
      </c>
      <c r="G395" s="25">
        <v>1619292.89</v>
      </c>
      <c r="I395" s="4">
        <v>1754366.6610000001</v>
      </c>
      <c r="J395" s="4">
        <v>266369.79700000002</v>
      </c>
      <c r="K395" s="4">
        <v>648636.32999999996</v>
      </c>
      <c r="L395" s="4">
        <v>102590.66099999999</v>
      </c>
      <c r="M395" s="25">
        <v>2771963.449</v>
      </c>
      <c r="O395" s="22">
        <v>4391256.3389999997</v>
      </c>
    </row>
    <row r="396" spans="1:40" x14ac:dyDescent="0.2">
      <c r="C396" s="5" t="s">
        <v>23</v>
      </c>
      <c r="D396" s="7">
        <v>0.1074363402063665</v>
      </c>
      <c r="E396" s="7">
        <v>9.1954775611408301E-2</v>
      </c>
      <c r="F396" s="7">
        <v>0.13036846935465407</v>
      </c>
      <c r="G396" s="26">
        <v>0.10515879287921703</v>
      </c>
      <c r="H396" s="37"/>
      <c r="I396" s="7">
        <v>0.11346820745100428</v>
      </c>
      <c r="J396" s="7">
        <v>1.8332854486876826E-2</v>
      </c>
      <c r="K396" s="7">
        <v>5.8310902012110644E-2</v>
      </c>
      <c r="L396" s="7">
        <v>7.0979584780139771E-2</v>
      </c>
      <c r="M396" s="26">
        <v>8.9846989524210885E-2</v>
      </c>
      <c r="O396" s="26">
        <v>9.5493276689374573E-2</v>
      </c>
      <c r="Q396" s="3">
        <v>0.11047068666916404</v>
      </c>
      <c r="R396" s="3">
        <v>0.15060896397188817</v>
      </c>
      <c r="S396" s="3">
        <v>0.11172578267367039</v>
      </c>
      <c r="T396" s="21">
        <v>0.11826241141368894</v>
      </c>
      <c r="V396" s="3">
        <v>6.895313839919473E-2</v>
      </c>
      <c r="W396" s="3">
        <v>4.8843227958310309E-2</v>
      </c>
      <c r="X396" s="3">
        <v>0.11407262051095923</v>
      </c>
      <c r="Y396" s="3">
        <v>-5.0302679760396481E-3</v>
      </c>
      <c r="Z396" s="21">
        <v>7.3184035719021254E-2</v>
      </c>
      <c r="AB396" s="21">
        <v>9.0136259447726852E-2</v>
      </c>
      <c r="AD396" s="3"/>
      <c r="AE396" s="3"/>
      <c r="AF396" s="3"/>
      <c r="AG396" s="3"/>
      <c r="AH396" s="3"/>
      <c r="AI396" s="3"/>
      <c r="AJ396" s="3"/>
    </row>
    <row r="398" spans="1:40" x14ac:dyDescent="0.2">
      <c r="A398" s="5" t="s">
        <v>11</v>
      </c>
      <c r="C398" s="5" t="s">
        <v>21</v>
      </c>
      <c r="D398" s="4">
        <v>1354041.8008571989</v>
      </c>
      <c r="E398" s="4">
        <v>374506.06172319991</v>
      </c>
      <c r="F398" s="4">
        <v>81309.148463800069</v>
      </c>
      <c r="G398" s="25">
        <v>1809857.0110441989</v>
      </c>
      <c r="I398" s="4">
        <v>1894537.8771711355</v>
      </c>
      <c r="J398" s="4">
        <v>274007.23769970023</v>
      </c>
      <c r="K398" s="4">
        <v>698844.76323295303</v>
      </c>
      <c r="L398" s="4">
        <v>119840.73251140003</v>
      </c>
      <c r="M398" s="25">
        <v>2987230.6106151887</v>
      </c>
      <c r="O398" s="22">
        <v>4797087.6216593878</v>
      </c>
      <c r="AD398" s="3"/>
      <c r="AE398" s="3"/>
      <c r="AF398" s="3"/>
      <c r="AG398" s="3"/>
      <c r="AH398" s="3"/>
      <c r="AI398" s="3"/>
      <c r="AJ398" s="3"/>
    </row>
    <row r="399" spans="1:40" x14ac:dyDescent="0.2">
      <c r="C399" s="5" t="s">
        <v>22</v>
      </c>
      <c r="D399" s="4">
        <v>1240743.939</v>
      </c>
      <c r="E399" s="4">
        <v>332601.32299999997</v>
      </c>
      <c r="F399" s="4">
        <v>71393.311000000002</v>
      </c>
      <c r="G399" s="25">
        <v>1644738.5730000001</v>
      </c>
      <c r="I399" s="4">
        <v>1769631.9909999999</v>
      </c>
      <c r="J399" s="4">
        <v>224812.06</v>
      </c>
      <c r="K399" s="4">
        <v>654778.66200000001</v>
      </c>
      <c r="L399" s="4">
        <v>105931.43799999999</v>
      </c>
      <c r="M399" s="25">
        <v>2755154.1510000001</v>
      </c>
      <c r="O399" s="22">
        <v>4399892.7240000004</v>
      </c>
    </row>
    <row r="400" spans="1:40" x14ac:dyDescent="0.2">
      <c r="C400" s="5" t="s">
        <v>23</v>
      </c>
      <c r="D400" s="7">
        <v>9.1314459249757229E-2</v>
      </c>
      <c r="E400" s="7">
        <v>0.1259908960831162</v>
      </c>
      <c r="F400" s="7">
        <v>0.13889028712788054</v>
      </c>
      <c r="G400" s="26">
        <v>0.10039190468003856</v>
      </c>
      <c r="H400" s="37"/>
      <c r="I400" s="7">
        <v>7.0582972508624664E-2</v>
      </c>
      <c r="J400" s="7">
        <v>0.21882801883359915</v>
      </c>
      <c r="K400" s="7">
        <v>6.7299232229643069E-2</v>
      </c>
      <c r="L400" s="7">
        <v>0.13130468890075897</v>
      </c>
      <c r="M400" s="26">
        <v>8.4233566216596278E-2</v>
      </c>
      <c r="O400" s="26">
        <v>9.0273768606406568E-2</v>
      </c>
      <c r="Q400" s="3">
        <v>0.10895018402549486</v>
      </c>
      <c r="R400" s="3">
        <v>8.3883638811742725E-2</v>
      </c>
      <c r="S400" s="3">
        <v>0.21554525646670325</v>
      </c>
      <c r="T400" s="21">
        <v>0.10652039799809621</v>
      </c>
      <c r="V400" s="3">
        <v>9.3510500988474327E-2</v>
      </c>
      <c r="W400" s="3">
        <v>0.18398298593040147</v>
      </c>
      <c r="X400" s="3">
        <v>0.10193925021058652</v>
      </c>
      <c r="Y400" s="3">
        <v>0.1228473837515853</v>
      </c>
      <c r="Z400" s="21">
        <v>0.10316784991245753</v>
      </c>
      <c r="AB400" s="21">
        <v>0.10438287461565254</v>
      </c>
    </row>
    <row r="402" spans="1:36" x14ac:dyDescent="0.2">
      <c r="A402" s="5" t="s">
        <v>12</v>
      </c>
      <c r="C402" s="5" t="s">
        <v>21</v>
      </c>
      <c r="D402" s="4">
        <v>1237073.5096190008</v>
      </c>
      <c r="E402" s="4">
        <v>347696.76672679989</v>
      </c>
      <c r="F402" s="4">
        <v>73658.910301399941</v>
      </c>
      <c r="G402" s="25">
        <v>1658429.1866472005</v>
      </c>
      <c r="I402" s="4">
        <v>1817634.8811485961</v>
      </c>
      <c r="J402" s="4">
        <v>265900.64622479992</v>
      </c>
      <c r="K402" s="4">
        <v>651755.20774370094</v>
      </c>
      <c r="L402" s="4">
        <v>134030.4249942</v>
      </c>
      <c r="M402" s="25">
        <v>2869321.1601112969</v>
      </c>
      <c r="O402" s="22">
        <v>4527750.3467584979</v>
      </c>
      <c r="AE402" s="3"/>
      <c r="AF402" s="3"/>
      <c r="AG402" s="3"/>
      <c r="AH402" s="3"/>
      <c r="AI402" s="3"/>
      <c r="AJ402" s="3"/>
    </row>
    <row r="403" spans="1:36" x14ac:dyDescent="0.2">
      <c r="C403" s="5" t="s">
        <v>22</v>
      </c>
      <c r="D403" s="4">
        <v>1089186.71</v>
      </c>
      <c r="E403" s="4">
        <v>285395.06400000001</v>
      </c>
      <c r="F403" s="4">
        <v>64160.4</v>
      </c>
      <c r="G403" s="25">
        <v>1438742.1739999999</v>
      </c>
      <c r="I403" s="4">
        <v>1688337.8149999999</v>
      </c>
      <c r="J403" s="4">
        <v>251726.75099999999</v>
      </c>
      <c r="K403" s="4">
        <v>595231.005</v>
      </c>
      <c r="L403" s="4">
        <v>119143.143</v>
      </c>
      <c r="M403" s="25">
        <v>2654438.7140000002</v>
      </c>
      <c r="O403" s="22">
        <v>4093180.8880000003</v>
      </c>
    </row>
    <row r="404" spans="1:36" x14ac:dyDescent="0.2">
      <c r="C404" s="5" t="s">
        <v>23</v>
      </c>
      <c r="D404" s="7">
        <v>0.13577727148268348</v>
      </c>
      <c r="E404" s="7">
        <v>0.21829986073900653</v>
      </c>
      <c r="F404" s="7">
        <v>0.14804319021390056</v>
      </c>
      <c r="G404" s="26">
        <v>0.1526938020009696</v>
      </c>
      <c r="H404" s="37"/>
      <c r="I404" s="7">
        <v>7.6582461756088849E-2</v>
      </c>
      <c r="J404" s="7">
        <v>5.6306670500823941E-2</v>
      </c>
      <c r="K404" s="7">
        <v>9.4961791756296154E-2</v>
      </c>
      <c r="L404" s="7">
        <v>0.12495290638924983</v>
      </c>
      <c r="M404" s="26">
        <v>8.0952121809393152E-2</v>
      </c>
      <c r="O404" s="26">
        <v>0.10616913120857352</v>
      </c>
      <c r="Q404" s="3">
        <v>0.1109693500740339</v>
      </c>
      <c r="R404" s="3">
        <v>0.11044167905764697</v>
      </c>
      <c r="S404" s="3">
        <v>0.18820355572827205</v>
      </c>
      <c r="T404" s="21">
        <v>0.11378562095591582</v>
      </c>
      <c r="V404" s="3">
        <v>8.4271669150605938E-2</v>
      </c>
      <c r="W404" s="3">
        <v>7.1272878618519678E-2</v>
      </c>
      <c r="X404" s="3">
        <v>4.8529661667130554E-2</v>
      </c>
      <c r="Y404" s="3">
        <v>-2.3001033517456016E-2</v>
      </c>
      <c r="Z404" s="21">
        <v>7.0140003311662993E-2</v>
      </c>
      <c r="AB404" s="21">
        <v>8.5811914028842695E-2</v>
      </c>
      <c r="AE404" s="6"/>
      <c r="AF404" s="6"/>
      <c r="AG404" s="6"/>
      <c r="AH404" s="6"/>
      <c r="AI404" s="6"/>
      <c r="AJ404" s="6"/>
    </row>
    <row r="406" spans="1:36" x14ac:dyDescent="0.2">
      <c r="A406" s="5" t="s">
        <v>13</v>
      </c>
      <c r="C406" s="5" t="s">
        <v>21</v>
      </c>
      <c r="D406" s="4">
        <v>1203719.8996444002</v>
      </c>
      <c r="E406" s="4">
        <v>335424.84606379975</v>
      </c>
      <c r="F406" s="4">
        <v>86753.263174000036</v>
      </c>
      <c r="G406" s="25">
        <v>1625898.0088821999</v>
      </c>
      <c r="I406" s="4">
        <v>1864817.9806407348</v>
      </c>
      <c r="J406" s="4">
        <v>302991.11527729995</v>
      </c>
      <c r="K406" s="4">
        <v>648203.06838791806</v>
      </c>
      <c r="L406" s="4">
        <v>142054.56070360012</v>
      </c>
      <c r="M406" s="25">
        <v>2958066.7250095531</v>
      </c>
      <c r="O406" s="22">
        <v>4583964.7338917535</v>
      </c>
      <c r="AD406" s="3"/>
      <c r="AE406" s="3"/>
      <c r="AF406" s="3"/>
      <c r="AG406" s="3"/>
      <c r="AH406" s="3"/>
      <c r="AI406" s="3"/>
      <c r="AJ406" s="3"/>
    </row>
    <row r="407" spans="1:36" x14ac:dyDescent="0.2">
      <c r="C407" s="5" t="s">
        <v>22</v>
      </c>
      <c r="D407" s="4">
        <v>1074743.949</v>
      </c>
      <c r="E407" s="4">
        <v>336332.91700000002</v>
      </c>
      <c r="F407" s="4">
        <v>79133.357000000004</v>
      </c>
      <c r="G407" s="25">
        <v>1490210.223</v>
      </c>
      <c r="I407" s="4">
        <v>1758481.19</v>
      </c>
      <c r="J407" s="4">
        <v>273526.61900000001</v>
      </c>
      <c r="K407" s="4">
        <v>626591.56799999997</v>
      </c>
      <c r="L407" s="4">
        <v>120215.291</v>
      </c>
      <c r="M407" s="25">
        <v>2778814.6680000001</v>
      </c>
      <c r="O407" s="22">
        <v>4269024.8909999998</v>
      </c>
    </row>
    <row r="408" spans="1:36" x14ac:dyDescent="0.2">
      <c r="C408" s="5" t="s">
        <v>23</v>
      </c>
      <c r="D408" s="7">
        <v>0.12000621242334653</v>
      </c>
      <c r="E408" s="7">
        <v>-2.6999169284410707E-3</v>
      </c>
      <c r="F408" s="7">
        <v>9.6291961606027154E-2</v>
      </c>
      <c r="G408" s="26">
        <v>9.1052781539131766E-2</v>
      </c>
      <c r="H408" s="37"/>
      <c r="I408" s="7">
        <v>6.0470814954088237E-2</v>
      </c>
      <c r="J408" s="7">
        <v>0.10772076365006344</v>
      </c>
      <c r="K408" s="7">
        <v>3.4490570080442096E-2</v>
      </c>
      <c r="L408" s="7">
        <v>0.18166798517835914</v>
      </c>
      <c r="M408" s="26">
        <v>6.4506661445891345E-2</v>
      </c>
      <c r="O408" s="26">
        <v>7.3773250550895897E-2</v>
      </c>
      <c r="Q408" s="3">
        <v>0.10282652080964243</v>
      </c>
      <c r="R408" s="3">
        <v>3.7787404298829451E-2</v>
      </c>
      <c r="S408" s="3">
        <v>0.16066224961315032</v>
      </c>
      <c r="T408" s="21">
        <v>9.0844154261692719E-2</v>
      </c>
      <c r="V408" s="3">
        <v>4.9833028632523882E-2</v>
      </c>
      <c r="W408" s="3">
        <v>0.14578474853376661</v>
      </c>
      <c r="X408" s="3">
        <v>7.3626788903485979E-2</v>
      </c>
      <c r="Y408" s="3">
        <v>0.13832844846387152</v>
      </c>
      <c r="Z408" s="21">
        <v>6.7773445369640584E-2</v>
      </c>
      <c r="AB408" s="21">
        <v>7.5769629699161095E-2</v>
      </c>
      <c r="AD408" s="3"/>
      <c r="AE408" s="3"/>
      <c r="AF408" s="3"/>
      <c r="AH408" s="3"/>
      <c r="AI408" s="3"/>
      <c r="AJ408" s="3"/>
    </row>
    <row r="410" spans="1:36" x14ac:dyDescent="0.2">
      <c r="A410" s="5" t="s">
        <v>14</v>
      </c>
      <c r="C410" s="5" t="s">
        <v>21</v>
      </c>
      <c r="D410" s="4">
        <v>1176111.9958696021</v>
      </c>
      <c r="E410" s="4">
        <v>332633.56741919986</v>
      </c>
      <c r="F410" s="4">
        <v>87993.545979699964</v>
      </c>
      <c r="G410" s="25">
        <v>1596739.1092685019</v>
      </c>
      <c r="I410" s="4">
        <v>2034124.7504388399</v>
      </c>
      <c r="J410" s="4">
        <v>396668.5424629997</v>
      </c>
      <c r="K410" s="4">
        <v>642208.48529175902</v>
      </c>
      <c r="L410" s="4">
        <v>143236.16708669974</v>
      </c>
      <c r="M410" s="25">
        <v>3216237.9452802986</v>
      </c>
      <c r="O410" s="22">
        <v>4812977.0545488</v>
      </c>
      <c r="AD410" s="3"/>
      <c r="AE410" s="3"/>
      <c r="AF410" s="3"/>
      <c r="AG410" s="3"/>
      <c r="AH410" s="3"/>
      <c r="AI410" s="3"/>
      <c r="AJ410" s="3"/>
    </row>
    <row r="411" spans="1:36" x14ac:dyDescent="0.2">
      <c r="C411" s="5" t="s">
        <v>22</v>
      </c>
      <c r="D411" s="4">
        <v>1085134.673</v>
      </c>
      <c r="E411" s="4">
        <v>291338.451</v>
      </c>
      <c r="F411" s="4">
        <v>76250.581999999995</v>
      </c>
      <c r="G411" s="25">
        <v>1452723.7059999998</v>
      </c>
      <c r="I411" s="4">
        <v>1946442.926</v>
      </c>
      <c r="J411" s="4">
        <v>362347.391</v>
      </c>
      <c r="K411" s="4">
        <v>623673.40099999995</v>
      </c>
      <c r="L411" s="4">
        <v>143598.40700000001</v>
      </c>
      <c r="M411" s="25">
        <v>3076062.125</v>
      </c>
      <c r="O411" s="22">
        <v>4528785.8310000002</v>
      </c>
    </row>
    <row r="412" spans="1:36" x14ac:dyDescent="0.2">
      <c r="C412" s="5" t="s">
        <v>23</v>
      </c>
      <c r="D412" s="7">
        <v>8.3839660765868906E-2</v>
      </c>
      <c r="E412" s="7">
        <v>0.14174276096223171</v>
      </c>
      <c r="F412" s="7">
        <v>0.15400490949301826</v>
      </c>
      <c r="G412" s="26">
        <v>9.9134751276993338E-2</v>
      </c>
      <c r="H412" s="37"/>
      <c r="I412" s="7">
        <v>4.5047210615637656E-2</v>
      </c>
      <c r="J412" s="7">
        <v>9.4718914266998855E-2</v>
      </c>
      <c r="K412" s="7">
        <v>2.9719215637607599E-2</v>
      </c>
      <c r="L412" s="7">
        <v>-2.5225900542216184E-3</v>
      </c>
      <c r="M412" s="26">
        <v>4.5569892474229157E-2</v>
      </c>
      <c r="O412" s="26">
        <v>6.2752188810405229E-2</v>
      </c>
      <c r="Q412" s="3">
        <v>7.7949140003596498E-2</v>
      </c>
      <c r="R412" s="3">
        <v>0.14810141977342126</v>
      </c>
      <c r="S412" s="3">
        <v>0.17973472602123355</v>
      </c>
      <c r="T412" s="21">
        <v>9.6158718421399225E-2</v>
      </c>
      <c r="V412" s="3">
        <v>7.1645003680878006E-2</v>
      </c>
      <c r="W412" s="3">
        <v>9.4916585783112281E-2</v>
      </c>
      <c r="X412" s="3">
        <v>6.1752042611726267E-2</v>
      </c>
      <c r="Y412" s="3">
        <v>8.6778819938534424E-3</v>
      </c>
      <c r="Z412" s="21">
        <v>6.9919914215889903E-2</v>
      </c>
      <c r="AB412" s="21">
        <v>7.8488689122413691E-2</v>
      </c>
      <c r="AD412" s="3"/>
      <c r="AE412" s="3"/>
      <c r="AF412" s="3"/>
      <c r="AG412" s="3"/>
      <c r="AH412" s="3"/>
      <c r="AI412" s="3"/>
      <c r="AJ412" s="3"/>
    </row>
    <row r="414" spans="1:36" x14ac:dyDescent="0.2">
      <c r="A414" s="5" t="s">
        <v>15</v>
      </c>
      <c r="C414" s="5" t="s">
        <v>21</v>
      </c>
      <c r="D414" s="4">
        <v>1321679.3843018005</v>
      </c>
      <c r="E414" s="4">
        <v>387465.93188540003</v>
      </c>
      <c r="F414" s="4">
        <v>93404.394185300131</v>
      </c>
      <c r="G414" s="25">
        <v>1802549.7103725008</v>
      </c>
      <c r="I414" s="4">
        <v>2422512.4446862214</v>
      </c>
      <c r="J414" s="4">
        <v>497878.58830459975</v>
      </c>
      <c r="K414" s="4">
        <v>691344.69754736905</v>
      </c>
      <c r="L414" s="4">
        <v>151076.82144439998</v>
      </c>
      <c r="M414" s="25">
        <v>3762812.5519825905</v>
      </c>
      <c r="O414" s="22">
        <v>5565362.2623550911</v>
      </c>
    </row>
    <row r="415" spans="1:36" x14ac:dyDescent="0.2">
      <c r="C415" s="5" t="s">
        <v>22</v>
      </c>
      <c r="D415" s="4">
        <v>1209934.202</v>
      </c>
      <c r="E415" s="4">
        <v>357181.95799999998</v>
      </c>
      <c r="F415" s="4">
        <v>86459.134999999995</v>
      </c>
      <c r="G415" s="25">
        <v>1653575.2950000002</v>
      </c>
      <c r="I415" s="4">
        <v>2320861.1850000001</v>
      </c>
      <c r="J415" s="4">
        <v>414100.46500000003</v>
      </c>
      <c r="K415" s="4">
        <v>662222.79799999995</v>
      </c>
      <c r="L415" s="4">
        <v>132454.65900000001</v>
      </c>
      <c r="M415" s="25">
        <v>3529639.1069999998</v>
      </c>
      <c r="O415" s="22">
        <v>5183214.4019999998</v>
      </c>
    </row>
    <row r="416" spans="1:36" x14ac:dyDescent="0.2">
      <c r="C416" s="5" t="s">
        <v>23</v>
      </c>
      <c r="D416" s="7">
        <v>9.2356412536390486E-2</v>
      </c>
      <c r="E416" s="7">
        <v>8.4785844321397796E-2</v>
      </c>
      <c r="F416" s="7">
        <v>8.0329963806602178E-2</v>
      </c>
      <c r="G416" s="26">
        <v>9.0092308359324358E-2</v>
      </c>
      <c r="H416" s="37"/>
      <c r="I416" s="7">
        <v>4.3798939955222327E-2</v>
      </c>
      <c r="J416" s="7">
        <v>0.20231352144122727</v>
      </c>
      <c r="K416" s="7">
        <v>4.3975984570934656E-2</v>
      </c>
      <c r="L416" s="7">
        <v>0.14059273252441762</v>
      </c>
      <c r="M416" s="26">
        <v>6.6061554145906864E-2</v>
      </c>
      <c r="O416" s="26">
        <v>7.3727966994310501E-2</v>
      </c>
      <c r="Q416" s="3">
        <v>9.1757512871273941E-2</v>
      </c>
      <c r="R416" s="3">
        <v>8.2398378336776462E-2</v>
      </c>
      <c r="S416" s="3">
        <v>4.1014426471975264E-2</v>
      </c>
      <c r="T416" s="21">
        <v>8.6674963173652753E-2</v>
      </c>
      <c r="V416" s="3">
        <v>5.643898996175363E-2</v>
      </c>
      <c r="W416" s="3">
        <v>0.1512765542622124</v>
      </c>
      <c r="X416" s="3">
        <v>8.0644319995741218E-2</v>
      </c>
      <c r="Y416" s="3">
        <v>0.15463136628598573</v>
      </c>
      <c r="Z416" s="21">
        <v>7.4032310196451775E-2</v>
      </c>
      <c r="AB416" s="21">
        <v>7.815448324281786E-2</v>
      </c>
    </row>
    <row r="418" spans="1:28" x14ac:dyDescent="0.2">
      <c r="A418" s="5" t="s">
        <v>16</v>
      </c>
      <c r="C418" s="5" t="s">
        <v>21</v>
      </c>
      <c r="D418" s="4">
        <v>1300407.6720929986</v>
      </c>
      <c r="E418" s="4">
        <v>377340.64953389968</v>
      </c>
      <c r="F418" s="4">
        <v>87273.162596799928</v>
      </c>
      <c r="G418" s="25">
        <v>1765021.4842236983</v>
      </c>
      <c r="I418" s="4">
        <v>2351117.4393979996</v>
      </c>
      <c r="J418" s="4">
        <v>362676.46290429967</v>
      </c>
      <c r="K418" s="4">
        <v>694832.85393286101</v>
      </c>
      <c r="L418" s="4">
        <v>141507.1785650001</v>
      </c>
      <c r="M418" s="25">
        <v>3550133.9348001601</v>
      </c>
      <c r="O418" s="22">
        <v>5315155.4190238584</v>
      </c>
    </row>
    <row r="419" spans="1:28" x14ac:dyDescent="0.2">
      <c r="C419" s="5" t="s">
        <v>22</v>
      </c>
      <c r="D419" s="4">
        <v>1140664.254</v>
      </c>
      <c r="E419" s="4">
        <v>353021.755</v>
      </c>
      <c r="F419" s="4">
        <v>70771.392999999996</v>
      </c>
      <c r="G419" s="25">
        <v>1564457.402</v>
      </c>
      <c r="I419" s="4">
        <v>2177892.469</v>
      </c>
      <c r="J419" s="4">
        <v>336660.06900000002</v>
      </c>
      <c r="K419" s="4">
        <v>654375.07499999995</v>
      </c>
      <c r="L419" s="4">
        <v>140515.26699999999</v>
      </c>
      <c r="M419" s="25">
        <v>3309442.88</v>
      </c>
      <c r="O419" s="22">
        <v>4873900.2819999997</v>
      </c>
    </row>
    <row r="420" spans="1:28" x14ac:dyDescent="0.2">
      <c r="C420" s="5" t="s">
        <v>23</v>
      </c>
      <c r="D420" s="7">
        <v>0.14004420453505206</v>
      </c>
      <c r="E420" s="7">
        <v>6.888780702452646E-2</v>
      </c>
      <c r="F420" s="7">
        <v>0.23317005497969978</v>
      </c>
      <c r="G420" s="26">
        <v>0.12820041118875936</v>
      </c>
      <c r="H420" s="37"/>
      <c r="I420" s="7">
        <v>7.9537889433787035E-2</v>
      </c>
      <c r="J420" s="7">
        <v>7.7277931955451518E-2</v>
      </c>
      <c r="K420" s="7">
        <v>6.1826589181840585E-2</v>
      </c>
      <c r="L420" s="7">
        <v>7.0591017344763252E-3</v>
      </c>
      <c r="M420" s="26">
        <v>7.2728572006705905E-2</v>
      </c>
      <c r="O420" s="26">
        <v>9.0534297275936426E-2</v>
      </c>
      <c r="Q420" s="3">
        <v>0.10781430528078091</v>
      </c>
      <c r="R420" s="3">
        <v>8.0600602823890588E-2</v>
      </c>
      <c r="S420" s="3">
        <v>0.15663041385810367</v>
      </c>
      <c r="T420" s="21">
        <v>0.10351138769441262</v>
      </c>
      <c r="V420" s="3">
        <v>8.2169604362352849E-2</v>
      </c>
      <c r="W420" s="3">
        <v>5.5500856267908592E-2</v>
      </c>
      <c r="X420" s="3">
        <v>6.386280721328616E-2</v>
      </c>
      <c r="Y420" s="3">
        <v>4.2623578563528539E-2</v>
      </c>
      <c r="Z420" s="21">
        <v>7.4169050568946251E-2</v>
      </c>
      <c r="AB420" s="21">
        <v>8.4029953511919817E-2</v>
      </c>
    </row>
    <row r="422" spans="1:28" x14ac:dyDescent="0.2">
      <c r="A422" s="5" t="s">
        <v>17</v>
      </c>
      <c r="C422" s="5" t="s">
        <v>21</v>
      </c>
      <c r="D422" s="4">
        <v>1204710.9211048004</v>
      </c>
      <c r="E422" s="4">
        <v>355296.50658860005</v>
      </c>
      <c r="F422" s="4">
        <v>72646.620848199978</v>
      </c>
      <c r="G422" s="25">
        <v>1632654.0485416006</v>
      </c>
      <c r="I422" s="4">
        <v>1918885.6418018276</v>
      </c>
      <c r="J422" s="4">
        <v>282385.37961370038</v>
      </c>
      <c r="K422" s="4">
        <v>627341.697707552</v>
      </c>
      <c r="L422" s="4">
        <v>133563.24286689988</v>
      </c>
      <c r="M422" s="25">
        <v>2962175.9619899797</v>
      </c>
      <c r="O422" s="22">
        <v>4594830.0105315801</v>
      </c>
    </row>
    <row r="423" spans="1:28" x14ac:dyDescent="0.2">
      <c r="C423" s="5" t="s">
        <v>22</v>
      </c>
      <c r="D423" s="4">
        <v>1053848.753</v>
      </c>
      <c r="E423" s="4">
        <v>294048.34700000001</v>
      </c>
      <c r="F423" s="4">
        <v>91948.764999999999</v>
      </c>
      <c r="G423" s="25">
        <v>1439845.865</v>
      </c>
      <c r="I423" s="4">
        <v>1709354.4839999999</v>
      </c>
      <c r="J423" s="4">
        <v>258379.34899999999</v>
      </c>
      <c r="K423" s="4">
        <v>571821.91599999997</v>
      </c>
      <c r="L423" s="4">
        <v>141148.18700000001</v>
      </c>
      <c r="M423" s="25">
        <v>2680703.9359999998</v>
      </c>
      <c r="O423" s="22">
        <v>4120549.801</v>
      </c>
    </row>
    <row r="424" spans="1:28" x14ac:dyDescent="0.2">
      <c r="C424" s="5" t="s">
        <v>23</v>
      </c>
      <c r="D424" s="7">
        <v>0.14315352907648249</v>
      </c>
      <c r="E424" s="7">
        <v>0.20829282059728782</v>
      </c>
      <c r="F424" s="7">
        <v>-0.20992282116894145</v>
      </c>
      <c r="G424" s="26">
        <v>0.13390890527132959</v>
      </c>
      <c r="H424" s="37"/>
      <c r="I424" s="7">
        <v>0.12257911379008468</v>
      </c>
      <c r="J424" s="7">
        <v>9.2910020505161839E-2</v>
      </c>
      <c r="K424" s="7">
        <v>9.7092783879154432E-2</v>
      </c>
      <c r="L424" s="7">
        <v>-5.3737453482842978E-2</v>
      </c>
      <c r="M424" s="26">
        <v>0.1049992959722279</v>
      </c>
      <c r="O424" s="26">
        <v>0.11510119582014977</v>
      </c>
      <c r="Q424" s="3">
        <v>9.1322280086508376E-2</v>
      </c>
      <c r="R424" s="3">
        <v>0.20063727120231839</v>
      </c>
      <c r="S424" s="3">
        <v>0.15716822275141049</v>
      </c>
      <c r="T424" s="21">
        <v>0.11542077726859046</v>
      </c>
      <c r="V424" s="3">
        <v>0.11491620164647114</v>
      </c>
      <c r="W424" s="3">
        <v>2.7908457133245745E-2</v>
      </c>
      <c r="X424" s="3">
        <v>9.0170060122707785E-2</v>
      </c>
      <c r="Y424" s="3">
        <v>7.1516290043839345E-2</v>
      </c>
      <c r="Z424" s="21">
        <v>9.6332829556182276E-2</v>
      </c>
      <c r="AB424" s="21">
        <v>0.10306736381394384</v>
      </c>
    </row>
    <row r="426" spans="1:28" x14ac:dyDescent="0.2">
      <c r="A426" s="5" t="s">
        <v>18</v>
      </c>
      <c r="C426" s="5" t="s">
        <v>21</v>
      </c>
      <c r="D426" s="4">
        <v>1219736.263246499</v>
      </c>
      <c r="E426" s="4">
        <v>366546.96016750013</v>
      </c>
      <c r="F426" s="4">
        <v>70919.018489700014</v>
      </c>
      <c r="G426" s="25">
        <v>1657202.2419036992</v>
      </c>
      <c r="I426" s="4">
        <v>1858344.1395199413</v>
      </c>
      <c r="J426" s="4">
        <v>276042.79217879963</v>
      </c>
      <c r="K426" s="4">
        <v>687353.63341956597</v>
      </c>
      <c r="L426" s="4">
        <v>148548.81555849998</v>
      </c>
      <c r="M426" s="25">
        <v>2970289.3806768069</v>
      </c>
      <c r="O426" s="22">
        <v>4627491.6225805059</v>
      </c>
    </row>
    <row r="427" spans="1:28" x14ac:dyDescent="0.2">
      <c r="C427" s="5" t="s">
        <v>22</v>
      </c>
      <c r="D427" s="4">
        <v>1078293.621</v>
      </c>
      <c r="E427" s="4">
        <v>344855.86300000001</v>
      </c>
      <c r="F427" s="4">
        <v>48358.332999999999</v>
      </c>
      <c r="G427" s="25">
        <v>1471507.8170000003</v>
      </c>
      <c r="I427" s="4">
        <v>1792594.811</v>
      </c>
      <c r="J427" s="4">
        <v>241207.99</v>
      </c>
      <c r="K427" s="4">
        <v>685251.72199999995</v>
      </c>
      <c r="L427" s="4">
        <v>131442.98800000001</v>
      </c>
      <c r="M427" s="25">
        <v>2850497.5109999999</v>
      </c>
      <c r="O427" s="22">
        <v>4322005.3279999997</v>
      </c>
    </row>
    <row r="428" spans="1:28" x14ac:dyDescent="0.2">
      <c r="C428" s="5" t="s">
        <v>23</v>
      </c>
      <c r="D428" s="7">
        <v>0.1311726597393077</v>
      </c>
      <c r="E428" s="7">
        <v>6.2899023895963468E-2</v>
      </c>
      <c r="F428" s="7">
        <v>0.46653149705760155</v>
      </c>
      <c r="G428" s="26">
        <v>0.12619329830151971</v>
      </c>
      <c r="H428" s="37"/>
      <c r="I428" s="7">
        <v>3.6678299031370543E-2</v>
      </c>
      <c r="J428" s="7">
        <v>0.14441811060570431</v>
      </c>
      <c r="K428" s="7">
        <v>3.0673566400261087E-3</v>
      </c>
      <c r="L428" s="7">
        <v>0.13013876068079</v>
      </c>
      <c r="M428" s="26">
        <v>4.2024898886784845E-2</v>
      </c>
      <c r="O428" s="26">
        <v>7.0681609900251852E-2</v>
      </c>
      <c r="Q428" s="3">
        <v>0.12255118436114229</v>
      </c>
      <c r="R428" s="3">
        <v>8.1496146741997857E-2</v>
      </c>
      <c r="S428" s="3">
        <v>0.22749064230872146</v>
      </c>
      <c r="T428" s="21">
        <v>0.11648738712424427</v>
      </c>
      <c r="V428" s="3">
        <v>7.5586550558999877E-2</v>
      </c>
      <c r="W428" s="3">
        <v>0.18702740731637268</v>
      </c>
      <c r="X428" s="3">
        <v>8.2359459394873186E-2</v>
      </c>
      <c r="Y428" s="3">
        <v>1.296935424712491E-2</v>
      </c>
      <c r="Z428" s="21">
        <v>8.4052552567538449E-2</v>
      </c>
      <c r="AB428" s="21">
        <v>9.5518203940755386E-2</v>
      </c>
    </row>
    <row r="430" spans="1:28" x14ac:dyDescent="0.2">
      <c r="A430" s="5" t="s">
        <v>19</v>
      </c>
      <c r="C430" s="5" t="s">
        <v>21</v>
      </c>
      <c r="D430" s="4">
        <v>1229681.1904784006</v>
      </c>
      <c r="E430" s="4">
        <v>375174.82468339964</v>
      </c>
      <c r="F430" s="4">
        <v>72870.483086100008</v>
      </c>
      <c r="G430" s="25">
        <v>1677726.4982479003</v>
      </c>
      <c r="I430" s="4">
        <v>1905853.87131653</v>
      </c>
      <c r="J430" s="4">
        <v>251394.44958880023</v>
      </c>
      <c r="K430" s="4">
        <v>677923.63597021298</v>
      </c>
      <c r="L430" s="4">
        <v>143133.84597209984</v>
      </c>
      <c r="M430" s="25">
        <v>2978305.8028476429</v>
      </c>
      <c r="O430" s="22">
        <v>4656032.3010955434</v>
      </c>
    </row>
    <row r="431" spans="1:28" x14ac:dyDescent="0.2">
      <c r="C431" s="5" t="s">
        <v>22</v>
      </c>
      <c r="D431" s="4">
        <v>1084655.29</v>
      </c>
      <c r="E431" s="4">
        <v>330954.53499999997</v>
      </c>
      <c r="F431" s="4">
        <v>64412.856</v>
      </c>
      <c r="G431" s="25">
        <v>1480022.6809999999</v>
      </c>
      <c r="I431" s="4">
        <v>1754353.7450000001</v>
      </c>
      <c r="J431" s="4">
        <v>258144.91899999999</v>
      </c>
      <c r="K431" s="4">
        <v>614280.31799999997</v>
      </c>
      <c r="L431" s="4">
        <v>155522.57399999999</v>
      </c>
      <c r="M431" s="25">
        <v>2782301.5559999999</v>
      </c>
      <c r="O431" s="22">
        <v>4262324.2369999997</v>
      </c>
    </row>
    <row r="432" spans="1:28" x14ac:dyDescent="0.2">
      <c r="C432" s="5" t="s">
        <v>23</v>
      </c>
      <c r="D432" s="7">
        <v>0.13370690376515881</v>
      </c>
      <c r="E432" s="7">
        <v>0.13361439414449983</v>
      </c>
      <c r="F432" s="7">
        <v>0.13130340139086538</v>
      </c>
      <c r="G432" s="26">
        <v>0.13358161316441364</v>
      </c>
      <c r="H432" s="37"/>
      <c r="I432" s="7">
        <v>8.6356657970670492E-2</v>
      </c>
      <c r="J432" s="7">
        <v>-2.6149921669385123E-2</v>
      </c>
      <c r="K432" s="7">
        <v>0.10360631149216304</v>
      </c>
      <c r="L432" s="7">
        <v>-7.9658712618144834E-2</v>
      </c>
      <c r="M432" s="26">
        <v>7.0446802009998644E-2</v>
      </c>
      <c r="O432" s="26">
        <v>9.2369337057438772E-2</v>
      </c>
      <c r="Q432" s="3">
        <v>0.11496003726377246</v>
      </c>
      <c r="R432" s="3">
        <v>0.12736738121597582</v>
      </c>
      <c r="S432" s="3">
        <v>0.20461495138325286</v>
      </c>
      <c r="T432" s="21">
        <v>0.12115686959033459</v>
      </c>
      <c r="V432" s="3">
        <v>8.9313351500908397E-2</v>
      </c>
      <c r="W432" s="3">
        <v>5.2331388455158834E-2</v>
      </c>
      <c r="X432" s="3">
        <v>8.2683479714371663E-2</v>
      </c>
      <c r="Y432" s="3">
        <v>-2.0072394627792846E-2</v>
      </c>
      <c r="Z432" s="21">
        <v>7.9416219066156743E-2</v>
      </c>
      <c r="AB432" s="21">
        <v>9.475101600877478E-2</v>
      </c>
    </row>
    <row r="434" spans="1:37" x14ac:dyDescent="0.2">
      <c r="A434" s="5" t="s">
        <v>20</v>
      </c>
      <c r="C434" s="5" t="s">
        <v>21</v>
      </c>
      <c r="D434" s="4">
        <v>1512164.1674659995</v>
      </c>
      <c r="E434" s="4">
        <v>479491.36920469993</v>
      </c>
      <c r="F434" s="4">
        <v>90600.699175900008</v>
      </c>
      <c r="G434" s="25">
        <v>2082256.2358465996</v>
      </c>
      <c r="I434" s="4">
        <v>2119013.1500112591</v>
      </c>
      <c r="J434" s="4">
        <v>279184.59377509973</v>
      </c>
      <c r="K434" s="4">
        <v>746950.461055108</v>
      </c>
      <c r="L434" s="4">
        <v>161030.58017560013</v>
      </c>
      <c r="M434" s="25">
        <v>3306178.7850170666</v>
      </c>
      <c r="O434" s="22">
        <v>5388435.0208636662</v>
      </c>
    </row>
    <row r="435" spans="1:37" x14ac:dyDescent="0.2">
      <c r="C435" s="5" t="s">
        <v>22</v>
      </c>
      <c r="D435" s="4">
        <v>1398375.8659999999</v>
      </c>
      <c r="E435" s="4">
        <v>397809.13199999998</v>
      </c>
      <c r="F435" s="4">
        <v>73276.001999999993</v>
      </c>
      <c r="G435" s="25">
        <v>1869461</v>
      </c>
      <c r="I435" s="4">
        <v>1943402.78</v>
      </c>
      <c r="J435" s="4">
        <v>242658.30300000001</v>
      </c>
      <c r="K435" s="4">
        <v>807512.69200000004</v>
      </c>
      <c r="L435" s="4">
        <v>134544.96599999999</v>
      </c>
      <c r="M435" s="25">
        <v>3128118.7410000004</v>
      </c>
      <c r="O435" s="22">
        <v>4997579.7410000004</v>
      </c>
    </row>
    <row r="436" spans="1:37" x14ac:dyDescent="0.2">
      <c r="C436" s="5" t="s">
        <v>23</v>
      </c>
      <c r="D436" s="7">
        <v>8.1371757216810892E-2</v>
      </c>
      <c r="E436" s="7">
        <v>0.20533022154126912</v>
      </c>
      <c r="F436" s="7">
        <v>0.23643070996013149</v>
      </c>
      <c r="G436" s="26">
        <v>0.11382705274226068</v>
      </c>
      <c r="H436" s="37"/>
      <c r="I436" s="7">
        <v>9.0362312855834848E-2</v>
      </c>
      <c r="J436" s="7">
        <v>0.15052561698290501</v>
      </c>
      <c r="K436" s="7">
        <v>-7.4998488005055486E-2</v>
      </c>
      <c r="L436" s="7">
        <v>0.19685325258174391</v>
      </c>
      <c r="M436" s="26">
        <v>5.6922405688520472E-2</v>
      </c>
      <c r="O436" s="26">
        <v>7.820891313791356E-2</v>
      </c>
      <c r="Q436" s="3">
        <v>0.10361661785965123</v>
      </c>
      <c r="R436" s="3">
        <v>0.14217774958433024</v>
      </c>
      <c r="S436" s="3">
        <v>0.171695724191882</v>
      </c>
      <c r="T436" s="21">
        <v>0.11442284415651316</v>
      </c>
      <c r="V436" s="3">
        <v>6.2496563605445664E-2</v>
      </c>
      <c r="W436" s="3">
        <v>0.13581598191454081</v>
      </c>
      <c r="X436" s="3">
        <v>6.1499155854404616E-2</v>
      </c>
      <c r="Y436" s="3">
        <v>7.1187502072601119E-2</v>
      </c>
      <c r="Z436" s="21">
        <v>6.5933161470134311E-2</v>
      </c>
      <c r="AB436" s="21">
        <v>8.4215897545728821E-2</v>
      </c>
    </row>
    <row r="438" spans="1:37" x14ac:dyDescent="0.2">
      <c r="A438" s="5" t="s">
        <v>51</v>
      </c>
      <c r="C438" s="5" t="s">
        <v>21</v>
      </c>
      <c r="D438" s="4">
        <v>15657197.1899276</v>
      </c>
      <c r="E438" s="4">
        <v>4569976.5439727977</v>
      </c>
      <c r="F438" s="4">
        <v>988418.00743419991</v>
      </c>
      <c r="G438" s="25">
        <v>21215591.741334595</v>
      </c>
      <c r="I438" s="4">
        <v>24315042.185488682</v>
      </c>
      <c r="J438" s="4">
        <v>3776623.7394170994</v>
      </c>
      <c r="K438" s="4">
        <v>8194939.8022304075</v>
      </c>
      <c r="L438" s="4">
        <v>1643227.4030718999</v>
      </c>
      <c r="M438" s="25">
        <v>37929833.13020809</v>
      </c>
      <c r="O438" s="25">
        <v>59145424.871542692</v>
      </c>
    </row>
    <row r="439" spans="1:37" x14ac:dyDescent="0.2">
      <c r="C439" s="5" t="s">
        <v>22</v>
      </c>
      <c r="D439" s="4">
        <v>14018765.208000001</v>
      </c>
      <c r="E439" s="4">
        <v>4080363.2680000002</v>
      </c>
      <c r="F439" s="4">
        <v>882853.61400000006</v>
      </c>
      <c r="G439" s="25">
        <v>18981982.09</v>
      </c>
      <c r="I439" s="4">
        <v>22653484.996000003</v>
      </c>
      <c r="J439" s="4">
        <v>3390924.4729999998</v>
      </c>
      <c r="K439" s="4">
        <v>7820389.5690000001</v>
      </c>
      <c r="L439" s="4">
        <v>1515002.7620000001</v>
      </c>
      <c r="M439" s="25">
        <v>35379801.799999997</v>
      </c>
      <c r="O439" s="25">
        <v>54361783.890000001</v>
      </c>
    </row>
    <row r="440" spans="1:37" x14ac:dyDescent="0.2">
      <c r="C440" s="5" t="s">
        <v>23</v>
      </c>
      <c r="D440" s="7">
        <v>0.11687420094550172</v>
      </c>
      <c r="E440" s="7">
        <v>0.11999257022347987</v>
      </c>
      <c r="F440" s="7">
        <v>0.11957179736277301</v>
      </c>
      <c r="G440" s="26">
        <v>0.11766999045433169</v>
      </c>
      <c r="I440" s="7">
        <v>7.3346647978536961E-2</v>
      </c>
      <c r="J440" s="7">
        <v>0.11374457599637</v>
      </c>
      <c r="K440" s="7">
        <v>4.7894063323280278E-2</v>
      </c>
      <c r="L440" s="7">
        <v>8.4636572479001027E-2</v>
      </c>
      <c r="M440" s="26">
        <v>7.2075907734680866E-2</v>
      </c>
      <c r="O440" s="26">
        <v>8.799639451167196E-2</v>
      </c>
      <c r="Q440" s="3">
        <v>0.1029707694989543</v>
      </c>
      <c r="R440" s="3">
        <v>0.11082859494512469</v>
      </c>
      <c r="S440" s="3">
        <v>0.15239201893394508</v>
      </c>
      <c r="T440" s="21">
        <v>0.10698621635634967</v>
      </c>
      <c r="V440" s="3">
        <v>7.5972542721198175E-2</v>
      </c>
      <c r="W440" s="3">
        <v>0.10028141061671372</v>
      </c>
      <c r="X440" s="3">
        <v>7.5710889072668847E-2</v>
      </c>
      <c r="Y440" s="3">
        <v>4.5195343938633933E-2</v>
      </c>
      <c r="Z440" s="21">
        <v>7.7305984640506822E-2</v>
      </c>
      <c r="AB440" s="21">
        <v>8.7966085967751351E-2</v>
      </c>
    </row>
    <row r="442" spans="1:37" x14ac:dyDescent="0.2">
      <c r="D442" s="25" t="s">
        <v>7</v>
      </c>
      <c r="E442" s="25"/>
      <c r="F442" s="25"/>
      <c r="H442" s="34"/>
      <c r="I442" s="25" t="s">
        <v>8</v>
      </c>
      <c r="J442" s="25"/>
      <c r="K442" s="25"/>
      <c r="L442" s="25"/>
      <c r="N442" s="38"/>
      <c r="O442" s="20" t="s">
        <v>24</v>
      </c>
    </row>
    <row r="443" spans="1:37" x14ac:dyDescent="0.2">
      <c r="D443" s="23" t="s">
        <v>0</v>
      </c>
      <c r="E443" s="23" t="s">
        <v>1</v>
      </c>
      <c r="F443" s="23" t="s">
        <v>2</v>
      </c>
      <c r="G443" s="23" t="s">
        <v>24</v>
      </c>
      <c r="H443" s="35"/>
      <c r="I443" s="23" t="s">
        <v>3</v>
      </c>
      <c r="J443" s="23" t="s">
        <v>4</v>
      </c>
      <c r="K443" s="23" t="s">
        <v>5</v>
      </c>
      <c r="L443" s="23" t="s">
        <v>6</v>
      </c>
      <c r="M443" s="23" t="s">
        <v>24</v>
      </c>
      <c r="N443" s="38"/>
      <c r="O443" s="23" t="s">
        <v>49</v>
      </c>
      <c r="Q443" s="6"/>
      <c r="R443" s="6"/>
      <c r="S443" s="6"/>
      <c r="T443" s="23"/>
      <c r="U443" s="6"/>
      <c r="V443" s="6"/>
      <c r="W443" s="6"/>
      <c r="X443" s="6"/>
      <c r="Y443" s="32"/>
      <c r="Z443" s="23"/>
      <c r="AA443" s="6"/>
      <c r="AB443" s="23"/>
      <c r="AC443" s="6"/>
      <c r="AE443" s="6"/>
      <c r="AF443" s="6"/>
      <c r="AG443" s="6"/>
      <c r="AH443" s="6"/>
      <c r="AI443" s="6"/>
      <c r="AJ443" s="6"/>
      <c r="AK443" s="6"/>
    </row>
    <row r="444" spans="1:37" x14ac:dyDescent="0.2">
      <c r="A444" s="5">
        <v>2007</v>
      </c>
      <c r="D444" s="6"/>
      <c r="E444" s="6"/>
      <c r="F444" s="6"/>
      <c r="G444" s="23"/>
      <c r="H444" s="28"/>
      <c r="I444" s="6"/>
      <c r="J444" s="6"/>
      <c r="K444" s="6"/>
      <c r="L444" s="32"/>
    </row>
    <row r="445" spans="1:37" x14ac:dyDescent="0.2">
      <c r="A445" s="5" t="s">
        <v>9</v>
      </c>
      <c r="C445" s="5" t="s">
        <v>21</v>
      </c>
      <c r="D445" s="4">
        <v>1571400.1793037001</v>
      </c>
      <c r="E445" s="4">
        <v>461737.83542880003</v>
      </c>
      <c r="F445" s="4">
        <v>97192.359228299974</v>
      </c>
      <c r="G445" s="25">
        <v>2130330.3739608</v>
      </c>
      <c r="I445" s="4">
        <v>2096063.5742977932</v>
      </c>
      <c r="J445" s="4">
        <v>298943.7145603</v>
      </c>
      <c r="K445" s="4">
        <v>714941.51564609795</v>
      </c>
      <c r="L445" s="4">
        <v>99865.965679900051</v>
      </c>
      <c r="M445" s="25">
        <v>3209813.9301840914</v>
      </c>
      <c r="O445" s="22">
        <v>5340144.304144891</v>
      </c>
      <c r="AD445" s="3"/>
      <c r="AE445" s="3"/>
      <c r="AF445" s="3"/>
      <c r="AG445" s="3"/>
      <c r="AH445" s="3"/>
      <c r="AI445" s="3"/>
      <c r="AJ445" s="3"/>
      <c r="AK445" s="3"/>
    </row>
    <row r="446" spans="1:37" x14ac:dyDescent="0.2">
      <c r="C446" s="5" t="s">
        <v>22</v>
      </c>
      <c r="D446" s="4">
        <v>1469430.067</v>
      </c>
      <c r="E446" s="4">
        <v>404240.98200000002</v>
      </c>
      <c r="F446" s="4">
        <v>95933.585999999996</v>
      </c>
      <c r="G446" s="25">
        <v>1969604.635</v>
      </c>
      <c r="I446" s="4">
        <v>1924634.9709999999</v>
      </c>
      <c r="J446" s="4">
        <v>288786.42800000001</v>
      </c>
      <c r="K446" s="4">
        <v>654470.39500000002</v>
      </c>
      <c r="L446" s="4">
        <v>87817.853000000003</v>
      </c>
      <c r="M446" s="25">
        <v>2955709.6469999999</v>
      </c>
      <c r="O446" s="22">
        <v>4925314.2819999997</v>
      </c>
    </row>
    <row r="447" spans="1:37" s="3" customFormat="1" x14ac:dyDescent="0.2">
      <c r="A447" s="7"/>
      <c r="B447" s="7"/>
      <c r="C447" s="7" t="s">
        <v>23</v>
      </c>
      <c r="D447" s="7">
        <v>6.9394328177783349E-2</v>
      </c>
      <c r="E447" s="7">
        <v>0.14223410289657368</v>
      </c>
      <c r="F447" s="7">
        <v>1.3121298606517007E-2</v>
      </c>
      <c r="G447" s="26">
        <v>8.160304667479612E-2</v>
      </c>
      <c r="H447" s="37"/>
      <c r="I447" s="7">
        <v>8.9070709968822159E-2</v>
      </c>
      <c r="J447" s="7">
        <v>3.5172312738672051E-2</v>
      </c>
      <c r="K447" s="7">
        <v>9.2397029885664894E-2</v>
      </c>
      <c r="L447" s="7">
        <v>0.13719434338596326</v>
      </c>
      <c r="M447" s="26">
        <v>8.5970651224826389E-2</v>
      </c>
      <c r="N447" s="37"/>
      <c r="O447" s="26">
        <v>8.4224071479240381E-2</v>
      </c>
      <c r="T447" s="21"/>
      <c r="Z447" s="21"/>
      <c r="AB447" s="21"/>
    </row>
    <row r="449" spans="1:37" x14ac:dyDescent="0.2">
      <c r="A449" s="5" t="s">
        <v>10</v>
      </c>
      <c r="C449" s="5" t="s">
        <v>21</v>
      </c>
      <c r="D449" s="4">
        <v>1296958.9294865003</v>
      </c>
      <c r="E449" s="4">
        <v>371626.22406379995</v>
      </c>
      <c r="F449" s="4">
        <v>82866.710912600014</v>
      </c>
      <c r="G449" s="25">
        <v>1751451.8644629002</v>
      </c>
      <c r="I449" s="4">
        <v>1796189.9980182808</v>
      </c>
      <c r="J449" s="4">
        <v>224266.40974799986</v>
      </c>
      <c r="K449" s="4">
        <v>628859.07989938406</v>
      </c>
      <c r="L449" s="4">
        <v>89441.628398700006</v>
      </c>
      <c r="M449" s="25">
        <v>2738757.3560643648</v>
      </c>
      <c r="O449" s="22">
        <v>4490209.2205272652</v>
      </c>
      <c r="AD449" s="3"/>
      <c r="AE449" s="3"/>
      <c r="AF449" s="3"/>
      <c r="AG449" s="3"/>
      <c r="AH449" s="3"/>
      <c r="AI449" s="3"/>
      <c r="AJ449" s="3"/>
      <c r="AK449" s="3"/>
    </row>
    <row r="450" spans="1:37" x14ac:dyDescent="0.2">
      <c r="C450" s="5" t="s">
        <v>22</v>
      </c>
      <c r="D450" s="4">
        <v>1133845.966</v>
      </c>
      <c r="E450" s="4">
        <v>349300.72200000001</v>
      </c>
      <c r="F450" s="4">
        <v>62231.487999999998</v>
      </c>
      <c r="G450" s="25">
        <v>1545378.176</v>
      </c>
      <c r="I450" s="4">
        <v>1641005.726</v>
      </c>
      <c r="J450" s="4">
        <v>239934.878</v>
      </c>
      <c r="K450" s="4">
        <v>556786.97400000005</v>
      </c>
      <c r="L450" s="4">
        <v>100633.624</v>
      </c>
      <c r="M450" s="25">
        <v>2538361.202</v>
      </c>
      <c r="O450" s="22">
        <v>4083739.378</v>
      </c>
    </row>
    <row r="451" spans="1:37" s="3" customFormat="1" x14ac:dyDescent="0.2">
      <c r="A451" s="7"/>
      <c r="B451" s="7"/>
      <c r="C451" s="7" t="s">
        <v>23</v>
      </c>
      <c r="D451" s="7">
        <v>0.14385813274260961</v>
      </c>
      <c r="E451" s="7">
        <v>6.3914846599715691E-2</v>
      </c>
      <c r="F451" s="7">
        <v>0.33158813288539757</v>
      </c>
      <c r="G451" s="26">
        <v>0.13334838789835501</v>
      </c>
      <c r="H451" s="37"/>
      <c r="I451" s="7">
        <v>9.4566563394356429E-2</v>
      </c>
      <c r="J451" s="7">
        <v>-6.5303003809225824E-2</v>
      </c>
      <c r="K451" s="7">
        <v>0.12944287360318896</v>
      </c>
      <c r="L451" s="7">
        <v>-0.11121526937457793</v>
      </c>
      <c r="M451" s="26">
        <v>7.894705997967133E-2</v>
      </c>
      <c r="N451" s="37"/>
      <c r="O451" s="26">
        <v>9.9533737318548532E-2</v>
      </c>
      <c r="T451" s="21"/>
      <c r="Z451" s="21"/>
      <c r="AB451" s="21"/>
    </row>
    <row r="453" spans="1:37" x14ac:dyDescent="0.2">
      <c r="A453" s="5" t="s">
        <v>11</v>
      </c>
      <c r="C453" s="5" t="s">
        <v>21</v>
      </c>
      <c r="D453" s="4">
        <v>1259228.5149876014</v>
      </c>
      <c r="E453" s="4">
        <v>353797.92040479975</v>
      </c>
      <c r="F453" s="4">
        <v>97214.569852900022</v>
      </c>
      <c r="G453" s="25">
        <v>1710241.0052453012</v>
      </c>
      <c r="I453" s="4">
        <v>1784527.5209224562</v>
      </c>
      <c r="J453" s="4">
        <v>250763.30606400009</v>
      </c>
      <c r="K453" s="4">
        <v>668728.62294159003</v>
      </c>
      <c r="L453" s="4">
        <v>94423.187048100037</v>
      </c>
      <c r="M453" s="25">
        <v>2798443.2369761467</v>
      </c>
      <c r="O453" s="22">
        <v>4508684.2422214476</v>
      </c>
    </row>
    <row r="454" spans="1:37" x14ac:dyDescent="0.2">
      <c r="C454" s="5" t="s">
        <v>22</v>
      </c>
      <c r="D454" s="4">
        <v>1163161.0689999999</v>
      </c>
      <c r="E454" s="4">
        <v>294892.85700000002</v>
      </c>
      <c r="F454" s="4">
        <v>64191.006000000001</v>
      </c>
      <c r="G454" s="25">
        <v>1522244.932</v>
      </c>
      <c r="I454" s="4">
        <v>1652089.1259999999</v>
      </c>
      <c r="J454" s="4">
        <v>200470.29500000001</v>
      </c>
      <c r="K454" s="4">
        <v>618233.27599999995</v>
      </c>
      <c r="L454" s="4">
        <v>74463.728000000003</v>
      </c>
      <c r="M454" s="25">
        <v>2545256.4249999998</v>
      </c>
      <c r="O454" s="22">
        <v>4067501.3569999998</v>
      </c>
    </row>
    <row r="455" spans="1:37" s="3" customFormat="1" x14ac:dyDescent="0.2">
      <c r="A455" s="7"/>
      <c r="B455" s="7"/>
      <c r="C455" s="7" t="s">
        <v>23</v>
      </c>
      <c r="D455" s="7">
        <v>8.2591696496679745E-2</v>
      </c>
      <c r="E455" s="7">
        <v>0.19975072982116937</v>
      </c>
      <c r="F455" s="7">
        <v>0.51445780196839452</v>
      </c>
      <c r="G455" s="26">
        <v>0.12349922755091902</v>
      </c>
      <c r="H455" s="37"/>
      <c r="I455" s="7">
        <v>8.0164195041409814E-2</v>
      </c>
      <c r="J455" s="7">
        <v>0.25087512872667772</v>
      </c>
      <c r="K455" s="7">
        <v>8.1676850635244769E-2</v>
      </c>
      <c r="L455" s="7">
        <v>0.26804270460512036</v>
      </c>
      <c r="M455" s="26">
        <v>9.947398992466816E-2</v>
      </c>
      <c r="N455" s="37"/>
      <c r="O455" s="26">
        <v>0.10846533203048359</v>
      </c>
      <c r="T455" s="21"/>
      <c r="Z455" s="21"/>
      <c r="AB455" s="21"/>
    </row>
    <row r="457" spans="1:37" x14ac:dyDescent="0.2">
      <c r="A457" s="5" t="s">
        <v>12</v>
      </c>
      <c r="C457" s="5" t="s">
        <v>21</v>
      </c>
      <c r="D457" s="4">
        <v>1169267.1540300003</v>
      </c>
      <c r="E457" s="4">
        <v>324757.39612389926</v>
      </c>
      <c r="F457" s="4">
        <v>87950.554452399927</v>
      </c>
      <c r="G457" s="25">
        <v>1581975.1046062994</v>
      </c>
      <c r="I457" s="4">
        <v>1704524.2121936905</v>
      </c>
      <c r="J457" s="4">
        <v>251970.48032670026</v>
      </c>
      <c r="K457" s="4">
        <v>621120.42115246004</v>
      </c>
      <c r="L457" s="4">
        <v>90380.6528922</v>
      </c>
      <c r="M457" s="25">
        <v>2667995.6065650508</v>
      </c>
      <c r="O457" s="22">
        <v>4249970.7111713504</v>
      </c>
    </row>
    <row r="458" spans="1:37" x14ac:dyDescent="0.2">
      <c r="C458" s="5" t="s">
        <v>22</v>
      </c>
      <c r="D458" s="4">
        <v>1056956.601</v>
      </c>
      <c r="E458" s="4">
        <v>304116.78499999997</v>
      </c>
      <c r="F458" s="4">
        <v>62752.144</v>
      </c>
      <c r="G458" s="25">
        <v>1423825.53</v>
      </c>
      <c r="I458" s="4">
        <v>1586419.352</v>
      </c>
      <c r="J458" s="4">
        <v>232576.45499999999</v>
      </c>
      <c r="K458" s="4">
        <v>597008.72</v>
      </c>
      <c r="L458" s="4">
        <v>94374.923999999999</v>
      </c>
      <c r="M458" s="25">
        <v>2510379.4509999999</v>
      </c>
      <c r="O458" s="22">
        <v>3934204.9809999997</v>
      </c>
    </row>
    <row r="459" spans="1:37" s="3" customFormat="1" x14ac:dyDescent="0.2">
      <c r="A459" s="7"/>
      <c r="B459" s="7"/>
      <c r="C459" s="7" t="s">
        <v>23</v>
      </c>
      <c r="D459" s="7">
        <v>0.10625843381245925</v>
      </c>
      <c r="E459" s="7">
        <v>6.7870673839654394E-2</v>
      </c>
      <c r="F459" s="7">
        <v>0.401554574014235</v>
      </c>
      <c r="G459" s="26">
        <v>0.11107370339559752</v>
      </c>
      <c r="H459" s="37"/>
      <c r="I459" s="7">
        <v>7.4447440422859001E-2</v>
      </c>
      <c r="J459" s="7">
        <v>8.3387741578141661E-2</v>
      </c>
      <c r="K459" s="7">
        <v>4.038751921824546E-2</v>
      </c>
      <c r="L459" s="7">
        <v>-4.2323436549734361E-2</v>
      </c>
      <c r="M459" s="26">
        <v>6.2785789416123894E-2</v>
      </c>
      <c r="N459" s="37"/>
      <c r="O459" s="26">
        <v>8.0261636517751755E-2</v>
      </c>
      <c r="T459" s="21"/>
      <c r="Z459" s="21"/>
      <c r="AB459" s="21"/>
    </row>
    <row r="461" spans="1:37" x14ac:dyDescent="0.2">
      <c r="A461" s="5" t="s">
        <v>13</v>
      </c>
      <c r="C461" s="5" t="s">
        <v>21</v>
      </c>
      <c r="D461" s="4">
        <v>1205966.1547584005</v>
      </c>
      <c r="E461" s="4">
        <v>311641.48446470039</v>
      </c>
      <c r="F461" s="4">
        <v>92263.236917499918</v>
      </c>
      <c r="G461" s="25">
        <v>1609870.8761406008</v>
      </c>
      <c r="I461" s="4">
        <v>1901030.7296295813</v>
      </c>
      <c r="J461" s="4">
        <v>388080.09153969993</v>
      </c>
      <c r="K461" s="4">
        <v>635715.15719314897</v>
      </c>
      <c r="L461" s="4">
        <v>93543.947527699973</v>
      </c>
      <c r="M461" s="25">
        <v>3018369.5658901306</v>
      </c>
      <c r="O461" s="22">
        <v>4628240.4420307316</v>
      </c>
    </row>
    <row r="462" spans="1:37" x14ac:dyDescent="0.2">
      <c r="C462" s="5" t="s">
        <v>22</v>
      </c>
      <c r="D462" s="4">
        <v>1061075.923</v>
      </c>
      <c r="E462" s="4">
        <v>324030.55499999999</v>
      </c>
      <c r="F462" s="4">
        <v>84201.891000000003</v>
      </c>
      <c r="G462" s="25">
        <v>1469308.3689999999</v>
      </c>
      <c r="I462" s="4">
        <v>1859987.6270000001</v>
      </c>
      <c r="J462" s="4">
        <v>304851.53700000001</v>
      </c>
      <c r="K462" s="4">
        <v>599955.20499999996</v>
      </c>
      <c r="L462" s="4">
        <v>91240.686000000002</v>
      </c>
      <c r="M462" s="25">
        <v>2856035.0549999997</v>
      </c>
      <c r="O462" s="22">
        <v>4325343.4239999996</v>
      </c>
    </row>
    <row r="463" spans="1:37" s="3" customFormat="1" x14ac:dyDescent="0.2">
      <c r="A463" s="7"/>
      <c r="B463" s="7"/>
      <c r="C463" s="7" t="s">
        <v>23</v>
      </c>
      <c r="D463" s="7">
        <v>0.13655029637158256</v>
      </c>
      <c r="E463" s="7">
        <v>-3.8234266318803223E-2</v>
      </c>
      <c r="F463" s="7">
        <v>9.5738300194468495E-2</v>
      </c>
      <c r="G463" s="26">
        <v>9.5665763638348222E-2</v>
      </c>
      <c r="H463" s="37"/>
      <c r="I463" s="7">
        <v>2.206633099800781E-2</v>
      </c>
      <c r="J463" s="7">
        <v>0.27301339976416106</v>
      </c>
      <c r="K463" s="7">
        <v>5.9604370284859876E-2</v>
      </c>
      <c r="L463" s="7">
        <v>2.5243798887044422E-2</v>
      </c>
      <c r="M463" s="26">
        <v>5.6839117085042634E-2</v>
      </c>
      <c r="N463" s="37"/>
      <c r="O463" s="26">
        <v>7.002843204311815E-2</v>
      </c>
      <c r="T463" s="21"/>
      <c r="Z463" s="21"/>
      <c r="AB463" s="21"/>
    </row>
    <row r="465" spans="1:28" x14ac:dyDescent="0.2">
      <c r="A465" s="5" t="s">
        <v>14</v>
      </c>
      <c r="C465" s="5" t="s">
        <v>21</v>
      </c>
      <c r="D465" s="4">
        <v>1192422.6370028993</v>
      </c>
      <c r="E465" s="4">
        <v>344371.38504370011</v>
      </c>
      <c r="F465" s="4">
        <v>93105.662596300099</v>
      </c>
      <c r="G465" s="25">
        <v>1629899.6846428995</v>
      </c>
      <c r="I465" s="4">
        <v>2092631.3275412293</v>
      </c>
      <c r="J465" s="4">
        <v>447449.27918800042</v>
      </c>
      <c r="K465" s="4">
        <v>643922.77286696597</v>
      </c>
      <c r="L465" s="4">
        <v>92019.508692500196</v>
      </c>
      <c r="M465" s="25">
        <v>3276022.8482886963</v>
      </c>
      <c r="O465" s="22">
        <v>4905922.532931596</v>
      </c>
    </row>
    <row r="466" spans="1:28" x14ac:dyDescent="0.2">
      <c r="C466" s="5" t="s">
        <v>22</v>
      </c>
      <c r="D466" s="4">
        <v>1119714.209</v>
      </c>
      <c r="E466" s="4">
        <v>271174.43400000001</v>
      </c>
      <c r="F466" s="4">
        <v>69063.495999999999</v>
      </c>
      <c r="G466" s="25">
        <v>1459952.1390000002</v>
      </c>
      <c r="I466" s="4">
        <v>1948207.9669999999</v>
      </c>
      <c r="J466" s="4">
        <v>426581.5</v>
      </c>
      <c r="K466" s="4">
        <v>610051.91399999999</v>
      </c>
      <c r="L466" s="4">
        <v>85286.94</v>
      </c>
      <c r="M466" s="25">
        <v>3070128.3210000005</v>
      </c>
      <c r="O466" s="22">
        <v>4530080.4600000009</v>
      </c>
    </row>
    <row r="467" spans="1:28" s="3" customFormat="1" x14ac:dyDescent="0.2">
      <c r="A467" s="7"/>
      <c r="B467" s="7"/>
      <c r="C467" s="7" t="s">
        <v>23</v>
      </c>
      <c r="D467" s="7">
        <v>6.4934808738235095E-2</v>
      </c>
      <c r="E467" s="7">
        <v>0.2699257078331363</v>
      </c>
      <c r="F467" s="7">
        <v>0.34811684882416172</v>
      </c>
      <c r="G467" s="26">
        <v>0.11640624449463499</v>
      </c>
      <c r="H467" s="37"/>
      <c r="I467" s="7">
        <v>7.4131387915235436E-2</v>
      </c>
      <c r="J467" s="7">
        <v>4.8918622087456676E-2</v>
      </c>
      <c r="K467" s="7">
        <v>5.5521273009178751E-2</v>
      </c>
      <c r="L467" s="7">
        <v>7.8940206935554258E-2</v>
      </c>
      <c r="M467" s="26">
        <v>6.7063818108303641E-2</v>
      </c>
      <c r="N467" s="37"/>
      <c r="O467" s="26">
        <v>8.2965871412269632E-2</v>
      </c>
      <c r="T467" s="21"/>
      <c r="Z467" s="21"/>
      <c r="AB467" s="21"/>
    </row>
    <row r="469" spans="1:28" x14ac:dyDescent="0.2">
      <c r="A469" s="5" t="s">
        <v>15</v>
      </c>
      <c r="C469" s="5" t="s">
        <v>21</v>
      </c>
      <c r="D469" s="4">
        <v>1332333.479660999</v>
      </c>
      <c r="E469" s="4">
        <v>411508.85950499994</v>
      </c>
      <c r="F469" s="4">
        <v>91698.448761999898</v>
      </c>
      <c r="G469" s="25">
        <v>1835540.7879279989</v>
      </c>
      <c r="I469" s="4">
        <v>2476721.0404224633</v>
      </c>
      <c r="J469" s="4">
        <v>461356.74002190022</v>
      </c>
      <c r="K469" s="4">
        <v>683579.77740204101</v>
      </c>
      <c r="L469" s="4">
        <v>97139.377235200169</v>
      </c>
      <c r="M469" s="25">
        <v>3718797.2150816051</v>
      </c>
      <c r="O469" s="22">
        <v>5554338.0030096043</v>
      </c>
    </row>
    <row r="470" spans="1:28" x14ac:dyDescent="0.2">
      <c r="C470" s="5" t="s">
        <v>22</v>
      </c>
      <c r="D470" s="4">
        <v>1212157.747</v>
      </c>
      <c r="E470" s="4">
        <v>366303.07699999999</v>
      </c>
      <c r="F470" s="4">
        <v>90520.642999999996</v>
      </c>
      <c r="G470" s="25">
        <v>1668981.4669999999</v>
      </c>
      <c r="I470" s="4">
        <v>2341726.605</v>
      </c>
      <c r="J470" s="4">
        <v>398742.56</v>
      </c>
      <c r="K470" s="4">
        <v>621205.38500000001</v>
      </c>
      <c r="L470" s="4">
        <v>91551.156000000003</v>
      </c>
      <c r="M470" s="25">
        <v>3453225.7060000002</v>
      </c>
      <c r="O470" s="22">
        <v>5122207.1730000004</v>
      </c>
    </row>
    <row r="471" spans="1:28" s="3" customFormat="1" x14ac:dyDescent="0.2">
      <c r="A471" s="7"/>
      <c r="B471" s="7"/>
      <c r="C471" s="7" t="s">
        <v>23</v>
      </c>
      <c r="D471" s="7">
        <v>9.9141991179304112E-2</v>
      </c>
      <c r="E471" s="7">
        <v>0.1234108729722736</v>
      </c>
      <c r="F471" s="7">
        <v>1.3011460402462038E-2</v>
      </c>
      <c r="G471" s="26">
        <v>9.9796986498232432E-2</v>
      </c>
      <c r="H471" s="37"/>
      <c r="I471" s="7">
        <v>5.7647393651430789E-2</v>
      </c>
      <c r="J471" s="7">
        <v>0.15702908669167459</v>
      </c>
      <c r="K471" s="7">
        <v>0.10040864729793197</v>
      </c>
      <c r="L471" s="7">
        <v>6.1039330133637604E-2</v>
      </c>
      <c r="M471" s="26">
        <v>7.6905343493815836E-2</v>
      </c>
      <c r="N471" s="37"/>
      <c r="O471" s="26">
        <v>8.4364184308560741E-2</v>
      </c>
      <c r="T471" s="21"/>
      <c r="Z471" s="21"/>
      <c r="AB471" s="21"/>
    </row>
    <row r="473" spans="1:28" x14ac:dyDescent="0.2">
      <c r="A473" s="5" t="s">
        <v>16</v>
      </c>
      <c r="C473" s="5" t="s">
        <v>21</v>
      </c>
      <c r="D473" s="4">
        <v>1308397.9753590012</v>
      </c>
      <c r="E473" s="4">
        <v>389542.95756800001</v>
      </c>
      <c r="F473" s="4">
        <v>93606.870397000108</v>
      </c>
      <c r="G473" s="25">
        <v>1791547.8033240014</v>
      </c>
      <c r="I473" s="4">
        <v>2405205.7811911805</v>
      </c>
      <c r="J473" s="4">
        <v>357794.30879059999</v>
      </c>
      <c r="K473" s="4">
        <v>686083.87796341197</v>
      </c>
      <c r="L473" s="4">
        <v>94436.07998159992</v>
      </c>
      <c r="M473" s="25">
        <v>3543519.7679267917</v>
      </c>
      <c r="O473" s="22">
        <v>5335067.5712507926</v>
      </c>
    </row>
    <row r="474" spans="1:28" x14ac:dyDescent="0.2">
      <c r="C474" s="5" t="s">
        <v>22</v>
      </c>
      <c r="D474" s="4">
        <v>1178016.277</v>
      </c>
      <c r="E474" s="4">
        <v>367484.614</v>
      </c>
      <c r="F474" s="4">
        <v>85282.620999999999</v>
      </c>
      <c r="G474" s="25">
        <v>1630783.5120000001</v>
      </c>
      <c r="I474" s="4">
        <v>2214959.1940000001</v>
      </c>
      <c r="J474" s="4">
        <v>356695.66399999999</v>
      </c>
      <c r="K474" s="4">
        <v>658595.81200000003</v>
      </c>
      <c r="L474" s="4">
        <v>87495.691000000006</v>
      </c>
      <c r="M474" s="25">
        <v>3317746.361</v>
      </c>
      <c r="O474" s="22">
        <v>4948529.8729999997</v>
      </c>
    </row>
    <row r="475" spans="1:28" s="3" customFormat="1" x14ac:dyDescent="0.2">
      <c r="A475" s="7"/>
      <c r="B475" s="7"/>
      <c r="C475" s="7" t="s">
        <v>23</v>
      </c>
      <c r="D475" s="7">
        <v>0.11067902957252707</v>
      </c>
      <c r="E475" s="7">
        <v>6.002521664213134E-2</v>
      </c>
      <c r="F475" s="7">
        <v>9.7607804490437822E-2</v>
      </c>
      <c r="G475" s="26">
        <v>9.8581013446008781E-2</v>
      </c>
      <c r="H475" s="37"/>
      <c r="I475" s="7">
        <v>8.5891689430004137E-2</v>
      </c>
      <c r="J475" s="7">
        <v>3.0800620850832683E-3</v>
      </c>
      <c r="K475" s="7">
        <v>4.173738347946232E-2</v>
      </c>
      <c r="L475" s="7">
        <v>7.9322637518228323E-2</v>
      </c>
      <c r="M475" s="26">
        <v>6.8050231199331845E-2</v>
      </c>
      <c r="N475" s="37"/>
      <c r="O475" s="26">
        <v>7.8111622678041615E-2</v>
      </c>
      <c r="T475" s="21"/>
      <c r="Z475" s="21"/>
      <c r="AB475" s="21"/>
    </row>
    <row r="477" spans="1:28" x14ac:dyDescent="0.2">
      <c r="A477" s="5" t="s">
        <v>17</v>
      </c>
      <c r="C477" s="5" t="s">
        <v>21</v>
      </c>
      <c r="D477" s="4">
        <v>1180467.1537163993</v>
      </c>
      <c r="E477" s="4">
        <v>356018.7344695995</v>
      </c>
      <c r="F477" s="4">
        <v>74895.894513199994</v>
      </c>
      <c r="G477" s="25">
        <v>1611381.7826991989</v>
      </c>
      <c r="I477" s="4">
        <v>1910170.1231957986</v>
      </c>
      <c r="J477" s="4">
        <v>300750.57294370019</v>
      </c>
      <c r="K477" s="4">
        <v>650259.826298133</v>
      </c>
      <c r="L477" s="4">
        <v>86712.260864600103</v>
      </c>
      <c r="M477" s="25">
        <v>2947892.3433022322</v>
      </c>
      <c r="O477" s="22">
        <v>4559274.1260014307</v>
      </c>
    </row>
    <row r="478" spans="1:28" x14ac:dyDescent="0.2">
      <c r="C478" s="5" t="s">
        <v>22</v>
      </c>
      <c r="D478" s="4">
        <v>1061416.4790000001</v>
      </c>
      <c r="E478" s="4">
        <v>304656.63799999998</v>
      </c>
      <c r="F478" s="4">
        <v>62365.275999999998</v>
      </c>
      <c r="G478" s="25">
        <v>1428438.3930000002</v>
      </c>
      <c r="I478" s="4">
        <v>1737748.7919999999</v>
      </c>
      <c r="J478" s="4">
        <v>262194.17099999997</v>
      </c>
      <c r="K478" s="4">
        <v>612313.43400000001</v>
      </c>
      <c r="L478" s="4">
        <v>75950.623999999996</v>
      </c>
      <c r="M478" s="25">
        <v>2688207.0209999997</v>
      </c>
      <c r="O478" s="22">
        <v>4116645.4139999999</v>
      </c>
    </row>
    <row r="479" spans="1:28" s="3" customFormat="1" x14ac:dyDescent="0.2">
      <c r="A479" s="7"/>
      <c r="B479" s="7"/>
      <c r="C479" s="7" t="s">
        <v>23</v>
      </c>
      <c r="D479" s="7">
        <v>0.11216207499299546</v>
      </c>
      <c r="E479" s="7">
        <v>0.1685901111716448</v>
      </c>
      <c r="F479" s="7">
        <v>0.20092300262088147</v>
      </c>
      <c r="G479" s="26">
        <v>0.12807229950952381</v>
      </c>
      <c r="H479" s="37"/>
      <c r="I479" s="7">
        <v>9.922109109761279E-2</v>
      </c>
      <c r="J479" s="7">
        <v>0.14705285703586535</v>
      </c>
      <c r="K479" s="7">
        <v>6.1972170119221959E-2</v>
      </c>
      <c r="L479" s="7">
        <v>0.14169254046681834</v>
      </c>
      <c r="M479" s="26">
        <v>9.6601682933493249E-2</v>
      </c>
      <c r="N479" s="37"/>
      <c r="O479" s="26">
        <v>0.10752169970630132</v>
      </c>
      <c r="T479" s="21"/>
      <c r="Z479" s="21"/>
      <c r="AB479" s="21"/>
    </row>
    <row r="481" spans="1:28" x14ac:dyDescent="0.2">
      <c r="A481" s="5" t="s">
        <v>18</v>
      </c>
      <c r="C481" s="5" t="s">
        <v>21</v>
      </c>
      <c r="D481" s="4">
        <v>1239843.0009711992</v>
      </c>
      <c r="E481" s="4">
        <v>366128.37746939599</v>
      </c>
      <c r="F481" s="4">
        <v>78562.428761299976</v>
      </c>
      <c r="G481" s="25">
        <v>1684533.8072018952</v>
      </c>
      <c r="I481" s="4">
        <v>1827948.8095360859</v>
      </c>
      <c r="J481" s="4">
        <v>265180.85441819986</v>
      </c>
      <c r="K481" s="4">
        <v>659268.06287364499</v>
      </c>
      <c r="L481" s="4">
        <v>96971.978233999995</v>
      </c>
      <c r="M481" s="25">
        <v>2849369.2250619312</v>
      </c>
      <c r="O481" s="22">
        <v>4533903.0322638266</v>
      </c>
    </row>
    <row r="482" spans="1:28" x14ac:dyDescent="0.2">
      <c r="C482" s="5" t="s">
        <v>22</v>
      </c>
      <c r="D482" s="4">
        <v>1109128.9779999999</v>
      </c>
      <c r="E482" s="4">
        <v>324049.239</v>
      </c>
      <c r="F482" s="4">
        <v>63279.813999999998</v>
      </c>
      <c r="G482" s="25">
        <v>1496458.031</v>
      </c>
      <c r="I482" s="4">
        <v>1632090.584</v>
      </c>
      <c r="J482" s="4">
        <v>252810.625</v>
      </c>
      <c r="K482" s="4">
        <v>616508.80799999996</v>
      </c>
      <c r="L482" s="4">
        <v>87873.212</v>
      </c>
      <c r="M482" s="25">
        <v>2589283.2290000003</v>
      </c>
      <c r="O482" s="22">
        <v>4085741.2600000002</v>
      </c>
    </row>
    <row r="483" spans="1:28" s="3" customFormat="1" x14ac:dyDescent="0.2">
      <c r="A483" s="7"/>
      <c r="B483" s="7"/>
      <c r="C483" s="7" t="s">
        <v>23</v>
      </c>
      <c r="D483" s="7">
        <v>0.11785286072581491</v>
      </c>
      <c r="E483" s="7">
        <v>0.12985414994107103</v>
      </c>
      <c r="F483" s="7">
        <v>0.24150852847481463</v>
      </c>
      <c r="G483" s="26">
        <v>0.12568062204605535</v>
      </c>
      <c r="H483" s="37"/>
      <c r="I483" s="7">
        <v>0.12000450676951258</v>
      </c>
      <c r="J483" s="7">
        <v>4.8930813007561857E-2</v>
      </c>
      <c r="K483" s="7">
        <v>6.935708674197083E-2</v>
      </c>
      <c r="L483" s="7">
        <v>0.10354425457897221</v>
      </c>
      <c r="M483" s="26">
        <v>0.10044710178823424</v>
      </c>
      <c r="N483" s="37"/>
      <c r="O483" s="26">
        <v>0.10968922008140725</v>
      </c>
      <c r="T483" s="21"/>
      <c r="Z483" s="21"/>
      <c r="AB483" s="21"/>
    </row>
    <row r="485" spans="1:28" x14ac:dyDescent="0.2">
      <c r="A485" s="5" t="s">
        <v>19</v>
      </c>
      <c r="C485" s="5" t="s">
        <v>21</v>
      </c>
      <c r="D485" s="4">
        <v>1330142.3468704997</v>
      </c>
      <c r="E485" s="4">
        <v>391731.06192479964</v>
      </c>
      <c r="F485" s="4">
        <v>80058.185342899931</v>
      </c>
      <c r="G485" s="25">
        <v>1801931.5941381992</v>
      </c>
      <c r="I485" s="4">
        <v>1925353.7588368948</v>
      </c>
      <c r="J485" s="4">
        <v>271885.50633030018</v>
      </c>
      <c r="K485" s="4">
        <v>662221.08829189895</v>
      </c>
      <c r="L485" s="4">
        <v>99710.256756499963</v>
      </c>
      <c r="M485" s="25">
        <v>2959170.1702155937</v>
      </c>
      <c r="O485" s="22">
        <v>4761101.7643537931</v>
      </c>
    </row>
    <row r="486" spans="1:28" x14ac:dyDescent="0.2">
      <c r="C486" s="5" t="s">
        <v>22</v>
      </c>
      <c r="D486" s="4">
        <v>1177684.149</v>
      </c>
      <c r="E486" s="4">
        <v>356121.25599999999</v>
      </c>
      <c r="F486" s="4">
        <v>65733.172000000006</v>
      </c>
      <c r="G486" s="25">
        <v>1599538.577</v>
      </c>
      <c r="I486" s="4">
        <v>1795301.091</v>
      </c>
      <c r="J486" s="4">
        <v>242709.375</v>
      </c>
      <c r="K486" s="4">
        <v>622624.576</v>
      </c>
      <c r="L486" s="4">
        <v>95436.368000000002</v>
      </c>
      <c r="M486" s="25">
        <v>2756071.41</v>
      </c>
      <c r="O486" s="22">
        <v>4355609.9869999997</v>
      </c>
    </row>
    <row r="487" spans="1:28" s="3" customFormat="1" x14ac:dyDescent="0.2">
      <c r="A487" s="7"/>
      <c r="B487" s="7"/>
      <c r="C487" s="7" t="s">
        <v>23</v>
      </c>
      <c r="D487" s="7">
        <v>0.12945593094715213</v>
      </c>
      <c r="E487" s="7">
        <v>9.9993486277043964E-2</v>
      </c>
      <c r="F487" s="7">
        <v>0.21792670134494529</v>
      </c>
      <c r="G487" s="26">
        <v>0.12653212623217591</v>
      </c>
      <c r="H487" s="37"/>
      <c r="I487" s="7">
        <v>7.2440588650483306E-2</v>
      </c>
      <c r="J487" s="7">
        <v>0.12021015393534018</v>
      </c>
      <c r="K487" s="7">
        <v>6.3596128097421767E-2</v>
      </c>
      <c r="L487" s="7">
        <v>4.4782600659110994E-2</v>
      </c>
      <c r="M487" s="26">
        <v>7.369139982319739E-2</v>
      </c>
      <c r="N487" s="37"/>
      <c r="O487" s="26">
        <v>9.3096438515855917E-2</v>
      </c>
      <c r="T487" s="21"/>
      <c r="Z487" s="21"/>
      <c r="AB487" s="21"/>
    </row>
    <row r="489" spans="1:28" x14ac:dyDescent="0.2">
      <c r="A489" s="5" t="s">
        <v>20</v>
      </c>
      <c r="C489" s="5" t="s">
        <v>21</v>
      </c>
      <c r="D489" s="4">
        <v>1476102.2833836016</v>
      </c>
      <c r="E489" s="4">
        <v>449310.18490030011</v>
      </c>
      <c r="F489" s="4">
        <v>95179.731467899997</v>
      </c>
      <c r="G489" s="25">
        <v>2020592.1997518018</v>
      </c>
      <c r="I489" s="4">
        <v>2148136.4988957276</v>
      </c>
      <c r="J489" s="4">
        <v>285087.39403630001</v>
      </c>
      <c r="K489" s="4">
        <v>733539.31641262898</v>
      </c>
      <c r="L489" s="4">
        <v>109411.46661459995</v>
      </c>
      <c r="M489" s="25">
        <v>3276174.9959592568</v>
      </c>
      <c r="O489" s="22">
        <v>5296767.1957110586</v>
      </c>
    </row>
    <row r="490" spans="1:28" x14ac:dyDescent="0.2">
      <c r="C490" s="5" t="s">
        <v>22</v>
      </c>
      <c r="D490" s="4">
        <v>1334768.885</v>
      </c>
      <c r="E490" s="4">
        <v>411998.86800000002</v>
      </c>
      <c r="F490" s="4">
        <v>79310.172000000006</v>
      </c>
      <c r="G490" s="25">
        <v>1826077.925</v>
      </c>
      <c r="I490" s="4">
        <v>2017988.754</v>
      </c>
      <c r="J490" s="4">
        <v>268918.19699999999</v>
      </c>
      <c r="K490" s="4">
        <v>668215.41799999995</v>
      </c>
      <c r="L490" s="4">
        <v>114359.671</v>
      </c>
      <c r="M490" s="25">
        <v>3069482.04</v>
      </c>
      <c r="O490" s="22">
        <v>4895559.9649999999</v>
      </c>
    </row>
    <row r="491" spans="1:28" s="3" customFormat="1" x14ac:dyDescent="0.2">
      <c r="A491" s="7"/>
      <c r="B491" s="7"/>
      <c r="C491" s="7" t="s">
        <v>23</v>
      </c>
      <c r="D491" s="7">
        <v>0.10588604512128819</v>
      </c>
      <c r="E491" s="7">
        <v>9.0561697611994729E-2</v>
      </c>
      <c r="F491" s="7">
        <v>0.20009488149767218</v>
      </c>
      <c r="G491" s="26">
        <v>0.10652024871928822</v>
      </c>
      <c r="H491" s="37"/>
      <c r="I491" s="7">
        <v>6.4493790977651511E-2</v>
      </c>
      <c r="J491" s="7">
        <v>6.0126823757858272E-2</v>
      </c>
      <c r="K491" s="7">
        <v>9.7758741646738034E-2</v>
      </c>
      <c r="L491" s="7">
        <v>-4.3268788219931631E-2</v>
      </c>
      <c r="M491" s="26">
        <v>6.7338056801028445E-2</v>
      </c>
      <c r="N491" s="37"/>
      <c r="O491" s="26">
        <v>8.19532869742019E-2</v>
      </c>
      <c r="T491" s="21"/>
      <c r="Z491" s="21"/>
      <c r="AB491" s="21"/>
    </row>
    <row r="493" spans="1:28" x14ac:dyDescent="0.2">
      <c r="A493" s="5" t="s">
        <v>44</v>
      </c>
      <c r="C493" s="5" t="s">
        <v>21</v>
      </c>
      <c r="D493" s="4">
        <v>15562529.809530804</v>
      </c>
      <c r="E493" s="4">
        <v>4532172.421366795</v>
      </c>
      <c r="F493" s="4">
        <v>1064594.6532043</v>
      </c>
      <c r="G493" s="25">
        <v>21159296.884101894</v>
      </c>
      <c r="I493" s="4">
        <v>24068503.374681178</v>
      </c>
      <c r="J493" s="4">
        <v>3803528.6579677006</v>
      </c>
      <c r="K493" s="4">
        <v>7988239.5189414062</v>
      </c>
      <c r="L493" s="4">
        <v>1144056.3099256004</v>
      </c>
      <c r="M493" s="25">
        <v>37004326.261515893</v>
      </c>
      <c r="O493" s="25">
        <v>58163623.145617798</v>
      </c>
    </row>
    <row r="494" spans="1:28" x14ac:dyDescent="0.2">
      <c r="C494" s="5" t="s">
        <v>22</v>
      </c>
      <c r="D494" s="4">
        <v>14077356.350000001</v>
      </c>
      <c r="E494" s="4">
        <v>4078370.0269999998</v>
      </c>
      <c r="F494" s="4">
        <v>884865.30900000001</v>
      </c>
      <c r="G494" s="25">
        <v>19040591.686000001</v>
      </c>
      <c r="I494" s="4">
        <v>22352159.788999997</v>
      </c>
      <c r="J494" s="4">
        <v>3475271.6850000001</v>
      </c>
      <c r="K494" s="4">
        <v>7435969.9170000004</v>
      </c>
      <c r="L494" s="4">
        <v>1086484.477</v>
      </c>
      <c r="M494" s="25">
        <v>34349885.868000008</v>
      </c>
      <c r="O494" s="25">
        <v>53390477.554000005</v>
      </c>
    </row>
    <row r="495" spans="1:28" x14ac:dyDescent="0.2">
      <c r="C495" s="5" t="s">
        <v>23</v>
      </c>
      <c r="D495" s="7">
        <v>0.10550087833294075</v>
      </c>
      <c r="E495" s="7">
        <v>0.11127052998195142</v>
      </c>
      <c r="F495" s="7">
        <v>0.20311491746400923</v>
      </c>
      <c r="G495" s="26">
        <v>0.11127307559773558</v>
      </c>
      <c r="I495" s="7">
        <v>7.6786476201097686E-2</v>
      </c>
      <c r="J495" s="7">
        <v>9.4455053509780562E-2</v>
      </c>
      <c r="K495" s="7">
        <v>7.4270015627526442E-2</v>
      </c>
      <c r="L495" s="7">
        <v>5.298909845869848E-2</v>
      </c>
      <c r="M495" s="26">
        <v>7.7276541870223037E-2</v>
      </c>
      <c r="O495" s="26">
        <v>8.940069110245652E-2</v>
      </c>
    </row>
    <row r="497" spans="1:28" x14ac:dyDescent="0.2">
      <c r="D497" s="25" t="s">
        <v>7</v>
      </c>
      <c r="E497" s="25"/>
      <c r="F497" s="25"/>
      <c r="H497" s="34"/>
      <c r="I497" s="25" t="s">
        <v>8</v>
      </c>
      <c r="J497" s="25"/>
      <c r="K497" s="25"/>
      <c r="L497" s="25"/>
      <c r="N497" s="38"/>
      <c r="O497" s="20" t="s">
        <v>24</v>
      </c>
    </row>
    <row r="498" spans="1:28" x14ac:dyDescent="0.2">
      <c r="D498" s="23" t="s">
        <v>0</v>
      </c>
      <c r="E498" s="23" t="s">
        <v>1</v>
      </c>
      <c r="F498" s="23" t="s">
        <v>2</v>
      </c>
      <c r="G498" s="23" t="s">
        <v>24</v>
      </c>
      <c r="H498" s="35"/>
      <c r="I498" s="23" t="s">
        <v>3</v>
      </c>
      <c r="J498" s="23" t="s">
        <v>4</v>
      </c>
      <c r="K498" s="23" t="s">
        <v>58</v>
      </c>
      <c r="L498" s="23" t="s">
        <v>59</v>
      </c>
      <c r="M498" s="23" t="s">
        <v>24</v>
      </c>
      <c r="N498" s="38"/>
      <c r="O498" s="23" t="s">
        <v>49</v>
      </c>
    </row>
    <row r="499" spans="1:28" x14ac:dyDescent="0.2">
      <c r="A499" s="5">
        <v>2006</v>
      </c>
    </row>
    <row r="500" spans="1:28" x14ac:dyDescent="0.2">
      <c r="A500" s="5" t="s">
        <v>9</v>
      </c>
      <c r="C500" s="5" t="s">
        <v>21</v>
      </c>
      <c r="D500" s="4">
        <v>1420351.3818540999</v>
      </c>
      <c r="E500" s="4">
        <v>434428.91138150019</v>
      </c>
      <c r="F500" s="4">
        <v>87819.113620099888</v>
      </c>
      <c r="G500" s="25">
        <v>1942599.4068556998</v>
      </c>
      <c r="I500" s="4">
        <v>1914008.4889471501</v>
      </c>
      <c r="J500" s="4">
        <v>290581.77657739999</v>
      </c>
      <c r="K500" s="4">
        <v>681770.24093250395</v>
      </c>
      <c r="L500" s="4">
        <v>94619.390779200083</v>
      </c>
      <c r="M500" s="25">
        <v>2980980.4972362537</v>
      </c>
      <c r="O500" s="22">
        <v>4923579.9040919533</v>
      </c>
    </row>
    <row r="501" spans="1:28" x14ac:dyDescent="0.2">
      <c r="C501" s="5" t="s">
        <v>22</v>
      </c>
      <c r="D501" s="4">
        <v>1309698.1529999999</v>
      </c>
      <c r="E501" s="4">
        <v>372628.04700000002</v>
      </c>
      <c r="F501" s="4">
        <v>66000.020999999993</v>
      </c>
      <c r="G501" s="25">
        <v>1748326.2209999999</v>
      </c>
      <c r="I501" s="4">
        <v>1777210.1240000001</v>
      </c>
      <c r="J501" s="4">
        <v>249519.42600000001</v>
      </c>
      <c r="K501" s="4">
        <v>625618</v>
      </c>
      <c r="L501" s="4">
        <v>96501.626999999993</v>
      </c>
      <c r="M501" s="25">
        <v>2748849.1770000001</v>
      </c>
      <c r="O501" s="22">
        <v>4497175.398</v>
      </c>
    </row>
    <row r="502" spans="1:28" s="3" customFormat="1" x14ac:dyDescent="0.2">
      <c r="A502" s="7"/>
      <c r="B502" s="7"/>
      <c r="C502" s="7" t="s">
        <v>23</v>
      </c>
      <c r="D502" s="7">
        <v>8.4487581051127858E-2</v>
      </c>
      <c r="E502" s="7">
        <v>0.1658513492987288</v>
      </c>
      <c r="F502" s="7">
        <v>0.33059220723732641</v>
      </c>
      <c r="G502" s="26">
        <v>0.11111952879399145</v>
      </c>
      <c r="H502" s="37"/>
      <c r="I502" s="7">
        <v>7.6973658376003007E-2</v>
      </c>
      <c r="J502" s="7">
        <v>0.16456574638561405</v>
      </c>
      <c r="K502" s="7">
        <v>8.9754835910258235E-2</v>
      </c>
      <c r="L502" s="7">
        <v>-1.9504709706085199E-2</v>
      </c>
      <c r="M502" s="26">
        <v>8.4446728535900961E-2</v>
      </c>
      <c r="N502" s="37"/>
      <c r="O502" s="26">
        <v>9.4816071946312253E-2</v>
      </c>
      <c r="T502" s="21"/>
      <c r="Z502" s="21"/>
      <c r="AB502" s="21"/>
    </row>
    <row r="504" spans="1:28" x14ac:dyDescent="0.2">
      <c r="A504" s="5" t="s">
        <v>10</v>
      </c>
      <c r="C504" s="5" t="s">
        <v>21</v>
      </c>
      <c r="D504" s="4">
        <v>1280351.9787354001</v>
      </c>
      <c r="E504" s="4">
        <v>393053.70058220014</v>
      </c>
      <c r="F504" s="4">
        <v>74663.745100999935</v>
      </c>
      <c r="G504" s="25">
        <v>1748069.4244186003</v>
      </c>
      <c r="I504" s="4">
        <v>1719843.03668346</v>
      </c>
      <c r="J504" s="4">
        <v>264602.87703969999</v>
      </c>
      <c r="K504" s="4">
        <v>610850.96926944004</v>
      </c>
      <c r="L504" s="4">
        <v>89047.677202599982</v>
      </c>
      <c r="M504" s="25">
        <v>2684345.0001952001</v>
      </c>
      <c r="O504" s="22">
        <v>4432414.4246137999</v>
      </c>
    </row>
    <row r="505" spans="1:28" x14ac:dyDescent="0.2">
      <c r="C505" s="5" t="s">
        <v>22</v>
      </c>
      <c r="D505" s="4">
        <v>1158732.142</v>
      </c>
      <c r="E505" s="4">
        <v>326345.71999999997</v>
      </c>
      <c r="F505" s="4">
        <v>69123.467000000004</v>
      </c>
      <c r="G505" s="25">
        <v>1554201.3289999999</v>
      </c>
      <c r="I505" s="4">
        <v>1649596.4310000001</v>
      </c>
      <c r="J505" s="4">
        <v>228892.723</v>
      </c>
      <c r="K505" s="4">
        <v>586924.28300000005</v>
      </c>
      <c r="L505" s="4">
        <v>95192.16</v>
      </c>
      <c r="M505" s="25">
        <v>2560605.5970000001</v>
      </c>
      <c r="O505" s="22">
        <v>4114806.926</v>
      </c>
    </row>
    <row r="506" spans="1:28" s="3" customFormat="1" x14ac:dyDescent="0.2">
      <c r="A506" s="7"/>
      <c r="B506" s="7"/>
      <c r="C506" s="7" t="s">
        <v>23</v>
      </c>
      <c r="D506" s="7">
        <v>0.1049594054804428</v>
      </c>
      <c r="E506" s="7">
        <v>0.20440893351443434</v>
      </c>
      <c r="F506" s="7">
        <v>8.0150466136195586E-2</v>
      </c>
      <c r="G506" s="26">
        <v>0.12473808367114092</v>
      </c>
      <c r="H506" s="37"/>
      <c r="I506" s="7">
        <v>4.2584115946999068E-2</v>
      </c>
      <c r="J506" s="7">
        <v>0.1560126227328773</v>
      </c>
      <c r="K506" s="7">
        <v>4.0766223109974797E-2</v>
      </c>
      <c r="L506" s="7">
        <v>-6.4548202261615062E-2</v>
      </c>
      <c r="M506" s="26">
        <v>4.8324272718989869E-2</v>
      </c>
      <c r="N506" s="37"/>
      <c r="O506" s="26">
        <v>7.7186488777140738E-2</v>
      </c>
      <c r="T506" s="21"/>
      <c r="Z506" s="21"/>
      <c r="AB506" s="21"/>
    </row>
    <row r="508" spans="1:28" x14ac:dyDescent="0.2">
      <c r="A508" s="5" t="s">
        <v>11</v>
      </c>
      <c r="C508" s="5" t="s">
        <v>21</v>
      </c>
      <c r="D508" s="4">
        <v>1373658.3942512001</v>
      </c>
      <c r="E508" s="4">
        <v>380868.45788320003</v>
      </c>
      <c r="F508" s="4">
        <v>83851.584260600037</v>
      </c>
      <c r="G508" s="25">
        <v>1838378.4363950002</v>
      </c>
      <c r="I508" s="4">
        <v>1761454.7663032198</v>
      </c>
      <c r="J508" s="4">
        <v>273089.0615875998</v>
      </c>
      <c r="K508" s="4">
        <v>653736.30655721202</v>
      </c>
      <c r="L508" s="4">
        <v>94032.062131300103</v>
      </c>
      <c r="M508" s="25">
        <v>2782311.6365793319</v>
      </c>
      <c r="O508" s="22">
        <v>4620690.0729743317</v>
      </c>
    </row>
    <row r="509" spans="1:28" x14ac:dyDescent="0.2">
      <c r="C509" s="5" t="s">
        <v>22</v>
      </c>
      <c r="D509" s="4">
        <v>1216132.9809999999</v>
      </c>
      <c r="E509" s="4">
        <v>360990.76</v>
      </c>
      <c r="F509" s="4">
        <v>72789.047000000006</v>
      </c>
      <c r="G509" s="25">
        <v>1649912.7879999999</v>
      </c>
      <c r="I509" s="4">
        <v>1618501.5970000001</v>
      </c>
      <c r="J509" s="4">
        <v>224215.30100000001</v>
      </c>
      <c r="K509" s="4">
        <v>587665.73300000001</v>
      </c>
      <c r="L509" s="4">
        <v>75958.664999999994</v>
      </c>
      <c r="M509" s="25">
        <v>2506341.2960000001</v>
      </c>
      <c r="O509" s="22">
        <v>4156254.0839999998</v>
      </c>
    </row>
    <row r="510" spans="1:28" s="3" customFormat="1" x14ac:dyDescent="0.2">
      <c r="A510" s="7"/>
      <c r="B510" s="7"/>
      <c r="C510" s="7" t="s">
        <v>23</v>
      </c>
      <c r="D510" s="7">
        <v>0.12952976007744677</v>
      </c>
      <c r="E510" s="7">
        <v>5.5064284424343857E-2</v>
      </c>
      <c r="F510" s="7">
        <v>0.15198079541555232</v>
      </c>
      <c r="G510" s="26">
        <v>0.11422764267646879</v>
      </c>
      <c r="H510" s="37"/>
      <c r="I510" s="7">
        <v>8.8324391874677666E-2</v>
      </c>
      <c r="J510" s="7">
        <v>0.21797691937001118</v>
      </c>
      <c r="K510" s="7">
        <v>0.11242883470493603</v>
      </c>
      <c r="L510" s="7">
        <v>0.23793726668708715</v>
      </c>
      <c r="M510" s="26">
        <v>0.11010884312514313</v>
      </c>
      <c r="N510" s="37"/>
      <c r="O510" s="26">
        <v>0.11174388754581543</v>
      </c>
      <c r="T510" s="21"/>
      <c r="Z510" s="21"/>
      <c r="AB510" s="21"/>
    </row>
    <row r="512" spans="1:28" x14ac:dyDescent="0.2">
      <c r="A512" s="5" t="s">
        <v>12</v>
      </c>
      <c r="C512" s="5" t="s">
        <v>21</v>
      </c>
      <c r="D512" s="4">
        <v>1137536.9448347399</v>
      </c>
      <c r="E512" s="4">
        <v>329004.95919899992</v>
      </c>
      <c r="F512" s="4">
        <v>76888.188168299981</v>
      </c>
      <c r="G512" s="25">
        <v>1543430.0922020399</v>
      </c>
      <c r="I512" s="4">
        <v>1614986.6469988599</v>
      </c>
      <c r="J512" s="4">
        <v>248772.72364249983</v>
      </c>
      <c r="K512" s="4">
        <v>616393.86325163196</v>
      </c>
      <c r="L512" s="4">
        <v>81743.066519000044</v>
      </c>
      <c r="M512" s="25">
        <v>2561896.580411992</v>
      </c>
      <c r="O512" s="22">
        <v>4105326.6726140319</v>
      </c>
    </row>
    <row r="513" spans="1:28" x14ac:dyDescent="0.2">
      <c r="C513" s="5" t="s">
        <v>22</v>
      </c>
      <c r="D513" s="4">
        <v>1015528.853</v>
      </c>
      <c r="E513" s="4">
        <v>293801.66499999998</v>
      </c>
      <c r="F513" s="4">
        <v>68062.596999999994</v>
      </c>
      <c r="G513" s="25">
        <v>1377393.115</v>
      </c>
      <c r="I513" s="4">
        <v>1485481.865</v>
      </c>
      <c r="J513" s="4">
        <v>238090.50700000001</v>
      </c>
      <c r="K513" s="4">
        <v>596037.03799999994</v>
      </c>
      <c r="L513" s="4">
        <v>95339.748000000007</v>
      </c>
      <c r="M513" s="25">
        <v>2414949.1579999998</v>
      </c>
      <c r="O513" s="22">
        <v>3792342.273</v>
      </c>
    </row>
    <row r="514" spans="1:28" s="3" customFormat="1" x14ac:dyDescent="0.2">
      <c r="A514" s="7"/>
      <c r="B514" s="7"/>
      <c r="C514" s="7" t="s">
        <v>23</v>
      </c>
      <c r="D514" s="7">
        <v>0.12014241788828817</v>
      </c>
      <c r="E514" s="7">
        <v>0.11981992749768766</v>
      </c>
      <c r="F514" s="7">
        <v>0.12966873962067571</v>
      </c>
      <c r="G514" s="26">
        <v>0.12054436412805791</v>
      </c>
      <c r="H514" s="37"/>
      <c r="I514" s="7">
        <v>8.7180318420689629E-2</v>
      </c>
      <c r="J514" s="7">
        <v>4.4866201416841056E-2</v>
      </c>
      <c r="K514" s="7">
        <v>3.4153624613562972E-2</v>
      </c>
      <c r="L514" s="7">
        <v>-0.1426129370616751</v>
      </c>
      <c r="M514" s="26">
        <v>6.0849074989922425E-2</v>
      </c>
      <c r="N514" s="37"/>
      <c r="O514" s="26">
        <v>8.2530630698172791E-2</v>
      </c>
      <c r="T514" s="21"/>
      <c r="Z514" s="21"/>
      <c r="AB514" s="21"/>
    </row>
    <row r="516" spans="1:28" x14ac:dyDescent="0.2">
      <c r="A516" s="5" t="s">
        <v>13</v>
      </c>
      <c r="C516" s="5" t="s">
        <v>21</v>
      </c>
      <c r="D516" s="4">
        <v>1150094.57301045</v>
      </c>
      <c r="E516" s="4">
        <v>338908.9780730994</v>
      </c>
      <c r="F516" s="4">
        <v>86426.961722199921</v>
      </c>
      <c r="G516" s="25">
        <v>1575430.5128057492</v>
      </c>
      <c r="I516" s="4">
        <v>1807261.1205547401</v>
      </c>
      <c r="J516" s="4">
        <v>311230.15851850022</v>
      </c>
      <c r="K516" s="4">
        <v>613625.12012307695</v>
      </c>
      <c r="L516" s="4">
        <v>88036.812407100093</v>
      </c>
      <c r="M516" s="25">
        <v>2820153.171603417</v>
      </c>
      <c r="O516" s="22">
        <v>4395583.6844091658</v>
      </c>
    </row>
    <row r="517" spans="1:28" x14ac:dyDescent="0.2">
      <c r="C517" s="5" t="s">
        <v>22</v>
      </c>
      <c r="D517" s="4">
        <v>1084184.385</v>
      </c>
      <c r="E517" s="4">
        <v>309850.32500000001</v>
      </c>
      <c r="F517" s="4">
        <v>65914.343999999997</v>
      </c>
      <c r="G517" s="25">
        <v>1459949.054</v>
      </c>
      <c r="I517" s="4">
        <v>1686652.4709999999</v>
      </c>
      <c r="J517" s="4">
        <v>295737.01299999998</v>
      </c>
      <c r="K517" s="4">
        <v>566715.81000000006</v>
      </c>
      <c r="L517" s="4">
        <v>75972.039999999994</v>
      </c>
      <c r="M517" s="25">
        <v>2625077.3339999998</v>
      </c>
      <c r="O517" s="22">
        <v>4085026.3879999998</v>
      </c>
    </row>
    <row r="518" spans="1:28" s="3" customFormat="1" x14ac:dyDescent="0.2">
      <c r="A518" s="7"/>
      <c r="B518" s="7"/>
      <c r="C518" s="7" t="s">
        <v>23</v>
      </c>
      <c r="D518" s="7">
        <v>6.0792415867942928E-2</v>
      </c>
      <c r="E518" s="7">
        <v>9.3782871046203864E-2</v>
      </c>
      <c r="F518" s="7">
        <v>0.31120112068778116</v>
      </c>
      <c r="G518" s="26">
        <v>7.9099649737331967E-2</v>
      </c>
      <c r="H518" s="37"/>
      <c r="I518" s="7">
        <v>7.1507706316780606E-2</v>
      </c>
      <c r="J518" s="7">
        <v>5.2388253202855672E-2</v>
      </c>
      <c r="K518" s="7">
        <v>8.2773957061612391E-2</v>
      </c>
      <c r="L518" s="7">
        <v>0.15880542903810535</v>
      </c>
      <c r="M518" s="26">
        <v>7.4312415515076502E-2</v>
      </c>
      <c r="N518" s="37"/>
      <c r="O518" s="26">
        <v>7.6023326880199749E-2</v>
      </c>
      <c r="T518" s="21"/>
      <c r="Z518" s="21"/>
      <c r="AB518" s="21"/>
    </row>
    <row r="520" spans="1:28" x14ac:dyDescent="0.2">
      <c r="A520" s="5" t="s">
        <v>14</v>
      </c>
      <c r="C520" s="5" t="s">
        <v>21</v>
      </c>
      <c r="D520" s="4">
        <v>1154992.1415714</v>
      </c>
      <c r="E520" s="4">
        <v>350401.52836619964</v>
      </c>
      <c r="F520" s="4">
        <v>92700.005194300087</v>
      </c>
      <c r="G520" s="25">
        <v>1598093.6751318998</v>
      </c>
      <c r="I520" s="4">
        <v>1980209.69181972</v>
      </c>
      <c r="J520" s="4">
        <v>386311.55624090013</v>
      </c>
      <c r="K520" s="4">
        <v>609297.86357766797</v>
      </c>
      <c r="L520" s="4">
        <v>86618.824905000074</v>
      </c>
      <c r="M520" s="25">
        <v>3062438.736543288</v>
      </c>
      <c r="O520" s="22">
        <v>4660532.4116751878</v>
      </c>
    </row>
    <row r="521" spans="1:28" x14ac:dyDescent="0.2">
      <c r="C521" s="5" t="s">
        <v>22</v>
      </c>
      <c r="D521" s="4">
        <v>1058221.433</v>
      </c>
      <c r="E521" s="4">
        <v>318114.79499999998</v>
      </c>
      <c r="F521" s="4">
        <v>81108.998000000007</v>
      </c>
      <c r="G521" s="25">
        <v>1457445.2259999998</v>
      </c>
      <c r="I521" s="4">
        <v>1853521.36</v>
      </c>
      <c r="J521" s="4">
        <v>339571.75699999998</v>
      </c>
      <c r="K521" s="4">
        <v>557721.54500000004</v>
      </c>
      <c r="L521" s="4">
        <v>81792.069000000003</v>
      </c>
      <c r="M521" s="25">
        <v>2832606.7310000001</v>
      </c>
      <c r="O521" s="22">
        <v>4290051.9570000004</v>
      </c>
    </row>
    <row r="522" spans="1:28" s="3" customFormat="1" x14ac:dyDescent="0.2">
      <c r="A522" s="7"/>
      <c r="B522" s="7"/>
      <c r="C522" s="7" t="s">
        <v>23</v>
      </c>
      <c r="D522" s="7">
        <v>9.1446558871010941E-2</v>
      </c>
      <c r="E522" s="7">
        <v>0.10149396970423719</v>
      </c>
      <c r="F522" s="7">
        <v>0.14290655143218611</v>
      </c>
      <c r="G522" s="26">
        <v>9.6503420247163296E-2</v>
      </c>
      <c r="H522" s="37"/>
      <c r="I522" s="7">
        <v>6.8350079234975603E-2</v>
      </c>
      <c r="J522" s="7">
        <v>0.13764336484821427</v>
      </c>
      <c r="K522" s="7">
        <v>9.2476826545526247E-2</v>
      </c>
      <c r="L522" s="7">
        <v>5.9012517521717989E-2</v>
      </c>
      <c r="M522" s="26">
        <v>8.1137986091754266E-2</v>
      </c>
      <c r="N522" s="37"/>
      <c r="O522" s="26">
        <v>8.6358034445406018E-2</v>
      </c>
      <c r="T522" s="21"/>
      <c r="Z522" s="21"/>
      <c r="AB522" s="21"/>
    </row>
    <row r="524" spans="1:28" x14ac:dyDescent="0.2">
      <c r="A524" s="5" t="s">
        <v>15</v>
      </c>
      <c r="C524" s="5" t="s">
        <v>21</v>
      </c>
      <c r="D524" s="4">
        <v>1329829.78854446</v>
      </c>
      <c r="E524" s="4">
        <v>413215.74455649994</v>
      </c>
      <c r="F524" s="4">
        <v>92227.950450300006</v>
      </c>
      <c r="G524" s="25">
        <v>1835273.4835512599</v>
      </c>
      <c r="I524" s="4">
        <v>2304065.6407676199</v>
      </c>
      <c r="J524" s="4">
        <v>451549.00322369993</v>
      </c>
      <c r="K524" s="4">
        <v>663242.57330460101</v>
      </c>
      <c r="L524" s="4">
        <v>88578.885016899934</v>
      </c>
      <c r="M524" s="25">
        <v>3507436.0223128209</v>
      </c>
      <c r="O524" s="22">
        <v>5342709.505864081</v>
      </c>
    </row>
    <row r="525" spans="1:28" x14ac:dyDescent="0.2">
      <c r="C525" s="5" t="s">
        <v>22</v>
      </c>
      <c r="D525" s="4">
        <v>1205192.1910000001</v>
      </c>
      <c r="E525" s="4">
        <v>394699.00900000002</v>
      </c>
      <c r="F525" s="4">
        <v>85693.72</v>
      </c>
      <c r="G525" s="25">
        <v>1685584.9200000002</v>
      </c>
      <c r="I525" s="4">
        <v>2149006.588</v>
      </c>
      <c r="J525" s="4">
        <v>427107.86599999998</v>
      </c>
      <c r="K525" s="4">
        <v>634484.25199999998</v>
      </c>
      <c r="L525" s="4">
        <v>90994.081999999995</v>
      </c>
      <c r="M525" s="25">
        <v>3301592.7879999997</v>
      </c>
      <c r="O525" s="22">
        <v>4987177.7079999996</v>
      </c>
    </row>
    <row r="526" spans="1:28" s="3" customFormat="1" x14ac:dyDescent="0.2">
      <c r="A526" s="7"/>
      <c r="B526" s="7"/>
      <c r="C526" s="7" t="s">
        <v>23</v>
      </c>
      <c r="D526" s="7">
        <v>0.10341719642328795</v>
      </c>
      <c r="E526" s="7">
        <v>4.6913559786768921E-2</v>
      </c>
      <c r="F526" s="7">
        <v>7.6250983739531986E-2</v>
      </c>
      <c r="G526" s="26">
        <v>8.8805115527053724E-2</v>
      </c>
      <c r="H526" s="37"/>
      <c r="I526" s="7">
        <v>7.2153828486830163E-2</v>
      </c>
      <c r="J526" s="7">
        <v>5.7224741498205001E-2</v>
      </c>
      <c r="K526" s="7">
        <v>4.5325508417190852E-2</v>
      </c>
      <c r="L526" s="7">
        <v>-2.6542352315835904E-2</v>
      </c>
      <c r="M526" s="26">
        <v>6.2346645249826471E-2</v>
      </c>
      <c r="N526" s="37"/>
      <c r="O526" s="26">
        <v>7.1289177703406814E-2</v>
      </c>
      <c r="T526" s="21"/>
      <c r="Z526" s="21"/>
      <c r="AB526" s="21"/>
    </row>
    <row r="528" spans="1:28" x14ac:dyDescent="0.2">
      <c r="A528" s="5" t="s">
        <v>16</v>
      </c>
      <c r="C528" s="5" t="s">
        <v>21</v>
      </c>
      <c r="D528" s="4">
        <v>1301224.6232413</v>
      </c>
      <c r="E528" s="4">
        <v>392338.05398749956</v>
      </c>
      <c r="F528" s="4">
        <v>82536.07905719991</v>
      </c>
      <c r="G528" s="25">
        <v>1776098.7562859994</v>
      </c>
      <c r="I528" s="4">
        <v>2170137.54314439</v>
      </c>
      <c r="J528" s="4">
        <v>373430.26973340032</v>
      </c>
      <c r="K528" s="4">
        <v>660259.19764906005</v>
      </c>
      <c r="L528" s="4">
        <v>89674.205611499987</v>
      </c>
      <c r="M528" s="25">
        <v>3293500.7361383503</v>
      </c>
      <c r="O528" s="22">
        <v>5069599.4924243502</v>
      </c>
    </row>
    <row r="529" spans="1:28" x14ac:dyDescent="0.2">
      <c r="C529" s="5" t="s">
        <v>22</v>
      </c>
      <c r="D529" s="4">
        <v>1185253.8640000001</v>
      </c>
      <c r="E529" s="4">
        <v>348521.51299999998</v>
      </c>
      <c r="F529" s="4">
        <v>85082.240999999995</v>
      </c>
      <c r="G529" s="25">
        <v>1618857.618</v>
      </c>
      <c r="I529" s="4">
        <v>2015834.727</v>
      </c>
      <c r="J529" s="4">
        <v>339028.89799999999</v>
      </c>
      <c r="K529" s="4">
        <v>629362.103</v>
      </c>
      <c r="L529" s="4">
        <v>88063.78</v>
      </c>
      <c r="M529" s="25">
        <v>3072289.5079999999</v>
      </c>
      <c r="O529" s="22">
        <v>4691147.1260000002</v>
      </c>
    </row>
    <row r="530" spans="1:28" s="3" customFormat="1" x14ac:dyDescent="0.2">
      <c r="A530" s="7"/>
      <c r="B530" s="7"/>
      <c r="C530" s="7" t="s">
        <v>23</v>
      </c>
      <c r="D530" s="7">
        <v>9.7844658232052684E-2</v>
      </c>
      <c r="E530" s="7">
        <v>0.12572119468418452</v>
      </c>
      <c r="F530" s="7">
        <v>-2.9925891853272657E-2</v>
      </c>
      <c r="G530" s="26">
        <v>9.7130925251018185E-2</v>
      </c>
      <c r="H530" s="37"/>
      <c r="I530" s="7">
        <v>7.6545370549313985E-2</v>
      </c>
      <c r="J530" s="7">
        <v>0.10147032284368973</v>
      </c>
      <c r="K530" s="7">
        <v>4.9092715468220804E-2</v>
      </c>
      <c r="L530" s="7">
        <v>1.8287037094024239E-2</v>
      </c>
      <c r="M530" s="26">
        <v>7.2002077786723406E-2</v>
      </c>
      <c r="N530" s="37"/>
      <c r="O530" s="26">
        <v>8.0673736350504344E-2</v>
      </c>
      <c r="T530" s="21"/>
      <c r="Z530" s="21"/>
      <c r="AB530" s="21"/>
    </row>
    <row r="532" spans="1:28" x14ac:dyDescent="0.2">
      <c r="A532" s="5" t="s">
        <v>17</v>
      </c>
      <c r="C532" s="5" t="s">
        <v>21</v>
      </c>
      <c r="D532" s="4">
        <v>1196420.3668400999</v>
      </c>
      <c r="E532" s="4">
        <v>360833.69025609957</v>
      </c>
      <c r="F532" s="4">
        <v>70077.873257400002</v>
      </c>
      <c r="G532" s="25">
        <v>1627331.9303535996</v>
      </c>
      <c r="I532" s="4">
        <v>1800486.22987229</v>
      </c>
      <c r="J532" s="4">
        <v>286305.63561409991</v>
      </c>
      <c r="K532" s="4">
        <v>598547.956277124</v>
      </c>
      <c r="L532" s="4">
        <v>87149.403058000084</v>
      </c>
      <c r="M532" s="25">
        <v>2772488.744821514</v>
      </c>
      <c r="O532" s="22">
        <v>4399820.6751751136</v>
      </c>
    </row>
    <row r="533" spans="1:28" x14ac:dyDescent="0.2">
      <c r="C533" s="5" t="s">
        <v>22</v>
      </c>
      <c r="D533" s="4">
        <v>1095773.7309999999</v>
      </c>
      <c r="E533" s="4">
        <v>301139.20000000001</v>
      </c>
      <c r="F533" s="4">
        <v>58109.889000000003</v>
      </c>
      <c r="G533" s="25">
        <v>1455022.8199999998</v>
      </c>
      <c r="I533" s="4">
        <v>1633105.175</v>
      </c>
      <c r="J533" s="4">
        <v>311724.55499999999</v>
      </c>
      <c r="K533" s="4">
        <v>555629.97900000005</v>
      </c>
      <c r="L533" s="4">
        <v>70089.05</v>
      </c>
      <c r="M533" s="25">
        <v>2570548.7590000001</v>
      </c>
      <c r="O533" s="22">
        <v>4025571.5789999999</v>
      </c>
    </row>
    <row r="534" spans="1:28" s="3" customFormat="1" x14ac:dyDescent="0.2">
      <c r="A534" s="7"/>
      <c r="B534" s="7"/>
      <c r="C534" s="7" t="s">
        <v>23</v>
      </c>
      <c r="D534" s="7">
        <v>9.1849834498450855E-2</v>
      </c>
      <c r="E534" s="7">
        <v>0.19822889300396485</v>
      </c>
      <c r="F534" s="7">
        <v>0.20595434724371953</v>
      </c>
      <c r="G534" s="26">
        <v>0.11842364805907302</v>
      </c>
      <c r="H534" s="37"/>
      <c r="I534" s="7">
        <v>0.10249251391435332</v>
      </c>
      <c r="J534" s="7">
        <v>-8.1542884505521496E-2</v>
      </c>
      <c r="K534" s="7">
        <v>7.7242011589018222E-2</v>
      </c>
      <c r="L534" s="7">
        <v>0.24340967751738796</v>
      </c>
      <c r="M534" s="26">
        <v>7.855909564620478E-2</v>
      </c>
      <c r="N534" s="37"/>
      <c r="O534" s="26">
        <v>9.296793978957929E-2</v>
      </c>
      <c r="T534" s="21"/>
      <c r="Z534" s="21"/>
      <c r="AB534" s="21"/>
    </row>
    <row r="536" spans="1:28" x14ac:dyDescent="0.2">
      <c r="A536" s="5" t="s">
        <v>18</v>
      </c>
      <c r="C536" s="5" t="s">
        <v>21</v>
      </c>
      <c r="D536" s="4">
        <v>1232323.788991</v>
      </c>
      <c r="E536" s="4">
        <v>375092.26105749968</v>
      </c>
      <c r="F536" s="4">
        <v>74519.716020200096</v>
      </c>
      <c r="G536" s="25">
        <v>1681935.7660687</v>
      </c>
      <c r="I536" s="4">
        <v>1743875.0932617101</v>
      </c>
      <c r="J536" s="4">
        <v>258105.90314059993</v>
      </c>
      <c r="K536" s="4">
        <v>670218.24577154103</v>
      </c>
      <c r="L536" s="4">
        <v>89501.11215120001</v>
      </c>
      <c r="M536" s="25">
        <v>2761699.8343250509</v>
      </c>
      <c r="O536" s="22">
        <v>4443635.6003937507</v>
      </c>
    </row>
    <row r="537" spans="1:28" x14ac:dyDescent="0.2">
      <c r="C537" s="5" t="s">
        <v>22</v>
      </c>
      <c r="D537" s="4">
        <v>1109274.6229999999</v>
      </c>
      <c r="E537" s="4">
        <v>349398.913</v>
      </c>
      <c r="F537" s="4">
        <v>64276.377999999997</v>
      </c>
      <c r="G537" s="25">
        <v>1522949.9139999999</v>
      </c>
      <c r="I537" s="4">
        <v>1627911.62</v>
      </c>
      <c r="J537" s="4">
        <v>223278.209</v>
      </c>
      <c r="K537" s="4">
        <v>622805.64</v>
      </c>
      <c r="L537" s="4">
        <v>94836.676000000007</v>
      </c>
      <c r="M537" s="25">
        <v>2568832.145</v>
      </c>
      <c r="O537" s="22">
        <v>4091782.0589999999</v>
      </c>
    </row>
    <row r="538" spans="1:28" s="3" customFormat="1" x14ac:dyDescent="0.2">
      <c r="A538" s="7"/>
      <c r="B538" s="7"/>
      <c r="C538" s="7" t="s">
        <v>23</v>
      </c>
      <c r="D538" s="7">
        <v>0.11092759488017245</v>
      </c>
      <c r="E538" s="7">
        <v>7.3535855726888588E-2</v>
      </c>
      <c r="F538" s="7">
        <v>0.15936395825228522</v>
      </c>
      <c r="G538" s="26">
        <v>0.10439335568897778</v>
      </c>
      <c r="H538" s="37"/>
      <c r="I538" s="7">
        <v>7.1234501822470042E-2</v>
      </c>
      <c r="J538" s="7">
        <v>0.15598339979787235</v>
      </c>
      <c r="K538" s="7">
        <v>7.6127450887472747E-2</v>
      </c>
      <c r="L538" s="7">
        <v>-5.6260553130309976E-2</v>
      </c>
      <c r="M538" s="26">
        <v>7.5079911196397342E-2</v>
      </c>
      <c r="N538" s="37"/>
      <c r="O538" s="26">
        <v>8.5990293793834383E-2</v>
      </c>
      <c r="T538" s="21"/>
      <c r="Z538" s="21"/>
      <c r="AB538" s="21"/>
    </row>
    <row r="540" spans="1:28" x14ac:dyDescent="0.2">
      <c r="A540" s="5" t="s">
        <v>19</v>
      </c>
      <c r="C540" s="5" t="s">
        <v>21</v>
      </c>
      <c r="D540" s="4">
        <v>1324034.6198779999</v>
      </c>
      <c r="E540" s="4">
        <v>403362.26972120034</v>
      </c>
      <c r="F540" s="4">
        <v>79344.251174899982</v>
      </c>
      <c r="G540" s="25">
        <v>1806741.1407741003</v>
      </c>
      <c r="I540" s="4">
        <v>1863446.4953719201</v>
      </c>
      <c r="J540" s="4">
        <v>237261.47704909989</v>
      </c>
      <c r="K540" s="4">
        <v>653673.40037233196</v>
      </c>
      <c r="L540" s="4">
        <v>87542.112033399899</v>
      </c>
      <c r="M540" s="25">
        <v>2841924.3248267518</v>
      </c>
      <c r="O540" s="22">
        <v>4648665.4656008519</v>
      </c>
    </row>
    <row r="541" spans="1:28" x14ac:dyDescent="0.2">
      <c r="C541" s="5" t="s">
        <v>22</v>
      </c>
      <c r="D541" s="4">
        <v>1168059.3810000001</v>
      </c>
      <c r="E541" s="4">
        <v>374115.10800000001</v>
      </c>
      <c r="F541" s="4">
        <v>62750.050999999999</v>
      </c>
      <c r="G541" s="25">
        <v>1604924.54</v>
      </c>
      <c r="I541" s="4">
        <v>1690824.4790000001</v>
      </c>
      <c r="J541" s="4">
        <v>244018.83600000001</v>
      </c>
      <c r="K541" s="4">
        <v>618609.82999999996</v>
      </c>
      <c r="L541" s="4">
        <v>92342.092999999993</v>
      </c>
      <c r="M541" s="25">
        <v>2645795.2379999999</v>
      </c>
      <c r="O541" s="22">
        <v>4250719.7779999999</v>
      </c>
    </row>
    <row r="542" spans="1:28" s="3" customFormat="1" x14ac:dyDescent="0.2">
      <c r="A542" s="7"/>
      <c r="B542" s="7"/>
      <c r="C542" s="7" t="s">
        <v>23</v>
      </c>
      <c r="D542" s="7">
        <v>0.13353365540754125</v>
      </c>
      <c r="E542" s="7">
        <v>7.8176906240312372E-2</v>
      </c>
      <c r="F542" s="7">
        <v>0.26444919024687308</v>
      </c>
      <c r="G542" s="26">
        <v>0.12574834251964284</v>
      </c>
      <c r="H542" s="37"/>
      <c r="I542" s="7">
        <v>0.1020933979344878</v>
      </c>
      <c r="J542" s="7">
        <v>-2.7691956332830503E-2</v>
      </c>
      <c r="K542" s="7">
        <v>5.6681236979910343E-2</v>
      </c>
      <c r="L542" s="7">
        <v>-5.1980422044366037E-2</v>
      </c>
      <c r="M542" s="26">
        <v>7.4128596200440988E-2</v>
      </c>
      <c r="N542" s="37"/>
      <c r="O542" s="26">
        <v>9.3618424263217204E-2</v>
      </c>
      <c r="T542" s="21"/>
      <c r="Z542" s="21"/>
      <c r="AB542" s="21"/>
    </row>
    <row r="544" spans="1:28" x14ac:dyDescent="0.2">
      <c r="A544" s="5" t="s">
        <v>20</v>
      </c>
      <c r="C544" s="5" t="s">
        <v>21</v>
      </c>
      <c r="D544" s="4">
        <v>1476646.686188</v>
      </c>
      <c r="E544" s="4">
        <v>465709.7524509005</v>
      </c>
      <c r="F544" s="4">
        <v>90290.793495999955</v>
      </c>
      <c r="G544" s="25">
        <v>2032647.2321349003</v>
      </c>
      <c r="I544" s="4">
        <v>2074336.04411427</v>
      </c>
      <c r="J544" s="4">
        <v>296754.70140980021</v>
      </c>
      <c r="K544" s="4">
        <v>707811.16890404001</v>
      </c>
      <c r="L544" s="4">
        <v>101395.61118829992</v>
      </c>
      <c r="M544" s="25">
        <v>3180298.0856164102</v>
      </c>
      <c r="O544" s="22">
        <v>5212945.3177513108</v>
      </c>
    </row>
    <row r="545" spans="1:28" x14ac:dyDescent="0.2">
      <c r="C545" s="5" t="s">
        <v>22</v>
      </c>
      <c r="D545" s="4">
        <v>1305951.75</v>
      </c>
      <c r="E545" s="4">
        <v>416439.91899999999</v>
      </c>
      <c r="F545" s="4">
        <v>72294.285000000003</v>
      </c>
      <c r="G545" s="25">
        <v>1794685.9539999999</v>
      </c>
      <c r="I545" s="4">
        <v>2039497.45</v>
      </c>
      <c r="J545" s="4">
        <v>210393.95199999999</v>
      </c>
      <c r="K545" s="4">
        <v>676961.54</v>
      </c>
      <c r="L545" s="4">
        <v>93741.917000000001</v>
      </c>
      <c r="M545" s="25">
        <v>3020594.8589999997</v>
      </c>
      <c r="O545" s="22">
        <v>4815280.8129999992</v>
      </c>
    </row>
    <row r="546" spans="1:28" s="3" customFormat="1" x14ac:dyDescent="0.2">
      <c r="A546" s="7"/>
      <c r="B546" s="7"/>
      <c r="C546" s="7" t="s">
        <v>23</v>
      </c>
      <c r="D546" s="7">
        <v>0.13070539259049974</v>
      </c>
      <c r="E546" s="7">
        <v>0.11831198500185214</v>
      </c>
      <c r="F546" s="7">
        <v>0.24893404085813908</v>
      </c>
      <c r="G546" s="26">
        <v>0.13259215496980503</v>
      </c>
      <c r="H546" s="37"/>
      <c r="I546" s="7">
        <v>1.7081950317844319E-2</v>
      </c>
      <c r="J546" s="7">
        <v>0.41047163470649672</v>
      </c>
      <c r="K546" s="7">
        <v>4.5570726077053036E-2</v>
      </c>
      <c r="L546" s="7">
        <v>8.1646444122749573E-2</v>
      </c>
      <c r="M546" s="26">
        <v>5.2871448860666526E-2</v>
      </c>
      <c r="N546" s="37"/>
      <c r="O546" s="26">
        <v>8.2583865862551953E-2</v>
      </c>
      <c r="T546" s="21"/>
      <c r="Z546" s="21"/>
      <c r="AB546" s="21"/>
    </row>
    <row r="548" spans="1:28" x14ac:dyDescent="0.2">
      <c r="A548" s="5" t="s">
        <v>45</v>
      </c>
      <c r="C548" s="5" t="s">
        <v>21</v>
      </c>
      <c r="D548" s="4">
        <v>15377465.287940148</v>
      </c>
      <c r="E548" s="4">
        <v>4637218.3075148985</v>
      </c>
      <c r="F548" s="4">
        <v>991346.26152249984</v>
      </c>
      <c r="G548" s="25">
        <v>21006029.856977548</v>
      </c>
      <c r="I548" s="4">
        <v>22754110.797839351</v>
      </c>
      <c r="J548" s="4">
        <v>3677995.1437772997</v>
      </c>
      <c r="K548" s="4">
        <v>7739426.9059902299</v>
      </c>
      <c r="L548" s="4">
        <v>1077939.1630035001</v>
      </c>
      <c r="M548" s="25">
        <v>35249473.370610386</v>
      </c>
      <c r="O548" s="25">
        <v>56255503.227587931</v>
      </c>
    </row>
    <row r="549" spans="1:28" x14ac:dyDescent="0.2">
      <c r="C549" s="5" t="s">
        <v>22</v>
      </c>
      <c r="D549" s="4">
        <v>13912003.487</v>
      </c>
      <c r="E549" s="4">
        <v>4166044.9740000004</v>
      </c>
      <c r="F549" s="4">
        <v>851205.03800000006</v>
      </c>
      <c r="G549" s="25">
        <v>18929253.498999998</v>
      </c>
      <c r="I549" s="4">
        <v>21227143.886999998</v>
      </c>
      <c r="J549" s="4">
        <v>3331579.0430000001</v>
      </c>
      <c r="K549" s="4">
        <v>7258535.7529999996</v>
      </c>
      <c r="L549" s="4">
        <v>1050823.9070000001</v>
      </c>
      <c r="M549" s="25">
        <v>32868082.59</v>
      </c>
      <c r="O549" s="25">
        <v>51797336.088999994</v>
      </c>
    </row>
    <row r="550" spans="1:28" x14ac:dyDescent="0.2">
      <c r="C550" s="5" t="s">
        <v>23</v>
      </c>
      <c r="D550" s="7">
        <v>0.10533794088748905</v>
      </c>
      <c r="E550" s="7">
        <v>0.11309847504178627</v>
      </c>
      <c r="F550" s="7">
        <v>0.1646386208565882</v>
      </c>
      <c r="G550" s="26">
        <v>0.10971253346505527</v>
      </c>
      <c r="I550" s="7">
        <v>7.1934637978993576E-2</v>
      </c>
      <c r="J550" s="7">
        <v>0.10397955333077169</v>
      </c>
      <c r="K550" s="7">
        <v>6.6251812948840971E-2</v>
      </c>
      <c r="L550" s="7">
        <v>2.5803805778373823E-2</v>
      </c>
      <c r="M550" s="26">
        <v>7.2452987608559782E-2</v>
      </c>
      <c r="O550" s="26">
        <v>8.6069428955337646E-2</v>
      </c>
    </row>
    <row r="552" spans="1:28" x14ac:dyDescent="0.2">
      <c r="D552" s="25" t="s">
        <v>7</v>
      </c>
      <c r="E552" s="25"/>
      <c r="F552" s="25"/>
      <c r="H552" s="34"/>
      <c r="I552" s="25" t="s">
        <v>8</v>
      </c>
      <c r="J552" s="25"/>
      <c r="K552" s="25"/>
      <c r="L552" s="25"/>
      <c r="N552" s="38"/>
      <c r="O552" s="20" t="s">
        <v>24</v>
      </c>
    </row>
    <row r="553" spans="1:28" x14ac:dyDescent="0.2">
      <c r="D553" s="23" t="s">
        <v>0</v>
      </c>
      <c r="E553" s="23" t="s">
        <v>1</v>
      </c>
      <c r="F553" s="23" t="s">
        <v>2</v>
      </c>
      <c r="G553" s="23" t="s">
        <v>24</v>
      </c>
      <c r="H553" s="35"/>
      <c r="I553" s="23" t="s">
        <v>3</v>
      </c>
      <c r="J553" s="23" t="s">
        <v>4</v>
      </c>
      <c r="K553" s="23" t="s">
        <v>58</v>
      </c>
      <c r="L553" s="23" t="s">
        <v>59</v>
      </c>
      <c r="M553" s="23" t="s">
        <v>24</v>
      </c>
      <c r="N553" s="38"/>
      <c r="O553" s="23" t="s">
        <v>49</v>
      </c>
    </row>
    <row r="554" spans="1:28" x14ac:dyDescent="0.2">
      <c r="A554" s="5">
        <v>2005</v>
      </c>
    </row>
    <row r="555" spans="1:28" x14ac:dyDescent="0.2">
      <c r="A555" s="5" t="s">
        <v>9</v>
      </c>
      <c r="C555" s="5" t="s">
        <v>21</v>
      </c>
      <c r="D555" s="4">
        <v>1367284.6332479001</v>
      </c>
      <c r="E555" s="4">
        <v>442586.23097129987</v>
      </c>
      <c r="F555" s="4">
        <v>88372.842168300063</v>
      </c>
      <c r="G555" s="25">
        <v>1898243.7063874998</v>
      </c>
      <c r="I555" s="4">
        <v>1872365.3373804402</v>
      </c>
      <c r="J555" s="4">
        <v>282026.16632760008</v>
      </c>
      <c r="K555" s="4">
        <v>640321.26164279704</v>
      </c>
      <c r="L555" s="4">
        <v>101389.83366320001</v>
      </c>
      <c r="M555" s="25">
        <v>2896102.5110140373</v>
      </c>
      <c r="O555" s="22">
        <v>4794346.2174015371</v>
      </c>
    </row>
    <row r="556" spans="1:28" x14ac:dyDescent="0.2">
      <c r="C556" s="5" t="s">
        <v>22</v>
      </c>
      <c r="D556" s="4">
        <v>1212115.5279999999</v>
      </c>
      <c r="E556" s="4">
        <v>429297.875</v>
      </c>
      <c r="F556" s="4">
        <v>65103.697999999997</v>
      </c>
      <c r="G556" s="25">
        <v>1706517.101</v>
      </c>
      <c r="I556" s="4">
        <v>1740928.2390000001</v>
      </c>
      <c r="J556" s="4">
        <v>270041.71000000002</v>
      </c>
      <c r="K556" s="4">
        <v>632829.40099999995</v>
      </c>
      <c r="L556" s="4">
        <v>91755.354000000007</v>
      </c>
      <c r="M556" s="25">
        <v>2735554.7039999999</v>
      </c>
      <c r="O556" s="22">
        <v>4442071.8049999997</v>
      </c>
    </row>
    <row r="557" spans="1:28" s="3" customFormat="1" x14ac:dyDescent="0.2">
      <c r="A557" s="7"/>
      <c r="B557" s="7"/>
      <c r="C557" s="7" t="s">
        <v>23</v>
      </c>
      <c r="D557" s="7">
        <v>0.12801511214358441</v>
      </c>
      <c r="E557" s="7">
        <v>3.0953696128358077E-2</v>
      </c>
      <c r="F557" s="7">
        <v>0.35741662736731272</v>
      </c>
      <c r="G557" s="26">
        <v>0.1123496537334141</v>
      </c>
      <c r="H557" s="37"/>
      <c r="I557" s="7">
        <v>7.5498286164821238E-2</v>
      </c>
      <c r="J557" s="7">
        <v>4.4380019396263126E-2</v>
      </c>
      <c r="K557" s="7">
        <v>1.1838673473385519E-2</v>
      </c>
      <c r="L557" s="7">
        <v>0.10500182543244296</v>
      </c>
      <c r="M557" s="26">
        <v>5.8689305967553951E-2</v>
      </c>
      <c r="N557" s="37"/>
      <c r="O557" s="26">
        <v>7.930407878706891E-2</v>
      </c>
      <c r="T557" s="21"/>
      <c r="Z557" s="21"/>
      <c r="AB557" s="21"/>
    </row>
    <row r="559" spans="1:28" x14ac:dyDescent="0.2">
      <c r="A559" s="5" t="s">
        <v>10</v>
      </c>
      <c r="C559" s="5" t="s">
        <v>21</v>
      </c>
      <c r="D559" s="4">
        <v>1172058.8992943</v>
      </c>
      <c r="E559" s="4">
        <v>368360.87133830012</v>
      </c>
      <c r="F559" s="4">
        <v>69599.847748699947</v>
      </c>
      <c r="G559" s="25">
        <v>1610019.6183813</v>
      </c>
      <c r="I559" s="4">
        <v>1673156.6652222199</v>
      </c>
      <c r="J559" s="4">
        <v>251888.55461779973</v>
      </c>
      <c r="K559" s="4">
        <v>593486.46317892498</v>
      </c>
      <c r="L559" s="4">
        <v>91685.438073099984</v>
      </c>
      <c r="M559" s="25">
        <v>2610217.0410920447</v>
      </c>
      <c r="O559" s="22">
        <v>4220236.6594733447</v>
      </c>
    </row>
    <row r="560" spans="1:28" x14ac:dyDescent="0.2">
      <c r="C560" s="5" t="s">
        <v>22</v>
      </c>
      <c r="D560" s="4">
        <v>1094890.5689999999</v>
      </c>
      <c r="E560" s="4">
        <v>297323.57199999999</v>
      </c>
      <c r="F560" s="4">
        <v>68887.351999999999</v>
      </c>
      <c r="G560" s="25">
        <v>1461101.4929999998</v>
      </c>
      <c r="I560" s="4">
        <v>1621550.1470000001</v>
      </c>
      <c r="J560" s="4">
        <v>246426.03</v>
      </c>
      <c r="K560" s="4">
        <v>502802.43699999998</v>
      </c>
      <c r="L560" s="4">
        <v>92066.362999999998</v>
      </c>
      <c r="M560" s="25">
        <v>2462844.977</v>
      </c>
      <c r="O560" s="22">
        <v>3923946.4699999997</v>
      </c>
    </row>
    <row r="561" spans="1:28" s="3" customFormat="1" x14ac:dyDescent="0.2">
      <c r="A561" s="7"/>
      <c r="B561" s="7"/>
      <c r="C561" s="7" t="s">
        <v>23</v>
      </c>
      <c r="D561" s="7">
        <v>7.0480404598589619E-2</v>
      </c>
      <c r="E561" s="7">
        <v>0.23892252760336175</v>
      </c>
      <c r="F561" s="7">
        <v>1.0342910970071006E-2</v>
      </c>
      <c r="G561" s="26">
        <v>0.10192182137569028</v>
      </c>
      <c r="H561" s="37"/>
      <c r="I561" s="7">
        <v>3.1825422308212836E-2</v>
      </c>
      <c r="J561" s="7">
        <v>2.2166995174169424E-2</v>
      </c>
      <c r="K561" s="7">
        <v>0.18035717312747424</v>
      </c>
      <c r="L561" s="7">
        <v>-4.1375038014699328E-3</v>
      </c>
      <c r="M561" s="26">
        <v>5.9838140633422743E-2</v>
      </c>
      <c r="N561" s="37"/>
      <c r="O561" s="26">
        <v>7.5508213921517964E-2</v>
      </c>
      <c r="T561" s="21"/>
      <c r="Z561" s="21"/>
      <c r="AB561" s="21"/>
    </row>
    <row r="563" spans="1:28" x14ac:dyDescent="0.2">
      <c r="A563" s="5" t="s">
        <v>11</v>
      </c>
      <c r="C563" s="5" t="s">
        <v>21</v>
      </c>
      <c r="D563" s="4">
        <v>1194888.3751082001</v>
      </c>
      <c r="E563" s="4">
        <v>360237.14354339993</v>
      </c>
      <c r="F563" s="4">
        <v>69870.278709599996</v>
      </c>
      <c r="G563" s="25">
        <v>1624995.7973612</v>
      </c>
      <c r="I563" s="4">
        <v>1673809.1647222501</v>
      </c>
      <c r="J563" s="4">
        <v>265524.22178639978</v>
      </c>
      <c r="K563" s="4">
        <v>645163.93228355004</v>
      </c>
      <c r="L563" s="4">
        <v>95583.983330800009</v>
      </c>
      <c r="M563" s="25">
        <v>2680081.4681230001</v>
      </c>
      <c r="O563" s="22">
        <v>4305077.2654841999</v>
      </c>
    </row>
    <row r="564" spans="1:28" x14ac:dyDescent="0.2">
      <c r="C564" s="5" t="s">
        <v>22</v>
      </c>
      <c r="D564" s="4">
        <v>1083983.662</v>
      </c>
      <c r="E564" s="4">
        <v>366403.91499999998</v>
      </c>
      <c r="F564" s="4">
        <v>61177.381000000001</v>
      </c>
      <c r="G564" s="25">
        <v>1511564.9580000001</v>
      </c>
      <c r="I564" s="4">
        <v>1533308.0589999999</v>
      </c>
      <c r="J564" s="4">
        <v>230950.682</v>
      </c>
      <c r="K564" s="4">
        <v>567659.68099999998</v>
      </c>
      <c r="L564" s="4">
        <v>93016.876000000004</v>
      </c>
      <c r="M564" s="25">
        <v>2424935.298</v>
      </c>
      <c r="O564" s="22">
        <v>3936500.2560000001</v>
      </c>
    </row>
    <row r="565" spans="1:28" s="3" customFormat="1" x14ac:dyDescent="0.2">
      <c r="A565" s="7"/>
      <c r="B565" s="7"/>
      <c r="C565" s="7" t="s">
        <v>23</v>
      </c>
      <c r="D565" s="7">
        <v>0.10231216299291424</v>
      </c>
      <c r="E565" s="7">
        <v>-1.6830528288978686E-2</v>
      </c>
      <c r="F565" s="7">
        <v>0.14209332873533764</v>
      </c>
      <c r="G565" s="26">
        <v>7.5041987948228028E-2</v>
      </c>
      <c r="H565" s="37"/>
      <c r="I565" s="7">
        <v>9.1632666310958344E-2</v>
      </c>
      <c r="J565" s="7">
        <v>0.14970096423616441</v>
      </c>
      <c r="K565" s="7">
        <v>0.13653295077610084</v>
      </c>
      <c r="L565" s="7">
        <v>2.7598296580074511E-2</v>
      </c>
      <c r="M565" s="26">
        <v>0.10521772285365127</v>
      </c>
      <c r="N565" s="37"/>
      <c r="O565" s="26">
        <v>9.3630632672363268E-2</v>
      </c>
      <c r="T565" s="21"/>
      <c r="Z565" s="21"/>
      <c r="AB565" s="21"/>
    </row>
    <row r="567" spans="1:28" x14ac:dyDescent="0.2">
      <c r="A567" s="5" t="s">
        <v>12</v>
      </c>
      <c r="C567" s="5" t="s">
        <v>21</v>
      </c>
      <c r="D567" s="4">
        <v>1113700.1022172</v>
      </c>
      <c r="E567" s="4">
        <v>336257.76518009993</v>
      </c>
      <c r="F567" s="4">
        <v>68486.976105900001</v>
      </c>
      <c r="G567" s="25">
        <v>1518444.8435032</v>
      </c>
      <c r="I567" s="4">
        <v>1613749.42924778</v>
      </c>
      <c r="J567" s="4">
        <v>224777.58092869993</v>
      </c>
      <c r="K567" s="4">
        <v>606030.76500742999</v>
      </c>
      <c r="L567" s="4">
        <v>84449.048699900013</v>
      </c>
      <c r="M567" s="25">
        <v>2529007.0148838097</v>
      </c>
      <c r="O567" s="22">
        <v>4047451.8583870097</v>
      </c>
    </row>
    <row r="568" spans="1:28" x14ac:dyDescent="0.2">
      <c r="C568" s="5" t="s">
        <v>22</v>
      </c>
      <c r="D568" s="4">
        <v>997678.86300000001</v>
      </c>
      <c r="E568" s="4">
        <v>319123</v>
      </c>
      <c r="F568" s="4">
        <v>59254.512000000002</v>
      </c>
      <c r="G568" s="25">
        <v>1376056.375</v>
      </c>
      <c r="I568" s="4">
        <v>1430654.682</v>
      </c>
      <c r="J568" s="4">
        <v>209963.96299999999</v>
      </c>
      <c r="K568" s="4">
        <v>560168.91700000002</v>
      </c>
      <c r="L568" s="4">
        <v>84884.967000000004</v>
      </c>
      <c r="M568" s="25">
        <v>2285672.5290000001</v>
      </c>
      <c r="O568" s="22">
        <v>3661728.9040000001</v>
      </c>
    </row>
    <row r="569" spans="1:28" s="3" customFormat="1" x14ac:dyDescent="0.2">
      <c r="A569" s="7"/>
      <c r="B569" s="7"/>
      <c r="C569" s="7" t="s">
        <v>23</v>
      </c>
      <c r="D569" s="7">
        <v>0.11629116694757524</v>
      </c>
      <c r="E569" s="7">
        <v>5.3693294372702427E-2</v>
      </c>
      <c r="F569" s="7">
        <v>0.15581031375129717</v>
      </c>
      <c r="G569" s="26">
        <v>0.10347575222214278</v>
      </c>
      <c r="H569" s="37"/>
      <c r="I569" s="7">
        <v>0.12797969317922386</v>
      </c>
      <c r="J569" s="7">
        <v>7.0553145011365226E-2</v>
      </c>
      <c r="K569" s="7">
        <v>8.1871461653110655E-2</v>
      </c>
      <c r="L569" s="7">
        <v>-5.135400477919605E-3</v>
      </c>
      <c r="M569" s="26">
        <v>0.10646078245962487</v>
      </c>
      <c r="N569" s="37"/>
      <c r="O569" s="26">
        <v>0.10533902549848895</v>
      </c>
      <c r="T569" s="21"/>
      <c r="Z569" s="21"/>
      <c r="AB569" s="21"/>
    </row>
    <row r="571" spans="1:28" x14ac:dyDescent="0.2">
      <c r="A571" s="5" t="s">
        <v>13</v>
      </c>
      <c r="C571" s="5" t="s">
        <v>21</v>
      </c>
      <c r="D571" s="4">
        <v>1078586.2230167</v>
      </c>
      <c r="E571" s="4">
        <v>336753.02678899973</v>
      </c>
      <c r="F571" s="4">
        <v>66493.100822000066</v>
      </c>
      <c r="G571" s="25">
        <v>1481832.3506276999</v>
      </c>
      <c r="I571" s="4">
        <v>1703876.41732079</v>
      </c>
      <c r="J571" s="4">
        <v>275274.1157509</v>
      </c>
      <c r="K571" s="4">
        <v>604699.96420736902</v>
      </c>
      <c r="L571" s="4">
        <v>90559.139234800052</v>
      </c>
      <c r="M571" s="25">
        <v>2674409.4925138592</v>
      </c>
      <c r="O571" s="22">
        <v>4156241.843141559</v>
      </c>
    </row>
    <row r="572" spans="1:28" x14ac:dyDescent="0.2">
      <c r="C572" s="5" t="s">
        <v>22</v>
      </c>
      <c r="D572" s="4">
        <v>984499.04</v>
      </c>
      <c r="E572" s="4">
        <v>304524.24200000003</v>
      </c>
      <c r="F572" s="4">
        <v>66167.327999999994</v>
      </c>
      <c r="G572" s="25">
        <v>1355190.61</v>
      </c>
      <c r="I572" s="4">
        <v>1634036.0649999999</v>
      </c>
      <c r="J572" s="4">
        <v>233884.65599999999</v>
      </c>
      <c r="K572" s="4">
        <v>566466.06299999997</v>
      </c>
      <c r="L572" s="4">
        <v>82279.820000000007</v>
      </c>
      <c r="M572" s="25">
        <v>2516666.6039999998</v>
      </c>
      <c r="O572" s="22">
        <v>3871857.2139999997</v>
      </c>
    </row>
    <row r="573" spans="1:28" s="3" customFormat="1" x14ac:dyDescent="0.2">
      <c r="A573" s="7"/>
      <c r="B573" s="7"/>
      <c r="C573" s="7" t="s">
        <v>23</v>
      </c>
      <c r="D573" s="7">
        <v>9.5568587874600652E-2</v>
      </c>
      <c r="E573" s="7">
        <v>0.10583323211752615</v>
      </c>
      <c r="F573" s="7">
        <v>4.9234695105124793E-3</v>
      </c>
      <c r="G573" s="26">
        <v>9.3449393534168479E-2</v>
      </c>
      <c r="H573" s="37"/>
      <c r="I573" s="7">
        <v>4.2741010322064232E-2</v>
      </c>
      <c r="J573" s="7">
        <v>0.17696526338564089</v>
      </c>
      <c r="K573" s="7">
        <v>6.7495484204089129E-2</v>
      </c>
      <c r="L573" s="7">
        <v>0.10062393469990627</v>
      </c>
      <c r="M573" s="26">
        <v>6.2679295009971492E-2</v>
      </c>
      <c r="N573" s="37"/>
      <c r="O573" s="26">
        <v>7.3449152027939224E-2</v>
      </c>
      <c r="T573" s="21"/>
      <c r="Z573" s="21"/>
      <c r="AB573" s="21"/>
    </row>
    <row r="575" spans="1:28" x14ac:dyDescent="0.2">
      <c r="A575" s="5" t="s">
        <v>14</v>
      </c>
      <c r="C575" s="5" t="s">
        <v>21</v>
      </c>
      <c r="D575" s="4">
        <v>1109755.0682168</v>
      </c>
      <c r="E575" s="4">
        <v>351784.09680800018</v>
      </c>
      <c r="F575" s="4">
        <v>75396.154196800024</v>
      </c>
      <c r="G575" s="25">
        <v>1536935.3192216002</v>
      </c>
      <c r="I575" s="4">
        <v>1769014.9855122501</v>
      </c>
      <c r="J575" s="4">
        <v>335368.3375231002</v>
      </c>
      <c r="K575" s="4">
        <v>612347.776627101</v>
      </c>
      <c r="L575" s="4">
        <v>87528.174383300109</v>
      </c>
      <c r="M575" s="25">
        <v>2804258.9940457512</v>
      </c>
      <c r="O575" s="22">
        <v>4341194.3132673511</v>
      </c>
    </row>
    <row r="576" spans="1:28" x14ac:dyDescent="0.2">
      <c r="C576" s="5" t="s">
        <v>22</v>
      </c>
      <c r="D576" s="4">
        <v>1000163.84</v>
      </c>
      <c r="E576" s="4">
        <v>339153.68599999999</v>
      </c>
      <c r="F576" s="4">
        <v>65627.906000000003</v>
      </c>
      <c r="G576" s="25">
        <v>1404945.432</v>
      </c>
      <c r="I576" s="4">
        <v>1616281.1029999999</v>
      </c>
      <c r="J576" s="4">
        <v>312632.44799999997</v>
      </c>
      <c r="K576" s="4">
        <v>572955.54700000002</v>
      </c>
      <c r="L576" s="4">
        <v>91812.145000000004</v>
      </c>
      <c r="M576" s="25">
        <v>2593681.2429999998</v>
      </c>
      <c r="O576" s="22">
        <v>3998626.6749999998</v>
      </c>
    </row>
    <row r="577" spans="1:28" s="3" customFormat="1" x14ac:dyDescent="0.2">
      <c r="A577" s="7"/>
      <c r="B577" s="7"/>
      <c r="C577" s="7" t="s">
        <v>23</v>
      </c>
      <c r="D577" s="7">
        <v>0.10957327573130415</v>
      </c>
      <c r="E577" s="7">
        <v>3.7240965760873879E-2</v>
      </c>
      <c r="F577" s="7">
        <v>0.14884290528483457</v>
      </c>
      <c r="G577" s="26">
        <v>9.3946628968861079E-2</v>
      </c>
      <c r="H577" s="37"/>
      <c r="I577" s="7">
        <v>9.4497103399129534E-2</v>
      </c>
      <c r="J577" s="7">
        <v>7.2724023589196385E-2</v>
      </c>
      <c r="K577" s="7">
        <v>6.8752680436307889E-2</v>
      </c>
      <c r="L577" s="7">
        <v>-4.6660173517347747E-2</v>
      </c>
      <c r="M577" s="26">
        <v>8.118875502302858E-2</v>
      </c>
      <c r="N577" s="37"/>
      <c r="O577" s="26">
        <v>8.5671323209324468E-2</v>
      </c>
      <c r="T577" s="21"/>
      <c r="Z577" s="21"/>
      <c r="AB577" s="21"/>
    </row>
    <row r="579" spans="1:28" x14ac:dyDescent="0.2">
      <c r="A579" s="5" t="s">
        <v>15</v>
      </c>
      <c r="C579" s="5" t="s">
        <v>21</v>
      </c>
      <c r="D579" s="4">
        <v>1240060.5278222</v>
      </c>
      <c r="E579" s="4">
        <v>397101.35070279997</v>
      </c>
      <c r="F579" s="4">
        <v>97510.740552300078</v>
      </c>
      <c r="G579" s="25">
        <v>1734672.6190773002</v>
      </c>
      <c r="I579" s="4">
        <v>2169769.7165214103</v>
      </c>
      <c r="J579" s="4">
        <v>469576.52463230013</v>
      </c>
      <c r="K579" s="4">
        <v>648191.83219970495</v>
      </c>
      <c r="L579" s="4">
        <v>92497.226047999982</v>
      </c>
      <c r="M579" s="25">
        <v>3380035.5474014156</v>
      </c>
      <c r="O579" s="22">
        <v>5114708.1664787158</v>
      </c>
    </row>
    <row r="580" spans="1:28" x14ac:dyDescent="0.2">
      <c r="C580" s="5" t="s">
        <v>22</v>
      </c>
      <c r="D580" s="4">
        <v>1160933.2830000001</v>
      </c>
      <c r="E580" s="4">
        <v>365273.16899999999</v>
      </c>
      <c r="F580" s="4">
        <v>95912.817999999999</v>
      </c>
      <c r="G580" s="25">
        <v>1622119.27</v>
      </c>
      <c r="I580" s="4">
        <v>2095203.0930000001</v>
      </c>
      <c r="J580" s="4">
        <v>370898.24</v>
      </c>
      <c r="K580" s="4">
        <v>596234.06299999997</v>
      </c>
      <c r="L580" s="4">
        <v>59481.146000000001</v>
      </c>
      <c r="M580" s="25">
        <v>3121816.5419999999</v>
      </c>
      <c r="O580" s="22">
        <v>4743935.8119999999</v>
      </c>
    </row>
    <row r="581" spans="1:28" s="3" customFormat="1" x14ac:dyDescent="0.2">
      <c r="A581" s="7"/>
      <c r="B581" s="7"/>
      <c r="C581" s="7" t="s">
        <v>23</v>
      </c>
      <c r="D581" s="7">
        <v>6.8158305030005639E-2</v>
      </c>
      <c r="E581" s="7">
        <v>8.7135285052376776E-2</v>
      </c>
      <c r="F581" s="7">
        <v>1.6660156438111029E-2</v>
      </c>
      <c r="G581" s="26">
        <v>6.938660501659677E-2</v>
      </c>
      <c r="H581" s="37"/>
      <c r="I581" s="7">
        <v>3.5589210311179231E-2</v>
      </c>
      <c r="J581" s="7">
        <v>0.26605217817237459</v>
      </c>
      <c r="K581" s="7">
        <v>8.7143241931323612E-2</v>
      </c>
      <c r="L581" s="7">
        <v>0.55506798823277514</v>
      </c>
      <c r="M581" s="26">
        <v>8.2714343372652932E-2</v>
      </c>
      <c r="N581" s="37"/>
      <c r="O581" s="26">
        <v>7.8157118724252239E-2</v>
      </c>
      <c r="T581" s="21"/>
      <c r="Z581" s="21"/>
      <c r="AB581" s="21"/>
    </row>
    <row r="583" spans="1:28" x14ac:dyDescent="0.2">
      <c r="A583" s="5" t="s">
        <v>16</v>
      </c>
      <c r="C583" s="5" t="s">
        <v>21</v>
      </c>
      <c r="D583" s="4">
        <v>1265173.8267191001</v>
      </c>
      <c r="E583" s="4">
        <v>421840.7703965003</v>
      </c>
      <c r="F583" s="4">
        <v>95319.275594099992</v>
      </c>
      <c r="G583" s="25">
        <v>1782333.8727097004</v>
      </c>
      <c r="I583" s="4">
        <v>2078858.4349793498</v>
      </c>
      <c r="J583" s="4">
        <v>359597.66596279992</v>
      </c>
      <c r="K583" s="4">
        <v>643268.92353018594</v>
      </c>
      <c r="L583" s="4">
        <v>90792.736326600017</v>
      </c>
      <c r="M583" s="25">
        <v>3172517.8967989357</v>
      </c>
      <c r="O583" s="22">
        <v>4954851.7695086356</v>
      </c>
    </row>
    <row r="584" spans="1:28" x14ac:dyDescent="0.2">
      <c r="C584" s="5" t="s">
        <v>22</v>
      </c>
      <c r="D584" s="4">
        <v>1172625.5049999999</v>
      </c>
      <c r="E584" s="4">
        <v>404986.06599999999</v>
      </c>
      <c r="F584" s="4">
        <v>74075.812999999995</v>
      </c>
      <c r="G584" s="25">
        <v>1651687.3840000001</v>
      </c>
      <c r="I584" s="4">
        <v>1917692.108</v>
      </c>
      <c r="J584" s="4">
        <v>349086.75300000003</v>
      </c>
      <c r="K584" s="4">
        <v>606947.54099999997</v>
      </c>
      <c r="L584" s="4">
        <v>89590.642999999996</v>
      </c>
      <c r="M584" s="25">
        <v>2963317.0449999999</v>
      </c>
      <c r="O584" s="22">
        <v>4615004.4289999995</v>
      </c>
    </row>
    <row r="585" spans="1:28" s="3" customFormat="1" x14ac:dyDescent="0.2">
      <c r="A585" s="7"/>
      <c r="B585" s="7"/>
      <c r="C585" s="7" t="s">
        <v>23</v>
      </c>
      <c r="D585" s="7">
        <v>7.8924022481585254E-2</v>
      </c>
      <c r="E585" s="7">
        <v>4.1617985929669699E-2</v>
      </c>
      <c r="F585" s="7">
        <v>0.28678001271616149</v>
      </c>
      <c r="G585" s="26">
        <v>7.9098799188805913E-2</v>
      </c>
      <c r="H585" s="37"/>
      <c r="I585" s="7">
        <v>8.404181584051762E-2</v>
      </c>
      <c r="J585" s="7">
        <v>3.0109744561976903E-2</v>
      </c>
      <c r="K585" s="7">
        <v>5.9842704808299008E-2</v>
      </c>
      <c r="L585" s="7">
        <v>1.3417621375928945E-2</v>
      </c>
      <c r="M585" s="26">
        <v>7.0596850968720926E-2</v>
      </c>
      <c r="N585" s="37"/>
      <c r="O585" s="26">
        <v>7.3639656415730892E-2</v>
      </c>
      <c r="T585" s="21"/>
      <c r="Z585" s="21"/>
      <c r="AB585" s="21"/>
    </row>
    <row r="587" spans="1:28" x14ac:dyDescent="0.2">
      <c r="A587" s="5" t="s">
        <v>17</v>
      </c>
      <c r="C587" s="5" t="s">
        <v>21</v>
      </c>
      <c r="D587" s="4">
        <v>1096112.6203415</v>
      </c>
      <c r="E587" s="4">
        <v>372014.09035060013</v>
      </c>
      <c r="F587" s="4">
        <v>77430.545544799999</v>
      </c>
      <c r="G587" s="25">
        <v>1545557.2562369001</v>
      </c>
      <c r="I587" s="4">
        <v>1730183.5078407899</v>
      </c>
      <c r="J587" s="4">
        <v>269790.35436109989</v>
      </c>
      <c r="K587" s="4">
        <v>614243.41510961903</v>
      </c>
      <c r="L587" s="4">
        <v>85956.444900099974</v>
      </c>
      <c r="M587" s="25">
        <v>2700173.8822116088</v>
      </c>
      <c r="O587" s="22">
        <v>4245731.1384485085</v>
      </c>
    </row>
    <row r="588" spans="1:28" x14ac:dyDescent="0.2">
      <c r="C588" s="5" t="s">
        <v>22</v>
      </c>
      <c r="D588" s="4">
        <v>1048947.83</v>
      </c>
      <c r="E588" s="4">
        <v>297151.69199999998</v>
      </c>
      <c r="F588" s="4">
        <v>68027.584000000003</v>
      </c>
      <c r="G588" s="25">
        <v>1414127.1060000001</v>
      </c>
      <c r="I588" s="4">
        <v>1512616.9709999999</v>
      </c>
      <c r="J588" s="4">
        <v>298620.22899999999</v>
      </c>
      <c r="K588" s="4">
        <v>566182.77300000004</v>
      </c>
      <c r="L588" s="4">
        <v>85749.122000000003</v>
      </c>
      <c r="M588" s="25">
        <v>2463169.0949999997</v>
      </c>
      <c r="O588" s="22">
        <v>3877296.2009999999</v>
      </c>
    </row>
    <row r="589" spans="1:28" s="3" customFormat="1" x14ac:dyDescent="0.2">
      <c r="A589" s="7"/>
      <c r="B589" s="7"/>
      <c r="C589" s="7" t="s">
        <v>23</v>
      </c>
      <c r="D589" s="7">
        <v>4.4963904774463437E-2</v>
      </c>
      <c r="E589" s="7">
        <v>0.25193327302541535</v>
      </c>
      <c r="F589" s="7">
        <v>0.13822277658427495</v>
      </c>
      <c r="G589" s="26">
        <v>9.2940832319283739E-2</v>
      </c>
      <c r="H589" s="37"/>
      <c r="I589" s="7">
        <v>0.14383452057724533</v>
      </c>
      <c r="J589" s="7">
        <v>-9.654360903627901E-2</v>
      </c>
      <c r="K589" s="7">
        <v>8.4885384016477383E-2</v>
      </c>
      <c r="L589" s="7">
        <v>2.4177845237876028E-3</v>
      </c>
      <c r="M589" s="26">
        <v>9.6219454723066367E-2</v>
      </c>
      <c r="N589" s="37"/>
      <c r="O589" s="26">
        <v>9.5023675868117774E-2</v>
      </c>
      <c r="T589" s="21"/>
      <c r="Z589" s="21"/>
      <c r="AB589" s="21"/>
    </row>
    <row r="591" spans="1:28" x14ac:dyDescent="0.2">
      <c r="A591" s="5" t="s">
        <v>18</v>
      </c>
      <c r="C591" s="5" t="s">
        <v>21</v>
      </c>
      <c r="D591" s="4">
        <v>1129401.9567343001</v>
      </c>
      <c r="E591" s="4">
        <v>368071.33282069996</v>
      </c>
      <c r="F591" s="4">
        <v>69834.725662299883</v>
      </c>
      <c r="G591" s="25">
        <v>1567308.0152173</v>
      </c>
      <c r="I591" s="4">
        <v>1678939.09179993</v>
      </c>
      <c r="J591" s="4">
        <v>260451.84396370011</v>
      </c>
      <c r="K591" s="4">
        <v>649628.79423293995</v>
      </c>
      <c r="L591" s="4">
        <v>87083.841885600064</v>
      </c>
      <c r="M591" s="25">
        <v>2676103.7768821702</v>
      </c>
      <c r="O591" s="22">
        <v>4243411.7920994703</v>
      </c>
    </row>
    <row r="592" spans="1:28" x14ac:dyDescent="0.2">
      <c r="C592" s="5" t="s">
        <v>22</v>
      </c>
      <c r="D592" s="4">
        <v>982522.87199999997</v>
      </c>
      <c r="E592" s="4">
        <v>339478.83899999998</v>
      </c>
      <c r="F592" s="4">
        <v>58422.156999999999</v>
      </c>
      <c r="G592" s="25">
        <v>1380423.8679999998</v>
      </c>
      <c r="I592" s="4">
        <v>1543158.0619999999</v>
      </c>
      <c r="J592" s="4">
        <v>202158.424</v>
      </c>
      <c r="K592" s="4">
        <v>566191.85400000005</v>
      </c>
      <c r="L592" s="4">
        <v>99230.058999999994</v>
      </c>
      <c r="M592" s="25">
        <v>2410738.3990000002</v>
      </c>
      <c r="O592" s="22">
        <v>3791162.267</v>
      </c>
    </row>
    <row r="593" spans="1:28" s="3" customFormat="1" x14ac:dyDescent="0.2">
      <c r="A593" s="7"/>
      <c r="B593" s="7"/>
      <c r="C593" s="7" t="s">
        <v>23</v>
      </c>
      <c r="D593" s="7">
        <v>0.14949177156081528</v>
      </c>
      <c r="E593" s="7">
        <v>8.4224671867397349E-2</v>
      </c>
      <c r="F593" s="7">
        <v>0.19534658164538299</v>
      </c>
      <c r="G593" s="26">
        <v>0.13538171249390496</v>
      </c>
      <c r="H593" s="37"/>
      <c r="I593" s="7">
        <v>8.7989061615601383E-2</v>
      </c>
      <c r="J593" s="7">
        <v>0.28835513658189238</v>
      </c>
      <c r="K593" s="7">
        <v>0.147365137176523</v>
      </c>
      <c r="L593" s="7">
        <v>-0.12240461445659256</v>
      </c>
      <c r="M593" s="26">
        <v>0.11007638904007444</v>
      </c>
      <c r="N593" s="37"/>
      <c r="O593" s="26">
        <v>0.11929046905643048</v>
      </c>
      <c r="T593" s="21"/>
      <c r="Z593" s="21"/>
      <c r="AB593" s="21"/>
    </row>
    <row r="595" spans="1:28" x14ac:dyDescent="0.2">
      <c r="A595" s="5" t="s">
        <v>19</v>
      </c>
      <c r="C595" s="5" t="s">
        <v>21</v>
      </c>
      <c r="D595" s="4">
        <v>1286084.3051779999</v>
      </c>
      <c r="E595" s="4">
        <v>409723.40129570023</v>
      </c>
      <c r="F595" s="4">
        <v>76257.846508100076</v>
      </c>
      <c r="G595" s="25">
        <v>1772065.5529818004</v>
      </c>
      <c r="I595" s="4">
        <v>1772053.4233911799</v>
      </c>
      <c r="J595" s="4">
        <v>244689.49816029976</v>
      </c>
      <c r="K595" s="4">
        <v>651976.430202452</v>
      </c>
      <c r="L595" s="4">
        <v>91318.731123100093</v>
      </c>
      <c r="M595" s="25">
        <v>2760037.8828770318</v>
      </c>
      <c r="O595" s="22">
        <v>4532103.4358588327</v>
      </c>
    </row>
    <row r="596" spans="1:28" x14ac:dyDescent="0.2">
      <c r="C596" s="5" t="s">
        <v>22</v>
      </c>
      <c r="D596" s="4">
        <v>1180727.1680000001</v>
      </c>
      <c r="E596" s="4">
        <v>349864.60600000003</v>
      </c>
      <c r="F596" s="4">
        <v>62066.258999999998</v>
      </c>
      <c r="G596" s="25">
        <v>1592658.0330000003</v>
      </c>
      <c r="I596" s="4">
        <v>1620838.371</v>
      </c>
      <c r="J596" s="4">
        <v>235998.405</v>
      </c>
      <c r="K596" s="4">
        <v>605253.66</v>
      </c>
      <c r="L596" s="4">
        <v>85353.327000000005</v>
      </c>
      <c r="M596" s="25">
        <v>2547443.7630000003</v>
      </c>
      <c r="O596" s="22">
        <v>4140101.7960000006</v>
      </c>
    </row>
    <row r="597" spans="1:28" s="3" customFormat="1" x14ac:dyDescent="0.2">
      <c r="A597" s="7"/>
      <c r="B597" s="7"/>
      <c r="C597" s="7" t="s">
        <v>23</v>
      </c>
      <c r="D597" s="7">
        <v>8.9230721570048521E-2</v>
      </c>
      <c r="E597" s="7">
        <v>0.1710913143803412</v>
      </c>
      <c r="F597" s="7">
        <v>0.22865221356582932</v>
      </c>
      <c r="G597" s="26">
        <v>0.11264660477294064</v>
      </c>
      <c r="H597" s="37"/>
      <c r="I597" s="7">
        <v>9.3294343900487409E-2</v>
      </c>
      <c r="J597" s="7">
        <v>3.6826914827241097E-2</v>
      </c>
      <c r="K597" s="7">
        <v>7.7195353436527725E-2</v>
      </c>
      <c r="L597" s="7">
        <v>6.9890704121001512E-2</v>
      </c>
      <c r="M597" s="26">
        <v>8.3453901108564432E-2</v>
      </c>
      <c r="N597" s="37"/>
      <c r="O597" s="26">
        <v>9.468405830928317E-2</v>
      </c>
      <c r="T597" s="21"/>
      <c r="Z597" s="21"/>
      <c r="AB597" s="21"/>
    </row>
    <row r="599" spans="1:28" x14ac:dyDescent="0.2">
      <c r="A599" s="5" t="s">
        <v>20</v>
      </c>
      <c r="C599" s="5" t="s">
        <v>21</v>
      </c>
      <c r="D599" s="4">
        <v>1439638.6382498001</v>
      </c>
      <c r="E599" s="4">
        <v>483222.33214250003</v>
      </c>
      <c r="F599" s="4">
        <v>90535.437333400012</v>
      </c>
      <c r="G599" s="25">
        <v>2013396.4077257002</v>
      </c>
      <c r="I599" s="4">
        <v>1969995.6273225299</v>
      </c>
      <c r="J599" s="4">
        <v>280755.14490190014</v>
      </c>
      <c r="K599" s="4">
        <v>707178.61353388801</v>
      </c>
      <c r="L599" s="4">
        <v>98733.007928300169</v>
      </c>
      <c r="M599" s="25">
        <v>3056662.0256866179</v>
      </c>
      <c r="O599" s="22">
        <v>5070058.4334123181</v>
      </c>
    </row>
    <row r="600" spans="1:28" x14ac:dyDescent="0.2">
      <c r="C600" s="5" t="s">
        <v>22</v>
      </c>
      <c r="D600" s="4">
        <v>1287500.922</v>
      </c>
      <c r="E600" s="4">
        <v>431919.94699999999</v>
      </c>
      <c r="F600" s="4">
        <v>91951.563999999998</v>
      </c>
      <c r="G600" s="25">
        <v>1811372.433</v>
      </c>
      <c r="I600" s="4">
        <v>1857913.868</v>
      </c>
      <c r="J600" s="4">
        <v>260693.91</v>
      </c>
      <c r="K600" s="4">
        <v>620755.58799999999</v>
      </c>
      <c r="L600" s="4">
        <v>93234.453999999998</v>
      </c>
      <c r="M600" s="25">
        <v>2832597.82</v>
      </c>
      <c r="O600" s="22">
        <v>4643970.2529999996</v>
      </c>
    </row>
    <row r="601" spans="1:28" s="3" customFormat="1" x14ac:dyDescent="0.2">
      <c r="A601" s="7"/>
      <c r="B601" s="7"/>
      <c r="C601" s="7" t="s">
        <v>23</v>
      </c>
      <c r="D601" s="7">
        <v>0.1181651318846979</v>
      </c>
      <c r="E601" s="7">
        <v>0.11877753157461846</v>
      </c>
      <c r="F601" s="7">
        <v>-1.5400789339482968E-2</v>
      </c>
      <c r="G601" s="26">
        <v>0.11153088732343552</v>
      </c>
      <c r="H601" s="37"/>
      <c r="I601" s="7">
        <v>6.0326671355967143E-2</v>
      </c>
      <c r="J601" s="7">
        <v>7.6953216520862178E-2</v>
      </c>
      <c r="K601" s="7">
        <v>0.1392223077883723</v>
      </c>
      <c r="L601" s="7">
        <v>5.897555777288277E-2</v>
      </c>
      <c r="M601" s="26">
        <v>7.9102018685666575E-2</v>
      </c>
      <c r="N601" s="37"/>
      <c r="O601" s="26">
        <v>9.1750841887298096E-2</v>
      </c>
      <c r="T601" s="21"/>
      <c r="Z601" s="21"/>
      <c r="AB601" s="21"/>
    </row>
    <row r="603" spans="1:28" x14ac:dyDescent="0.2">
      <c r="A603" s="5" t="s">
        <v>46</v>
      </c>
      <c r="C603" s="5" t="s">
        <v>21</v>
      </c>
      <c r="D603" s="4">
        <v>14492745.176145999</v>
      </c>
      <c r="E603" s="4">
        <v>4647952.4123389004</v>
      </c>
      <c r="F603" s="4">
        <v>945107.77094630012</v>
      </c>
      <c r="G603" s="25">
        <v>20085805.359431203</v>
      </c>
      <c r="I603" s="4">
        <v>21705771.801260918</v>
      </c>
      <c r="J603" s="4">
        <v>3519720.0089166001</v>
      </c>
      <c r="K603" s="4">
        <v>7616538.1717559621</v>
      </c>
      <c r="L603" s="4">
        <v>1097577.6055968003</v>
      </c>
      <c r="M603" s="25">
        <v>33939607.533530287</v>
      </c>
      <c r="O603" s="25">
        <v>54025412.89296148</v>
      </c>
    </row>
    <row r="604" spans="1:28" x14ac:dyDescent="0.2">
      <c r="C604" s="5" t="s">
        <v>22</v>
      </c>
      <c r="D604" s="4">
        <v>13206589.081999999</v>
      </c>
      <c r="E604" s="4">
        <v>4244500.6090000002</v>
      </c>
      <c r="F604" s="4">
        <v>836674.37199999997</v>
      </c>
      <c r="G604" s="25">
        <v>18287764.062999997</v>
      </c>
      <c r="I604" s="4">
        <v>20124180.767999999</v>
      </c>
      <c r="J604" s="4">
        <v>3221355.4499999997</v>
      </c>
      <c r="K604" s="4">
        <v>6964447.5250000004</v>
      </c>
      <c r="L604" s="4">
        <v>1048454.2760000001</v>
      </c>
      <c r="M604" s="25">
        <v>31358438.019000001</v>
      </c>
      <c r="O604" s="25">
        <v>49646202.081999995</v>
      </c>
    </row>
    <row r="605" spans="1:28" x14ac:dyDescent="0.2">
      <c r="C605" s="5" t="s">
        <v>23</v>
      </c>
      <c r="D605" s="7">
        <v>9.7387454562281706E-2</v>
      </c>
      <c r="E605" s="7">
        <v>9.5052832006532029E-2</v>
      </c>
      <c r="F605" s="7">
        <v>0.12960047848376099</v>
      </c>
      <c r="G605" s="26">
        <v>9.8319362073848282E-2</v>
      </c>
      <c r="I605" s="7">
        <v>7.8591573564865236E-2</v>
      </c>
      <c r="J605" s="7">
        <v>9.2620812433660715E-2</v>
      </c>
      <c r="K605" s="7">
        <v>9.3631353300484665E-2</v>
      </c>
      <c r="L605" s="7">
        <v>4.6853096717019094E-2</v>
      </c>
      <c r="M605" s="26">
        <v>8.2311801147951336E-2</v>
      </c>
      <c r="O605" s="26">
        <v>8.8208375007787998E-2</v>
      </c>
    </row>
    <row r="607" spans="1:28" x14ac:dyDescent="0.2">
      <c r="D607" s="25" t="s">
        <v>7</v>
      </c>
      <c r="E607" s="25"/>
      <c r="F607" s="25"/>
      <c r="H607" s="34"/>
      <c r="I607" s="25" t="s">
        <v>8</v>
      </c>
      <c r="J607" s="25"/>
      <c r="K607" s="25"/>
      <c r="L607" s="25"/>
      <c r="N607" s="38"/>
      <c r="O607" s="20" t="s">
        <v>24</v>
      </c>
    </row>
    <row r="608" spans="1:28" x14ac:dyDescent="0.2">
      <c r="D608" s="23" t="s">
        <v>0</v>
      </c>
      <c r="E608" s="23" t="s">
        <v>1</v>
      </c>
      <c r="F608" s="23" t="s">
        <v>2</v>
      </c>
      <c r="G608" s="23" t="s">
        <v>24</v>
      </c>
      <c r="H608" s="35"/>
      <c r="I608" s="23" t="s">
        <v>3</v>
      </c>
      <c r="J608" s="23" t="s">
        <v>4</v>
      </c>
      <c r="K608" s="23" t="s">
        <v>58</v>
      </c>
      <c r="L608" s="23" t="s">
        <v>59</v>
      </c>
      <c r="M608" s="23" t="s">
        <v>24</v>
      </c>
      <c r="N608" s="38"/>
      <c r="O608" s="23" t="s">
        <v>49</v>
      </c>
    </row>
    <row r="609" spans="1:15" x14ac:dyDescent="0.2">
      <c r="A609" s="5">
        <v>2004</v>
      </c>
    </row>
    <row r="610" spans="1:15" x14ac:dyDescent="0.2">
      <c r="A610" s="5" t="s">
        <v>9</v>
      </c>
      <c r="C610" s="5" t="s">
        <v>21</v>
      </c>
      <c r="D610" s="4">
        <v>1365967.816232</v>
      </c>
      <c r="E610" s="4">
        <v>454880</v>
      </c>
      <c r="F610" s="4">
        <v>78376</v>
      </c>
      <c r="G610" s="25">
        <v>1899223.816232</v>
      </c>
      <c r="I610" s="4">
        <v>1873752.013</v>
      </c>
      <c r="J610" s="4">
        <v>283133</v>
      </c>
      <c r="K610" s="4">
        <v>636729</v>
      </c>
      <c r="L610" s="4">
        <v>108017</v>
      </c>
      <c r="M610" s="25">
        <v>2901631.4932640004</v>
      </c>
      <c r="O610" s="22">
        <v>4800855.3094960004</v>
      </c>
    </row>
    <row r="611" spans="1:15" x14ac:dyDescent="0.2">
      <c r="C611" s="5" t="s">
        <v>22</v>
      </c>
      <c r="D611" s="4">
        <v>1292705.9380000001</v>
      </c>
      <c r="E611" s="4">
        <v>407288.37300000002</v>
      </c>
      <c r="F611" s="4">
        <v>71472.615999999995</v>
      </c>
      <c r="G611" s="25">
        <v>1771466.9270000001</v>
      </c>
      <c r="I611" s="4">
        <v>1744139.375</v>
      </c>
      <c r="J611" s="4">
        <v>272448.50900000002</v>
      </c>
      <c r="K611" s="4">
        <v>613932.15500000003</v>
      </c>
      <c r="L611" s="4">
        <v>112998.398</v>
      </c>
      <c r="M611" s="25">
        <v>2743518.4369999999</v>
      </c>
      <c r="O611" s="22">
        <v>4514985.3640000001</v>
      </c>
    </row>
    <row r="612" spans="1:15" x14ac:dyDescent="0.2">
      <c r="A612" s="7"/>
      <c r="B612" s="7"/>
      <c r="C612" s="7" t="s">
        <v>23</v>
      </c>
      <c r="D612" s="7">
        <v>5.6673274314301025E-2</v>
      </c>
      <c r="E612" s="7">
        <v>0.11684995240460738</v>
      </c>
      <c r="F612" s="7">
        <v>9.6587817633539519E-2</v>
      </c>
      <c r="G612" s="26">
        <v>7.2119263015741231E-2</v>
      </c>
      <c r="H612" s="37"/>
      <c r="I612" s="7">
        <v>7.4313234284960838E-2</v>
      </c>
      <c r="J612" s="7">
        <v>3.921655155763748E-2</v>
      </c>
      <c r="K612" s="7">
        <v>3.7132515074079997E-2</v>
      </c>
      <c r="L612" s="7">
        <v>-4.4083793117137837E-2</v>
      </c>
      <c r="M612" s="26">
        <v>5.7631490327032298E-2</v>
      </c>
      <c r="O612" s="26">
        <v>6.3315807793170142E-2</v>
      </c>
    </row>
    <row r="614" spans="1:15" x14ac:dyDescent="0.2">
      <c r="A614" s="5" t="s">
        <v>10</v>
      </c>
      <c r="C614" s="5" t="s">
        <v>21</v>
      </c>
      <c r="D614" s="4">
        <v>1217186.9771110001</v>
      </c>
      <c r="E614" s="4">
        <v>375434</v>
      </c>
      <c r="F614" s="4">
        <v>70821</v>
      </c>
      <c r="G614" s="25">
        <v>1663441.9771110001</v>
      </c>
      <c r="I614" s="4">
        <v>1704983.7239999999</v>
      </c>
      <c r="J614" s="4">
        <v>257192</v>
      </c>
      <c r="K614" s="4">
        <v>603445</v>
      </c>
      <c r="L614" s="4">
        <v>99037</v>
      </c>
      <c r="M614" s="25">
        <v>2664657.804</v>
      </c>
      <c r="O614" s="22">
        <v>4328099.7811110001</v>
      </c>
    </row>
    <row r="615" spans="1:15" x14ac:dyDescent="0.2">
      <c r="C615" s="5" t="s">
        <v>22</v>
      </c>
      <c r="D615" s="4">
        <v>1081348.8529999999</v>
      </c>
      <c r="E615" s="4">
        <v>325376.815</v>
      </c>
      <c r="F615" s="4">
        <v>70386.089000000007</v>
      </c>
      <c r="G615" s="25">
        <v>1477111.7569999998</v>
      </c>
      <c r="I615" s="4">
        <v>1604960.3740000001</v>
      </c>
      <c r="J615" s="4">
        <v>231078.579</v>
      </c>
      <c r="K615" s="4">
        <v>519545.68199999997</v>
      </c>
      <c r="L615" s="4">
        <v>91381.930999999997</v>
      </c>
      <c r="M615" s="25">
        <v>2446966.5660000001</v>
      </c>
      <c r="O615" s="22">
        <v>3924078.3229999999</v>
      </c>
    </row>
    <row r="616" spans="1:15" x14ac:dyDescent="0.2">
      <c r="A616" s="7"/>
      <c r="B616" s="7"/>
      <c r="C616" s="7" t="s">
        <v>23</v>
      </c>
      <c r="D616" s="7">
        <v>0.12561915031781168</v>
      </c>
      <c r="E616" s="7">
        <v>0.15384373653052075</v>
      </c>
      <c r="F616" s="7">
        <v>6.178934022033733E-3</v>
      </c>
      <c r="G616" s="26">
        <v>0.12614497124404145</v>
      </c>
      <c r="H616" s="37"/>
      <c r="I616" s="7">
        <v>6.2321382895401012E-2</v>
      </c>
      <c r="J616" s="7">
        <v>0.11300667120685381</v>
      </c>
      <c r="K616" s="7">
        <v>0.16148593070204753</v>
      </c>
      <c r="L616" s="7">
        <v>8.3770050777324911E-2</v>
      </c>
      <c r="M616" s="26">
        <v>8.8963715738811455E-2</v>
      </c>
      <c r="O616" s="26">
        <v>0.10295958053205245</v>
      </c>
    </row>
    <row r="618" spans="1:15" x14ac:dyDescent="0.2">
      <c r="A618" s="5" t="s">
        <v>11</v>
      </c>
      <c r="C618" s="5" t="s">
        <v>21</v>
      </c>
      <c r="D618" s="4">
        <v>1177622.2099319999</v>
      </c>
      <c r="E618" s="4">
        <v>344338</v>
      </c>
      <c r="F618" s="4">
        <v>68112</v>
      </c>
      <c r="G618" s="25">
        <v>1590072.2099319999</v>
      </c>
      <c r="I618" s="4">
        <v>1637998.7250000001</v>
      </c>
      <c r="J618" s="4">
        <v>258796</v>
      </c>
      <c r="K618" s="4">
        <v>615537</v>
      </c>
      <c r="L618" s="4">
        <v>101435</v>
      </c>
      <c r="M618" s="25">
        <v>2613766.8449520003</v>
      </c>
      <c r="O618" s="22">
        <v>4203839.0548839998</v>
      </c>
    </row>
    <row r="619" spans="1:15" x14ac:dyDescent="0.2">
      <c r="C619" s="5" t="s">
        <v>22</v>
      </c>
      <c r="D619" s="4">
        <v>1033906.297</v>
      </c>
      <c r="E619" s="4">
        <v>326249.79399999999</v>
      </c>
      <c r="F619" s="4">
        <v>60259.891000000003</v>
      </c>
      <c r="G619" s="25">
        <v>1420415.9820000001</v>
      </c>
      <c r="I619" s="4">
        <v>1440824.3870000001</v>
      </c>
      <c r="J619" s="4">
        <v>239065.03099999999</v>
      </c>
      <c r="K619" s="4">
        <v>553660.76800000004</v>
      </c>
      <c r="L619" s="4">
        <v>106846.344</v>
      </c>
      <c r="M619" s="25">
        <v>2340396.5300000003</v>
      </c>
      <c r="O619" s="22">
        <v>3760812.5120000001</v>
      </c>
    </row>
    <row r="620" spans="1:15" x14ac:dyDescent="0.2">
      <c r="A620" s="7"/>
      <c r="B620" s="7"/>
      <c r="C620" s="7" t="s">
        <v>23</v>
      </c>
      <c r="D620" s="7">
        <v>0.13900284131067631</v>
      </c>
      <c r="E620" s="7">
        <v>5.544281201906287E-2</v>
      </c>
      <c r="F620" s="7">
        <v>0.13030406908635128</v>
      </c>
      <c r="G620" s="26">
        <v>0.11944122713482663</v>
      </c>
      <c r="H620" s="37"/>
      <c r="I620" s="7">
        <v>0.13684827920670117</v>
      </c>
      <c r="J620" s="7">
        <v>8.2533898485554813E-2</v>
      </c>
      <c r="K620" s="7">
        <v>0.11175838270700789</v>
      </c>
      <c r="L620" s="7">
        <v>-5.064603801511447E-2</v>
      </c>
      <c r="M620" s="26">
        <v>0.11680512744222882</v>
      </c>
      <c r="O620" s="26">
        <v>0.11780075222319386</v>
      </c>
    </row>
    <row r="622" spans="1:15" x14ac:dyDescent="0.2">
      <c r="A622" s="5" t="s">
        <v>12</v>
      </c>
      <c r="C622" s="5" t="s">
        <v>21</v>
      </c>
      <c r="D622" s="4">
        <v>1085457.128209</v>
      </c>
      <c r="E622" s="4">
        <v>316112</v>
      </c>
      <c r="F622" s="4">
        <v>67305</v>
      </c>
      <c r="G622" s="25">
        <v>1468874.128209</v>
      </c>
      <c r="I622" s="4">
        <v>1535386.5759999999</v>
      </c>
      <c r="J622" s="4">
        <v>259553</v>
      </c>
      <c r="K622" s="4">
        <v>576825</v>
      </c>
      <c r="L622" s="4">
        <v>94911</v>
      </c>
      <c r="M622" s="25">
        <v>2466675.616194</v>
      </c>
      <c r="O622" s="22">
        <v>3935549.744403</v>
      </c>
    </row>
    <row r="623" spans="1:15" x14ac:dyDescent="0.2">
      <c r="C623" s="5" t="s">
        <v>22</v>
      </c>
      <c r="D623" s="4">
        <v>1008435.394</v>
      </c>
      <c r="E623" s="4">
        <v>289340.84299999999</v>
      </c>
      <c r="F623" s="4">
        <v>60857.678999999996</v>
      </c>
      <c r="G623" s="25">
        <v>1358633.916</v>
      </c>
      <c r="I623" s="4">
        <v>1455110.416</v>
      </c>
      <c r="J623" s="4">
        <v>235689.30799999999</v>
      </c>
      <c r="K623" s="4">
        <v>581902.73499999999</v>
      </c>
      <c r="L623" s="4">
        <v>99894.36</v>
      </c>
      <c r="M623" s="25">
        <v>2372596.8190000001</v>
      </c>
      <c r="O623" s="22">
        <v>3731230.7350000003</v>
      </c>
    </row>
    <row r="624" spans="1:15" x14ac:dyDescent="0.2">
      <c r="A624" s="7"/>
      <c r="B624" s="7"/>
      <c r="C624" s="7" t="s">
        <v>23</v>
      </c>
      <c r="D624" s="7">
        <v>7.6377460239163364E-2</v>
      </c>
      <c r="E624" s="7">
        <v>9.2524638839183826E-2</v>
      </c>
      <c r="F624" s="7">
        <v>0.10594096104125184</v>
      </c>
      <c r="G624" s="26">
        <v>8.1140483032811295E-2</v>
      </c>
      <c r="H624" s="37"/>
      <c r="I624" s="7">
        <v>5.5168431974168319E-2</v>
      </c>
      <c r="J624" s="7">
        <v>0.10125063458542649</v>
      </c>
      <c r="K624" s="7">
        <v>-8.7260889055624791E-3</v>
      </c>
      <c r="L624" s="7">
        <v>-4.9886299887200836E-2</v>
      </c>
      <c r="M624" s="26">
        <v>3.9652247883250613E-2</v>
      </c>
      <c r="O624" s="26">
        <v>5.4759146221226462E-2</v>
      </c>
    </row>
    <row r="626" spans="1:15" x14ac:dyDescent="0.2">
      <c r="A626" s="5" t="s">
        <v>13</v>
      </c>
      <c r="C626" s="5" t="s">
        <v>21</v>
      </c>
      <c r="D626" s="4">
        <v>1058531.4120209999</v>
      </c>
      <c r="E626" s="4">
        <v>313236</v>
      </c>
      <c r="F626" s="4">
        <v>88314</v>
      </c>
      <c r="G626" s="25">
        <v>1460081.4120209999</v>
      </c>
      <c r="I626" s="4">
        <v>1677566.2039999999</v>
      </c>
      <c r="J626" s="4">
        <v>316259</v>
      </c>
      <c r="K626" s="4">
        <v>588889</v>
      </c>
      <c r="L626" s="4">
        <v>96376</v>
      </c>
      <c r="M626" s="25">
        <v>2679090.0841680001</v>
      </c>
      <c r="O626" s="22">
        <v>4139171.4961890001</v>
      </c>
    </row>
    <row r="627" spans="1:15" x14ac:dyDescent="0.2">
      <c r="C627" s="5" t="s">
        <v>22</v>
      </c>
      <c r="D627" s="4">
        <v>961239.47100000002</v>
      </c>
      <c r="E627" s="4">
        <v>304037.32</v>
      </c>
      <c r="F627" s="4">
        <v>68187.903999999995</v>
      </c>
      <c r="G627" s="25">
        <v>1333464.6950000001</v>
      </c>
      <c r="I627" s="4">
        <v>1594069.966</v>
      </c>
      <c r="J627" s="4">
        <v>282667.864</v>
      </c>
      <c r="K627" s="4">
        <v>524030.03200000001</v>
      </c>
      <c r="L627" s="4">
        <v>78654.952999999994</v>
      </c>
      <c r="M627" s="25">
        <v>2479422.8149999999</v>
      </c>
      <c r="O627" s="22">
        <v>3812887.51</v>
      </c>
    </row>
    <row r="628" spans="1:15" x14ac:dyDescent="0.2">
      <c r="A628" s="7"/>
      <c r="B628" s="7"/>
      <c r="C628" s="7" t="s">
        <v>23</v>
      </c>
      <c r="D628" s="7">
        <v>0.10121509151073949</v>
      </c>
      <c r="E628" s="7">
        <v>3.0255101577661536E-2</v>
      </c>
      <c r="F628" s="7">
        <v>0.29515639606696231</v>
      </c>
      <c r="G628" s="26">
        <v>9.4953182859483176E-2</v>
      </c>
      <c r="H628" s="37"/>
      <c r="I628" s="7">
        <v>5.237928057167851E-2</v>
      </c>
      <c r="J628" s="7">
        <v>0.11883606266611202</v>
      </c>
      <c r="K628" s="7">
        <v>0.12376956288642638</v>
      </c>
      <c r="L628" s="7">
        <v>0.22530109451594238</v>
      </c>
      <c r="M628" s="26">
        <v>8.0529737792220946E-2</v>
      </c>
      <c r="O628" s="26">
        <v>8.5573986993652484E-2</v>
      </c>
    </row>
    <row r="630" spans="1:15" x14ac:dyDescent="0.2">
      <c r="A630" s="5" t="s">
        <v>14</v>
      </c>
      <c r="C630" s="5" t="s">
        <v>21</v>
      </c>
      <c r="D630" s="4">
        <v>1106471.1818639999</v>
      </c>
      <c r="E630" s="4">
        <v>357830</v>
      </c>
      <c r="F630" s="4">
        <v>88850</v>
      </c>
      <c r="G630" s="25">
        <v>1553151.1818639999</v>
      </c>
      <c r="I630" s="4">
        <v>1828912.534</v>
      </c>
      <c r="J630" s="4">
        <v>391259</v>
      </c>
      <c r="K630" s="4">
        <v>592658</v>
      </c>
      <c r="L630" s="4">
        <v>93871</v>
      </c>
      <c r="M630" s="25">
        <v>2906700.7737600002</v>
      </c>
      <c r="O630" s="22">
        <v>4459851.9556240002</v>
      </c>
    </row>
    <row r="631" spans="1:15" x14ac:dyDescent="0.2">
      <c r="C631" s="5" t="s">
        <v>22</v>
      </c>
      <c r="D631" s="4">
        <v>1063964.3219999999</v>
      </c>
      <c r="E631" s="4">
        <v>300671.27899999998</v>
      </c>
      <c r="F631" s="4">
        <v>80421.62</v>
      </c>
      <c r="G631" s="25">
        <v>1445057.2209999999</v>
      </c>
      <c r="I631" s="4">
        <v>1699418.166</v>
      </c>
      <c r="J631" s="4">
        <v>349158.201</v>
      </c>
      <c r="K631" s="4">
        <v>557905.91899999999</v>
      </c>
      <c r="L631" s="4">
        <v>98333.425000000003</v>
      </c>
      <c r="M631" s="25">
        <v>2704815.7110000001</v>
      </c>
      <c r="O631" s="22">
        <v>4149872.932</v>
      </c>
    </row>
    <row r="632" spans="1:15" x14ac:dyDescent="0.2">
      <c r="A632" s="7"/>
      <c r="B632" s="7"/>
      <c r="C632" s="7" t="s">
        <v>23</v>
      </c>
      <c r="D632" s="7">
        <v>3.9951395911563381E-2</v>
      </c>
      <c r="E632" s="7">
        <v>0.19010369460662724</v>
      </c>
      <c r="F632" s="7">
        <v>0.10480241507196708</v>
      </c>
      <c r="G632" s="26">
        <v>7.4802547119343421E-2</v>
      </c>
      <c r="H632" s="37"/>
      <c r="I632" s="7">
        <v>7.6199237239411799E-2</v>
      </c>
      <c r="J632" s="7">
        <v>0.12057800412369524</v>
      </c>
      <c r="K632" s="7">
        <v>6.2290217430010841E-2</v>
      </c>
      <c r="L632" s="7">
        <v>-4.5380550916435669E-2</v>
      </c>
      <c r="M632" s="26">
        <v>7.4639119382133856E-2</v>
      </c>
      <c r="O632" s="26">
        <v>7.4696027734663106E-2</v>
      </c>
    </row>
    <row r="634" spans="1:15" x14ac:dyDescent="0.2">
      <c r="A634" s="5" t="s">
        <v>15</v>
      </c>
      <c r="C634" s="5" t="s">
        <v>21</v>
      </c>
      <c r="D634" s="4">
        <v>1244243.795931</v>
      </c>
      <c r="E634" s="4">
        <v>402880</v>
      </c>
      <c r="F634" s="4">
        <v>91606</v>
      </c>
      <c r="G634" s="25">
        <v>1738729.795931</v>
      </c>
      <c r="I634" s="4">
        <v>2092328.939</v>
      </c>
      <c r="J634" s="4">
        <v>425870</v>
      </c>
      <c r="K634" s="4">
        <v>630382</v>
      </c>
      <c r="L634" s="4">
        <v>96943</v>
      </c>
      <c r="M634" s="25">
        <v>3245524.4193600002</v>
      </c>
      <c r="O634" s="22">
        <v>4984254.215291</v>
      </c>
    </row>
    <row r="635" spans="1:15" x14ac:dyDescent="0.2">
      <c r="C635" s="5" t="s">
        <v>22</v>
      </c>
      <c r="D635" s="4">
        <v>1135555.6129999999</v>
      </c>
      <c r="E635" s="4">
        <v>376612.65</v>
      </c>
      <c r="F635" s="4">
        <v>89913.86</v>
      </c>
      <c r="G635" s="25">
        <v>1602082.1229999999</v>
      </c>
      <c r="I635" s="4">
        <v>1949970.236</v>
      </c>
      <c r="J635" s="4">
        <v>396614.43300000002</v>
      </c>
      <c r="K635" s="4">
        <v>559658.902</v>
      </c>
      <c r="L635" s="4">
        <v>92946.385999999999</v>
      </c>
      <c r="M635" s="25">
        <v>2999189.9570000004</v>
      </c>
      <c r="O635" s="22">
        <v>4601272.08</v>
      </c>
    </row>
    <row r="636" spans="1:15" x14ac:dyDescent="0.2">
      <c r="A636" s="7"/>
      <c r="B636" s="7"/>
      <c r="C636" s="7" t="s">
        <v>23</v>
      </c>
      <c r="D636" s="7">
        <v>9.5713659187381506E-2</v>
      </c>
      <c r="E636" s="7">
        <v>6.9746329551065189E-2</v>
      </c>
      <c r="F636" s="7">
        <v>1.8819567973169082E-2</v>
      </c>
      <c r="G636" s="26">
        <v>8.529380046705648E-2</v>
      </c>
      <c r="H636" s="37"/>
      <c r="I636" s="7">
        <v>7.3005577404105626E-2</v>
      </c>
      <c r="J636" s="7">
        <v>7.3763243507580567E-2</v>
      </c>
      <c r="K636" s="7">
        <v>0.12636821776132501</v>
      </c>
      <c r="L636" s="7">
        <v>4.2999132854934174E-2</v>
      </c>
      <c r="M636" s="26">
        <v>8.2133664720056787E-2</v>
      </c>
      <c r="O636" s="26">
        <v>8.3233968483559018E-2</v>
      </c>
    </row>
    <row r="638" spans="1:15" x14ac:dyDescent="0.2">
      <c r="A638" s="5" t="s">
        <v>16</v>
      </c>
      <c r="C638" s="5" t="s">
        <v>21</v>
      </c>
      <c r="D638" s="4">
        <v>1227239.4301509999</v>
      </c>
      <c r="E638" s="4">
        <v>402209</v>
      </c>
      <c r="F638" s="4">
        <v>90174</v>
      </c>
      <c r="G638" s="25">
        <v>1719622.4301509999</v>
      </c>
      <c r="I638" s="4">
        <v>1972367.763</v>
      </c>
      <c r="J638" s="4">
        <v>317840</v>
      </c>
      <c r="K638" s="4">
        <v>610789</v>
      </c>
      <c r="L638" s="4">
        <v>93936</v>
      </c>
      <c r="M638" s="25">
        <v>2994933.1629280001</v>
      </c>
      <c r="O638" s="22">
        <v>4714555.5930789998</v>
      </c>
    </row>
    <row r="639" spans="1:15" x14ac:dyDescent="0.2">
      <c r="C639" s="5" t="s">
        <v>22</v>
      </c>
      <c r="D639" s="4">
        <v>1104049.9639999999</v>
      </c>
      <c r="E639" s="4">
        <v>363414.23599999998</v>
      </c>
      <c r="F639" s="4">
        <v>75426.587</v>
      </c>
      <c r="G639" s="25">
        <v>1542890.787</v>
      </c>
      <c r="I639" s="4">
        <v>1818133.236</v>
      </c>
      <c r="J639" s="4">
        <v>298282.72899999999</v>
      </c>
      <c r="K639" s="4">
        <v>551843.98199999996</v>
      </c>
      <c r="L639" s="4">
        <v>85783.834000000003</v>
      </c>
      <c r="M639" s="25">
        <v>2754043.781</v>
      </c>
      <c r="O639" s="22">
        <v>4296934.568</v>
      </c>
    </row>
    <row r="640" spans="1:15" x14ac:dyDescent="0.2">
      <c r="A640" s="7"/>
      <c r="B640" s="7"/>
      <c r="C640" s="7" t="s">
        <v>23</v>
      </c>
      <c r="D640" s="7">
        <v>0.11157961158268748</v>
      </c>
      <c r="E640" s="7">
        <v>0.10675080983894092</v>
      </c>
      <c r="F640" s="7">
        <v>0.19552008895749196</v>
      </c>
      <c r="G640" s="26">
        <v>0.11454578939747084</v>
      </c>
      <c r="H640" s="37"/>
      <c r="I640" s="7">
        <v>8.4831256558141499E-2</v>
      </c>
      <c r="J640" s="7">
        <v>6.5566219893341549E-2</v>
      </c>
      <c r="K640" s="7">
        <v>0.10681464312860811</v>
      </c>
      <c r="L640" s="7">
        <v>9.5031495094984875E-2</v>
      </c>
      <c r="M640" s="26">
        <v>8.7467520883249161E-2</v>
      </c>
      <c r="O640" s="26">
        <v>9.719045483938582E-2</v>
      </c>
    </row>
    <row r="642" spans="1:15" x14ac:dyDescent="0.2">
      <c r="A642" s="5" t="s">
        <v>17</v>
      </c>
      <c r="C642" s="5" t="s">
        <v>21</v>
      </c>
      <c r="D642" s="4">
        <v>1076418.2902609999</v>
      </c>
      <c r="E642" s="4">
        <v>356308</v>
      </c>
      <c r="F642" s="4">
        <v>74386</v>
      </c>
      <c r="G642" s="25">
        <v>1507112.2902609999</v>
      </c>
      <c r="I642" s="4">
        <v>1668311.3910000001</v>
      </c>
      <c r="J642" s="4">
        <v>265290</v>
      </c>
      <c r="K642" s="4">
        <v>564294</v>
      </c>
      <c r="L642" s="4">
        <v>89690</v>
      </c>
      <c r="M642" s="25">
        <v>2587584.9107600003</v>
      </c>
      <c r="O642" s="22">
        <v>4094697.2010210003</v>
      </c>
    </row>
    <row r="643" spans="1:15" x14ac:dyDescent="0.2">
      <c r="C643" s="5" t="s">
        <v>22</v>
      </c>
      <c r="D643" s="4">
        <v>1011213.184</v>
      </c>
      <c r="E643" s="4">
        <v>302946.60399999999</v>
      </c>
      <c r="F643" s="4">
        <v>51277.214999999997</v>
      </c>
      <c r="G643" s="25">
        <v>1365437.003</v>
      </c>
      <c r="I643" s="4">
        <v>1507800.36</v>
      </c>
      <c r="J643" s="4">
        <v>246170.91399999999</v>
      </c>
      <c r="K643" s="4">
        <v>499526.42700000003</v>
      </c>
      <c r="L643" s="4">
        <v>87605.095000000001</v>
      </c>
      <c r="M643" s="25">
        <v>2341102.7960000001</v>
      </c>
      <c r="O643" s="22">
        <v>3706539.7990000001</v>
      </c>
    </row>
    <row r="644" spans="1:15" x14ac:dyDescent="0.2">
      <c r="A644" s="7"/>
      <c r="B644" s="7"/>
      <c r="C644" s="7" t="s">
        <v>23</v>
      </c>
      <c r="D644" s="7">
        <v>6.4482057090149647E-2</v>
      </c>
      <c r="E644" s="7">
        <v>0.17614125821327908</v>
      </c>
      <c r="F644" s="7">
        <v>0.45066380847711796</v>
      </c>
      <c r="G644" s="26">
        <v>0.10375820118374213</v>
      </c>
      <c r="H644" s="37"/>
      <c r="I644" s="7">
        <v>0.10645376885305957</v>
      </c>
      <c r="J644" s="7">
        <v>7.7665901667002046E-2</v>
      </c>
      <c r="K644" s="7">
        <v>0.12965795100966693</v>
      </c>
      <c r="L644" s="7">
        <v>2.3798901194045818E-2</v>
      </c>
      <c r="M644" s="26">
        <v>0.10528461850591908</v>
      </c>
      <c r="O644" s="26">
        <v>0.10472230788557102</v>
      </c>
    </row>
    <row r="646" spans="1:15" x14ac:dyDescent="0.2">
      <c r="A646" s="5" t="s">
        <v>18</v>
      </c>
      <c r="C646" s="5" t="s">
        <v>21</v>
      </c>
      <c r="D646" s="4">
        <v>1140901.9286199999</v>
      </c>
      <c r="E646" s="4">
        <v>372159</v>
      </c>
      <c r="F646" s="4">
        <v>69578</v>
      </c>
      <c r="G646" s="25">
        <v>1582638.9286199999</v>
      </c>
      <c r="I646" s="4">
        <v>1647341.013</v>
      </c>
      <c r="J646" s="4">
        <v>268914</v>
      </c>
      <c r="K646" s="4">
        <v>615186</v>
      </c>
      <c r="L646" s="4">
        <v>94990</v>
      </c>
      <c r="M646" s="25">
        <v>2626431.1179999998</v>
      </c>
      <c r="O646" s="22">
        <v>4209070.0466200002</v>
      </c>
    </row>
    <row r="647" spans="1:15" x14ac:dyDescent="0.2">
      <c r="C647" s="5" t="s">
        <v>22</v>
      </c>
      <c r="D647" s="4">
        <v>1034070.985</v>
      </c>
      <c r="E647" s="4">
        <v>352100.859</v>
      </c>
      <c r="F647" s="4">
        <v>64741.629000000001</v>
      </c>
      <c r="G647" s="25">
        <v>1450913.473</v>
      </c>
      <c r="I647" s="4">
        <v>1551130.027</v>
      </c>
      <c r="J647" s="4">
        <v>207263.546</v>
      </c>
      <c r="K647" s="4">
        <v>551301.08400000003</v>
      </c>
      <c r="L647" s="4">
        <v>94065.437999999995</v>
      </c>
      <c r="M647" s="25">
        <v>2403760.0950000002</v>
      </c>
      <c r="O647" s="22">
        <v>3854673.568</v>
      </c>
    </row>
    <row r="648" spans="1:15" x14ac:dyDescent="0.2">
      <c r="A648" s="7"/>
      <c r="B648" s="7"/>
      <c r="C648" s="7" t="s">
        <v>23</v>
      </c>
      <c r="D648" s="7">
        <v>0.10331103489960114</v>
      </c>
      <c r="E648" s="7">
        <v>5.6967032278668839E-2</v>
      </c>
      <c r="F648" s="7">
        <v>7.4702646113522952E-2</v>
      </c>
      <c r="G648" s="26">
        <v>9.0787947090763543E-2</v>
      </c>
      <c r="H648" s="37"/>
      <c r="I648" s="7">
        <v>6.202638355604484E-2</v>
      </c>
      <c r="J648" s="7">
        <v>0.29744957658883253</v>
      </c>
      <c r="K648" s="7">
        <v>0.11588026552837327</v>
      </c>
      <c r="L648" s="7">
        <v>9.8289235627648797E-3</v>
      </c>
      <c r="M648" s="26">
        <v>9.2634461926201395E-2</v>
      </c>
      <c r="O648" s="26">
        <v>9.1939426871852969E-2</v>
      </c>
    </row>
    <row r="650" spans="1:15" x14ac:dyDescent="0.2">
      <c r="A650" s="5" t="s">
        <v>19</v>
      </c>
      <c r="C650" s="5" t="s">
        <v>21</v>
      </c>
      <c r="D650" s="4">
        <v>1253355.189486</v>
      </c>
      <c r="E650" s="4">
        <v>397005</v>
      </c>
      <c r="F650" s="4">
        <v>82305</v>
      </c>
      <c r="G650" s="25">
        <v>1732665.189486</v>
      </c>
      <c r="I650" s="4">
        <v>1742210.2819999999</v>
      </c>
      <c r="J650" s="4">
        <v>255115</v>
      </c>
      <c r="K650" s="4">
        <v>608557</v>
      </c>
      <c r="L650" s="4">
        <v>94522</v>
      </c>
      <c r="M650" s="25">
        <v>2700403.8420000002</v>
      </c>
      <c r="O650" s="22">
        <v>4433069.0314859999</v>
      </c>
    </row>
    <row r="651" spans="1:15" x14ac:dyDescent="0.2">
      <c r="C651" s="5" t="s">
        <v>22</v>
      </c>
      <c r="D651" s="4">
        <v>1151057.3030000001</v>
      </c>
      <c r="E651" s="4">
        <v>344036.815</v>
      </c>
      <c r="F651" s="4">
        <v>69706.093999999997</v>
      </c>
      <c r="G651" s="25">
        <v>1564800.2120000001</v>
      </c>
      <c r="I651" s="4">
        <v>1594873.085</v>
      </c>
      <c r="J651" s="4">
        <v>220218.75099999999</v>
      </c>
      <c r="K651" s="4">
        <v>547097.01399999997</v>
      </c>
      <c r="L651" s="4">
        <v>103121.97500000001</v>
      </c>
      <c r="M651" s="25">
        <v>2465310.8249999997</v>
      </c>
      <c r="O651" s="22">
        <v>4030111.0369999995</v>
      </c>
    </row>
    <row r="652" spans="1:15" x14ac:dyDescent="0.2">
      <c r="A652" s="7"/>
      <c r="B652" s="7"/>
      <c r="C652" s="7" t="s">
        <v>23</v>
      </c>
      <c r="D652" s="7">
        <v>8.8872974628961598E-2</v>
      </c>
      <c r="E652" s="7">
        <v>0.15396080503768172</v>
      </c>
      <c r="F652" s="7">
        <v>0.1807432503677513</v>
      </c>
      <c r="G652" s="26">
        <v>0.10727566126249988</v>
      </c>
      <c r="H652" s="37"/>
      <c r="I652" s="7">
        <v>9.2381769048412998E-2</v>
      </c>
      <c r="J652" s="7">
        <v>0.15846175151542852</v>
      </c>
      <c r="K652" s="7">
        <v>0.11233836856583546</v>
      </c>
      <c r="L652" s="7">
        <v>-8.3396143256565858E-2</v>
      </c>
      <c r="M652" s="26">
        <v>9.5360396188582275E-2</v>
      </c>
      <c r="O652" s="26">
        <v>9.9986821898078837E-2</v>
      </c>
    </row>
    <row r="654" spans="1:15" x14ac:dyDescent="0.2">
      <c r="A654" s="5" t="s">
        <v>20</v>
      </c>
      <c r="C654" s="5" t="s">
        <v>21</v>
      </c>
      <c r="D654" s="4">
        <v>1359358.1599940001</v>
      </c>
      <c r="E654" s="4">
        <v>433868</v>
      </c>
      <c r="F654" s="4">
        <v>94085</v>
      </c>
      <c r="G654" s="25">
        <v>1887311.1599940001</v>
      </c>
      <c r="I654" s="4">
        <v>1913171.777</v>
      </c>
      <c r="J654" s="4">
        <v>278368</v>
      </c>
      <c r="K654" s="4">
        <v>636020</v>
      </c>
      <c r="L654" s="4">
        <v>101674</v>
      </c>
      <c r="M654" s="25">
        <v>2929233.5929999999</v>
      </c>
      <c r="O654" s="22">
        <v>4816544.752994</v>
      </c>
    </row>
    <row r="655" spans="1:15" x14ac:dyDescent="0.2">
      <c r="C655" s="5" t="s">
        <v>22</v>
      </c>
      <c r="D655" s="4">
        <v>1256390.939</v>
      </c>
      <c r="E655" s="4">
        <v>368337.98</v>
      </c>
      <c r="F655" s="4">
        <v>79168.153999999995</v>
      </c>
      <c r="G655" s="25">
        <v>1703897.0730000001</v>
      </c>
      <c r="I655" s="4">
        <v>1771097.6980000001</v>
      </c>
      <c r="J655" s="4">
        <v>283758.67200000002</v>
      </c>
      <c r="K655" s="4">
        <v>578230.23</v>
      </c>
      <c r="L655" s="4">
        <v>95762.482000000004</v>
      </c>
      <c r="M655" s="25">
        <v>2728849.0819999999</v>
      </c>
      <c r="O655" s="22">
        <v>4432746.1550000003</v>
      </c>
    </row>
    <row r="656" spans="1:15" x14ac:dyDescent="0.2">
      <c r="A656" s="7"/>
      <c r="B656" s="7"/>
      <c r="C656" s="7" t="s">
        <v>23</v>
      </c>
      <c r="D656" s="7">
        <v>8.1954762484959476E-2</v>
      </c>
      <c r="E656" s="7">
        <v>0.1779073121919168</v>
      </c>
      <c r="F656" s="7">
        <v>0.18841977798295018</v>
      </c>
      <c r="G656" s="26">
        <v>0.10764387702777634</v>
      </c>
      <c r="H656" s="37"/>
      <c r="I656" s="7">
        <v>8.0218092519930506E-2</v>
      </c>
      <c r="J656" s="7">
        <v>-1.899738239541815E-2</v>
      </c>
      <c r="K656" s="7">
        <v>9.9942491764915209E-2</v>
      </c>
      <c r="L656" s="7">
        <v>6.1731044105560962E-2</v>
      </c>
      <c r="M656" s="26">
        <v>7.3431877314789507E-2</v>
      </c>
      <c r="O656" s="26">
        <v>8.6582579866678611E-2</v>
      </c>
    </row>
    <row r="658" spans="1:15" x14ac:dyDescent="0.2">
      <c r="A658" s="5" t="s">
        <v>47</v>
      </c>
      <c r="C658" s="5" t="s">
        <v>21</v>
      </c>
      <c r="D658" s="4">
        <v>14312753.519812001</v>
      </c>
      <c r="E658" s="4">
        <v>4526259</v>
      </c>
      <c r="F658" s="4">
        <v>963912</v>
      </c>
      <c r="G658" s="25">
        <v>19802924.519811999</v>
      </c>
      <c r="I658" s="4">
        <v>21294330.941</v>
      </c>
      <c r="J658" s="4">
        <v>3577589</v>
      </c>
      <c r="K658" s="4">
        <v>7279311</v>
      </c>
      <c r="L658" s="4">
        <v>1165402</v>
      </c>
      <c r="M658" s="25">
        <v>33316633.662386</v>
      </c>
      <c r="O658" s="25">
        <v>53119558.182197995</v>
      </c>
    </row>
    <row r="659" spans="1:15" x14ac:dyDescent="0.2">
      <c r="C659" s="5" t="s">
        <v>22</v>
      </c>
      <c r="D659" s="4">
        <v>13133938.262999998</v>
      </c>
      <c r="E659" s="4">
        <v>4060413.568</v>
      </c>
      <c r="F659" s="4">
        <v>841819.33799999999</v>
      </c>
      <c r="G659" s="25">
        <v>18036171.169</v>
      </c>
      <c r="I659" s="4">
        <v>19731527.325999998</v>
      </c>
      <c r="J659" s="4">
        <v>3262416.5370000005</v>
      </c>
      <c r="K659" s="4">
        <v>6638634.9299999997</v>
      </c>
      <c r="L659" s="4">
        <v>1147394.621</v>
      </c>
      <c r="M659" s="25">
        <v>30779973.413999997</v>
      </c>
      <c r="O659" s="25">
        <v>48816144.583000004</v>
      </c>
    </row>
    <row r="660" spans="1:15" x14ac:dyDescent="0.2">
      <c r="C660" s="5" t="s">
        <v>23</v>
      </c>
      <c r="D660" s="7">
        <v>8.9753372766558259E-2</v>
      </c>
      <c r="E660" s="7">
        <v>0.11472856747187388</v>
      </c>
      <c r="F660" s="7">
        <v>0.14503428050259393</v>
      </c>
      <c r="G660" s="26">
        <v>9.7956120190777485E-2</v>
      </c>
      <c r="I660" s="7">
        <v>7.9203377882497428E-2</v>
      </c>
      <c r="J660" s="7">
        <v>9.6607057812985619E-2</v>
      </c>
      <c r="K660" s="7">
        <v>9.6507200163211904E-2</v>
      </c>
      <c r="L660" s="7">
        <v>1.5694146260077257E-2</v>
      </c>
      <c r="M660" s="26">
        <v>8.2412684841119077E-2</v>
      </c>
      <c r="O660" s="26">
        <v>8.815554026150263E-2</v>
      </c>
    </row>
    <row r="662" spans="1:15" x14ac:dyDescent="0.2">
      <c r="D662" s="25" t="s">
        <v>7</v>
      </c>
      <c r="E662" s="25"/>
      <c r="F662" s="25"/>
      <c r="H662" s="34"/>
      <c r="I662" s="25" t="s">
        <v>8</v>
      </c>
      <c r="J662" s="25"/>
      <c r="K662" s="25"/>
      <c r="L662" s="25"/>
      <c r="N662" s="38"/>
      <c r="O662" s="20" t="s">
        <v>24</v>
      </c>
    </row>
    <row r="663" spans="1:15" x14ac:dyDescent="0.2">
      <c r="D663" s="23" t="s">
        <v>0</v>
      </c>
      <c r="E663" s="23" t="s">
        <v>1</v>
      </c>
      <c r="F663" s="23" t="s">
        <v>2</v>
      </c>
      <c r="G663" s="23" t="s">
        <v>24</v>
      </c>
      <c r="H663" s="35"/>
      <c r="I663" s="23" t="s">
        <v>3</v>
      </c>
      <c r="J663" s="23" t="s">
        <v>4</v>
      </c>
      <c r="K663" s="23" t="s">
        <v>25</v>
      </c>
      <c r="L663" s="23"/>
      <c r="M663" s="23" t="s">
        <v>24</v>
      </c>
      <c r="N663" s="38"/>
      <c r="O663" s="23" t="s">
        <v>49</v>
      </c>
    </row>
    <row r="664" spans="1:15" x14ac:dyDescent="0.2">
      <c r="A664" s="5">
        <v>2003</v>
      </c>
    </row>
    <row r="665" spans="1:15" x14ac:dyDescent="0.2">
      <c r="A665" s="5" t="s">
        <v>9</v>
      </c>
      <c r="C665" s="5" t="s">
        <v>21</v>
      </c>
      <c r="D665" s="4">
        <v>1276477.119102</v>
      </c>
      <c r="E665" s="4">
        <v>409814.75099999999</v>
      </c>
      <c r="F665" s="4">
        <v>72765.597999999998</v>
      </c>
      <c r="G665" s="25">
        <v>1759057.468102</v>
      </c>
      <c r="I665" s="4">
        <v>1744511.1169999999</v>
      </c>
      <c r="J665" s="4">
        <v>268300.72200000001</v>
      </c>
      <c r="K665" s="4">
        <v>724215.39106400008</v>
      </c>
      <c r="M665" s="25">
        <v>2737027.230064</v>
      </c>
      <c r="O665" s="22">
        <v>4496084.6981659997</v>
      </c>
    </row>
    <row r="666" spans="1:15" x14ac:dyDescent="0.2">
      <c r="C666" s="5" t="s">
        <v>22</v>
      </c>
      <c r="D666" s="4">
        <v>1141138.2209999999</v>
      </c>
      <c r="E666" s="4">
        <v>352035.82799999998</v>
      </c>
      <c r="F666" s="4">
        <v>70549.914999999994</v>
      </c>
      <c r="G666" s="25">
        <v>1563723.9639999999</v>
      </c>
      <c r="I666" s="4">
        <v>1635825.4069999999</v>
      </c>
      <c r="J666" s="4">
        <v>258230.03200000001</v>
      </c>
      <c r="K666" s="4">
        <v>662385.21</v>
      </c>
      <c r="M666" s="25">
        <v>2556440.6489999997</v>
      </c>
      <c r="O666" s="22">
        <v>4120164.6129999999</v>
      </c>
    </row>
    <row r="667" spans="1:15" x14ac:dyDescent="0.2">
      <c r="A667" s="7"/>
      <c r="B667" s="7"/>
      <c r="C667" s="7" t="s">
        <v>23</v>
      </c>
      <c r="D667" s="7">
        <v>0.11859991682988258</v>
      </c>
      <c r="E667" s="7">
        <v>0.16412796199823165</v>
      </c>
      <c r="F667" s="7">
        <v>3.1405891842676281E-2</v>
      </c>
      <c r="G667" s="26">
        <v>0.12491559162547961</v>
      </c>
      <c r="H667" s="37"/>
      <c r="I667" s="7">
        <v>6.6440898603795873E-2</v>
      </c>
      <c r="J667" s="7">
        <v>3.8998910862544367E-2</v>
      </c>
      <c r="K667" s="7">
        <v>9.3344748841841074E-2</v>
      </c>
      <c r="L667" s="7"/>
      <c r="M667" s="26">
        <v>7.0639848859640031E-2</v>
      </c>
      <c r="O667" s="26">
        <v>9.1239093695405282E-2</v>
      </c>
    </row>
    <row r="669" spans="1:15" x14ac:dyDescent="0.2">
      <c r="A669" s="5" t="s">
        <v>10</v>
      </c>
      <c r="C669" s="5" t="s">
        <v>21</v>
      </c>
      <c r="D669" s="4">
        <v>1177886.522108</v>
      </c>
      <c r="E669" s="4">
        <v>356924.49599999998</v>
      </c>
      <c r="F669" s="4">
        <v>67934.679999999993</v>
      </c>
      <c r="G669" s="25">
        <v>1602745.698108</v>
      </c>
      <c r="I669" s="4">
        <v>1583042.3740000001</v>
      </c>
      <c r="J669" s="4">
        <v>219904.48699999999</v>
      </c>
      <c r="K669" s="4">
        <v>664036.78725599998</v>
      </c>
      <c r="M669" s="25">
        <v>2466983.6482560001</v>
      </c>
      <c r="O669" s="22">
        <v>4069729.3463639999</v>
      </c>
    </row>
    <row r="670" spans="1:15" x14ac:dyDescent="0.2">
      <c r="C670" s="5" t="s">
        <v>22</v>
      </c>
      <c r="D670" s="4">
        <v>1034031.736</v>
      </c>
      <c r="E670" s="4">
        <v>307097.78499999997</v>
      </c>
      <c r="F670" s="4">
        <v>60493.692999999999</v>
      </c>
      <c r="G670" s="25">
        <v>1401623.2139999999</v>
      </c>
      <c r="I670" s="4">
        <v>1441255.219</v>
      </c>
      <c r="J670" s="4">
        <v>223069.916</v>
      </c>
      <c r="K670" s="4">
        <v>606097.01599999995</v>
      </c>
      <c r="M670" s="25">
        <v>2270422.1510000001</v>
      </c>
      <c r="O670" s="22">
        <v>3672045.3650000002</v>
      </c>
    </row>
    <row r="671" spans="1:15" x14ac:dyDescent="0.2">
      <c r="A671" s="7"/>
      <c r="B671" s="7"/>
      <c r="C671" s="7" t="s">
        <v>23</v>
      </c>
      <c r="D671" s="7">
        <v>0.13912028141851929</v>
      </c>
      <c r="E671" s="7">
        <v>0.1622503105973232</v>
      </c>
      <c r="F671" s="7">
        <v>0.12300434360983714</v>
      </c>
      <c r="G671" s="26">
        <v>0.14349254642696008</v>
      </c>
      <c r="H671" s="37"/>
      <c r="I671" s="7">
        <v>9.8377548355646161E-2</v>
      </c>
      <c r="J671" s="7">
        <v>-1.419029986992959E-2</v>
      </c>
      <c r="K671" s="7">
        <v>9.5594879576176739E-2</v>
      </c>
      <c r="L671" s="7"/>
      <c r="M671" s="26">
        <v>8.6574867660371035E-2</v>
      </c>
      <c r="O671" s="26">
        <v>0.10830039986828965</v>
      </c>
    </row>
    <row r="673" spans="1:15" x14ac:dyDescent="0.2">
      <c r="A673" s="5" t="s">
        <v>11</v>
      </c>
      <c r="C673" s="5" t="s">
        <v>21</v>
      </c>
      <c r="D673" s="4">
        <v>1195716.082013</v>
      </c>
      <c r="E673" s="4">
        <v>351575.27799999999</v>
      </c>
      <c r="F673" s="4">
        <v>70636.269</v>
      </c>
      <c r="G673" s="25">
        <v>1617927.6290130001</v>
      </c>
      <c r="I673" s="4">
        <v>1585450.6610000001</v>
      </c>
      <c r="J673" s="4">
        <v>259378.53899999999</v>
      </c>
      <c r="K673" s="4">
        <v>705065.475936</v>
      </c>
      <c r="M673" s="25">
        <v>2549894.6759360004</v>
      </c>
      <c r="O673" s="22">
        <v>4167822.3049490005</v>
      </c>
    </row>
    <row r="674" spans="1:15" x14ac:dyDescent="0.2">
      <c r="C674" s="5" t="s">
        <v>22</v>
      </c>
      <c r="D674" s="4">
        <v>1161382.9709999999</v>
      </c>
      <c r="E674" s="4">
        <v>339880.19300000003</v>
      </c>
      <c r="F674" s="4">
        <v>61718.033000000003</v>
      </c>
      <c r="G674" s="25">
        <v>1562981.1969999999</v>
      </c>
      <c r="I674" s="4">
        <v>1480119.754</v>
      </c>
      <c r="J674" s="4">
        <v>234633.86600000001</v>
      </c>
      <c r="K674" s="4">
        <v>789929.19900000002</v>
      </c>
      <c r="M674" s="25">
        <v>2504682.8190000001</v>
      </c>
      <c r="O674" s="22">
        <v>4067664.0159999998</v>
      </c>
    </row>
    <row r="675" spans="1:15" x14ac:dyDescent="0.2">
      <c r="A675" s="7"/>
      <c r="B675" s="7"/>
      <c r="C675" s="7" t="s">
        <v>23</v>
      </c>
      <c r="D675" s="7">
        <v>2.9562264877569078E-2</v>
      </c>
      <c r="E675" s="7">
        <v>3.4409433797161437E-2</v>
      </c>
      <c r="F675" s="7">
        <v>0.1444996796965321</v>
      </c>
      <c r="G675" s="26">
        <v>3.5154889974661652E-2</v>
      </c>
      <c r="H675" s="37"/>
      <c r="I675" s="7">
        <v>7.1163773549636877E-2</v>
      </c>
      <c r="J675" s="7">
        <v>0.1054607905578302</v>
      </c>
      <c r="K675" s="7">
        <v>-0.10743206248285553</v>
      </c>
      <c r="L675" s="7"/>
      <c r="M675" s="26">
        <v>1.8050931077193688E-2</v>
      </c>
      <c r="O675" s="26">
        <v>2.4623048647831158E-2</v>
      </c>
    </row>
    <row r="677" spans="1:15" x14ac:dyDescent="0.2">
      <c r="A677" s="5" t="s">
        <v>12</v>
      </c>
      <c r="C677" s="5" t="s">
        <v>21</v>
      </c>
      <c r="D677" s="4">
        <v>1133772.0540690001</v>
      </c>
      <c r="E677" s="4">
        <v>307566.42800000001</v>
      </c>
      <c r="F677" s="4">
        <v>72075.42</v>
      </c>
      <c r="G677" s="25">
        <v>1513413.9020690001</v>
      </c>
      <c r="I677" s="4">
        <v>1536267.9180000001</v>
      </c>
      <c r="J677" s="4">
        <v>246604.31099999999</v>
      </c>
      <c r="K677" s="4">
        <v>645576.28613299993</v>
      </c>
      <c r="M677" s="25">
        <v>2428448.515133</v>
      </c>
      <c r="O677" s="22">
        <v>3941862.417202</v>
      </c>
    </row>
    <row r="678" spans="1:15" x14ac:dyDescent="0.2">
      <c r="C678" s="5" t="s">
        <v>22</v>
      </c>
      <c r="D678" s="4">
        <v>945403.80799999996</v>
      </c>
      <c r="E678" s="4">
        <v>327511.15600000002</v>
      </c>
      <c r="F678" s="4">
        <v>60360.356</v>
      </c>
      <c r="G678" s="25">
        <v>1333275.3199999998</v>
      </c>
      <c r="I678" s="4">
        <v>1477169.267</v>
      </c>
      <c r="J678" s="4">
        <v>220582.54300000001</v>
      </c>
      <c r="K678" s="4">
        <v>610464.44799999997</v>
      </c>
      <c r="M678" s="25">
        <v>2308216.2579999999</v>
      </c>
      <c r="O678" s="22">
        <v>3641491.5779999997</v>
      </c>
    </row>
    <row r="679" spans="1:15" x14ac:dyDescent="0.2">
      <c r="A679" s="7"/>
      <c r="B679" s="7"/>
      <c r="C679" s="7" t="s">
        <v>23</v>
      </c>
      <c r="D679" s="7">
        <v>0.19924633735873432</v>
      </c>
      <c r="E679" s="7">
        <v>-6.0897858392341297E-2</v>
      </c>
      <c r="F679" s="7">
        <v>0.19408540267721408</v>
      </c>
      <c r="G679" s="26">
        <v>0.13510981517980869</v>
      </c>
      <c r="H679" s="37"/>
      <c r="I679" s="7">
        <v>4.0008042626031637E-2</v>
      </c>
      <c r="J679" s="7">
        <v>0.11796839244889834</v>
      </c>
      <c r="K679" s="7">
        <v>5.751659781013152E-2</v>
      </c>
      <c r="L679" s="7"/>
      <c r="M679" s="26">
        <v>5.2088818244949708E-2</v>
      </c>
      <c r="O679" s="26">
        <v>8.2485660825548646E-2</v>
      </c>
    </row>
    <row r="681" spans="1:15" x14ac:dyDescent="0.2">
      <c r="A681" s="5" t="s">
        <v>13</v>
      </c>
      <c r="C681" s="5" t="s">
        <v>21</v>
      </c>
      <c r="D681" s="4">
        <v>1093812.31394</v>
      </c>
      <c r="E681" s="4">
        <v>326127.40700000001</v>
      </c>
      <c r="F681" s="4">
        <v>71859.845000000001</v>
      </c>
      <c r="G681" s="25">
        <v>1491799.5659399999</v>
      </c>
      <c r="I681" s="4">
        <v>1708956.6449999998</v>
      </c>
      <c r="J681" s="4">
        <v>319725.37699999998</v>
      </c>
      <c r="K681" s="4">
        <v>637251.44475999998</v>
      </c>
      <c r="M681" s="25">
        <v>2665933.4667599997</v>
      </c>
      <c r="O681" s="22">
        <v>4157733.0326999994</v>
      </c>
    </row>
    <row r="682" spans="1:15" x14ac:dyDescent="0.2">
      <c r="C682" s="5" t="s">
        <v>22</v>
      </c>
      <c r="D682" s="4">
        <v>1008995.93</v>
      </c>
      <c r="E682" s="4">
        <v>247521.057</v>
      </c>
      <c r="F682" s="4">
        <v>62542.741000000002</v>
      </c>
      <c r="G682" s="25">
        <v>1319059.7279999999</v>
      </c>
      <c r="I682" s="4">
        <v>1633244.0079999999</v>
      </c>
      <c r="J682" s="4">
        <v>250239.49900000001</v>
      </c>
      <c r="K682" s="4">
        <v>591408.098</v>
      </c>
      <c r="M682" s="25">
        <v>2474891.605</v>
      </c>
      <c r="O682" s="22">
        <v>3793951.3329999996</v>
      </c>
    </row>
    <row r="683" spans="1:15" x14ac:dyDescent="0.2">
      <c r="A683" s="7"/>
      <c r="B683" s="7"/>
      <c r="C683" s="7" t="s">
        <v>23</v>
      </c>
      <c r="D683" s="7">
        <v>8.4060184405302829E-2</v>
      </c>
      <c r="E683" s="7">
        <v>0.31757439529680087</v>
      </c>
      <c r="F683" s="7">
        <v>0.14897178874843364</v>
      </c>
      <c r="G683" s="26">
        <v>0.13095679768945234</v>
      </c>
      <c r="H683" s="37"/>
      <c r="I683" s="7">
        <v>4.6357210942848726E-2</v>
      </c>
      <c r="J683" s="7">
        <v>0.27767749806756115</v>
      </c>
      <c r="K683" s="7">
        <v>7.7515588499770471E-2</v>
      </c>
      <c r="L683" s="7"/>
      <c r="M683" s="26">
        <v>7.7192011712367448E-2</v>
      </c>
      <c r="O683" s="26">
        <v>9.5884651059123138E-2</v>
      </c>
    </row>
    <row r="685" spans="1:15" x14ac:dyDescent="0.2">
      <c r="A685" s="5" t="s">
        <v>14</v>
      </c>
      <c r="C685" s="5" t="s">
        <v>21</v>
      </c>
      <c r="D685" s="4">
        <v>1132757.5080029999</v>
      </c>
      <c r="E685" s="4">
        <v>362436.99599999998</v>
      </c>
      <c r="F685" s="4">
        <v>84565.998999999996</v>
      </c>
      <c r="G685" s="25">
        <v>1579760.503003</v>
      </c>
      <c r="I685" s="4">
        <v>1770567.8429999999</v>
      </c>
      <c r="J685" s="4">
        <v>420470.511</v>
      </c>
      <c r="K685" s="4">
        <v>628606.43707999995</v>
      </c>
      <c r="M685" s="25">
        <v>2819644.7910799999</v>
      </c>
      <c r="O685" s="22">
        <v>4399405.2940830002</v>
      </c>
    </row>
    <row r="686" spans="1:15" x14ac:dyDescent="0.2">
      <c r="C686" s="5" t="s">
        <v>22</v>
      </c>
      <c r="D686" s="4">
        <v>1334269.561</v>
      </c>
      <c r="E686" s="4">
        <v>426916.63199999998</v>
      </c>
      <c r="F686" s="4">
        <v>96868.156000000003</v>
      </c>
      <c r="G686" s="25">
        <v>1858054.3489999999</v>
      </c>
      <c r="I686" s="4">
        <v>1387740.784</v>
      </c>
      <c r="J686" s="4">
        <v>350941.17499999999</v>
      </c>
      <c r="K686" s="4">
        <v>576758.65899999999</v>
      </c>
      <c r="M686" s="25">
        <v>2315440.6179999998</v>
      </c>
      <c r="O686" s="22">
        <v>4173494.9669999997</v>
      </c>
    </row>
    <row r="687" spans="1:15" x14ac:dyDescent="0.2">
      <c r="A687" s="7"/>
      <c r="B687" s="7"/>
      <c r="C687" s="7" t="s">
        <v>23</v>
      </c>
      <c r="D687" s="7">
        <v>-0.15102799230911934</v>
      </c>
      <c r="E687" s="7">
        <v>-0.15103566168862681</v>
      </c>
      <c r="F687" s="7">
        <v>-0.12699897993309595</v>
      </c>
      <c r="G687" s="26">
        <v>-0.14977702140240245</v>
      </c>
      <c r="H687" s="37"/>
      <c r="I687" s="7">
        <v>0.27586352106518475</v>
      </c>
      <c r="J687" s="7">
        <v>0.1981224802133863</v>
      </c>
      <c r="K687" s="7">
        <v>8.9895101306142644E-2</v>
      </c>
      <c r="L687" s="7"/>
      <c r="M687" s="26">
        <v>0.21775733273415354</v>
      </c>
      <c r="O687" s="26">
        <v>5.4129771059814979E-2</v>
      </c>
    </row>
    <row r="689" spans="1:15" x14ac:dyDescent="0.2">
      <c r="A689" s="5" t="s">
        <v>15</v>
      </c>
      <c r="C689" s="5" t="s">
        <v>21</v>
      </c>
      <c r="D689" s="4">
        <v>1260985.645088</v>
      </c>
      <c r="E689" s="4">
        <v>407480.55200000003</v>
      </c>
      <c r="F689" s="4">
        <v>91770.751000000004</v>
      </c>
      <c r="G689" s="25">
        <v>1760236.9480879998</v>
      </c>
      <c r="I689" s="4">
        <v>2143268.838</v>
      </c>
      <c r="J689" s="4">
        <v>452907.196</v>
      </c>
      <c r="K689" s="4">
        <v>697965.76911999995</v>
      </c>
      <c r="M689" s="25">
        <v>3294141.8031199998</v>
      </c>
      <c r="O689" s="22">
        <v>5054378.7512079999</v>
      </c>
    </row>
    <row r="690" spans="1:15" x14ac:dyDescent="0.2">
      <c r="C690" s="5" t="s">
        <v>22</v>
      </c>
      <c r="D690" s="4">
        <v>1169716.5419999999</v>
      </c>
      <c r="E690" s="4">
        <v>353564.23200000002</v>
      </c>
      <c r="F690" s="4">
        <v>82703.263000000006</v>
      </c>
      <c r="G690" s="25">
        <v>1605984.037</v>
      </c>
      <c r="I690" s="4">
        <v>2076309.7760000001</v>
      </c>
      <c r="J690" s="4">
        <v>390642.03700000001</v>
      </c>
      <c r="K690" s="4">
        <v>639070.10900000005</v>
      </c>
      <c r="M690" s="25">
        <v>3106021.9220000003</v>
      </c>
      <c r="O690" s="22">
        <v>4712005.9590000007</v>
      </c>
    </row>
    <row r="691" spans="1:15" x14ac:dyDescent="0.2">
      <c r="A691" s="7"/>
      <c r="B691" s="7"/>
      <c r="C691" s="7" t="s">
        <v>23</v>
      </c>
      <c r="D691" s="7">
        <v>7.8026684081894615E-2</v>
      </c>
      <c r="E691" s="7">
        <v>0.15249370586784927</v>
      </c>
      <c r="F691" s="7">
        <v>0.10963881799923669</v>
      </c>
      <c r="G691" s="26">
        <v>9.6048844530326916E-2</v>
      </c>
      <c r="H691" s="37"/>
      <c r="I691" s="7">
        <v>3.224907129657506E-2</v>
      </c>
      <c r="J691" s="7">
        <v>0.15939185520886467</v>
      </c>
      <c r="K691" s="7">
        <v>9.2158370874454221E-2</v>
      </c>
      <c r="L691" s="7"/>
      <c r="M691" s="26">
        <v>6.0566179455316727E-2</v>
      </c>
      <c r="O691" s="26">
        <v>7.2659668766772656E-2</v>
      </c>
    </row>
    <row r="693" spans="1:15" x14ac:dyDescent="0.2">
      <c r="A693" s="5" t="s">
        <v>16</v>
      </c>
      <c r="C693" s="5" t="s">
        <v>21</v>
      </c>
      <c r="D693" s="4">
        <v>1199846.6270670001</v>
      </c>
      <c r="E693" s="4">
        <v>389806.375</v>
      </c>
      <c r="F693" s="4">
        <v>83327.236000000004</v>
      </c>
      <c r="G693" s="25">
        <v>1672980.2380670002</v>
      </c>
      <c r="I693" s="4">
        <v>2039636.365</v>
      </c>
      <c r="J693" s="4">
        <v>365517.45500000002</v>
      </c>
      <c r="K693" s="4">
        <v>693455.23327199998</v>
      </c>
      <c r="M693" s="25">
        <v>3098609.0532719996</v>
      </c>
      <c r="O693" s="22">
        <v>4771589.2913389998</v>
      </c>
    </row>
    <row r="694" spans="1:15" x14ac:dyDescent="0.2">
      <c r="C694" s="5" t="s">
        <v>22</v>
      </c>
      <c r="D694" s="4">
        <v>1080159.1470000001</v>
      </c>
      <c r="E694" s="4">
        <v>359874.16700000002</v>
      </c>
      <c r="F694" s="4">
        <v>75129.573999999993</v>
      </c>
      <c r="G694" s="25">
        <v>1515162.8880000003</v>
      </c>
      <c r="I694" s="4">
        <v>1843037.327</v>
      </c>
      <c r="J694" s="4">
        <v>335709.80200000003</v>
      </c>
      <c r="K694" s="4">
        <v>648745.57999999996</v>
      </c>
      <c r="M694" s="25">
        <v>2827492.7090000003</v>
      </c>
      <c r="O694" s="22">
        <v>4342655.597000001</v>
      </c>
    </row>
    <row r="695" spans="1:15" x14ac:dyDescent="0.2">
      <c r="A695" s="7"/>
      <c r="B695" s="7"/>
      <c r="C695" s="7" t="s">
        <v>23</v>
      </c>
      <c r="D695" s="7">
        <v>0.11080541270183764</v>
      </c>
      <c r="E695" s="7">
        <v>8.3174094571784041E-2</v>
      </c>
      <c r="F695" s="7">
        <v>0.10911364943983326</v>
      </c>
      <c r="G695" s="26">
        <v>0.10415866922091599</v>
      </c>
      <c r="H695" s="37"/>
      <c r="I695" s="7">
        <v>0.10667121881899888</v>
      </c>
      <c r="J695" s="7">
        <v>8.878993947278313E-2</v>
      </c>
      <c r="K695" s="7">
        <v>6.8917083445870997E-2</v>
      </c>
      <c r="L695" s="7"/>
      <c r="M695" s="26">
        <v>9.5885780150388067E-2</v>
      </c>
      <c r="O695" s="26">
        <v>9.8772210864549237E-2</v>
      </c>
    </row>
    <row r="697" spans="1:15" x14ac:dyDescent="0.2">
      <c r="A697" s="5" t="s">
        <v>17</v>
      </c>
      <c r="C697" s="5" t="s">
        <v>21</v>
      </c>
      <c r="D697" s="4">
        <v>1105153.543759</v>
      </c>
      <c r="E697" s="4">
        <v>365278.495</v>
      </c>
      <c r="F697" s="4">
        <v>67037.241999999998</v>
      </c>
      <c r="G697" s="25">
        <v>1537469.2807590002</v>
      </c>
      <c r="I697" s="4">
        <v>1656908.476</v>
      </c>
      <c r="J697" s="4">
        <v>271008.11700000003</v>
      </c>
      <c r="K697" s="4">
        <v>645214.60491999995</v>
      </c>
      <c r="M697" s="25">
        <v>2573131.1979200002</v>
      </c>
      <c r="O697" s="22">
        <v>4110600.4786790004</v>
      </c>
    </row>
    <row r="698" spans="1:15" x14ac:dyDescent="0.2">
      <c r="C698" s="5" t="s">
        <v>22</v>
      </c>
      <c r="D698" s="4">
        <v>1022113.419</v>
      </c>
      <c r="E698" s="4">
        <v>337312.799</v>
      </c>
      <c r="F698" s="4">
        <v>70751.442999999999</v>
      </c>
      <c r="G698" s="25">
        <v>1430177.6609999998</v>
      </c>
      <c r="I698" s="4">
        <v>1466206.8659999999</v>
      </c>
      <c r="J698" s="4">
        <v>285961.65000000002</v>
      </c>
      <c r="K698" s="4">
        <v>587228.89800000004</v>
      </c>
      <c r="M698" s="25">
        <v>2339397.4139999999</v>
      </c>
      <c r="O698" s="22">
        <v>3769575.0749999997</v>
      </c>
    </row>
    <row r="699" spans="1:15" x14ac:dyDescent="0.2">
      <c r="A699" s="7"/>
      <c r="B699" s="7"/>
      <c r="C699" s="7" t="s">
        <v>23</v>
      </c>
      <c r="D699" s="7">
        <v>8.1243552051438295E-2</v>
      </c>
      <c r="E699" s="7">
        <v>8.2907307647107631E-2</v>
      </c>
      <c r="F699" s="7">
        <v>-5.2496469930655709E-2</v>
      </c>
      <c r="G699" s="26">
        <v>7.5019784383976829E-2</v>
      </c>
      <c r="H699" s="37"/>
      <c r="I699" s="7">
        <v>0.13006460031131795</v>
      </c>
      <c r="J699" s="7">
        <v>-5.2292092313777072E-2</v>
      </c>
      <c r="K699" s="7">
        <v>9.8744641344268302E-2</v>
      </c>
      <c r="L699" s="7"/>
      <c r="M699" s="26">
        <v>9.9911961311589303E-2</v>
      </c>
      <c r="O699" s="26">
        <v>9.0467863590434128E-2</v>
      </c>
    </row>
    <row r="701" spans="1:15" x14ac:dyDescent="0.2">
      <c r="A701" s="5" t="s">
        <v>18</v>
      </c>
      <c r="C701" s="5" t="s">
        <v>21</v>
      </c>
      <c r="D701" s="4">
        <v>1119937.543205</v>
      </c>
      <c r="E701" s="4">
        <v>361434.27899999998</v>
      </c>
      <c r="F701" s="4">
        <v>63368.082999999999</v>
      </c>
      <c r="G701" s="25">
        <v>1544739.9052050002</v>
      </c>
      <c r="I701" s="4">
        <v>1623398.7619999999</v>
      </c>
      <c r="J701" s="4">
        <v>274702.783</v>
      </c>
      <c r="K701" s="4">
        <v>672879.53803000005</v>
      </c>
      <c r="M701" s="25">
        <v>2570981.0830299999</v>
      </c>
      <c r="O701" s="22">
        <v>4115720.9882350001</v>
      </c>
    </row>
    <row r="702" spans="1:15" x14ac:dyDescent="0.2">
      <c r="C702" s="5" t="s">
        <v>22</v>
      </c>
      <c r="D702" s="4">
        <v>991601.902</v>
      </c>
      <c r="E702" s="4">
        <v>340738.48200000002</v>
      </c>
      <c r="F702" s="4">
        <v>54497.580999999998</v>
      </c>
      <c r="G702" s="25">
        <v>1386837.9650000001</v>
      </c>
      <c r="I702" s="4">
        <v>1509473.2009999999</v>
      </c>
      <c r="J702" s="4">
        <v>248964.86199999999</v>
      </c>
      <c r="K702" s="4">
        <v>619464.45799999998</v>
      </c>
      <c r="M702" s="25">
        <v>2377902.5209999997</v>
      </c>
      <c r="O702" s="22">
        <v>3764740.4859999996</v>
      </c>
    </row>
    <row r="703" spans="1:15" x14ac:dyDescent="0.2">
      <c r="A703" s="7"/>
      <c r="B703" s="7"/>
      <c r="C703" s="7" t="s">
        <v>23</v>
      </c>
      <c r="D703" s="7">
        <v>0.12942254441641832</v>
      </c>
      <c r="E703" s="7">
        <v>6.0738067736064938E-2</v>
      </c>
      <c r="F703" s="7">
        <v>0.1627687291294635</v>
      </c>
      <c r="G703" s="26">
        <v>0.11385752639458513</v>
      </c>
      <c r="H703" s="37"/>
      <c r="I703" s="7">
        <v>7.5473722173090785E-2</v>
      </c>
      <c r="J703" s="7">
        <v>0.10337973316089877</v>
      </c>
      <c r="K703" s="7">
        <v>8.6227836545224479E-2</v>
      </c>
      <c r="L703" s="7"/>
      <c r="M703" s="26">
        <v>8.1197004639535608E-2</v>
      </c>
      <c r="O703" s="26">
        <v>9.3228338989153947E-2</v>
      </c>
    </row>
    <row r="705" spans="1:15" x14ac:dyDescent="0.2">
      <c r="A705" s="5" t="s">
        <v>19</v>
      </c>
      <c r="C705" s="5" t="s">
        <v>21</v>
      </c>
      <c r="D705" s="4">
        <v>1236541.0896740002</v>
      </c>
      <c r="E705" s="4">
        <v>393441.49800000002</v>
      </c>
      <c r="F705" s="4">
        <v>67981.562999999995</v>
      </c>
      <c r="G705" s="25">
        <v>1697964.1506740004</v>
      </c>
      <c r="I705" s="4">
        <v>1715115.9240000001</v>
      </c>
      <c r="J705" s="4">
        <v>261256.891</v>
      </c>
      <c r="K705" s="4">
        <v>714478.18992000003</v>
      </c>
      <c r="M705" s="25">
        <v>2690851.0049200002</v>
      </c>
      <c r="O705" s="22">
        <v>4388815.1555940006</v>
      </c>
    </row>
    <row r="706" spans="1:15" x14ac:dyDescent="0.2">
      <c r="C706" s="5" t="s">
        <v>22</v>
      </c>
      <c r="D706" s="4">
        <v>1144577.0379999999</v>
      </c>
      <c r="E706" s="4">
        <v>351816.2</v>
      </c>
      <c r="F706" s="4">
        <v>61401.665999999997</v>
      </c>
      <c r="G706" s="25">
        <v>1557794.9039999999</v>
      </c>
      <c r="I706" s="4">
        <v>1615645.6969999999</v>
      </c>
      <c r="J706" s="4">
        <v>228339.796</v>
      </c>
      <c r="K706" s="4">
        <v>637623.89799999993</v>
      </c>
      <c r="M706" s="25">
        <v>2481609.3909999998</v>
      </c>
      <c r="O706" s="22">
        <v>4039404.2949999999</v>
      </c>
    </row>
    <row r="707" spans="1:15" x14ac:dyDescent="0.2">
      <c r="A707" s="7"/>
      <c r="B707" s="7"/>
      <c r="C707" s="7" t="s">
        <v>23</v>
      </c>
      <c r="D707" s="7">
        <v>8.0347629404391663E-2</v>
      </c>
      <c r="E707" s="7">
        <v>0.11831546699668749</v>
      </c>
      <c r="F707" s="7">
        <v>0.10716153858105404</v>
      </c>
      <c r="G707" s="26">
        <v>8.9979268974422322E-2</v>
      </c>
      <c r="H707" s="37"/>
      <c r="I707" s="7">
        <v>6.1566856634905021E-2</v>
      </c>
      <c r="J707" s="7">
        <v>0.14415837964574507</v>
      </c>
      <c r="K707" s="7">
        <v>0.12053232659733237</v>
      </c>
      <c r="L707" s="7"/>
      <c r="M707" s="26">
        <v>8.4316901233067787E-2</v>
      </c>
      <c r="O707" s="26">
        <v>8.6500591442778774E-2</v>
      </c>
    </row>
    <row r="709" spans="1:15" x14ac:dyDescent="0.2">
      <c r="A709" s="5" t="s">
        <v>20</v>
      </c>
      <c r="C709" s="5" t="s">
        <v>21</v>
      </c>
      <c r="D709" s="4">
        <v>1327750.4291069999</v>
      </c>
      <c r="E709" s="4">
        <v>437754.73499999999</v>
      </c>
      <c r="F709" s="4">
        <v>79364.710000000006</v>
      </c>
      <c r="G709" s="25">
        <v>1844869.874107</v>
      </c>
      <c r="I709" s="4">
        <v>1841594.4309999999</v>
      </c>
      <c r="J709" s="4">
        <v>277023.67</v>
      </c>
      <c r="K709" s="4">
        <v>752173.95770399994</v>
      </c>
      <c r="M709" s="25">
        <v>2870792.058704</v>
      </c>
      <c r="O709" s="22">
        <v>4715661.9328109995</v>
      </c>
    </row>
    <row r="710" spans="1:15" x14ac:dyDescent="0.2">
      <c r="C710" s="5" t="s">
        <v>22</v>
      </c>
      <c r="D710" s="4">
        <v>1193953.6640000001</v>
      </c>
      <c r="E710" s="4">
        <v>400463.18</v>
      </c>
      <c r="F710" s="4">
        <v>77685.998000000007</v>
      </c>
      <c r="G710" s="25">
        <v>1672102.8419999999</v>
      </c>
      <c r="I710" s="4">
        <v>1638306.8929999999</v>
      </c>
      <c r="J710" s="4">
        <v>253045.33199999999</v>
      </c>
      <c r="K710" s="4">
        <v>677912.98800000001</v>
      </c>
      <c r="M710" s="25">
        <v>2569265.213</v>
      </c>
      <c r="O710" s="22">
        <v>4241368.0549999997</v>
      </c>
    </row>
    <row r="711" spans="1:15" x14ac:dyDescent="0.2">
      <c r="A711" s="7"/>
      <c r="B711" s="7"/>
      <c r="C711" s="7" t="s">
        <v>23</v>
      </c>
      <c r="D711" s="7">
        <v>0.11206194104614742</v>
      </c>
      <c r="E711" s="7">
        <v>9.3121057970922516E-2</v>
      </c>
      <c r="F711" s="7">
        <v>2.1608939103801017E-2</v>
      </c>
      <c r="G711" s="26">
        <v>0.10332320941477113</v>
      </c>
      <c r="H711" s="37"/>
      <c r="I711" s="7">
        <v>0.12408391789632778</v>
      </c>
      <c r="J711" s="7">
        <v>9.4759060799430195E-2</v>
      </c>
      <c r="K711" s="7">
        <v>0.10954351224791692</v>
      </c>
      <c r="L711" s="7"/>
      <c r="M711" s="26">
        <v>0.11735917498058623</v>
      </c>
      <c r="O711" s="26">
        <v>0.1118256825770807</v>
      </c>
    </row>
    <row r="713" spans="1:15" x14ac:dyDescent="0.2">
      <c r="A713" s="5" t="s">
        <v>48</v>
      </c>
      <c r="C713" s="5" t="s">
        <v>21</v>
      </c>
      <c r="D713" s="4">
        <v>14260636.477134999</v>
      </c>
      <c r="E713" s="4">
        <v>4469641.29</v>
      </c>
      <c r="F713" s="4">
        <v>892687.39599999995</v>
      </c>
      <c r="G713" s="25">
        <v>19622965.163135</v>
      </c>
      <c r="I713" s="4">
        <v>20948719.353999995</v>
      </c>
      <c r="J713" s="4">
        <v>3636800.0589999999</v>
      </c>
      <c r="K713" s="4">
        <v>8180919.1151950005</v>
      </c>
      <c r="M713" s="25">
        <v>32766438.528194997</v>
      </c>
      <c r="O713" s="25">
        <v>52389403.691329993</v>
      </c>
    </row>
    <row r="714" spans="1:15" x14ac:dyDescent="0.2">
      <c r="C714" s="5" t="s">
        <v>22</v>
      </c>
      <c r="D714" s="4">
        <v>13227343.939000001</v>
      </c>
      <c r="E714" s="4">
        <v>4144731.7110000001</v>
      </c>
      <c r="F714" s="4">
        <v>834702.41899999999</v>
      </c>
      <c r="G714" s="25">
        <v>18206778.068999998</v>
      </c>
      <c r="I714" s="4">
        <v>19204334.198999997</v>
      </c>
      <c r="J714" s="4">
        <v>3280360.5100000002</v>
      </c>
      <c r="K714" s="4">
        <v>7647088.5609999998</v>
      </c>
      <c r="M714" s="25">
        <v>30131783.27</v>
      </c>
      <c r="O714" s="25">
        <v>48338561.339000009</v>
      </c>
    </row>
    <row r="715" spans="1:15" x14ac:dyDescent="0.2">
      <c r="C715" s="5" t="s">
        <v>23</v>
      </c>
      <c r="D715" s="7">
        <v>7.8117915652620162E-2</v>
      </c>
      <c r="E715" s="7">
        <v>7.8390979598920607E-2</v>
      </c>
      <c r="F715" s="7">
        <v>6.9467843485427672E-2</v>
      </c>
      <c r="G715" s="26">
        <v>7.7783509458287492E-2</v>
      </c>
      <c r="I715" s="7">
        <v>9.08328889158172E-2</v>
      </c>
      <c r="J715" s="7">
        <v>0.10865865136268194</v>
      </c>
      <c r="K715" s="7">
        <v>6.9808339466280733E-2</v>
      </c>
      <c r="L715" s="7"/>
      <c r="M715" s="26">
        <v>8.7437747530134668E-2</v>
      </c>
      <c r="O715" s="26">
        <v>8.3801466988669526E-2</v>
      </c>
    </row>
    <row r="717" spans="1:15" x14ac:dyDescent="0.2">
      <c r="D717" s="25" t="s">
        <v>7</v>
      </c>
      <c r="E717" s="25"/>
      <c r="F717" s="25"/>
      <c r="H717" s="34"/>
      <c r="I717" s="25" t="s">
        <v>8</v>
      </c>
      <c r="J717" s="25"/>
      <c r="K717" s="25"/>
      <c r="O717" s="20" t="s">
        <v>24</v>
      </c>
    </row>
    <row r="718" spans="1:15" x14ac:dyDescent="0.2">
      <c r="D718" s="25" t="s">
        <v>0</v>
      </c>
      <c r="E718" s="25" t="s">
        <v>1</v>
      </c>
      <c r="F718" s="25" t="s">
        <v>2</v>
      </c>
      <c r="G718" s="25" t="s">
        <v>24</v>
      </c>
      <c r="H718" s="34"/>
      <c r="I718" s="25" t="s">
        <v>3</v>
      </c>
      <c r="J718" s="25" t="s">
        <v>4</v>
      </c>
      <c r="K718" s="23" t="s">
        <v>25</v>
      </c>
      <c r="M718" s="27" t="s">
        <v>24</v>
      </c>
      <c r="O718" s="20" t="s">
        <v>49</v>
      </c>
    </row>
    <row r="719" spans="1:15" x14ac:dyDescent="0.2">
      <c r="A719" s="5">
        <v>2002</v>
      </c>
    </row>
    <row r="720" spans="1:15" x14ac:dyDescent="0.2">
      <c r="A720" s="5" t="s">
        <v>9</v>
      </c>
      <c r="C720" s="5" t="s">
        <v>21</v>
      </c>
      <c r="D720" s="4">
        <v>1408761.8523965001</v>
      </c>
      <c r="E720" s="4">
        <v>408084.09600000002</v>
      </c>
      <c r="F720" s="4">
        <v>82136.198999999993</v>
      </c>
      <c r="G720" s="25">
        <v>1898982.1473965002</v>
      </c>
      <c r="I720" s="4">
        <v>1743484.6509999998</v>
      </c>
      <c r="J720" s="4">
        <v>274117.02100000001</v>
      </c>
      <c r="K720" s="4">
        <v>659386.26100000006</v>
      </c>
      <c r="M720" s="25">
        <v>2676987.9329999997</v>
      </c>
      <c r="O720" s="22">
        <v>4575970.0803964995</v>
      </c>
    </row>
    <row r="721" spans="1:15" x14ac:dyDescent="0.2">
      <c r="C721" s="5" t="s">
        <v>22</v>
      </c>
      <c r="D721" s="4">
        <v>1236902.111</v>
      </c>
      <c r="E721" s="4">
        <v>389221.79499999998</v>
      </c>
      <c r="F721" s="4">
        <v>70647.937999999995</v>
      </c>
      <c r="G721" s="25">
        <v>1696771.844</v>
      </c>
      <c r="I721" s="4">
        <v>1585680.9269999999</v>
      </c>
      <c r="J721" s="4">
        <v>277229.239</v>
      </c>
      <c r="K721" s="4">
        <v>684028.09700000007</v>
      </c>
      <c r="M721" s="25">
        <v>2546938.2630000003</v>
      </c>
      <c r="O721" s="22">
        <v>4243710.1070000008</v>
      </c>
    </row>
    <row r="722" spans="1:15" x14ac:dyDescent="0.2">
      <c r="C722" s="5" t="s">
        <v>23</v>
      </c>
      <c r="D722" s="7">
        <v>0.1389436883227213</v>
      </c>
      <c r="E722" s="7">
        <v>4.8461574460392232E-2</v>
      </c>
      <c r="F722" s="7">
        <v>0.16261282813378086</v>
      </c>
      <c r="G722" s="26">
        <v>0.11917353774553807</v>
      </c>
      <c r="I722" s="7">
        <v>9.9517955543902303E-2</v>
      </c>
      <c r="J722" s="7">
        <v>-1.1226153529931171E-2</v>
      </c>
      <c r="K722" s="7">
        <v>-3.6024596223567129E-2</v>
      </c>
      <c r="M722" s="26">
        <v>5.1061178784449934E-2</v>
      </c>
      <c r="O722" s="26">
        <v>7.8294691441914477E-2</v>
      </c>
    </row>
    <row r="724" spans="1:15" x14ac:dyDescent="0.2">
      <c r="A724" s="5" t="s">
        <v>10</v>
      </c>
      <c r="C724" s="5" t="s">
        <v>21</v>
      </c>
      <c r="D724" s="4">
        <v>1187698.1976783001</v>
      </c>
      <c r="E724" s="4">
        <v>350852.788</v>
      </c>
      <c r="F724" s="4">
        <v>63630.665000000001</v>
      </c>
      <c r="G724" s="25">
        <v>1602181.6506783001</v>
      </c>
      <c r="I724" s="4">
        <v>1595633.487</v>
      </c>
      <c r="J724" s="4">
        <v>248918.022</v>
      </c>
      <c r="K724" s="4">
        <v>590922.91500000004</v>
      </c>
      <c r="M724" s="25">
        <v>2435474.4240000001</v>
      </c>
      <c r="O724" s="22">
        <v>4037656.0746782999</v>
      </c>
    </row>
    <row r="725" spans="1:15" x14ac:dyDescent="0.2">
      <c r="C725" s="5" t="s">
        <v>22</v>
      </c>
      <c r="D725" s="4">
        <v>1087113.274</v>
      </c>
      <c r="E725" s="4">
        <v>295794.326</v>
      </c>
      <c r="F725" s="4">
        <v>62744.737000000001</v>
      </c>
      <c r="G725" s="25">
        <v>1445652.3370000001</v>
      </c>
      <c r="I725" s="4">
        <v>1466785.159</v>
      </c>
      <c r="J725" s="4">
        <v>237050.549</v>
      </c>
      <c r="K725" s="4">
        <v>565539.85199999996</v>
      </c>
      <c r="M725" s="25">
        <v>2269375.56</v>
      </c>
      <c r="O725" s="22">
        <v>3715027.8969999999</v>
      </c>
    </row>
    <row r="726" spans="1:15" x14ac:dyDescent="0.2">
      <c r="C726" s="5" t="s">
        <v>23</v>
      </c>
      <c r="D726" s="7">
        <v>9.2524786592110164E-2</v>
      </c>
      <c r="E726" s="7">
        <v>0.18613765431051577</v>
      </c>
      <c r="F726" s="7">
        <v>1.4119558744823513E-2</v>
      </c>
      <c r="G726" s="26">
        <v>0.10827590401377396</v>
      </c>
      <c r="I726" s="7">
        <v>8.7844035787656871E-2</v>
      </c>
      <c r="J726" s="7">
        <v>5.0063047945102968E-2</v>
      </c>
      <c r="K726" s="7">
        <v>4.4882890056703095E-2</v>
      </c>
      <c r="M726" s="26">
        <v>7.3191439498890176E-2</v>
      </c>
      <c r="O726" s="26">
        <v>8.6844079404849728E-2</v>
      </c>
    </row>
    <row r="728" spans="1:15" x14ac:dyDescent="0.2">
      <c r="A728" s="5" t="s">
        <v>11</v>
      </c>
      <c r="C728" s="5" t="s">
        <v>21</v>
      </c>
      <c r="D728" s="4">
        <v>1301735.4966315001</v>
      </c>
      <c r="E728" s="4">
        <v>369252.28899999999</v>
      </c>
      <c r="F728" s="4">
        <v>69064.922000000006</v>
      </c>
      <c r="G728" s="25">
        <v>1740052.7076315002</v>
      </c>
      <c r="I728" s="4">
        <v>1577019.037</v>
      </c>
      <c r="J728" s="4">
        <v>257393.82500000001</v>
      </c>
      <c r="K728" s="4">
        <v>661906.92299999995</v>
      </c>
      <c r="M728" s="25">
        <v>2496319.7850000001</v>
      </c>
      <c r="O728" s="22">
        <v>4236372.4926315006</v>
      </c>
    </row>
    <row r="729" spans="1:15" x14ac:dyDescent="0.2">
      <c r="C729" s="5" t="s">
        <v>22</v>
      </c>
      <c r="D729" s="4">
        <v>1120703.558</v>
      </c>
      <c r="E729" s="4">
        <v>331634.88900000002</v>
      </c>
      <c r="F729" s="4">
        <v>66448.331999999995</v>
      </c>
      <c r="G729" s="25">
        <v>1518786.7789999999</v>
      </c>
      <c r="I729" s="4">
        <v>1584563.841</v>
      </c>
      <c r="J729" s="4">
        <v>219795.46400000001</v>
      </c>
      <c r="K729" s="4">
        <v>635773.20399999991</v>
      </c>
      <c r="M729" s="25">
        <v>2440132.5089999996</v>
      </c>
      <c r="O729" s="22">
        <v>3958919.2879999997</v>
      </c>
    </row>
    <row r="730" spans="1:15" x14ac:dyDescent="0.2">
      <c r="C730" s="5" t="s">
        <v>23</v>
      </c>
      <c r="D730" s="7">
        <v>0.16153418746574566</v>
      </c>
      <c r="E730" s="7">
        <v>0.11343016446016918</v>
      </c>
      <c r="F730" s="7">
        <v>3.9377813125542671E-2</v>
      </c>
      <c r="G730" s="26">
        <v>0.14568597231086411</v>
      </c>
      <c r="I730" s="7">
        <v>-4.7614389554910819E-3</v>
      </c>
      <c r="J730" s="7">
        <v>0.17106067757613053</v>
      </c>
      <c r="K730" s="7">
        <v>4.1105411230889288E-2</v>
      </c>
      <c r="M730" s="26">
        <v>2.302632164145324E-2</v>
      </c>
      <c r="O730" s="26">
        <v>7.0083066727957277E-2</v>
      </c>
    </row>
    <row r="732" spans="1:15" x14ac:dyDescent="0.2">
      <c r="A732" s="5" t="s">
        <v>12</v>
      </c>
      <c r="C732" s="5" t="s">
        <v>21</v>
      </c>
      <c r="D732" s="4">
        <v>1125443.0785791001</v>
      </c>
      <c r="E732" s="4">
        <v>315574.45699999999</v>
      </c>
      <c r="F732" s="4">
        <v>72308.775999999998</v>
      </c>
      <c r="G732" s="25">
        <v>1513326.3115791001</v>
      </c>
      <c r="I732" s="4">
        <v>1466060.2590000001</v>
      </c>
      <c r="J732" s="4">
        <v>225828.03099999999</v>
      </c>
      <c r="K732" s="4">
        <v>644576.65399999998</v>
      </c>
      <c r="M732" s="25">
        <v>2336464.9440000001</v>
      </c>
      <c r="O732" s="22">
        <v>3849791.2555791</v>
      </c>
    </row>
    <row r="733" spans="1:15" x14ac:dyDescent="0.2">
      <c r="C733" s="5" t="s">
        <v>22</v>
      </c>
      <c r="D733" s="4">
        <v>1006427.224</v>
      </c>
      <c r="E733" s="4">
        <v>293035.05800000002</v>
      </c>
      <c r="F733" s="4">
        <v>54025.851000000002</v>
      </c>
      <c r="G733" s="25">
        <v>1353488.1330000001</v>
      </c>
      <c r="I733" s="4">
        <v>1330039.629</v>
      </c>
      <c r="J733" s="4">
        <v>221093.946</v>
      </c>
      <c r="K733" s="4">
        <v>595534.93099999998</v>
      </c>
      <c r="M733" s="25">
        <v>2146668.5060000001</v>
      </c>
      <c r="O733" s="22">
        <v>3500156.6390000004</v>
      </c>
    </row>
    <row r="734" spans="1:15" x14ac:dyDescent="0.2">
      <c r="C734" s="5" t="s">
        <v>23</v>
      </c>
      <c r="D734" s="7">
        <v>0.11825579807556963</v>
      </c>
      <c r="E734" s="7">
        <v>7.6917073178322415E-2</v>
      </c>
      <c r="F734" s="7">
        <v>0.33841068047220579</v>
      </c>
      <c r="G734" s="26">
        <v>0.11809352049863886</v>
      </c>
      <c r="I734" s="7">
        <v>0.10226810317093205</v>
      </c>
      <c r="J734" s="7">
        <v>2.1412096919198209E-2</v>
      </c>
      <c r="K734" s="7">
        <v>8.2349028490488418E-2</v>
      </c>
      <c r="M734" s="26">
        <v>8.8414413995227203E-2</v>
      </c>
      <c r="O734" s="26">
        <v>9.9891134209065147E-2</v>
      </c>
    </row>
    <row r="736" spans="1:15" x14ac:dyDescent="0.2">
      <c r="A736" s="5" t="s">
        <v>13</v>
      </c>
      <c r="C736" s="5" t="s">
        <v>21</v>
      </c>
      <c r="D736" s="4">
        <v>1147019.2140645001</v>
      </c>
      <c r="E736" s="4">
        <v>320972.15999999997</v>
      </c>
      <c r="F736" s="4">
        <v>77912.914000000004</v>
      </c>
      <c r="G736" s="25">
        <v>1545904.2880645001</v>
      </c>
      <c r="I736" s="4">
        <v>1576616.625</v>
      </c>
      <c r="J736" s="4">
        <v>306639.28200000001</v>
      </c>
      <c r="K736" s="4">
        <v>667639.05500000005</v>
      </c>
      <c r="M736" s="25">
        <v>2550894.9620000003</v>
      </c>
      <c r="O736" s="22">
        <v>4096799.2500645006</v>
      </c>
    </row>
    <row r="737" spans="1:15" x14ac:dyDescent="0.2">
      <c r="C737" s="5" t="s">
        <v>22</v>
      </c>
      <c r="D737" s="4">
        <v>1013249.224</v>
      </c>
      <c r="E737" s="4">
        <v>287772.19799999997</v>
      </c>
      <c r="F737" s="4">
        <v>68933.745999999999</v>
      </c>
      <c r="G737" s="25">
        <v>1369955.1680000001</v>
      </c>
      <c r="I737" s="4">
        <v>1496654.791</v>
      </c>
      <c r="J737" s="4">
        <v>248839.57800000001</v>
      </c>
      <c r="K737" s="4">
        <v>602925.26500000001</v>
      </c>
      <c r="M737" s="25">
        <v>2348419.6340000001</v>
      </c>
      <c r="O737" s="22">
        <v>3718374.8020000001</v>
      </c>
    </row>
    <row r="738" spans="1:15" x14ac:dyDescent="0.2">
      <c r="C738" s="5" t="s">
        <v>23</v>
      </c>
      <c r="D738" s="7">
        <v>0.13202081669149157</v>
      </c>
      <c r="E738" s="7">
        <v>0.11536890022989654</v>
      </c>
      <c r="F738" s="7">
        <v>0.1302579436202409</v>
      </c>
      <c r="G738" s="26">
        <v>0.12843421753820494</v>
      </c>
      <c r="I738" s="7">
        <v>5.3427039074637195E-2</v>
      </c>
      <c r="J738" s="7">
        <v>0.23227697323936147</v>
      </c>
      <c r="K738" s="7">
        <v>0.10733302078492279</v>
      </c>
      <c r="M738" s="26">
        <v>8.6217695112320802E-2</v>
      </c>
      <c r="O738" s="26">
        <v>0.1017714642055334</v>
      </c>
    </row>
    <row r="740" spans="1:15" x14ac:dyDescent="0.2">
      <c r="A740" s="5" t="s">
        <v>14</v>
      </c>
      <c r="C740" s="5" t="s">
        <v>21</v>
      </c>
      <c r="D740" s="4">
        <v>1077111.3773246999</v>
      </c>
      <c r="E740" s="4">
        <v>334519.12099999998</v>
      </c>
      <c r="F740" s="4">
        <v>86951.513000000006</v>
      </c>
      <c r="G740" s="25">
        <v>1498582.0113247</v>
      </c>
      <c r="I740" s="4">
        <v>1729425.916</v>
      </c>
      <c r="J740" s="4">
        <v>383211.14199999999</v>
      </c>
      <c r="K740" s="4">
        <v>648867.57900000003</v>
      </c>
      <c r="M740" s="25">
        <v>2761504.6370000001</v>
      </c>
      <c r="O740" s="22">
        <v>4260086.6483247001</v>
      </c>
    </row>
    <row r="741" spans="1:15" x14ac:dyDescent="0.2">
      <c r="C741" s="5" t="s">
        <v>22</v>
      </c>
      <c r="D741" s="4">
        <v>999213.35900000005</v>
      </c>
      <c r="E741" s="4">
        <v>288753.75099999999</v>
      </c>
      <c r="F741" s="4">
        <v>73881.320999999996</v>
      </c>
      <c r="G741" s="25">
        <v>1361848.4310000001</v>
      </c>
      <c r="I741" s="4">
        <v>1602219.5589999999</v>
      </c>
      <c r="J741" s="4">
        <v>322584.00699999998</v>
      </c>
      <c r="K741" s="4">
        <v>597304.58600000001</v>
      </c>
      <c r="M741" s="25">
        <v>2522108.1519999998</v>
      </c>
      <c r="O741" s="22">
        <v>3883956.5829999996</v>
      </c>
    </row>
    <row r="742" spans="1:15" x14ac:dyDescent="0.2">
      <c r="C742" s="5" t="s">
        <v>23</v>
      </c>
      <c r="D742" s="7">
        <v>7.7959344341291814E-2</v>
      </c>
      <c r="E742" s="7">
        <v>0.15849272898276556</v>
      </c>
      <c r="F742" s="7">
        <v>0.1769079359043948</v>
      </c>
      <c r="G742" s="26">
        <v>0.10040293560737656</v>
      </c>
      <c r="I742" s="7">
        <v>7.9393836060392298E-2</v>
      </c>
      <c r="J742" s="7">
        <v>0.18794215982319296</v>
      </c>
      <c r="K742" s="7">
        <v>8.6326129429717735E-2</v>
      </c>
      <c r="M742" s="26">
        <v>9.4919198770346824E-2</v>
      </c>
      <c r="O742" s="26">
        <v>9.68419850445843E-2</v>
      </c>
    </row>
    <row r="744" spans="1:15" x14ac:dyDescent="0.2">
      <c r="A744" s="5" t="s">
        <v>15</v>
      </c>
      <c r="C744" s="5" t="s">
        <v>21</v>
      </c>
      <c r="D744" s="4">
        <v>1194847.4789278</v>
      </c>
      <c r="E744" s="4">
        <v>387050.00799999997</v>
      </c>
      <c r="F744" s="4">
        <v>90989.175000000003</v>
      </c>
      <c r="G744" s="25">
        <v>1672886.6619277999</v>
      </c>
      <c r="I744" s="4">
        <v>2034595.423</v>
      </c>
      <c r="J744" s="4">
        <v>426952.223</v>
      </c>
      <c r="K744" s="4">
        <v>684377.60100000002</v>
      </c>
      <c r="M744" s="25">
        <v>3145925.2469999995</v>
      </c>
      <c r="O744" s="22">
        <v>4818811.9089277992</v>
      </c>
    </row>
    <row r="745" spans="1:15" x14ac:dyDescent="0.2">
      <c r="C745" s="5" t="s">
        <v>22</v>
      </c>
      <c r="D745" s="4">
        <v>1099251.9240000001</v>
      </c>
      <c r="E745" s="4">
        <v>351258.83899999998</v>
      </c>
      <c r="F745" s="4">
        <v>82931.725999999995</v>
      </c>
      <c r="G745" s="25">
        <v>1533442.4890000001</v>
      </c>
      <c r="I745" s="4">
        <v>1865827.923</v>
      </c>
      <c r="J745" s="4">
        <v>376339.31900000002</v>
      </c>
      <c r="K745" s="4">
        <v>619379.85199999996</v>
      </c>
      <c r="M745" s="25">
        <v>2861547.094</v>
      </c>
      <c r="O745" s="22">
        <v>4394989.5830000006</v>
      </c>
    </row>
    <row r="746" spans="1:15" x14ac:dyDescent="0.2">
      <c r="C746" s="5" t="s">
        <v>23</v>
      </c>
      <c r="D746" s="7">
        <v>8.6964191593081885E-2</v>
      </c>
      <c r="E746" s="7">
        <v>0.10189400244530211</v>
      </c>
      <c r="F746" s="7">
        <v>9.7157618545163471E-2</v>
      </c>
      <c r="G746" s="26">
        <v>9.0935378358229402E-2</v>
      </c>
      <c r="I746" s="7">
        <v>9.0451803148408505E-2</v>
      </c>
      <c r="J746" s="7">
        <v>0.13448741984889434</v>
      </c>
      <c r="K746" s="7">
        <v>0.10494004412658886</v>
      </c>
      <c r="M746" s="26">
        <v>9.9379162270743171E-2</v>
      </c>
      <c r="O746" s="26">
        <v>9.6433067228910208E-2</v>
      </c>
    </row>
    <row r="748" spans="1:15" x14ac:dyDescent="0.2">
      <c r="A748" s="5" t="s">
        <v>16</v>
      </c>
      <c r="C748" s="5" t="s">
        <v>21</v>
      </c>
      <c r="D748" s="4">
        <v>1175669.7844244998</v>
      </c>
      <c r="E748" s="4">
        <v>375756.47</v>
      </c>
      <c r="F748" s="4">
        <v>89870.290999999997</v>
      </c>
      <c r="G748" s="25">
        <v>1641296.5454244998</v>
      </c>
      <c r="I748" s="4">
        <v>1887021.4410000001</v>
      </c>
      <c r="J748" s="4">
        <v>356421.87699999998</v>
      </c>
      <c r="K748" s="4">
        <v>658914.01899999997</v>
      </c>
      <c r="M748" s="25">
        <v>2902357.3369999998</v>
      </c>
      <c r="O748" s="22">
        <v>4543653.8824244998</v>
      </c>
    </row>
    <row r="749" spans="1:15" x14ac:dyDescent="0.2">
      <c r="C749" s="5" t="s">
        <v>22</v>
      </c>
      <c r="D749" s="4">
        <v>1084584.6599999999</v>
      </c>
      <c r="E749" s="4">
        <v>314045.76699999999</v>
      </c>
      <c r="F749" s="4">
        <v>67213.538</v>
      </c>
      <c r="G749" s="25">
        <v>1465843.9649999999</v>
      </c>
      <c r="I749" s="4">
        <v>1698344.507</v>
      </c>
      <c r="J749" s="4">
        <v>350943.41899999999</v>
      </c>
      <c r="K749" s="4">
        <v>608632.52</v>
      </c>
      <c r="M749" s="25">
        <v>2657920.446</v>
      </c>
      <c r="O749" s="22">
        <v>4123764.4109999998</v>
      </c>
    </row>
    <row r="750" spans="1:15" x14ac:dyDescent="0.2">
      <c r="C750" s="5" t="s">
        <v>23</v>
      </c>
      <c r="D750" s="7">
        <v>8.3981571733183102E-2</v>
      </c>
      <c r="E750" s="7">
        <v>0.19650226013076622</v>
      </c>
      <c r="F750" s="7">
        <v>0.33708615368528871</v>
      </c>
      <c r="G750" s="26">
        <v>0.11969389963310317</v>
      </c>
      <c r="I750" s="7">
        <v>0.11109461786012065</v>
      </c>
      <c r="J750" s="7">
        <v>1.5610658879458894E-2</v>
      </c>
      <c r="K750" s="7">
        <v>8.2613888262164981E-2</v>
      </c>
      <c r="M750" s="26">
        <v>9.1965465470519092E-2</v>
      </c>
      <c r="O750" s="26">
        <v>0.10182188640661893</v>
      </c>
    </row>
    <row r="752" spans="1:15" x14ac:dyDescent="0.2">
      <c r="A752" s="5" t="s">
        <v>17</v>
      </c>
      <c r="C752" s="5" t="s">
        <v>21</v>
      </c>
      <c r="D752" s="4">
        <v>1096072.4108410999</v>
      </c>
      <c r="E752" s="4">
        <v>348440.39899999998</v>
      </c>
      <c r="F752" s="4">
        <v>70027.955000000002</v>
      </c>
      <c r="G752" s="25">
        <v>1514540.7648411</v>
      </c>
      <c r="I752" s="4">
        <v>1588153.36</v>
      </c>
      <c r="J752" s="4">
        <v>279653.99300000002</v>
      </c>
      <c r="K752" s="4">
        <v>662513.40399999998</v>
      </c>
      <c r="M752" s="25">
        <v>2530320.7570000002</v>
      </c>
      <c r="O752" s="22">
        <v>4044861.5218411004</v>
      </c>
    </row>
    <row r="753" spans="1:15" x14ac:dyDescent="0.2">
      <c r="C753" s="5" t="s">
        <v>22</v>
      </c>
      <c r="D753" s="4">
        <v>987106.65</v>
      </c>
      <c r="E753" s="4">
        <v>321746.08199999999</v>
      </c>
      <c r="F753" s="4">
        <v>68170.228000000003</v>
      </c>
      <c r="G753" s="25">
        <v>1377022.96</v>
      </c>
      <c r="I753" s="4">
        <v>1490312.4790000001</v>
      </c>
      <c r="J753" s="4">
        <v>238123.954</v>
      </c>
      <c r="K753" s="4">
        <v>583383.24899999995</v>
      </c>
      <c r="M753" s="25">
        <v>2311819.682</v>
      </c>
      <c r="O753" s="22">
        <v>3688842.642</v>
      </c>
    </row>
    <row r="754" spans="1:15" x14ac:dyDescent="0.2">
      <c r="C754" s="5" t="s">
        <v>23</v>
      </c>
      <c r="D754" s="7">
        <v>0.11038904544012529</v>
      </c>
      <c r="E754" s="7">
        <v>8.2967030504508044E-2</v>
      </c>
      <c r="F754" s="7">
        <v>2.7251295096152539E-2</v>
      </c>
      <c r="G754" s="26">
        <v>9.9866021726391585E-2</v>
      </c>
      <c r="I754" s="7">
        <v>6.5651252592108245E-2</v>
      </c>
      <c r="J754" s="7">
        <v>0.17440512935544494</v>
      </c>
      <c r="K754" s="7">
        <v>0.13564008760217261</v>
      </c>
      <c r="M754" s="26">
        <v>9.4514756795811561E-2</v>
      </c>
      <c r="O754" s="26">
        <v>9.6512352082352759E-2</v>
      </c>
    </row>
    <row r="756" spans="1:15" x14ac:dyDescent="0.2">
      <c r="A756" s="5" t="s">
        <v>18</v>
      </c>
      <c r="C756" s="5" t="s">
        <v>21</v>
      </c>
      <c r="D756" s="4">
        <v>1151588.0270317998</v>
      </c>
      <c r="E756" s="4">
        <v>373352.81</v>
      </c>
      <c r="F756" s="4">
        <v>66633.047000000006</v>
      </c>
      <c r="G756" s="25">
        <v>1591573.8840317999</v>
      </c>
      <c r="I756" s="4">
        <v>1554606.2559999998</v>
      </c>
      <c r="J756" s="4">
        <v>263810.19300000003</v>
      </c>
      <c r="K756" s="4">
        <v>690446.09899999993</v>
      </c>
      <c r="M756" s="25">
        <v>2508862.5479999995</v>
      </c>
      <c r="O756" s="22">
        <v>4100436.4320317991</v>
      </c>
    </row>
    <row r="757" spans="1:15" x14ac:dyDescent="0.2">
      <c r="C757" s="5" t="s">
        <v>22</v>
      </c>
      <c r="D757" s="4">
        <v>1024529.606</v>
      </c>
      <c r="E757" s="4">
        <v>334541.01500000001</v>
      </c>
      <c r="F757" s="4">
        <v>66670.353000000003</v>
      </c>
      <c r="G757" s="25">
        <v>1425740.9739999999</v>
      </c>
      <c r="I757" s="4">
        <v>1415693.4240000001</v>
      </c>
      <c r="J757" s="4">
        <v>232395.19399999999</v>
      </c>
      <c r="K757" s="4">
        <v>619376.41700000002</v>
      </c>
      <c r="M757" s="25">
        <v>2267465.0350000001</v>
      </c>
      <c r="O757" s="22">
        <v>3693206.0090000001</v>
      </c>
    </row>
    <row r="758" spans="1:15" x14ac:dyDescent="0.2">
      <c r="C758" s="5" t="s">
        <v>23</v>
      </c>
      <c r="D758" s="7">
        <v>0.12401634885678425</v>
      </c>
      <c r="E758" s="7">
        <v>0.1160150572269889</v>
      </c>
      <c r="F758" s="7">
        <v>-5.5955905918181337E-4</v>
      </c>
      <c r="G758" s="26">
        <v>0.11631349105900068</v>
      </c>
      <c r="I758" s="7">
        <v>9.8123527061039439E-2</v>
      </c>
      <c r="J758" s="7">
        <v>0.13517921115012399</v>
      </c>
      <c r="K758" s="7">
        <v>0.11474392639008069</v>
      </c>
      <c r="M758" s="26">
        <v>0.10646140481720789</v>
      </c>
      <c r="O758" s="26">
        <v>0.11026474614181181</v>
      </c>
    </row>
    <row r="760" spans="1:15" x14ac:dyDescent="0.2">
      <c r="A760" s="5" t="s">
        <v>19</v>
      </c>
      <c r="C760" s="5" t="s">
        <v>21</v>
      </c>
      <c r="D760" s="4">
        <v>1161712.3279432</v>
      </c>
      <c r="E760" s="4">
        <v>383624.788</v>
      </c>
      <c r="F760" s="4">
        <v>65655.771999999997</v>
      </c>
      <c r="G760" s="25">
        <v>1610992.8879431998</v>
      </c>
      <c r="I760" s="4">
        <v>1652982.9680000001</v>
      </c>
      <c r="J760" s="4">
        <v>256437.41099999999</v>
      </c>
      <c r="K760" s="4">
        <v>701939.68</v>
      </c>
      <c r="M760" s="25">
        <v>2611360.0590000004</v>
      </c>
      <c r="O760" s="22">
        <v>4222352.9469432002</v>
      </c>
    </row>
    <row r="761" spans="1:15" x14ac:dyDescent="0.2">
      <c r="C761" s="5" t="s">
        <v>22</v>
      </c>
      <c r="D761" s="4">
        <v>1028812.754</v>
      </c>
      <c r="E761" s="4">
        <v>380029.99900000001</v>
      </c>
      <c r="F761" s="4">
        <v>63171.313000000002</v>
      </c>
      <c r="G761" s="25">
        <v>1472014.0660000001</v>
      </c>
      <c r="I761" s="4">
        <v>1497001.7420000001</v>
      </c>
      <c r="J761" s="4">
        <v>257700.03599999999</v>
      </c>
      <c r="K761" s="4">
        <v>618212.14199999999</v>
      </c>
      <c r="M761" s="25">
        <v>2372913.92</v>
      </c>
      <c r="O761" s="22">
        <v>3844927.986</v>
      </c>
    </row>
    <row r="762" spans="1:15" x14ac:dyDescent="0.2">
      <c r="C762" s="5" t="s">
        <v>23</v>
      </c>
      <c r="D762" s="7">
        <v>0.12917761120912385</v>
      </c>
      <c r="E762" s="7">
        <v>9.4592242966586859E-3</v>
      </c>
      <c r="F762" s="7">
        <v>3.9328911843260261E-2</v>
      </c>
      <c r="G762" s="26">
        <v>9.4414058366205644E-2</v>
      </c>
      <c r="I762" s="7">
        <v>0.10419575450300322</v>
      </c>
      <c r="J762" s="7">
        <v>-4.8995918650163173E-3</v>
      </c>
      <c r="K762" s="7">
        <v>0.13543496206517425</v>
      </c>
      <c r="M762" s="26">
        <v>0.10048663670024771</v>
      </c>
      <c r="O762" s="26">
        <v>9.8161776323890892E-2</v>
      </c>
    </row>
    <row r="764" spans="1:15" x14ac:dyDescent="0.2">
      <c r="A764" s="5" t="s">
        <v>20</v>
      </c>
      <c r="C764" s="5" t="s">
        <v>21</v>
      </c>
      <c r="D764" s="4">
        <v>1273935.6754701</v>
      </c>
      <c r="E764" s="4">
        <v>417449.90500000003</v>
      </c>
      <c r="F764" s="4">
        <v>76376.099000000002</v>
      </c>
      <c r="G764" s="25">
        <v>1767761.6794701</v>
      </c>
      <c r="I764" s="4">
        <v>1780537.4639999999</v>
      </c>
      <c r="J764" s="4">
        <v>273034.81699999998</v>
      </c>
      <c r="K764" s="4">
        <v>743543.66499999992</v>
      </c>
      <c r="M764" s="25">
        <v>2797115.946</v>
      </c>
      <c r="O764" s="22">
        <v>4564877.6254701</v>
      </c>
    </row>
    <row r="765" spans="1:15" x14ac:dyDescent="0.2">
      <c r="C765" s="5" t="s">
        <v>22</v>
      </c>
      <c r="D765" s="4">
        <v>1293220.0759999999</v>
      </c>
      <c r="E765" s="4">
        <v>353424.26799999998</v>
      </c>
      <c r="F765" s="4">
        <v>68472.805999999997</v>
      </c>
      <c r="G765" s="25">
        <v>1715117.15</v>
      </c>
      <c r="I765" s="4">
        <v>1686743.0930000001</v>
      </c>
      <c r="J765" s="4">
        <v>243274.299</v>
      </c>
      <c r="K765" s="4">
        <v>618899.80200000003</v>
      </c>
      <c r="M765" s="25">
        <v>2548917.1940000001</v>
      </c>
      <c r="O765" s="22">
        <v>4264034.3440000005</v>
      </c>
    </row>
    <row r="766" spans="1:15" x14ac:dyDescent="0.2">
      <c r="C766" s="5" t="s">
        <v>23</v>
      </c>
      <c r="D766" s="7">
        <v>-1.4911924805209975E-2</v>
      </c>
      <c r="E766" s="7">
        <v>0.18115800978330121</v>
      </c>
      <c r="F766" s="7">
        <v>0.11542236198119293</v>
      </c>
      <c r="G766" s="26">
        <v>3.0694421935026472E-2</v>
      </c>
      <c r="I766" s="7">
        <v>5.5606791211564754E-2</v>
      </c>
      <c r="J766" s="7">
        <v>0.12233317749689609</v>
      </c>
      <c r="K766" s="7">
        <v>0.2013958682765904</v>
      </c>
      <c r="M766" s="26">
        <v>9.7374191905584384E-2</v>
      </c>
      <c r="O766" s="26">
        <v>7.0553672226730813E-2</v>
      </c>
    </row>
    <row r="768" spans="1:15" x14ac:dyDescent="0.2">
      <c r="A768" s="5" t="s">
        <v>50</v>
      </c>
      <c r="C768" s="5" t="s">
        <v>21</v>
      </c>
      <c r="D768" s="4">
        <v>14301594.921313101</v>
      </c>
      <c r="E768" s="4">
        <v>4384929.2910000002</v>
      </c>
      <c r="F768" s="4">
        <v>911557.3280000001</v>
      </c>
      <c r="G768" s="25">
        <v>19598081.540313102</v>
      </c>
      <c r="I768" s="4">
        <v>20186136.886999998</v>
      </c>
      <c r="J768" s="4">
        <v>3552417.8369999998</v>
      </c>
      <c r="K768" s="4">
        <v>8015033.8549999995</v>
      </c>
      <c r="M768" s="25">
        <v>31753588.579</v>
      </c>
      <c r="O768" s="25">
        <v>51351670.119313098</v>
      </c>
    </row>
    <row r="769" spans="3:15" x14ac:dyDescent="0.2">
      <c r="C769" s="5" t="s">
        <v>22</v>
      </c>
      <c r="D769" s="4">
        <v>12981114.420000002</v>
      </c>
      <c r="E769" s="4">
        <v>3941257.9869999997</v>
      </c>
      <c r="F769" s="4">
        <v>813311.88899999997</v>
      </c>
      <c r="G769" s="25">
        <v>17735684.295999996</v>
      </c>
      <c r="I769" s="4">
        <v>18719867.073999997</v>
      </c>
      <c r="J769" s="4">
        <v>3225369.0039999997</v>
      </c>
      <c r="K769" s="4">
        <v>7348989.9170000004</v>
      </c>
      <c r="M769" s="25">
        <v>29294225.994999997</v>
      </c>
      <c r="O769" s="25">
        <v>47029910.291000009</v>
      </c>
    </row>
    <row r="770" spans="3:15" x14ac:dyDescent="0.2">
      <c r="C770" s="5" t="s">
        <v>23</v>
      </c>
      <c r="D770" s="7">
        <v>0.10172320022683379</v>
      </c>
      <c r="E770" s="7">
        <v>0.11257098760431905</v>
      </c>
      <c r="F770" s="7">
        <v>0.12079675746631091</v>
      </c>
      <c r="G770" s="26">
        <v>0.10500847969723615</v>
      </c>
      <c r="I770" s="7">
        <v>7.8326935079389592E-2</v>
      </c>
      <c r="J770" s="7">
        <v>0.10139888880757653</v>
      </c>
      <c r="K770" s="7">
        <v>9.06306778921111E-2</v>
      </c>
      <c r="M770" s="26">
        <v>8.3953833920028309E-2</v>
      </c>
      <c r="O770" s="26">
        <v>9.1893856517522021E-2</v>
      </c>
    </row>
  </sheetData>
  <mergeCells count="8">
    <mergeCell ref="Q387:Z387"/>
    <mergeCell ref="Q2:Z2"/>
    <mergeCell ref="Q167:Z167"/>
    <mergeCell ref="Q332:Z332"/>
    <mergeCell ref="Q57:Z57"/>
    <mergeCell ref="Q277:Z277"/>
    <mergeCell ref="Q222:Z222"/>
    <mergeCell ref="Q112:Z112"/>
  </mergeCells>
  <phoneticPr fontId="1" type="noConversion"/>
  <conditionalFormatting sqref="O373 AN337 O377 AN341 AK345:AL345 O381 AN345 AD349:AG349 AI349:AL349 AN349 AD353:AG353 AI353:AL353 AN353 AD357:AG357 AI357:AL357 AN357 AD361:AG361 AI361:AL361 AN361 AD365:AG365 AI365:AL365 AN365 AD369:AG369 AI369:AL369 AN369 AD373:AG373 AI373:AL373 AN373 AD377:AG377 AI377:AL377 AN377 AD381:AG381 AI381:AL381 AN381 AD385:AG385 AI385:AL385 AN385 D436:M436 D479:M479 D483:M483 D487:M487 D491:M491 D502:M502 D506:M506 D510:M510 D514:M514 D518:M518 D522:M522 D526:M526 D530:M530 D534:M534 D538:M538 D542:M542 D546:M546 D557:M557 D561:M561 D565:M565 D569:M569 D573:M573 D577:M577 D581:M581 D585:M585 D589:M589 D593:M593 D597:M597 D601:M601 D612:M612 D616:M616 D620:M620 D624:M624 D628:M628 D632:M632 D636:M636 D640:M640 D644:M644 D648:M648 D652:M652 D656:M656 D667:M667 D671:M671 D675:M675 D679:M679 D683:M683 D687:M687 D691:M691 D695:M695 D699:M699 D703:M703 D707:M707 D711:M711 D392:M392 D432:M432 D396:M396 D400:M400 D404:M404 D408:M408 D412:M412 D416:M416 D420:M420 D424:M424 D428:M428 Q491:T491 Q479:T479 Q483:T483 Q487:T487 V491:AD491 V479:AC479 V483:AD483 V487:AD487 AL467:IX467 AL455:IX455 AD445:AK445 O440 AL451:IX451 AD449:AK449 AD392:AJ392 AD410:AJ410 AD398 AD394:AJ394 AD396:AJ396 AD406:AJ406 AD412 AD408:AF408 AH408:AJ408 D440:G440 I440:M440 D495:G495 I495:M495 D550:G550 I550:M550 D605:G605 I605:M605 D660:G660 I660:M660 O392 O396 O400 O404 O408 O412 O416 O420 O424 O428 O432 O436 O495 A447:XFD447 A451:AD451 A455:AC455 A459:XFD459 A463:XFD463 A467:AC467 A471:XFD471 A475:XFD475 O479 O483 O487 O491 O550 O502 O506 O510 O514 O518 O522 O526 O530 O534 O538 O542 O546 O605 O557 O561 O565 O569 O573 O577 O581 O585 O589 O593 O597 O601 O660 O612 O616 O620 O624 O628 O632 O636 O640 O644 O648 O652 O656 O715 O667 O671 O675 O679 O683 O687 O691 O695 O699 O703 O707 O711 D715:G715 I715:M715 D381:M381 D337:M337 D377:M377 D341:M341 D345:M345 D349:M349 D353:M353 D357:M357 D361:M361 D365:M365 D369:M369 D373:M373 D385:G385 I385:M385 O385 O337 O341 O345 O349 O353 O357 O361 O365 O369 AK337:AL337 AK341:AL341 O263 O267 O271 D271:M271 D227:M227 D267:M267 D231:M231 D235:M235 D239:M239 D243:M243 D247:M247 D251:M251 D255:M255 D259:M259 D263:M263 D275:G275 I275:M275 O275 O227 O231 O235 O239 O243 O247 O251 O255 O259 O208 O212 O216 D216:M216 D172:M172 D212:M212 D176:M176 D180:M180 D184:M184 D188:M188 D192:M192 D196:M196 D200:M200 D204:M204 D208:M208 D220:G220 I220:M220 O220 O172 O176 O180 O184 O188 O192 O196 O200 O204">
    <cfRule type="cellIs" dxfId="10" priority="12" stopIfTrue="1" operator="lessThan">
      <formula>0</formula>
    </cfRule>
  </conditionalFormatting>
  <conditionalFormatting sqref="O318 O322 O326 D326:M326 D282:M282 D322:M322 D286:M286 D290:M290 D294:M294 D298:M298 D302:M302 D306:M306 D310:M310 D314:M314 D318:M318 D330:G330 I330:M330 O330 O282 O286 O290 O294 O298 O302 O306 O310 O314">
    <cfRule type="cellIs" dxfId="9" priority="11" stopIfTrue="1" operator="lessThan">
      <formula>0</formula>
    </cfRule>
  </conditionalFormatting>
  <conditionalFormatting sqref="O153 O157 O161 D161:M161 D117:M117 D157:M157 D121:M121 D125:M125 D129:M129 D133:M133 D137:M137 D141:M141 D145:M145 D149:M149 D153:M153 D165:G165 I165:M165 O165 O117 O121 O125 O129 O133 O137 O141 O145 O149">
    <cfRule type="cellIs" dxfId="8" priority="8" stopIfTrue="1" operator="lessThan">
      <formula>0</formula>
    </cfRule>
  </conditionalFormatting>
  <conditionalFormatting sqref="O43 O47 O51 D55:G55 O55 O7 O11 O15 O19 O23 O27 O31 O35 O39 D7:M7 D51:L51 D47:L47 D11:L11 D15:L15 D19:L19 D23:L23 D27:L27 D31:L31 D35:L35 D39:L39 D43:L43 I55:M55">
    <cfRule type="cellIs" dxfId="7" priority="7" stopIfTrue="1" operator="lessThan">
      <formula>0</formula>
    </cfRule>
  </conditionalFormatting>
  <conditionalFormatting sqref="O98 O102 O106 D106:M106 D62:M62 D102:M102 D66:M66 D70:M70 D74:M74 D78:M78 D82:M82 D86:M86 D90:M90 D94:M94 D98:M98 D110:G110 I110:M110 O110 O62 O66 O70 O74 O78 O82 O86 O90 O94">
    <cfRule type="cellIs" dxfId="6" priority="6" stopIfTrue="1" operator="lessThan">
      <formula>0</formula>
    </cfRule>
  </conditionalFormatting>
  <conditionalFormatting sqref="M722 M726 M730 M734 M738 M742 M746 M750 M754 M758 M762 M766 O770 O722 O726 O730 O734 O738 O742 O746 O750 O754 O758 O762 O766 M770">
    <cfRule type="cellIs" dxfId="5" priority="5" stopIfTrue="1" operator="lessThan">
      <formula>0</formula>
    </cfRule>
  </conditionalFormatting>
  <conditionalFormatting sqref="D746:G746 I746:K746 D742:G742 I742:K742 D738:G738 I738:K738 D734:G734 I734:K734 D730:G730 I730:K730 D726:G726 I726:K726 D722:G722 I722:K722">
    <cfRule type="cellIs" dxfId="4" priority="4" stopIfTrue="1" operator="lessThan">
      <formula>0</formula>
    </cfRule>
  </conditionalFormatting>
  <conditionalFormatting sqref="D770:G770 I770:K770 D766:G766 I766:K766 D762:G762 I762:K762 D758:G758 I758:K758 D754:G754 I754:K754 D750:G750 I750:K750">
    <cfRule type="cellIs" dxfId="3" priority="3" stopIfTrue="1" operator="lessThan">
      <formula>0</formula>
    </cfRule>
  </conditionalFormatting>
  <conditionalFormatting sqref="M11">
    <cfRule type="cellIs" dxfId="2" priority="2" stopIfTrue="1" operator="lessThan">
      <formula>0</formula>
    </cfRule>
  </conditionalFormatting>
  <conditionalFormatting sqref="M51 M47 M43 M39 M35 M31 M27 M23 M19 M15">
    <cfRule type="cellIs" dxfId="1" priority="1" stopIfTrue="1" operator="lessThan">
      <formula>0</formula>
    </cfRule>
  </conditionalFormatting>
  <printOptions horizontalCentered="1"/>
  <pageMargins left="0.25" right="0.25" top="0.75" bottom="0.5" header="0.5" footer="0.5"/>
  <pageSetup scale="37" fitToHeight="4" orientation="landscape" r:id="rId1"/>
  <headerFooter alignWithMargins="0"/>
  <rowBreaks count="3" manualBreakCount="3">
    <brk id="441" max="16383" man="1"/>
    <brk id="496" max="16383" man="1"/>
    <brk id="5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heetViews>
  <sheetFormatPr defaultRowHeight="12.75" x14ac:dyDescent="0.2"/>
  <cols>
    <col min="1" max="1" width="30" customWidth="1"/>
    <col min="2" max="2" width="9.5703125" customWidth="1"/>
    <col min="3" max="3" width="12.28515625" bestFit="1" customWidth="1"/>
  </cols>
  <sheetData>
    <row r="1" spans="1:5" x14ac:dyDescent="0.2">
      <c r="B1" t="s">
        <v>35</v>
      </c>
      <c r="C1" t="s">
        <v>36</v>
      </c>
      <c r="D1" t="s">
        <v>37</v>
      </c>
      <c r="E1" t="s">
        <v>38</v>
      </c>
    </row>
    <row r="2" spans="1:5" x14ac:dyDescent="0.2">
      <c r="A2" s="8" t="s">
        <v>28</v>
      </c>
      <c r="B2" s="9">
        <f>'Line Losses_Alt'!AC61</f>
        <v>0.10599872401348299</v>
      </c>
      <c r="C2" s="9">
        <f>'Line Losses_Alt'!AC63</f>
        <v>0.10530007453544499</v>
      </c>
      <c r="D2" s="9">
        <f>'Line Losses_Alt'!AC65</f>
        <v>7.3944574494370544E-2</v>
      </c>
      <c r="E2" s="9">
        <f>'Line Losses_Alt'!AC67</f>
        <v>0.10180987612322766</v>
      </c>
    </row>
    <row r="3" spans="1:5" x14ac:dyDescent="0.2">
      <c r="A3" s="8" t="s">
        <v>29</v>
      </c>
      <c r="B3" s="9">
        <f>'Line Losses_Alt'!AD61</f>
        <v>0.13613580012821067</v>
      </c>
      <c r="C3" s="9">
        <f>'Line Losses_Alt'!AD63</f>
        <v>7.4003916109935675E-2</v>
      </c>
      <c r="D3" s="9">
        <f>'Line Losses_Alt'!AD65</f>
        <v>8.9647848740886119E-2</v>
      </c>
      <c r="E3" s="9">
        <f>'Line Losses_Alt'!AD67</f>
        <v>0.1269772399695713</v>
      </c>
    </row>
    <row r="4" spans="1:5" x14ac:dyDescent="0.2">
      <c r="A4" s="8" t="s">
        <v>30</v>
      </c>
      <c r="B4" s="9">
        <f>'Line Losses_Alt'!AE61</f>
        <v>0.13493636536093243</v>
      </c>
      <c r="C4" s="9">
        <f>'Line Losses_Alt'!AE63</f>
        <v>0.19509244941433335</v>
      </c>
      <c r="D4" s="9">
        <f>'Line Losses_Alt'!AE65</f>
        <v>0.10074309273221442</v>
      </c>
      <c r="E4" s="9">
        <f>'Line Losses_Alt'!AE67</f>
        <v>0.18505938684781739</v>
      </c>
    </row>
    <row r="5" spans="1:5" x14ac:dyDescent="0.2">
      <c r="A5" s="8" t="s">
        <v>31</v>
      </c>
      <c r="B5" s="9">
        <f>'Line Losses_Alt'!AH61</f>
        <v>8.6012203939969667E-2</v>
      </c>
      <c r="C5" s="9">
        <f>'Line Losses_Alt'!AH63</f>
        <v>6.0858442405758571E-2</v>
      </c>
      <c r="D5" s="9">
        <f>'Line Losses_Alt'!AH65</f>
        <v>7.4855805908240036E-2</v>
      </c>
      <c r="E5" s="9">
        <f>'Line Losses_Alt'!AH67</f>
        <v>8.4072799034080395E-2</v>
      </c>
    </row>
    <row r="6" spans="1:5" x14ac:dyDescent="0.2">
      <c r="A6" s="8" t="s">
        <v>32</v>
      </c>
      <c r="B6" s="10">
        <f>'Line Losses_Alt'!AF61</f>
        <v>7.0545082891115982E-2</v>
      </c>
      <c r="C6" s="10">
        <f>'Line Losses_Alt'!AF63</f>
        <v>7.2531251450515755E-2</v>
      </c>
      <c r="D6" s="10">
        <f>'Line Losses_Alt'!AF65</f>
        <v>8.6511184080068929E-2</v>
      </c>
      <c r="E6" s="10">
        <f>'Line Losses_Alt'!AF67</f>
        <v>9.4704775123939003E-2</v>
      </c>
    </row>
    <row r="7" spans="1:5" x14ac:dyDescent="0.2">
      <c r="A7" s="8" t="s">
        <v>33</v>
      </c>
      <c r="B7" s="9">
        <f>'Line Losses_Alt'!AG61</f>
        <v>7.7155991984313693E-2</v>
      </c>
      <c r="C7" s="9">
        <f>'Line Losses_Alt'!AG63</f>
        <v>0.14156361956688279</v>
      </c>
      <c r="D7" s="9">
        <f>'Line Losses_Alt'!AG65</f>
        <v>0.10536425925316818</v>
      </c>
      <c r="E7" s="9">
        <f>'Line Losses_Alt'!AG67</f>
        <v>8.8026938371684807E-2</v>
      </c>
    </row>
    <row r="8" spans="1:5" x14ac:dyDescent="0.2">
      <c r="A8" s="8" t="s">
        <v>34</v>
      </c>
      <c r="B8" s="9">
        <f>B5</f>
        <v>8.6012203939969667E-2</v>
      </c>
      <c r="C8" s="9">
        <f>C5</f>
        <v>6.0858442405758571E-2</v>
      </c>
      <c r="D8" s="9">
        <f>D5</f>
        <v>7.4855805908240036E-2</v>
      </c>
      <c r="E8" s="9">
        <f>E5</f>
        <v>8.4072799034080395E-2</v>
      </c>
    </row>
    <row r="11" spans="1:5" x14ac:dyDescent="0.2">
      <c r="D11" s="9"/>
    </row>
    <row r="12" spans="1:5" x14ac:dyDescent="0.2">
      <c r="A12" s="8"/>
      <c r="B12" s="9"/>
    </row>
    <row r="13" spans="1:5" x14ac:dyDescent="0.2">
      <c r="A13" s="8"/>
      <c r="B13" s="9"/>
    </row>
    <row r="14" spans="1:5" x14ac:dyDescent="0.2">
      <c r="A14" s="8"/>
      <c r="B14" s="9" t="s">
        <v>39</v>
      </c>
    </row>
    <row r="15" spans="1:5" x14ac:dyDescent="0.2">
      <c r="A15" s="8" t="s">
        <v>28</v>
      </c>
      <c r="B15" s="9">
        <f>'Line Losses_Alt'!AC71</f>
        <v>0.10100706618161905</v>
      </c>
    </row>
    <row r="16" spans="1:5" x14ac:dyDescent="0.2">
      <c r="A16" s="8" t="s">
        <v>29</v>
      </c>
      <c r="B16" s="10">
        <f>'Line Losses_Alt'!AD71</f>
        <v>0.11334424129306393</v>
      </c>
    </row>
    <row r="17" spans="1:5" x14ac:dyDescent="0.2">
      <c r="A17" s="8" t="s">
        <v>30</v>
      </c>
      <c r="B17" s="9">
        <f>'Line Losses_Alt'!AE71</f>
        <v>0.14376747677078341</v>
      </c>
    </row>
    <row r="18" spans="1:5" x14ac:dyDescent="0.2">
      <c r="A18" s="8" t="s">
        <v>31</v>
      </c>
      <c r="B18" s="9">
        <f>'Line Losses_Alt'!AH71</f>
        <v>8.3612747523487338E-2</v>
      </c>
    </row>
    <row r="19" spans="1:5" x14ac:dyDescent="0.2">
      <c r="A19" s="8" t="s">
        <v>32</v>
      </c>
      <c r="B19" s="3">
        <f>'Line Losses_Alt'!AF71</f>
        <v>8.2513416075796764E-2</v>
      </c>
      <c r="D19" s="9"/>
    </row>
    <row r="20" spans="1:5" x14ac:dyDescent="0.2">
      <c r="A20" s="8" t="s">
        <v>33</v>
      </c>
      <c r="B20" s="3">
        <f>'Line Losses_Alt'!AG71</f>
        <v>9.8206494096669192E-2</v>
      </c>
    </row>
    <row r="21" spans="1:5" x14ac:dyDescent="0.2">
      <c r="A21" s="8" t="s">
        <v>34</v>
      </c>
      <c r="B21" s="9">
        <f>B18</f>
        <v>8.3612747523487338E-2</v>
      </c>
      <c r="C21" s="9"/>
      <c r="D21" s="9"/>
      <c r="E21" s="9"/>
    </row>
    <row r="22" spans="1:5" x14ac:dyDescent="0.2">
      <c r="A22" s="8"/>
      <c r="B22" s="9"/>
      <c r="C22" s="9"/>
      <c r="D22" s="9"/>
      <c r="E22" s="9"/>
    </row>
    <row r="23" spans="1:5" x14ac:dyDescent="0.2">
      <c r="A23" s="8"/>
      <c r="B23" s="9"/>
      <c r="C23" s="9"/>
      <c r="D23" s="9"/>
      <c r="E23" s="9"/>
    </row>
    <row r="24" spans="1:5" x14ac:dyDescent="0.2">
      <c r="A24" s="8"/>
      <c r="B24" s="9"/>
      <c r="C24" s="9"/>
      <c r="D24" s="9"/>
      <c r="E24" s="9"/>
    </row>
    <row r="25" spans="1:5" x14ac:dyDescent="0.2">
      <c r="A25" s="8"/>
      <c r="B25" s="10"/>
      <c r="C25" s="10"/>
      <c r="D25" s="10"/>
      <c r="E25" s="10"/>
    </row>
    <row r="26" spans="1:5" x14ac:dyDescent="0.2">
      <c r="A26" s="8"/>
      <c r="B26" s="9"/>
      <c r="C26" s="9"/>
      <c r="D26" s="9"/>
      <c r="E26" s="9"/>
    </row>
    <row r="27" spans="1:5" x14ac:dyDescent="0.2">
      <c r="A27" s="8"/>
      <c r="B27" s="9"/>
      <c r="C27" s="9"/>
      <c r="D27" s="9"/>
      <c r="E27" s="9"/>
    </row>
    <row r="32" spans="1:5" x14ac:dyDescent="0.2">
      <c r="C32" s="9"/>
    </row>
    <row r="33" spans="3:3" x14ac:dyDescent="0.2">
      <c r="C33" s="9"/>
    </row>
    <row r="34" spans="3:3" x14ac:dyDescent="0.2">
      <c r="C34" s="9"/>
    </row>
    <row r="35" spans="3:3" x14ac:dyDescent="0.2">
      <c r="C35" s="9"/>
    </row>
    <row r="36" spans="3:3" x14ac:dyDescent="0.2">
      <c r="C36" s="10"/>
    </row>
    <row r="37" spans="3:3" x14ac:dyDescent="0.2">
      <c r="C37" s="9"/>
    </row>
    <row r="38" spans="3:3" x14ac:dyDescent="0.2">
      <c r="C38" s="9"/>
    </row>
  </sheetData>
  <phoneticPr fontId="1"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84"/>
  <sheetViews>
    <sheetView zoomScale="82" workbookViewId="0">
      <pane xSplit="2" ySplit="3" topLeftCell="C4" activePane="bottomRight" state="frozen"/>
      <selection pane="topRight"/>
      <selection pane="bottomLeft"/>
      <selection pane="bottomRight"/>
    </sheetView>
  </sheetViews>
  <sheetFormatPr defaultRowHeight="12.75" x14ac:dyDescent="0.2"/>
  <cols>
    <col min="1" max="1" width="10.7109375" style="5" customWidth="1"/>
    <col min="2" max="2" width="2.7109375" style="5" customWidth="1"/>
    <col min="3" max="3" width="12.7109375" style="5" customWidth="1"/>
    <col min="4" max="7" width="15.7109375" style="4" customWidth="1"/>
    <col min="8" max="8" width="2.7109375" style="4" customWidth="1"/>
    <col min="9" max="11" width="15.7109375" style="4" customWidth="1"/>
    <col min="12" max="12" width="15.7109375" style="5" customWidth="1"/>
    <col min="14" max="14" width="15.7109375" customWidth="1"/>
    <col min="16" max="16" width="12" bestFit="1" customWidth="1"/>
    <col min="17" max="17" width="12.5703125" bestFit="1" customWidth="1"/>
    <col min="18" max="18" width="11.42578125" customWidth="1"/>
    <col min="19" max="19" width="12" bestFit="1" customWidth="1"/>
    <col min="20" max="20" width="4.7109375" customWidth="1"/>
    <col min="21" max="21" width="12" bestFit="1" customWidth="1"/>
    <col min="22" max="23" width="11" bestFit="1" customWidth="1"/>
    <col min="24" max="24" width="12" bestFit="1" customWidth="1"/>
    <col min="25" max="25" width="4.7109375" customWidth="1"/>
    <col min="26" max="26" width="12" bestFit="1" customWidth="1"/>
  </cols>
  <sheetData>
    <row r="1" spans="1:26" x14ac:dyDescent="0.2">
      <c r="D1" s="43" t="s">
        <v>7</v>
      </c>
      <c r="E1" s="43"/>
      <c r="F1" s="43"/>
      <c r="G1" s="43"/>
      <c r="H1" s="6"/>
      <c r="I1" s="43" t="s">
        <v>8</v>
      </c>
      <c r="J1" s="43"/>
      <c r="K1" s="43"/>
      <c r="L1" s="43"/>
      <c r="N1" s="11" t="s">
        <v>24</v>
      </c>
      <c r="R1" t="s">
        <v>26</v>
      </c>
      <c r="Z1" s="11" t="s">
        <v>24</v>
      </c>
    </row>
    <row r="2" spans="1:26" x14ac:dyDescent="0.2">
      <c r="D2" s="6" t="s">
        <v>0</v>
      </c>
      <c r="E2" s="6" t="s">
        <v>1</v>
      </c>
      <c r="F2" s="6" t="s">
        <v>2</v>
      </c>
      <c r="G2" s="6" t="s">
        <v>24</v>
      </c>
      <c r="H2" s="6"/>
      <c r="I2" s="6" t="s">
        <v>3</v>
      </c>
      <c r="J2" s="6" t="s">
        <v>4</v>
      </c>
      <c r="K2" s="6" t="s">
        <v>25</v>
      </c>
      <c r="L2" s="6" t="s">
        <v>24</v>
      </c>
      <c r="N2" s="6" t="s">
        <v>49</v>
      </c>
      <c r="P2" s="6" t="s">
        <v>0</v>
      </c>
      <c r="Q2" s="6" t="s">
        <v>1</v>
      </c>
      <c r="R2" s="6" t="s">
        <v>2</v>
      </c>
      <c r="S2" s="6" t="s">
        <v>24</v>
      </c>
      <c r="T2" s="6"/>
      <c r="U2" s="6" t="s">
        <v>3</v>
      </c>
      <c r="V2" s="6" t="s">
        <v>4</v>
      </c>
      <c r="W2" s="6" t="s">
        <v>25</v>
      </c>
      <c r="X2" s="6" t="s">
        <v>24</v>
      </c>
      <c r="Y2" s="6"/>
      <c r="Z2" s="6" t="s">
        <v>49</v>
      </c>
    </row>
    <row r="3" spans="1:26" x14ac:dyDescent="0.2">
      <c r="A3" s="5">
        <v>2008</v>
      </c>
    </row>
    <row r="4" spans="1:26" x14ac:dyDescent="0.2">
      <c r="A4" s="5" t="s">
        <v>9</v>
      </c>
      <c r="C4" s="5" t="s">
        <v>21</v>
      </c>
      <c r="D4" s="4">
        <v>1564188.6169620007</v>
      </c>
      <c r="E4" s="4">
        <v>463037.94172079995</v>
      </c>
      <c r="F4" s="4">
        <v>90455.872043399868</v>
      </c>
      <c r="G4" s="4">
        <f>SUM(D4:F4)</f>
        <v>2117682.4307262008</v>
      </c>
      <c r="I4" s="4">
        <v>2174768.5081201247</v>
      </c>
      <c r="J4" s="4">
        <v>316240.81565890001</v>
      </c>
      <c r="K4" s="4">
        <v>857054.64813468221</v>
      </c>
      <c r="L4" s="4">
        <f>SUM(I4:K4)</f>
        <v>3348063.971913707</v>
      </c>
      <c r="N4" s="2">
        <f>G4+L4</f>
        <v>5465746.4026399078</v>
      </c>
      <c r="P4" s="2">
        <f t="shared" ref="P4:S5" si="0">AVERAGE(D4,D59,D114,D224)</f>
        <v>1480476.9985879501</v>
      </c>
      <c r="Q4" s="2">
        <f t="shared" si="0"/>
        <v>453521.17213277507</v>
      </c>
      <c r="R4" s="2">
        <f t="shared" si="0"/>
        <v>88460.836222949933</v>
      </c>
      <c r="S4" s="2">
        <f t="shared" si="0"/>
        <v>2022459.0069436752</v>
      </c>
      <c r="U4" s="2">
        <f t="shared" ref="U4:W5" si="1">AVERAGE(I4,I59,I114,I224)</f>
        <v>2014648.1460912672</v>
      </c>
      <c r="V4" s="2">
        <f t="shared" si="1"/>
        <v>297224.82669915003</v>
      </c>
      <c r="W4" s="2">
        <f t="shared" si="1"/>
        <v>798249.5003590961</v>
      </c>
      <c r="X4" s="2">
        <f t="shared" ref="X4:Z5" si="2">AVERAGE(L4,L59,L114,L224)</f>
        <v>3110122.4731495134</v>
      </c>
      <c r="Z4" s="2">
        <f t="shared" si="2"/>
        <v>5132581.4800931886</v>
      </c>
    </row>
    <row r="5" spans="1:26" x14ac:dyDescent="0.2">
      <c r="C5" s="5" t="s">
        <v>22</v>
      </c>
      <c r="D5" s="4">
        <v>1358887.3970000001</v>
      </c>
      <c r="E5" s="4">
        <v>413072.39899999998</v>
      </c>
      <c r="F5" s="4">
        <v>85444.668000000005</v>
      </c>
      <c r="G5" s="4">
        <f>SUM(D5:F5)</f>
        <v>1857404.4640000002</v>
      </c>
      <c r="I5" s="4">
        <v>2037764.939</v>
      </c>
      <c r="J5" s="4">
        <v>260990.76</v>
      </c>
      <c r="K5" s="4">
        <v>763909.26300000004</v>
      </c>
      <c r="L5" s="4">
        <f>SUM(I5:K5)</f>
        <v>3062664.9620000003</v>
      </c>
      <c r="N5" s="2">
        <f>G5+L5</f>
        <v>4920069.4260000009</v>
      </c>
      <c r="P5" s="2">
        <f t="shared" si="0"/>
        <v>1357680.3887499999</v>
      </c>
      <c r="Q5" s="2">
        <f t="shared" si="0"/>
        <v>399307.45024999999</v>
      </c>
      <c r="R5" s="2">
        <f t="shared" si="0"/>
        <v>79712.722750000001</v>
      </c>
      <c r="S5" s="2">
        <f t="shared" si="0"/>
        <v>1836700.5617500001</v>
      </c>
      <c r="U5" s="2">
        <f t="shared" si="1"/>
        <v>1870937.35225</v>
      </c>
      <c r="V5" s="2">
        <f t="shared" si="1"/>
        <v>267936.28075000003</v>
      </c>
      <c r="W5" s="2">
        <f t="shared" si="1"/>
        <v>738811.92274999991</v>
      </c>
      <c r="X5" s="2">
        <f t="shared" si="2"/>
        <v>2877685.5557500003</v>
      </c>
      <c r="Z5" s="2">
        <f t="shared" si="2"/>
        <v>4714386.1174999997</v>
      </c>
    </row>
    <row r="6" spans="1:26" x14ac:dyDescent="0.2">
      <c r="C6" s="5" t="s">
        <v>23</v>
      </c>
      <c r="D6" s="7">
        <f>(D4/D5)-1</f>
        <v>0.15108037679593012</v>
      </c>
      <c r="E6" s="7">
        <f>(E4/E5)-1</f>
        <v>0.12096073918703043</v>
      </c>
      <c r="F6" s="7">
        <f>(F4/F5)-1</f>
        <v>5.8648528465226946E-2</v>
      </c>
      <c r="G6" s="7">
        <f>(G4/G5)-1</f>
        <v>0.14012993495540593</v>
      </c>
      <c r="H6" s="7"/>
      <c r="I6" s="7">
        <f>(I4/I5)-1</f>
        <v>6.7232273211726312E-2</v>
      </c>
      <c r="J6" s="7">
        <f>(J4/J5)-1</f>
        <v>0.21169353144494463</v>
      </c>
      <c r="K6" s="7">
        <f>(K4/K5)-1</f>
        <v>0.12193252477249006</v>
      </c>
      <c r="L6" s="7">
        <f>(L4/L5)-1</f>
        <v>9.3186493937402082E-2</v>
      </c>
      <c r="N6" s="7">
        <f>(N4/N5)-1</f>
        <v>0.11090838957602678</v>
      </c>
      <c r="P6" s="7">
        <f>(P4/P5)-1</f>
        <v>9.0445889073353714E-2</v>
      </c>
      <c r="Q6" s="7">
        <f>(Q4/Q5)-1</f>
        <v>0.13576937231908071</v>
      </c>
      <c r="R6" s="7">
        <f>(R4/R5)-1</f>
        <v>0.10974551076854211</v>
      </c>
      <c r="S6" s="7">
        <f>(S4/S5)-1</f>
        <v>0.101137032928593</v>
      </c>
      <c r="U6" s="7">
        <f>(U4/U5)-1</f>
        <v>7.6812189178028678E-2</v>
      </c>
      <c r="V6" s="7">
        <f>(V4/V5)-1</f>
        <v>0.109311608966006</v>
      </c>
      <c r="W6" s="7">
        <f>(W4/W5)-1</f>
        <v>8.0450214430565881E-2</v>
      </c>
      <c r="X6" s="7">
        <f>(X4/X5)-1</f>
        <v>8.0772173643181011E-2</v>
      </c>
      <c r="Z6" s="7">
        <f>(Z4/Z5)-1</f>
        <v>8.870621798261924E-2</v>
      </c>
    </row>
    <row r="8" spans="1:26" x14ac:dyDescent="0.2">
      <c r="A8" s="5" t="s">
        <v>10</v>
      </c>
      <c r="C8" s="5" t="s">
        <v>21</v>
      </c>
      <c r="D8" s="4">
        <v>1333681.7682848989</v>
      </c>
      <c r="E8" s="4">
        <v>375361.11825549958</v>
      </c>
      <c r="F8" s="4">
        <v>80532.889089900098</v>
      </c>
      <c r="G8" s="4">
        <f>SUM(D8:F8)</f>
        <v>1789575.7756302985</v>
      </c>
      <c r="I8" s="4">
        <v>1953431.5012354739</v>
      </c>
      <c r="J8" s="4">
        <v>271253.11572809995</v>
      </c>
      <c r="K8" s="4">
        <v>796331.40300022531</v>
      </c>
      <c r="L8" s="4">
        <f>SUM(I8:K8)</f>
        <v>3021016.019963799</v>
      </c>
      <c r="N8" s="2">
        <f>G8+L8</f>
        <v>4810591.795594098</v>
      </c>
      <c r="P8" s="2">
        <f t="shared" ref="P8:S9" si="3">AVERAGE(D8,D63,D118,D228)</f>
        <v>1282044.9134044498</v>
      </c>
      <c r="Q8" s="2">
        <f t="shared" si="3"/>
        <v>378868.76072537492</v>
      </c>
      <c r="R8" s="2">
        <f t="shared" si="3"/>
        <v>77221.086275875015</v>
      </c>
      <c r="S8" s="2">
        <f t="shared" si="3"/>
        <v>1738134.7604056997</v>
      </c>
      <c r="U8" s="2">
        <f t="shared" ref="U8:X9" si="4">AVERAGE(I8,I63,I118,I228)</f>
        <v>1793612.0649843034</v>
      </c>
      <c r="V8" s="2">
        <f t="shared" si="4"/>
        <v>254328.60062894993</v>
      </c>
      <c r="W8" s="2">
        <f t="shared" si="4"/>
        <v>729253.37944258738</v>
      </c>
      <c r="X8" s="2">
        <f t="shared" si="4"/>
        <v>2777194.0450558406</v>
      </c>
      <c r="Z8" s="2">
        <f>AVERAGE(N8,N63,N118,N228)</f>
        <v>4515328.8054615408</v>
      </c>
    </row>
    <row r="9" spans="1:26" x14ac:dyDescent="0.2">
      <c r="C9" s="5" t="s">
        <v>22</v>
      </c>
      <c r="D9" s="4">
        <v>1204296.554</v>
      </c>
      <c r="E9" s="4">
        <v>343751.52399999998</v>
      </c>
      <c r="F9" s="4">
        <v>71244.812000000005</v>
      </c>
      <c r="G9" s="4">
        <f>SUM(D9:F9)</f>
        <v>1619292.89</v>
      </c>
      <c r="I9" s="4">
        <v>1754366.6610000001</v>
      </c>
      <c r="J9" s="4">
        <v>266369.79700000002</v>
      </c>
      <c r="K9" s="4">
        <v>751226.99099999992</v>
      </c>
      <c r="L9" s="4">
        <f>SUM(I9:K9)</f>
        <v>2771963.449</v>
      </c>
      <c r="N9" s="2">
        <f>G9+L9</f>
        <v>4391256.3389999997</v>
      </c>
      <c r="P9" s="2">
        <f t="shared" si="3"/>
        <v>1144555.8787499999</v>
      </c>
      <c r="Q9" s="2">
        <f t="shared" si="3"/>
        <v>336193.69524999999</v>
      </c>
      <c r="R9" s="2">
        <f t="shared" si="3"/>
        <v>68246.464000000007</v>
      </c>
      <c r="S9" s="2">
        <f t="shared" si="3"/>
        <v>1548996.0379999997</v>
      </c>
      <c r="U9" s="2">
        <f t="shared" si="4"/>
        <v>1662482.298</v>
      </c>
      <c r="V9" s="2">
        <f t="shared" si="4"/>
        <v>241568.99425000002</v>
      </c>
      <c r="W9" s="2">
        <f t="shared" si="4"/>
        <v>675422.91125</v>
      </c>
      <c r="X9" s="2">
        <f t="shared" si="4"/>
        <v>2579474.2035000003</v>
      </c>
      <c r="Z9" s="2">
        <f>AVERAGE(N9,N64,N119,N229)</f>
        <v>4128470.2414999995</v>
      </c>
    </row>
    <row r="10" spans="1:26" x14ac:dyDescent="0.2">
      <c r="C10" s="5" t="s">
        <v>23</v>
      </c>
      <c r="D10" s="7">
        <f>(D8/D9)-1</f>
        <v>0.1074363402063665</v>
      </c>
      <c r="E10" s="7">
        <f>(E8/E9)-1</f>
        <v>9.1954775611408301E-2</v>
      </c>
      <c r="F10" s="7">
        <f>(F8/F9)-1</f>
        <v>0.13036846935465407</v>
      </c>
      <c r="G10" s="7">
        <f>(G8/G9)-1</f>
        <v>0.10515879287921703</v>
      </c>
      <c r="H10" s="7"/>
      <c r="I10" s="7">
        <f>(I8/I9)-1</f>
        <v>0.11346820745100428</v>
      </c>
      <c r="J10" s="7">
        <f>(J8/J9)-1</f>
        <v>1.8332854486876826E-2</v>
      </c>
      <c r="K10" s="7">
        <f>(K8/K9)-1</f>
        <v>6.004098966170579E-2</v>
      </c>
      <c r="L10" s="7">
        <f>(L8/L9)-1</f>
        <v>8.9846989524211107E-2</v>
      </c>
      <c r="N10" s="7">
        <f>(N8/N9)-1</f>
        <v>9.5493276689374795E-2</v>
      </c>
      <c r="P10" s="7">
        <f>(P8/P9)-1</f>
        <v>0.12012435321603121</v>
      </c>
      <c r="Q10" s="7">
        <f>(Q8/Q9)-1</f>
        <v>0.12693594817011933</v>
      </c>
      <c r="R10" s="7">
        <f>(R8/R9)-1</f>
        <v>0.1315031101959363</v>
      </c>
      <c r="S10" s="7">
        <f>(S8/S9)-1</f>
        <v>0.12210407113107147</v>
      </c>
      <c r="U10" s="7">
        <f>(U8/U9)-1</f>
        <v>7.8875887666326028E-2</v>
      </c>
      <c r="V10" s="7">
        <f>(V8/V9)-1</f>
        <v>5.2819718931913062E-2</v>
      </c>
      <c r="W10" s="7">
        <f>(W8/W9)-1</f>
        <v>7.9698907596965851E-2</v>
      </c>
      <c r="X10" s="7">
        <f>(X8/X9)-1</f>
        <v>7.6651218797831433E-2</v>
      </c>
      <c r="Z10" s="7">
        <f>(Z8/Z9)-1</f>
        <v>9.3705062972909703E-2</v>
      </c>
    </row>
    <row r="12" spans="1:26" x14ac:dyDescent="0.2">
      <c r="A12" s="5" t="s">
        <v>11</v>
      </c>
      <c r="C12" s="5" t="s">
        <v>21</v>
      </c>
      <c r="D12" s="4">
        <v>1354041.8008571989</v>
      </c>
      <c r="E12" s="4">
        <v>374506.06172319991</v>
      </c>
      <c r="F12" s="4">
        <v>81309.148463800069</v>
      </c>
      <c r="G12" s="4">
        <f>SUM(D12:F12)</f>
        <v>1809857.0110441989</v>
      </c>
      <c r="I12" s="4">
        <v>1894537.8771711355</v>
      </c>
      <c r="J12" s="4">
        <v>274007.23769970023</v>
      </c>
      <c r="K12" s="4">
        <v>818684.97574435291</v>
      </c>
      <c r="L12" s="4">
        <f>SUM(I12:K12)</f>
        <v>2987230.0906151887</v>
      </c>
      <c r="N12" s="2">
        <f>G12+L12</f>
        <v>4797087.1016593874</v>
      </c>
      <c r="P12" s="2">
        <f t="shared" ref="P12:S13" si="5">AVERAGE(D12,D67,D122,D232)</f>
        <v>1291137.7300070003</v>
      </c>
      <c r="Q12" s="2">
        <f t="shared" si="5"/>
        <v>363377.61000279989</v>
      </c>
      <c r="R12" s="2">
        <f t="shared" si="5"/>
        <v>82621.825644325028</v>
      </c>
      <c r="S12" s="2">
        <f t="shared" si="5"/>
        <v>1737137.1656541252</v>
      </c>
      <c r="U12" s="2">
        <f t="shared" ref="U12:X13" si="6">AVERAGE(I12,I67,I122,I232)</f>
        <v>1769629.7223492027</v>
      </c>
      <c r="V12" s="2">
        <f t="shared" si="6"/>
        <v>264163.90133782499</v>
      </c>
      <c r="W12" s="2">
        <f t="shared" si="6"/>
        <v>761644.32859363873</v>
      </c>
      <c r="X12" s="2">
        <f t="shared" si="6"/>
        <v>2795437.9522806671</v>
      </c>
      <c r="Z12" s="2">
        <f>AVERAGE(N12,N67,N122,N232)</f>
        <v>4532575.1179347914</v>
      </c>
    </row>
    <row r="13" spans="1:26" x14ac:dyDescent="0.2">
      <c r="C13" s="5" t="s">
        <v>22</v>
      </c>
      <c r="D13" s="4">
        <v>1240743.939</v>
      </c>
      <c r="E13" s="4">
        <v>332601.32299999997</v>
      </c>
      <c r="F13" s="4">
        <v>71393.311000000002</v>
      </c>
      <c r="G13" s="4">
        <f>SUM(D13:F13)</f>
        <v>1644738.5730000001</v>
      </c>
      <c r="I13" s="4">
        <v>1769631.9909999999</v>
      </c>
      <c r="J13" s="4">
        <v>224812.06</v>
      </c>
      <c r="K13" s="4">
        <v>760710.1</v>
      </c>
      <c r="L13" s="4">
        <f>SUM(I13:K13)</f>
        <v>2755154.1510000001</v>
      </c>
      <c r="N13" s="2">
        <f>G13+L13</f>
        <v>4399892.7240000004</v>
      </c>
      <c r="P13" s="2">
        <f t="shared" si="5"/>
        <v>1163486.0715000001</v>
      </c>
      <c r="Q13" s="2">
        <f t="shared" si="5"/>
        <v>328683.68349999998</v>
      </c>
      <c r="R13" s="2">
        <f t="shared" si="5"/>
        <v>67158.313750000001</v>
      </c>
      <c r="S13" s="2">
        <f t="shared" si="5"/>
        <v>1559328.0687499999</v>
      </c>
      <c r="U13" s="2">
        <f t="shared" si="6"/>
        <v>1620261.7752499999</v>
      </c>
      <c r="V13" s="2">
        <f t="shared" si="6"/>
        <v>222140.67174999998</v>
      </c>
      <c r="W13" s="2">
        <f t="shared" si="6"/>
        <v>694384.65350000001</v>
      </c>
      <c r="X13" s="2">
        <f t="shared" si="6"/>
        <v>2536787.1004999997</v>
      </c>
      <c r="Z13" s="2">
        <f>AVERAGE(N13,N68,N123,N233)</f>
        <v>4096115.1692499998</v>
      </c>
    </row>
    <row r="14" spans="1:26" x14ac:dyDescent="0.2">
      <c r="C14" s="5" t="s">
        <v>23</v>
      </c>
      <c r="D14" s="7">
        <f>(D12/D13)-1</f>
        <v>9.1314459249757229E-2</v>
      </c>
      <c r="E14" s="7">
        <f>(E12/E13)-1</f>
        <v>0.1259908960831162</v>
      </c>
      <c r="F14" s="7">
        <f>(F12/F13)-1</f>
        <v>0.13889028712788054</v>
      </c>
      <c r="G14" s="7">
        <f>(G12/G13)-1</f>
        <v>0.10039190468003856</v>
      </c>
      <c r="H14" s="7"/>
      <c r="I14" s="7">
        <f>(I12/I13)-1</f>
        <v>7.0582972508624664E-2</v>
      </c>
      <c r="J14" s="7">
        <f>(J12/J13)-1</f>
        <v>0.21882801883359915</v>
      </c>
      <c r="K14" s="7">
        <f>(K12/K13)-1</f>
        <v>7.6211523607157217E-2</v>
      </c>
      <c r="L14" s="7">
        <f>(L12/L13)-1</f>
        <v>8.4233377479425275E-2</v>
      </c>
      <c r="N14" s="7">
        <f>(N12/N13)-1</f>
        <v>9.0273650421706764E-2</v>
      </c>
      <c r="P14" s="7">
        <f>(P12/P13)-1</f>
        <v>0.10971481449917819</v>
      </c>
      <c r="Q14" s="7">
        <f>(Q12/Q13)-1</f>
        <v>0.10555414900234905</v>
      </c>
      <c r="R14" s="7">
        <f>(R12/R13)-1</f>
        <v>0.23025461824263016</v>
      </c>
      <c r="S14" s="7">
        <f>(S12/S13)-1</f>
        <v>0.11402930561409175</v>
      </c>
      <c r="U14" s="7">
        <f>(U12/U13)-1</f>
        <v>9.2187539927710782E-2</v>
      </c>
      <c r="V14" s="7">
        <f>(V12/V13)-1</f>
        <v>0.1891739556595855</v>
      </c>
      <c r="W14" s="7">
        <f>(W12/W13)-1</f>
        <v>9.6862271875711503E-2</v>
      </c>
      <c r="X14" s="7">
        <f>(X12/X13)-1</f>
        <v>0.10196001537917287</v>
      </c>
      <c r="Z14" s="7">
        <f>(Z12/Z13)-1</f>
        <v>0.10655460861094568</v>
      </c>
    </row>
    <row r="16" spans="1:26" x14ac:dyDescent="0.2">
      <c r="A16" s="5" t="s">
        <v>12</v>
      </c>
      <c r="C16" s="5" t="s">
        <v>21</v>
      </c>
      <c r="D16" s="4">
        <v>1237073.5096190008</v>
      </c>
      <c r="E16" s="4">
        <v>347696.76672679989</v>
      </c>
      <c r="F16" s="4">
        <v>73658.910301399941</v>
      </c>
      <c r="G16" s="4">
        <f>SUM(D16:F16)</f>
        <v>1658429.1866472005</v>
      </c>
      <c r="I16" s="4">
        <v>1817634.8811485961</v>
      </c>
      <c r="J16" s="4">
        <v>265900.64622479992</v>
      </c>
      <c r="K16" s="4">
        <v>785786.07273790136</v>
      </c>
      <c r="L16" s="4">
        <f>SUM(I16:K16)</f>
        <v>2869321.6001112973</v>
      </c>
      <c r="N16" s="2">
        <f>G16+L16</f>
        <v>4527750.7867584974</v>
      </c>
      <c r="P16" s="2">
        <f t="shared" ref="P16:S17" si="7">AVERAGE(D16,D71,D126,D236)</f>
        <v>1157333.6841731854</v>
      </c>
      <c r="Q16" s="2">
        <f t="shared" si="7"/>
        <v>329392.78051242477</v>
      </c>
      <c r="R16" s="2">
        <f t="shared" si="7"/>
        <v>76450.663230524966</v>
      </c>
      <c r="S16" s="2">
        <f t="shared" si="7"/>
        <v>1563177.1279161349</v>
      </c>
      <c r="U16" s="2">
        <f t="shared" ref="U16:X17" si="8">AVERAGE(I16,I71,I126,I236)</f>
        <v>1668133.0790852867</v>
      </c>
      <c r="V16" s="2">
        <f t="shared" si="8"/>
        <v>256549.21254849999</v>
      </c>
      <c r="W16" s="2">
        <f t="shared" si="8"/>
        <v>716790.0591867984</v>
      </c>
      <c r="X16" s="2">
        <f t="shared" si="8"/>
        <v>2641472.3508205852</v>
      </c>
      <c r="Z16" s="2">
        <f>AVERAGE(N16,N71,N126,N236)</f>
        <v>4204649.47873672</v>
      </c>
    </row>
    <row r="17" spans="1:26" x14ac:dyDescent="0.2">
      <c r="C17" s="5" t="s">
        <v>22</v>
      </c>
      <c r="D17" s="4">
        <v>1089186.71</v>
      </c>
      <c r="E17" s="4">
        <v>285395.06400000001</v>
      </c>
      <c r="F17" s="4">
        <v>64160.4</v>
      </c>
      <c r="G17" s="4">
        <f>SUM(D17:F17)</f>
        <v>1438742.1739999999</v>
      </c>
      <c r="I17" s="4">
        <v>1688337.8149999999</v>
      </c>
      <c r="J17" s="4">
        <v>251726.75099999999</v>
      </c>
      <c r="K17" s="4">
        <v>714374.14800000004</v>
      </c>
      <c r="L17" s="4">
        <f>SUM(I17:K17)</f>
        <v>2654438.7139999997</v>
      </c>
      <c r="N17" s="2">
        <f>G17+L17</f>
        <v>4093180.8879999993</v>
      </c>
      <c r="P17" s="2">
        <f t="shared" si="7"/>
        <v>1042526.8894999999</v>
      </c>
      <c r="Q17" s="2">
        <f t="shared" si="7"/>
        <v>293163.58924999996</v>
      </c>
      <c r="R17" s="2">
        <f t="shared" si="7"/>
        <v>63958.205000000002</v>
      </c>
      <c r="S17" s="2">
        <f t="shared" si="7"/>
        <v>1399648.6837500001</v>
      </c>
      <c r="U17" s="2">
        <f t="shared" si="8"/>
        <v>1553837.362</v>
      </c>
      <c r="V17" s="2">
        <f t="shared" si="8"/>
        <v>239520.75524999999</v>
      </c>
      <c r="W17" s="2">
        <f t="shared" si="8"/>
        <v>694732.91824999987</v>
      </c>
      <c r="X17" s="2">
        <f t="shared" si="8"/>
        <v>2488091.0354999998</v>
      </c>
      <c r="Z17" s="2">
        <f>AVERAGE(N17,N72,N127,N237)</f>
        <v>3887739.7192500001</v>
      </c>
    </row>
    <row r="18" spans="1:26" x14ac:dyDescent="0.2">
      <c r="C18" s="5" t="s">
        <v>23</v>
      </c>
      <c r="D18" s="7">
        <f>(D16/D17)-1</f>
        <v>0.13577727148268348</v>
      </c>
      <c r="E18" s="7">
        <f>(E16/E17)-1</f>
        <v>0.21829986073900653</v>
      </c>
      <c r="F18" s="7">
        <f>(F16/F17)-1</f>
        <v>0.14804319021390056</v>
      </c>
      <c r="G18" s="7">
        <f>(G16/G17)-1</f>
        <v>0.1526938020009696</v>
      </c>
      <c r="H18" s="7"/>
      <c r="I18" s="7">
        <f>(I16/I17)-1</f>
        <v>7.6582461756088849E-2</v>
      </c>
      <c r="J18" s="7">
        <f>(J16/J17)-1</f>
        <v>5.6306670500823941E-2</v>
      </c>
      <c r="K18" s="7">
        <f>(K16/K17)-1</f>
        <v>9.996431833070929E-2</v>
      </c>
      <c r="L18" s="7">
        <f>(L16/L17)-1</f>
        <v>8.0952287569483472E-2</v>
      </c>
      <c r="N18" s="7">
        <f>(N16/N17)-1</f>
        <v>0.10616923870443373</v>
      </c>
      <c r="P18" s="7">
        <f>(P16/P17)-1</f>
        <v>0.11012358129990041</v>
      </c>
      <c r="Q18" s="7">
        <f>(Q16/Q17)-1</f>
        <v>0.12358011905608701</v>
      </c>
      <c r="R18" s="7">
        <f>(R16/R17)-1</f>
        <v>0.19532221441369346</v>
      </c>
      <c r="S18" s="7">
        <f>(S16/S17)-1</f>
        <v>0.11683535023088965</v>
      </c>
      <c r="U18" s="7">
        <f>(U16/U17)-1</f>
        <v>7.3557065803960819E-2</v>
      </c>
      <c r="V18" s="7">
        <f>(V16/V17)-1</f>
        <v>7.1093869425747913E-2</v>
      </c>
      <c r="W18" s="7">
        <f>(W16/W17)-1</f>
        <v>3.1749094302828462E-2</v>
      </c>
      <c r="X18" s="7">
        <f>(X16/X17)-1</f>
        <v>6.1646183010245936E-2</v>
      </c>
      <c r="Z18" s="7">
        <f>(Z16/Z17)-1</f>
        <v>8.1515168805553762E-2</v>
      </c>
    </row>
    <row r="20" spans="1:26" x14ac:dyDescent="0.2">
      <c r="A20" s="5" t="s">
        <v>13</v>
      </c>
      <c r="C20" s="5" t="s">
        <v>21</v>
      </c>
      <c r="D20" s="4">
        <v>1203719.8996444002</v>
      </c>
      <c r="E20" s="4">
        <v>335424.84606379975</v>
      </c>
      <c r="F20" s="4">
        <v>86753.263174000036</v>
      </c>
      <c r="G20" s="4">
        <f>SUM(D20:F20)</f>
        <v>1625898.0088821999</v>
      </c>
      <c r="I20" s="4">
        <v>1864817.9806407348</v>
      </c>
      <c r="J20" s="4">
        <v>302991.11527729995</v>
      </c>
      <c r="K20" s="4">
        <v>790257.66909151804</v>
      </c>
      <c r="L20" s="4">
        <f>SUM(I20:K20)</f>
        <v>2958066.7650095527</v>
      </c>
      <c r="N20" s="2">
        <f>G20+L20</f>
        <v>4583964.7738917526</v>
      </c>
      <c r="P20" s="2">
        <f t="shared" ref="P20:S21" si="9">AVERAGE(D20,D75,D130,D240)</f>
        <v>1154578.0098585626</v>
      </c>
      <c r="Q20" s="2">
        <f t="shared" si="9"/>
        <v>324802.82715039991</v>
      </c>
      <c r="R20" s="2">
        <f t="shared" si="9"/>
        <v>88439.365453424965</v>
      </c>
      <c r="S20" s="2">
        <f t="shared" si="9"/>
        <v>1567820.2024623873</v>
      </c>
      <c r="U20" s="2">
        <f t="shared" ref="U20:X21" si="10">AVERAGE(I20,I75,I130,I240)</f>
        <v>1812669.0087062642</v>
      </c>
      <c r="V20" s="2">
        <f t="shared" si="10"/>
        <v>329640.09133387503</v>
      </c>
      <c r="W20" s="2">
        <f t="shared" si="10"/>
        <v>726610.79662763607</v>
      </c>
      <c r="X20" s="2">
        <f t="shared" si="10"/>
        <v>2868919.8966677752</v>
      </c>
      <c r="Z20" s="2">
        <f>AVERAGE(N20,N75,N130,N240)</f>
        <v>4436740.099130163</v>
      </c>
    </row>
    <row r="21" spans="1:26" x14ac:dyDescent="0.2">
      <c r="C21" s="5" t="s">
        <v>22</v>
      </c>
      <c r="D21" s="4">
        <v>1074743.949</v>
      </c>
      <c r="E21" s="4">
        <v>336332.91700000002</v>
      </c>
      <c r="F21" s="4">
        <v>79133.357000000004</v>
      </c>
      <c r="G21" s="4">
        <f>SUM(D21:F21)</f>
        <v>1490210.223</v>
      </c>
      <c r="I21" s="4">
        <v>1758481.19</v>
      </c>
      <c r="J21" s="4">
        <v>273526.61900000001</v>
      </c>
      <c r="K21" s="4">
        <v>746806.85899999994</v>
      </c>
      <c r="L21" s="4">
        <f>SUM(I21:K21)</f>
        <v>2778814.6679999996</v>
      </c>
      <c r="N21" s="2">
        <f>G21+L21</f>
        <v>4269024.8909999998</v>
      </c>
      <c r="P21" s="2">
        <f t="shared" si="9"/>
        <v>1045310.932</v>
      </c>
      <c r="Q21" s="2">
        <f t="shared" si="9"/>
        <v>318562.77925000002</v>
      </c>
      <c r="R21" s="2">
        <f t="shared" si="9"/>
        <v>74359.373999999996</v>
      </c>
      <c r="S21" s="2">
        <f t="shared" si="9"/>
        <v>1438233.08525</v>
      </c>
      <c r="U21" s="2">
        <f t="shared" si="10"/>
        <v>1724797.8134999999</v>
      </c>
      <c r="V21" s="2">
        <f t="shared" si="10"/>
        <v>289195.75825000001</v>
      </c>
      <c r="W21" s="2">
        <f t="shared" si="10"/>
        <v>670843.89624999999</v>
      </c>
      <c r="X21" s="2">
        <f t="shared" si="10"/>
        <v>2684837.4679999999</v>
      </c>
      <c r="Z21" s="2">
        <f>AVERAGE(N21,N76,N131,N241)</f>
        <v>4123070.5532499999</v>
      </c>
    </row>
    <row r="22" spans="1:26" x14ac:dyDescent="0.2">
      <c r="C22" s="5" t="s">
        <v>23</v>
      </c>
      <c r="D22" s="7">
        <f>(D20/D21)-1</f>
        <v>0.12000621242334653</v>
      </c>
      <c r="E22" s="7">
        <f>(E20/E21)-1</f>
        <v>-2.6999169284410707E-3</v>
      </c>
      <c r="F22" s="7">
        <f>(F20/F21)-1</f>
        <v>9.6291961606027154E-2</v>
      </c>
      <c r="G22" s="7">
        <f>(G20/G21)-1</f>
        <v>9.1052781539131766E-2</v>
      </c>
      <c r="H22" s="7"/>
      <c r="I22" s="7">
        <f>(I20/I21)-1</f>
        <v>6.0470814954088237E-2</v>
      </c>
      <c r="J22" s="7">
        <f>(J20/J21)-1</f>
        <v>0.10772076365006344</v>
      </c>
      <c r="K22" s="7">
        <f>(K20/K21)-1</f>
        <v>5.8182125094164538E-2</v>
      </c>
      <c r="L22" s="7">
        <f>(L20/L21)-1</f>
        <v>6.4506675840518168E-2</v>
      </c>
      <c r="N22" s="7">
        <f>(N20/N21)-1</f>
        <v>7.3773259920716816E-2</v>
      </c>
      <c r="P22" s="7">
        <f>(P20/P21)-1</f>
        <v>0.10453069466087106</v>
      </c>
      <c r="Q22" s="7">
        <f>(Q20/Q21)-1</f>
        <v>1.9588126130400285E-2</v>
      </c>
      <c r="R22" s="7">
        <f>(R20/R21)-1</f>
        <v>0.18935059153974287</v>
      </c>
      <c r="S22" s="7">
        <f>(S20/S21)-1</f>
        <v>9.0101610470087135E-2</v>
      </c>
      <c r="U22" s="7">
        <f>(U20/U21)-1</f>
        <v>5.0945794642418996E-2</v>
      </c>
      <c r="V22" s="7">
        <f>(V20/V21)-1</f>
        <v>0.13985105911862039</v>
      </c>
      <c r="W22" s="7">
        <f>(W20/W21)-1</f>
        <v>8.312947421802841E-2</v>
      </c>
      <c r="X22" s="7">
        <f>(X20/X21)-1</f>
        <v>6.856371413979967E-2</v>
      </c>
      <c r="Z22" s="7">
        <f>(Z20/Z21)-1</f>
        <v>7.6076686495920809E-2</v>
      </c>
    </row>
    <row r="24" spans="1:26" x14ac:dyDescent="0.2">
      <c r="A24" s="5" t="s">
        <v>14</v>
      </c>
      <c r="C24" s="5" t="s">
        <v>21</v>
      </c>
      <c r="D24" s="4">
        <v>1176111.9958696021</v>
      </c>
      <c r="E24" s="4">
        <v>332633.56741919986</v>
      </c>
      <c r="F24" s="4">
        <v>87993.545979699964</v>
      </c>
      <c r="G24" s="4">
        <f>SUM(D24:F24)</f>
        <v>1596739.1092685019</v>
      </c>
      <c r="I24" s="4">
        <v>2034124.7504388399</v>
      </c>
      <c r="J24" s="4">
        <v>396668.5424629997</v>
      </c>
      <c r="K24" s="4">
        <v>785444.652378459</v>
      </c>
      <c r="L24" s="4">
        <f>SUM(I24:K24)</f>
        <v>3216237.9452802986</v>
      </c>
      <c r="N24" s="2">
        <f>G24+L24</f>
        <v>4812977.0545488</v>
      </c>
      <c r="P24" s="2">
        <f t="shared" ref="P24:S25" si="11">AVERAGE(D24,D79,D134,D244)</f>
        <v>1157499.4890769753</v>
      </c>
      <c r="Q24" s="2">
        <f t="shared" si="11"/>
        <v>346309.12020727491</v>
      </c>
      <c r="R24" s="2">
        <f t="shared" si="11"/>
        <v>90662.303442575037</v>
      </c>
      <c r="S24" s="2">
        <f t="shared" si="11"/>
        <v>1594470.9127268253</v>
      </c>
      <c r="U24" s="2">
        <f t="shared" ref="U24:X25" si="12">AVERAGE(I24,I79,I134,I244)</f>
        <v>1983969.5759499473</v>
      </c>
      <c r="V24" s="2">
        <f t="shared" si="12"/>
        <v>405422.09447297506</v>
      </c>
      <c r="W24" s="2">
        <f t="shared" si="12"/>
        <v>725958.4055451483</v>
      </c>
      <c r="X24" s="2">
        <f t="shared" si="12"/>
        <v>3115350.0759680709</v>
      </c>
      <c r="Z24" s="2">
        <f>AVERAGE(N24,N79,N134,N244)</f>
        <v>4709820.988694896</v>
      </c>
    </row>
    <row r="25" spans="1:26" x14ac:dyDescent="0.2">
      <c r="C25" s="5" t="s">
        <v>22</v>
      </c>
      <c r="D25" s="4">
        <v>1085134.673</v>
      </c>
      <c r="E25" s="4">
        <v>291338.451</v>
      </c>
      <c r="F25" s="4">
        <v>76250.581999999995</v>
      </c>
      <c r="G25" s="4">
        <f>SUM(D25:F25)</f>
        <v>1452723.7059999998</v>
      </c>
      <c r="I25" s="4">
        <v>1946442.926</v>
      </c>
      <c r="J25" s="4">
        <v>362347.391</v>
      </c>
      <c r="K25" s="4">
        <v>767271.80799999996</v>
      </c>
      <c r="L25" s="4">
        <f>SUM(I25:K25)</f>
        <v>3076062.125</v>
      </c>
      <c r="N25" s="2">
        <f>G25+L25</f>
        <v>4528785.8310000002</v>
      </c>
      <c r="P25" s="2">
        <f t="shared" si="11"/>
        <v>1081758.65925</v>
      </c>
      <c r="Q25" s="2">
        <f t="shared" si="11"/>
        <v>295324.73974999995</v>
      </c>
      <c r="R25" s="2">
        <f t="shared" si="11"/>
        <v>76711.173999999999</v>
      </c>
      <c r="S25" s="2">
        <f t="shared" si="11"/>
        <v>1453794.5729999999</v>
      </c>
      <c r="U25" s="2">
        <f t="shared" si="12"/>
        <v>1861897.6047500002</v>
      </c>
      <c r="V25" s="2">
        <f t="shared" si="12"/>
        <v>369414.71224999998</v>
      </c>
      <c r="W25" s="2">
        <f t="shared" si="12"/>
        <v>689590.90500000003</v>
      </c>
      <c r="X25" s="2">
        <f t="shared" si="12"/>
        <v>2920903.2220000001</v>
      </c>
      <c r="Z25" s="2">
        <f>AVERAGE(N25,N80,N135,N245)</f>
        <v>4374697.7949999999</v>
      </c>
    </row>
    <row r="26" spans="1:26" x14ac:dyDescent="0.2">
      <c r="C26" s="5" t="s">
        <v>23</v>
      </c>
      <c r="D26" s="7">
        <f>(D24/D25)-1</f>
        <v>8.3839660765868906E-2</v>
      </c>
      <c r="E26" s="7">
        <f>(E24/E25)-1</f>
        <v>0.14174276096223171</v>
      </c>
      <c r="F26" s="7">
        <f>(F24/F25)-1</f>
        <v>0.15400490949301826</v>
      </c>
      <c r="G26" s="7">
        <f>(G24/G25)-1</f>
        <v>9.9134751276993338E-2</v>
      </c>
      <c r="H26" s="7"/>
      <c r="I26" s="7">
        <f>(I24/I25)-1</f>
        <v>4.5047210615637656E-2</v>
      </c>
      <c r="J26" s="7">
        <f>(J24/J25)-1</f>
        <v>9.4718914266998855E-2</v>
      </c>
      <c r="K26" s="7">
        <f>(K24/K25)-1</f>
        <v>2.3685015126294173E-2</v>
      </c>
      <c r="L26" s="7">
        <f>(L24/L25)-1</f>
        <v>4.5569892474229157E-2</v>
      </c>
      <c r="N26" s="7">
        <f>(N24/N25)-1</f>
        <v>6.2752188810405229E-2</v>
      </c>
      <c r="P26" s="7">
        <f>(P24/P25)-1</f>
        <v>7.0016384134597542E-2</v>
      </c>
      <c r="Q26" s="7">
        <f>(Q24/Q25)-1</f>
        <v>0.17263836582209313</v>
      </c>
      <c r="R26" s="7">
        <f>(R24/R25)-1</f>
        <v>0.1818656750394021</v>
      </c>
      <c r="S26" s="7">
        <f>(S24/S25)-1</f>
        <v>9.6764936628240816E-2</v>
      </c>
      <c r="U26" s="7">
        <f>(U24/U25)-1</f>
        <v>6.5563203308561135E-2</v>
      </c>
      <c r="V26" s="7">
        <f>(V24/V25)-1</f>
        <v>9.7471435297377118E-2</v>
      </c>
      <c r="W26" s="7">
        <f>(W24/W25)-1</f>
        <v>5.2737790306483623E-2</v>
      </c>
      <c r="X26" s="7">
        <f>(X24/X25)-1</f>
        <v>6.6570796493192086E-2</v>
      </c>
      <c r="Z26" s="7">
        <f>(Z24/Z25)-1</f>
        <v>7.6604878645085028E-2</v>
      </c>
    </row>
    <row r="28" spans="1:26" x14ac:dyDescent="0.2">
      <c r="A28" s="5" t="s">
        <v>15</v>
      </c>
      <c r="C28" s="5" t="s">
        <v>21</v>
      </c>
      <c r="D28" s="4">
        <v>1321679.3843018005</v>
      </c>
      <c r="E28" s="4">
        <v>387465.93188540003</v>
      </c>
      <c r="F28" s="4">
        <v>93404.394185300131</v>
      </c>
      <c r="G28" s="4">
        <f>SUM(D28:F28)</f>
        <v>1802549.7103725008</v>
      </c>
      <c r="I28" s="4">
        <v>2422512.4446862214</v>
      </c>
      <c r="J28" s="4">
        <v>497878.58830459975</v>
      </c>
      <c r="K28" s="4">
        <v>842422.23899176926</v>
      </c>
      <c r="L28" s="4">
        <f>SUM(I28:K28)</f>
        <v>3762813.2719825907</v>
      </c>
      <c r="N28" s="2">
        <f>G28+L28</f>
        <v>5565362.9823550917</v>
      </c>
      <c r="P28" s="2">
        <f t="shared" ref="P28:S29" si="13">AVERAGE(D28,D83,D138,D248)</f>
        <v>1307021.6121095649</v>
      </c>
      <c r="Q28" s="2">
        <f t="shared" si="13"/>
        <v>403767.63398672495</v>
      </c>
      <c r="R28" s="2">
        <f t="shared" si="13"/>
        <v>92234.198349400016</v>
      </c>
      <c r="S28" s="2">
        <f t="shared" si="13"/>
        <v>1803023.4444456899</v>
      </c>
      <c r="U28" s="2">
        <f t="shared" ref="U28:X29" si="14">AVERAGE(I28,I83,I138,I248)</f>
        <v>2323907.0162190762</v>
      </c>
      <c r="V28" s="2">
        <f t="shared" si="14"/>
        <v>459163.58288755</v>
      </c>
      <c r="W28" s="2">
        <f t="shared" si="14"/>
        <v>775572.13307762786</v>
      </c>
      <c r="X28" s="2">
        <f t="shared" si="14"/>
        <v>3558642.7321842546</v>
      </c>
      <c r="Z28" s="2">
        <f>AVERAGE(N28,N83,N138,N248)</f>
        <v>5361666.1766299447</v>
      </c>
    </row>
    <row r="29" spans="1:26" x14ac:dyDescent="0.2">
      <c r="C29" s="5" t="s">
        <v>22</v>
      </c>
      <c r="D29" s="4">
        <v>1209934.202</v>
      </c>
      <c r="E29" s="4">
        <v>357181.95799999998</v>
      </c>
      <c r="F29" s="4">
        <v>86459.134999999995</v>
      </c>
      <c r="G29" s="4">
        <f>SUM(D29:F29)</f>
        <v>1653575.2950000002</v>
      </c>
      <c r="I29" s="4">
        <v>2320861.1850000001</v>
      </c>
      <c r="J29" s="4">
        <v>414100.46500000003</v>
      </c>
      <c r="K29" s="4">
        <v>794677.45699999994</v>
      </c>
      <c r="L29" s="4">
        <f>SUM(I29:K29)</f>
        <v>3529639.1069999998</v>
      </c>
      <c r="N29" s="2">
        <f>G29+L29</f>
        <v>5183214.4019999998</v>
      </c>
      <c r="P29" s="2">
        <f t="shared" si="13"/>
        <v>1190709.9382500001</v>
      </c>
      <c r="Q29" s="2">
        <f t="shared" si="13"/>
        <v>373699.17350000003</v>
      </c>
      <c r="R29" s="2">
        <f t="shared" si="13"/>
        <v>88146.839500000002</v>
      </c>
      <c r="S29" s="2">
        <f t="shared" si="13"/>
        <v>1652555.9512499999</v>
      </c>
      <c r="U29" s="2">
        <f t="shared" si="14"/>
        <v>2190391.1535</v>
      </c>
      <c r="V29" s="2">
        <f t="shared" si="14"/>
        <v>409141.33100000001</v>
      </c>
      <c r="W29" s="2">
        <f t="shared" si="14"/>
        <v>721379.40500000003</v>
      </c>
      <c r="X29" s="2">
        <f t="shared" si="14"/>
        <v>3320911.8895</v>
      </c>
      <c r="Z29" s="2">
        <f>AVERAGE(N29,N84,N139,N249)</f>
        <v>4973467.8407499995</v>
      </c>
    </row>
    <row r="30" spans="1:26" x14ac:dyDescent="0.2">
      <c r="C30" s="5" t="s">
        <v>23</v>
      </c>
      <c r="D30" s="7">
        <f>(D28/D29)-1</f>
        <v>9.2356412536390486E-2</v>
      </c>
      <c r="E30" s="7">
        <f>(E28/E29)-1</f>
        <v>8.4785844321397796E-2</v>
      </c>
      <c r="F30" s="7">
        <f>(F28/F29)-1</f>
        <v>8.0329963806602178E-2</v>
      </c>
      <c r="G30" s="7">
        <f>(G28/G29)-1</f>
        <v>9.0092308359324358E-2</v>
      </c>
      <c r="H30" s="7"/>
      <c r="I30" s="7">
        <f>(I28/I29)-1</f>
        <v>4.3798939955222327E-2</v>
      </c>
      <c r="J30" s="7">
        <f>(J28/J29)-1</f>
        <v>0.20231352144122727</v>
      </c>
      <c r="K30" s="7">
        <f>(K28/K29)-1</f>
        <v>6.0080705160570957E-2</v>
      </c>
      <c r="L30" s="7">
        <f>(L28/L29)-1</f>
        <v>6.6061758132767379E-2</v>
      </c>
      <c r="N30" s="7">
        <f>(N28/N29)-1</f>
        <v>7.3728105904250496E-2</v>
      </c>
      <c r="P30" s="7">
        <f>(P28/P29)-1</f>
        <v>9.7682626241038628E-2</v>
      </c>
      <c r="Q30" s="7">
        <f>(Q28/Q29)-1</f>
        <v>8.046167243322766E-2</v>
      </c>
      <c r="R30" s="7">
        <f>(R28/R29)-1</f>
        <v>4.636988543871734E-2</v>
      </c>
      <c r="S30" s="7">
        <f>(S28/S29)-1</f>
        <v>9.1051375950010005E-2</v>
      </c>
      <c r="U30" s="7">
        <f>(U28/U29)-1</f>
        <v>6.0955260208083395E-2</v>
      </c>
      <c r="V30" s="7">
        <f>(V28/V29)-1</f>
        <v>0.12226154655480159</v>
      </c>
      <c r="W30" s="7">
        <f>(W28/W29)-1</f>
        <v>7.5123752774211461E-2</v>
      </c>
      <c r="X30" s="7">
        <f>(X28/X29)-1</f>
        <v>7.1586013298307494E-2</v>
      </c>
      <c r="Z30" s="7">
        <f>(Z28/Z29)-1</f>
        <v>7.8053854636246145E-2</v>
      </c>
    </row>
    <row r="32" spans="1:26" x14ac:dyDescent="0.2">
      <c r="A32" s="5" t="s">
        <v>16</v>
      </c>
      <c r="C32" s="5" t="s">
        <v>21</v>
      </c>
      <c r="D32" s="4">
        <v>1300407.6720929986</v>
      </c>
      <c r="E32" s="4">
        <v>377340.64953389968</v>
      </c>
      <c r="F32" s="4">
        <v>87273.162596799928</v>
      </c>
      <c r="G32" s="4">
        <f>SUM(D32:F32)</f>
        <v>1765021.4842236983</v>
      </c>
      <c r="I32" s="4">
        <v>2351117.4393979996</v>
      </c>
      <c r="J32" s="4">
        <v>362676.46290429967</v>
      </c>
      <c r="K32" s="4">
        <v>836340.11249786068</v>
      </c>
      <c r="L32" s="4">
        <f>SUM(I32:K32)</f>
        <v>3550134.0148001597</v>
      </c>
      <c r="N32" s="2">
        <f>G32+L32</f>
        <v>5315155.4990238585</v>
      </c>
      <c r="P32" s="2">
        <f t="shared" ref="P32:S33" si="15">AVERAGE(D32,D87,D142,D252)</f>
        <v>1284317.4252110748</v>
      </c>
      <c r="Q32" s="2">
        <f t="shared" si="15"/>
        <v>390357.66527234984</v>
      </c>
      <c r="R32" s="2">
        <f t="shared" si="15"/>
        <v>88397.528012749986</v>
      </c>
      <c r="S32" s="2">
        <f t="shared" si="15"/>
        <v>1763072.6184961747</v>
      </c>
      <c r="U32" s="2">
        <f t="shared" ref="U32:X33" si="16">AVERAGE(I32,I87,I142,I252)</f>
        <v>2224707.1316833925</v>
      </c>
      <c r="V32" s="2">
        <f t="shared" si="16"/>
        <v>352935.26035707502</v>
      </c>
      <c r="W32" s="2">
        <f t="shared" si="16"/>
        <v>767879.52840785799</v>
      </c>
      <c r="X32" s="2">
        <f t="shared" si="16"/>
        <v>3345521.9204483256</v>
      </c>
      <c r="Z32" s="2">
        <f>AVERAGE(N32,N87,N142,N252)</f>
        <v>5108594.5389445005</v>
      </c>
    </row>
    <row r="33" spans="1:26" x14ac:dyDescent="0.2">
      <c r="C33" s="5" t="s">
        <v>22</v>
      </c>
      <c r="D33" s="4">
        <v>1140664.254</v>
      </c>
      <c r="E33" s="4">
        <v>353021.755</v>
      </c>
      <c r="F33" s="4">
        <v>70771.392999999996</v>
      </c>
      <c r="G33" s="4">
        <f>SUM(D33:F33)</f>
        <v>1564457.402</v>
      </c>
      <c r="I33" s="4">
        <v>2177892.469</v>
      </c>
      <c r="J33" s="4">
        <v>336660.06900000002</v>
      </c>
      <c r="K33" s="4">
        <v>794890.34199999995</v>
      </c>
      <c r="L33" s="4">
        <f>SUM(I33:K33)</f>
        <v>3309442.88</v>
      </c>
      <c r="N33" s="2">
        <f>G33+L33</f>
        <v>4873900.2819999997</v>
      </c>
      <c r="P33" s="2">
        <f t="shared" si="15"/>
        <v>1151996.08975</v>
      </c>
      <c r="Q33" s="2">
        <f t="shared" si="15"/>
        <v>358110.5295</v>
      </c>
      <c r="R33" s="2">
        <f t="shared" si="15"/>
        <v>79140.710500000001</v>
      </c>
      <c r="S33" s="2">
        <f t="shared" si="15"/>
        <v>1589247.32975</v>
      </c>
      <c r="U33" s="2">
        <f t="shared" si="16"/>
        <v>2056704.9065</v>
      </c>
      <c r="V33" s="2">
        <f t="shared" si="16"/>
        <v>332666.84000000003</v>
      </c>
      <c r="W33" s="2">
        <f t="shared" si="16"/>
        <v>724008.88600000006</v>
      </c>
      <c r="X33" s="2">
        <f t="shared" si="16"/>
        <v>3113380.6324999998</v>
      </c>
      <c r="Z33" s="2">
        <f>AVERAGE(N33,N88,N143,N253)</f>
        <v>4702627.9622499999</v>
      </c>
    </row>
    <row r="34" spans="1:26" x14ac:dyDescent="0.2">
      <c r="C34" s="5" t="s">
        <v>23</v>
      </c>
      <c r="D34" s="7">
        <f>(D32/D33)-1</f>
        <v>0.14004420453505206</v>
      </c>
      <c r="E34" s="7">
        <f>(E32/E33)-1</f>
        <v>6.888780702452646E-2</v>
      </c>
      <c r="F34" s="7">
        <f>(F32/F33)-1</f>
        <v>0.23317005497969978</v>
      </c>
      <c r="G34" s="7">
        <f>(G32/G33)-1</f>
        <v>0.12820041118875936</v>
      </c>
      <c r="H34" s="7"/>
      <c r="I34" s="7">
        <f>(I32/I33)-1</f>
        <v>7.9537889433787035E-2</v>
      </c>
      <c r="J34" s="7">
        <f>(J32/J33)-1</f>
        <v>7.7277931955451518E-2</v>
      </c>
      <c r="K34" s="7">
        <f>(K32/K33)-1</f>
        <v>5.2145268734263617E-2</v>
      </c>
      <c r="L34" s="7">
        <f>(L32/L33)-1</f>
        <v>7.272859617995886E-2</v>
      </c>
      <c r="N34" s="7">
        <f>(N32/N33)-1</f>
        <v>9.0534313689895729E-2</v>
      </c>
      <c r="P34" s="7">
        <f>(P32/P33)-1</f>
        <v>0.1148626602454792</v>
      </c>
      <c r="Q34" s="7">
        <f>(Q32/Q33)-1</f>
        <v>9.0047996682403708E-2</v>
      </c>
      <c r="R34" s="7">
        <f>(R32/R33)-1</f>
        <v>0.11696657073542438</v>
      </c>
      <c r="S34" s="7">
        <f>(S32/S33)-1</f>
        <v>0.1093758570439245</v>
      </c>
      <c r="U34" s="7">
        <f>(U32/U33)-1</f>
        <v>8.1685138520571909E-2</v>
      </c>
      <c r="V34" s="7">
        <f>(V32/V33)-1</f>
        <v>6.0927083556254091E-2</v>
      </c>
      <c r="W34" s="7">
        <f>(W32/W33)-1</f>
        <v>6.0594066255504453E-2</v>
      </c>
      <c r="X34" s="7">
        <f>(X32/X33)-1</f>
        <v>7.4562450066351094E-2</v>
      </c>
      <c r="Z34" s="7">
        <f>(Z32/Z33)-1</f>
        <v>8.6327598090550017E-2</v>
      </c>
    </row>
    <row r="36" spans="1:26" x14ac:dyDescent="0.2">
      <c r="A36" s="5" t="s">
        <v>17</v>
      </c>
      <c r="C36" s="5" t="s">
        <v>21</v>
      </c>
      <c r="D36" s="4">
        <v>1204710.9211048004</v>
      </c>
      <c r="E36" s="4">
        <v>355296.50658860005</v>
      </c>
      <c r="F36" s="4">
        <v>72646.620848199978</v>
      </c>
      <c r="G36" s="4">
        <f>SUM(D36:F36)</f>
        <v>1632654.0485416006</v>
      </c>
      <c r="I36" s="4">
        <v>1918885.6418018276</v>
      </c>
      <c r="J36" s="4">
        <v>282385.37961370038</v>
      </c>
      <c r="K36" s="4">
        <v>760904.74057445163</v>
      </c>
      <c r="L36" s="4">
        <f>SUM(I36:K36)</f>
        <v>2962175.7619899795</v>
      </c>
      <c r="N36" s="2">
        <f>G36+L36</f>
        <v>4594829.8105315799</v>
      </c>
      <c r="P36" s="2">
        <f t="shared" ref="P36:S37" si="17">AVERAGE(D36,D91,D146,D256)</f>
        <v>1164504.1829805749</v>
      </c>
      <c r="Q36" s="2">
        <f t="shared" si="17"/>
        <v>357114.23282857478</v>
      </c>
      <c r="R36" s="2">
        <f t="shared" si="17"/>
        <v>73001.597154699994</v>
      </c>
      <c r="S36" s="2">
        <f t="shared" si="17"/>
        <v>1594620.0129638496</v>
      </c>
      <c r="U36" s="2">
        <f t="shared" ref="U36:X37" si="18">AVERAGE(I36,I91,I146,I256)</f>
        <v>1824463.3464674789</v>
      </c>
      <c r="V36" s="2">
        <f t="shared" si="18"/>
        <v>283682.89704287512</v>
      </c>
      <c r="W36" s="2">
        <f t="shared" si="18"/>
        <v>709389.19670807733</v>
      </c>
      <c r="X36" s="2">
        <f t="shared" si="18"/>
        <v>2817535.4402184319</v>
      </c>
      <c r="Z36" s="2">
        <f>AVERAGE(N36,N91,N146,N256)</f>
        <v>4412155.453182281</v>
      </c>
    </row>
    <row r="37" spans="1:26" x14ac:dyDescent="0.2">
      <c r="C37" s="5" t="s">
        <v>22</v>
      </c>
      <c r="D37" s="4">
        <v>1053848.753</v>
      </c>
      <c r="E37" s="4">
        <v>294048.34700000001</v>
      </c>
      <c r="F37" s="4">
        <v>91948.764999999999</v>
      </c>
      <c r="G37" s="4">
        <f>SUM(D37:F37)</f>
        <v>1439845.865</v>
      </c>
      <c r="I37" s="4">
        <v>1709354.4839999999</v>
      </c>
      <c r="J37" s="4">
        <v>258379.34899999999</v>
      </c>
      <c r="K37" s="4">
        <v>712970.103</v>
      </c>
      <c r="L37" s="4">
        <f>SUM(I37:K37)</f>
        <v>2680703.9359999998</v>
      </c>
      <c r="N37" s="2">
        <f>G37+L37</f>
        <v>4120549.801</v>
      </c>
      <c r="P37" s="2">
        <f t="shared" si="17"/>
        <v>1055563.03675</v>
      </c>
      <c r="Q37" s="2">
        <f t="shared" si="17"/>
        <v>300697.69725000003</v>
      </c>
      <c r="R37" s="2">
        <f t="shared" si="17"/>
        <v>65925.286250000005</v>
      </c>
      <c r="S37" s="2">
        <f t="shared" si="17"/>
        <v>1422186.0202500001</v>
      </c>
      <c r="U37" s="2">
        <f t="shared" si="18"/>
        <v>1647002.2027499999</v>
      </c>
      <c r="V37" s="2">
        <f t="shared" si="18"/>
        <v>269617.24725000001</v>
      </c>
      <c r="W37" s="2">
        <f t="shared" si="18"/>
        <v>653521.17799999996</v>
      </c>
      <c r="X37" s="2">
        <f t="shared" si="18"/>
        <v>2570140.628</v>
      </c>
      <c r="Z37" s="2">
        <f>AVERAGE(N37,N92,N147,N257)</f>
        <v>3992326.6482500001</v>
      </c>
    </row>
    <row r="38" spans="1:26" x14ac:dyDescent="0.2">
      <c r="C38" s="5" t="s">
        <v>23</v>
      </c>
      <c r="D38" s="7">
        <f>(D36/D37)-1</f>
        <v>0.14315352907648249</v>
      </c>
      <c r="E38" s="7">
        <f>(E36/E37)-1</f>
        <v>0.20829282059728782</v>
      </c>
      <c r="F38" s="7">
        <f>(F36/F37)-1</f>
        <v>-0.20992282116894145</v>
      </c>
      <c r="G38" s="7">
        <f>(G36/G37)-1</f>
        <v>0.13390890527132959</v>
      </c>
      <c r="H38" s="7"/>
      <c r="I38" s="7">
        <f>(I36/I37)-1</f>
        <v>0.12257911379008468</v>
      </c>
      <c r="J38" s="7">
        <f>(J36/J37)-1</f>
        <v>9.2910020505161839E-2</v>
      </c>
      <c r="K38" s="7">
        <f>(K36/K37)-1</f>
        <v>6.7232324851707936E-2</v>
      </c>
      <c r="L38" s="7">
        <f>(L36/L37)-1</f>
        <v>0.10499922136495865</v>
      </c>
      <c r="N38" s="7">
        <f>(N36/N37)-1</f>
        <v>0.11510114728293752</v>
      </c>
      <c r="P38" s="7">
        <f>(P36/P37)-1</f>
        <v>0.10320667022028029</v>
      </c>
      <c r="Q38" s="7">
        <f>(Q36/Q37)-1</f>
        <v>0.18761878156875289</v>
      </c>
      <c r="R38" s="7">
        <f>(R36/R37)-1</f>
        <v>0.10733834173833401</v>
      </c>
      <c r="S38" s="7">
        <f>(S36/S37)-1</f>
        <v>0.12124573737796829</v>
      </c>
      <c r="U38" s="7">
        <f>(U36/U37)-1</f>
        <v>0.10774796986984714</v>
      </c>
      <c r="V38" s="7">
        <f>(V36/V37)-1</f>
        <v>5.2168954087098429E-2</v>
      </c>
      <c r="W38" s="7">
        <f>(W36/W37)-1</f>
        <v>8.5487694337699649E-2</v>
      </c>
      <c r="X38" s="7">
        <f>(X36/X37)-1</f>
        <v>9.6257305737758925E-2</v>
      </c>
      <c r="Z38" s="7">
        <f>(Z36/Z37)-1</f>
        <v>0.10515893160102752</v>
      </c>
    </row>
    <row r="40" spans="1:26" x14ac:dyDescent="0.2">
      <c r="A40" s="5" t="s">
        <v>18</v>
      </c>
      <c r="C40" s="5" t="s">
        <v>21</v>
      </c>
      <c r="D40" s="4">
        <v>1219736.263246499</v>
      </c>
      <c r="E40" s="4">
        <v>366546.96016750013</v>
      </c>
      <c r="F40" s="4">
        <v>70919.018489700014</v>
      </c>
      <c r="G40" s="4">
        <f>SUM(D40:F40)</f>
        <v>1657202.2419036992</v>
      </c>
      <c r="I40" s="4">
        <v>1858344.1395199413</v>
      </c>
      <c r="J40" s="4">
        <v>276042.79217879963</v>
      </c>
      <c r="K40" s="4">
        <v>835901.72897806566</v>
      </c>
      <c r="L40" s="4">
        <f>SUM(I40:K40)</f>
        <v>2970288.6606768067</v>
      </c>
      <c r="N40" s="2">
        <f>G40+L40</f>
        <v>4627490.9025805062</v>
      </c>
      <c r="P40" s="2">
        <f t="shared" ref="P40:S41" si="19">AVERAGE(D40,D95,D150,D260)</f>
        <v>1208201.2454571745</v>
      </c>
      <c r="Q40" s="2">
        <f t="shared" si="19"/>
        <v>369981.64967359893</v>
      </c>
      <c r="R40" s="2">
        <f t="shared" si="19"/>
        <v>73394.790817800022</v>
      </c>
      <c r="S40" s="2">
        <f t="shared" si="19"/>
        <v>1651577.6859485735</v>
      </c>
      <c r="U40" s="2">
        <f t="shared" ref="U40:X41" si="20">AVERAGE(I40,I95,I150,I260)</f>
        <v>1769377.2638294345</v>
      </c>
      <c r="V40" s="2">
        <f t="shared" si="20"/>
        <v>267060.88743439986</v>
      </c>
      <c r="W40" s="2">
        <f t="shared" si="20"/>
        <v>765509.05825211294</v>
      </c>
      <c r="X40" s="2">
        <f t="shared" si="20"/>
        <v>2801947.2095159469</v>
      </c>
      <c r="Z40" s="2">
        <f>AVERAGE(N40,N95,N150,N260)</f>
        <v>4453524.8954645209</v>
      </c>
    </row>
    <row r="41" spans="1:26" x14ac:dyDescent="0.2">
      <c r="C41" s="5" t="s">
        <v>22</v>
      </c>
      <c r="D41" s="4">
        <v>1078293.621</v>
      </c>
      <c r="E41" s="4">
        <v>344855.86300000001</v>
      </c>
      <c r="F41" s="4">
        <v>48358.332999999999</v>
      </c>
      <c r="G41" s="4">
        <f>SUM(D41:F41)</f>
        <v>1471507.8170000003</v>
      </c>
      <c r="I41" s="4">
        <v>1792594.811</v>
      </c>
      <c r="J41" s="4">
        <v>241207.99</v>
      </c>
      <c r="K41" s="4">
        <v>816694.71</v>
      </c>
      <c r="L41" s="4">
        <f>SUM(I41:K41)</f>
        <v>2850497.5109999999</v>
      </c>
      <c r="N41" s="2">
        <f>G41+L41</f>
        <v>4322005.3279999997</v>
      </c>
      <c r="P41" s="2">
        <f t="shared" si="19"/>
        <v>1082692.0517500001</v>
      </c>
      <c r="Q41" s="2">
        <f t="shared" si="19"/>
        <v>342601.21849999996</v>
      </c>
      <c r="R41" s="2">
        <f t="shared" si="19"/>
        <v>60164.038499999995</v>
      </c>
      <c r="S41" s="2">
        <f t="shared" si="19"/>
        <v>1485457.3087500001</v>
      </c>
      <c r="U41" s="2">
        <f t="shared" si="20"/>
        <v>1650931.7605000001</v>
      </c>
      <c r="V41" s="2">
        <f t="shared" si="20"/>
        <v>231140.0925</v>
      </c>
      <c r="W41" s="2">
        <f t="shared" si="20"/>
        <v>721021.39199999999</v>
      </c>
      <c r="X41" s="2">
        <f t="shared" si="20"/>
        <v>2603093.2450000001</v>
      </c>
      <c r="Z41" s="2">
        <f>AVERAGE(N41,N96,N151,N261)</f>
        <v>4088550.55375</v>
      </c>
    </row>
    <row r="42" spans="1:26" x14ac:dyDescent="0.2">
      <c r="C42" s="5" t="s">
        <v>23</v>
      </c>
      <c r="D42" s="7">
        <f>(D40/D41)-1</f>
        <v>0.1311726597393077</v>
      </c>
      <c r="E42" s="7">
        <f>(E40/E41)-1</f>
        <v>6.2899023895963468E-2</v>
      </c>
      <c r="F42" s="7">
        <f>(F40/F41)-1</f>
        <v>0.46653149705760155</v>
      </c>
      <c r="G42" s="7">
        <f>(G40/G41)-1</f>
        <v>0.12619329830151971</v>
      </c>
      <c r="H42" s="7"/>
      <c r="I42" s="7">
        <f>(I40/I41)-1</f>
        <v>3.6678299031370543E-2</v>
      </c>
      <c r="J42" s="7">
        <f>(J40/J41)-1</f>
        <v>0.14441811060570431</v>
      </c>
      <c r="K42" s="7">
        <f>(K40/K41)-1</f>
        <v>2.3517991169632602E-2</v>
      </c>
      <c r="L42" s="7">
        <f>(L40/L41)-1</f>
        <v>4.2024646299298807E-2</v>
      </c>
      <c r="N42" s="7">
        <f>(N40/N41)-1</f>
        <v>7.0681443310915526E-2</v>
      </c>
      <c r="P42" s="7">
        <f>(P40/P41)-1</f>
        <v>0.11592326137825504</v>
      </c>
      <c r="Q42" s="7">
        <f>(Q40/Q41)-1</f>
        <v>7.9919246328071569E-2</v>
      </c>
      <c r="R42" s="7">
        <f>(R40/R41)-1</f>
        <v>0.21991130661549629</v>
      </c>
      <c r="S42" s="7">
        <f>(S40/S41)-1</f>
        <v>0.11183113524707244</v>
      </c>
      <c r="U42" s="7">
        <f>(U40/U41)-1</f>
        <v>7.1744639096144258E-2</v>
      </c>
      <c r="V42" s="7">
        <f>(V40/V41)-1</f>
        <v>0.15540702846434939</v>
      </c>
      <c r="W42" s="7">
        <f>(W40/W41)-1</f>
        <v>6.1700896458440901E-2</v>
      </c>
      <c r="X42" s="7">
        <f>(X40/X41)-1</f>
        <v>7.6391410449050845E-2</v>
      </c>
      <c r="Z42" s="7">
        <f>(Z40/Z41)-1</f>
        <v>8.9267415656574922E-2</v>
      </c>
    </row>
    <row r="44" spans="1:26" x14ac:dyDescent="0.2">
      <c r="A44" s="5" t="s">
        <v>19</v>
      </c>
      <c r="C44" s="5" t="s">
        <v>21</v>
      </c>
      <c r="D44" s="4">
        <v>1229681.1904784006</v>
      </c>
      <c r="E44" s="4">
        <v>375174.82468339964</v>
      </c>
      <c r="F44" s="4">
        <v>72870.483086100008</v>
      </c>
      <c r="G44" s="4">
        <f>SUM(D44:F44)</f>
        <v>1677726.4982479003</v>
      </c>
      <c r="I44" s="4">
        <v>1905853.87131653</v>
      </c>
      <c r="J44" s="4">
        <v>251394.44958880023</v>
      </c>
      <c r="K44" s="4">
        <v>821057.28194231261</v>
      </c>
      <c r="L44" s="4">
        <f>SUM(I44:K44)</f>
        <v>2978305.6028476427</v>
      </c>
      <c r="N44" s="2">
        <f>G44+L44</f>
        <v>4656032.1010955432</v>
      </c>
      <c r="P44" s="2">
        <f t="shared" ref="P44:S45" si="21">AVERAGE(D44,D99,D154,D264)</f>
        <v>1284303.3366782248</v>
      </c>
      <c r="Q44" s="2">
        <f t="shared" si="21"/>
        <v>391818.28908234986</v>
      </c>
      <c r="R44" s="2">
        <f t="shared" si="21"/>
        <v>78644.479900974984</v>
      </c>
      <c r="S44" s="2">
        <f t="shared" si="21"/>
        <v>1754766.1056615498</v>
      </c>
      <c r="U44" s="2">
        <f t="shared" ref="U44:X45" si="22">AVERAGE(I44,I99,I154,I264)</f>
        <v>1859216.1018813362</v>
      </c>
      <c r="V44" s="2">
        <f t="shared" si="22"/>
        <v>253914.10824205008</v>
      </c>
      <c r="W44" s="2">
        <f t="shared" si="22"/>
        <v>756820.77484911087</v>
      </c>
      <c r="X44" s="2">
        <f t="shared" si="22"/>
        <v>2869950.9849724974</v>
      </c>
      <c r="Z44" s="2">
        <f>AVERAGE(N44,N99,N154,N264)</f>
        <v>4624717.0906340471</v>
      </c>
    </row>
    <row r="45" spans="1:26" x14ac:dyDescent="0.2">
      <c r="C45" s="5" t="s">
        <v>22</v>
      </c>
      <c r="D45" s="4">
        <v>1084655.29</v>
      </c>
      <c r="E45" s="4">
        <v>330954.53499999997</v>
      </c>
      <c r="F45" s="4">
        <v>64412.856</v>
      </c>
      <c r="G45" s="4">
        <f>SUM(D45:F45)</f>
        <v>1480022.6809999999</v>
      </c>
      <c r="I45" s="4">
        <v>1754353.7450000001</v>
      </c>
      <c r="J45" s="4">
        <v>258144.91899999999</v>
      </c>
      <c r="K45" s="4">
        <v>769802.89199999999</v>
      </c>
      <c r="L45" s="4">
        <f>SUM(I45:K45)</f>
        <v>2782301.5559999999</v>
      </c>
      <c r="N45" s="2">
        <f>G45+L45</f>
        <v>4262324.2369999997</v>
      </c>
      <c r="P45" s="2">
        <f t="shared" si="21"/>
        <v>1145364.0307500002</v>
      </c>
      <c r="Q45" s="2">
        <f t="shared" si="21"/>
        <v>351306.92849999998</v>
      </c>
      <c r="R45" s="2">
        <f t="shared" si="21"/>
        <v>65650.543250000002</v>
      </c>
      <c r="S45" s="2">
        <f t="shared" si="21"/>
        <v>1562321.5025000002</v>
      </c>
      <c r="U45" s="2">
        <f t="shared" si="22"/>
        <v>1708838.1</v>
      </c>
      <c r="V45" s="2">
        <f t="shared" si="22"/>
        <v>241272.97025000001</v>
      </c>
      <c r="W45" s="2">
        <f t="shared" si="22"/>
        <v>712258.68700000003</v>
      </c>
      <c r="X45" s="2">
        <f t="shared" si="22"/>
        <v>2662369.7572499998</v>
      </c>
      <c r="Z45" s="2">
        <f>AVERAGE(N45,N100,N155,N265)</f>
        <v>4224691.2597500002</v>
      </c>
    </row>
    <row r="46" spans="1:26" x14ac:dyDescent="0.2">
      <c r="C46" s="5" t="s">
        <v>23</v>
      </c>
      <c r="D46" s="7">
        <f>(D44/D45)-1</f>
        <v>0.13370690376515881</v>
      </c>
      <c r="E46" s="7">
        <f>(E44/E45)-1</f>
        <v>0.13361439414449983</v>
      </c>
      <c r="F46" s="7">
        <f>(F44/F45)-1</f>
        <v>0.13130340139086538</v>
      </c>
      <c r="G46" s="7">
        <f>(G44/G45)-1</f>
        <v>0.13358161316441364</v>
      </c>
      <c r="H46" s="7"/>
      <c r="I46" s="7">
        <f>(I44/I45)-1</f>
        <v>8.6356657970670492E-2</v>
      </c>
      <c r="J46" s="7">
        <f>(J44/J45)-1</f>
        <v>-2.6149921669385123E-2</v>
      </c>
      <c r="K46" s="7">
        <f>(K44/K45)-1</f>
        <v>6.6581186528346548E-2</v>
      </c>
      <c r="L46" s="7">
        <f>(L44/L45)-1</f>
        <v>7.044673012706415E-2</v>
      </c>
      <c r="N46" s="7">
        <f>(N44/N45)-1</f>
        <v>9.2369290134682869E-2</v>
      </c>
      <c r="P46" s="7">
        <f>(P44/P45)-1</f>
        <v>0.12130580513973821</v>
      </c>
      <c r="Q46" s="7">
        <f>(Q44/Q45)-1</f>
        <v>0.11531614464685935</v>
      </c>
      <c r="R46" s="7">
        <f>(R44/R45)-1</f>
        <v>0.19792580544982741</v>
      </c>
      <c r="S46" s="7">
        <f>(S44/S45)-1</f>
        <v>0.12317861775159789</v>
      </c>
      <c r="U46" s="7">
        <f>(U44/U45)-1</f>
        <v>8.8000145760640525E-2</v>
      </c>
      <c r="V46" s="7">
        <f>(V44/V45)-1</f>
        <v>5.2393510880857086E-2</v>
      </c>
      <c r="W46" s="7">
        <f>(W44/W45)-1</f>
        <v>6.2564470834050923E-2</v>
      </c>
      <c r="X46" s="7">
        <f>(X44/X45)-1</f>
        <v>7.7968594391228052E-2</v>
      </c>
      <c r="Z46" s="7">
        <f>(Z44/Z45)-1</f>
        <v>9.4687589290896268E-2</v>
      </c>
    </row>
    <row r="48" spans="1:26" x14ac:dyDescent="0.2">
      <c r="A48" s="5" t="s">
        <v>20</v>
      </c>
      <c r="C48" s="5" t="s">
        <v>21</v>
      </c>
      <c r="D48" s="4">
        <v>1512164.1674659995</v>
      </c>
      <c r="E48" s="4">
        <v>479491.36920469993</v>
      </c>
      <c r="F48" s="4">
        <v>90600.699175900008</v>
      </c>
      <c r="G48" s="4">
        <f>SUM(D48:F48)</f>
        <v>2082256.2358465996</v>
      </c>
      <c r="I48" s="4">
        <v>2119013.1500112591</v>
      </c>
      <c r="J48" s="4">
        <v>279184.59377509973</v>
      </c>
      <c r="K48" s="4">
        <v>907980.60123070818</v>
      </c>
      <c r="L48" s="4">
        <f>SUM(I48:K48)</f>
        <v>3306178.3450170672</v>
      </c>
      <c r="N48" s="2">
        <f>G48+L48</f>
        <v>5388434.5808636667</v>
      </c>
      <c r="P48" s="2">
        <f t="shared" ref="P48:S49" si="23">AVERAGE(D48,D103,D158,D268)</f>
        <v>1456067.8242579005</v>
      </c>
      <c r="Q48" s="2">
        <f t="shared" si="23"/>
        <v>457094.82663897518</v>
      </c>
      <c r="R48" s="2">
        <f t="shared" si="23"/>
        <v>92539.056034949986</v>
      </c>
      <c r="S48" s="2">
        <f t="shared" si="23"/>
        <v>2005701.7069318253</v>
      </c>
      <c r="U48" s="2">
        <f t="shared" ref="U48:X49" si="24">AVERAGE(I48,I103,I158,I268)</f>
        <v>2063664.3675053143</v>
      </c>
      <c r="V48" s="2">
        <f t="shared" si="24"/>
        <v>284848.67230530002</v>
      </c>
      <c r="W48" s="2">
        <f t="shared" si="24"/>
        <v>824458.21508756944</v>
      </c>
      <c r="X48" s="2">
        <f t="shared" si="24"/>
        <v>3172971.2548981835</v>
      </c>
      <c r="Z48" s="2">
        <f>AVERAGE(N48,N103,N158,N268)</f>
        <v>5178672.9618300088</v>
      </c>
    </row>
    <row r="49" spans="1:34" x14ac:dyDescent="0.2">
      <c r="C49" s="5" t="s">
        <v>22</v>
      </c>
      <c r="D49" s="4">
        <v>1398375.8659999999</v>
      </c>
      <c r="E49" s="4">
        <v>397809.13199999998</v>
      </c>
      <c r="F49" s="4">
        <v>73276.001999999993</v>
      </c>
      <c r="G49" s="4">
        <f>SUM(D49:F49)</f>
        <v>1869461</v>
      </c>
      <c r="I49" s="4">
        <v>1943402.78</v>
      </c>
      <c r="J49" s="4">
        <v>242658.30300000001</v>
      </c>
      <c r="K49" s="4">
        <v>942057.65800000005</v>
      </c>
      <c r="L49" s="4">
        <f>SUM(I49:K49)</f>
        <v>3128118.7410000004</v>
      </c>
      <c r="N49" s="2">
        <f>G49+L49</f>
        <v>4997579.7410000004</v>
      </c>
      <c r="P49" s="2">
        <f t="shared" si="23"/>
        <v>1323871.8600000001</v>
      </c>
      <c r="Q49" s="2">
        <f t="shared" si="23"/>
        <v>398646.47474999999</v>
      </c>
      <c r="R49" s="2">
        <f t="shared" si="23"/>
        <v>76012.153250000003</v>
      </c>
      <c r="S49" s="2">
        <f t="shared" si="23"/>
        <v>1798530.4879999999</v>
      </c>
      <c r="U49" s="2">
        <f t="shared" si="24"/>
        <v>1942996.6705</v>
      </c>
      <c r="V49" s="2">
        <f t="shared" si="24"/>
        <v>251432.28100000002</v>
      </c>
      <c r="W49" s="2">
        <f t="shared" si="24"/>
        <v>792332.22899999993</v>
      </c>
      <c r="X49" s="2">
        <f t="shared" si="24"/>
        <v>2986761.1805000002</v>
      </c>
      <c r="Z49" s="2">
        <f>AVERAGE(N49,N104,N159,N269)</f>
        <v>4785291.6684999997</v>
      </c>
    </row>
    <row r="50" spans="1:34" x14ac:dyDescent="0.2">
      <c r="C50" s="5" t="s">
        <v>23</v>
      </c>
      <c r="D50" s="7">
        <f>(D48/D49)-1</f>
        <v>8.1371757216810892E-2</v>
      </c>
      <c r="E50" s="7">
        <f>(E48/E49)-1</f>
        <v>0.20533022154126912</v>
      </c>
      <c r="F50" s="7">
        <f>(F48/F49)-1</f>
        <v>0.23643070996013149</v>
      </c>
      <c r="G50" s="7">
        <f>(G48/G49)-1</f>
        <v>0.11382705274226068</v>
      </c>
      <c r="H50" s="7"/>
      <c r="I50" s="7">
        <f>(I48/I49)-1</f>
        <v>9.0362312855834848E-2</v>
      </c>
      <c r="J50" s="7">
        <f>(J48/J49)-1</f>
        <v>0.15052561698290501</v>
      </c>
      <c r="K50" s="7">
        <f>(K48/K49)-1</f>
        <v>-3.6173005420536475E-2</v>
      </c>
      <c r="L50" s="7">
        <f>(L48/L49)-1</f>
        <v>5.6922265028898744E-2</v>
      </c>
      <c r="N50" s="7">
        <f>(N48/N49)-1</f>
        <v>7.8208825095296586E-2</v>
      </c>
      <c r="P50" s="7">
        <f>(P48/P49)-1</f>
        <v>9.9855558722957038E-2</v>
      </c>
      <c r="Q50" s="7">
        <f>(Q48/Q49)-1</f>
        <v>0.14661700426582081</v>
      </c>
      <c r="R50" s="7">
        <f>(R48/R49)-1</f>
        <v>0.21742447856455094</v>
      </c>
      <c r="S50" s="7">
        <f>(S48/S49)-1</f>
        <v>0.11518916154832803</v>
      </c>
      <c r="U50" s="7">
        <f>(U48/U49)-1</f>
        <v>6.2103913422693724E-2</v>
      </c>
      <c r="V50" s="7">
        <f>(V48/V49)-1</f>
        <v>0.1329041409177687</v>
      </c>
      <c r="W50" s="7">
        <f>(W48/W49)-1</f>
        <v>4.054610542362469E-2</v>
      </c>
      <c r="X50" s="7">
        <f>(X48/X49)-1</f>
        <v>6.2345150196110088E-2</v>
      </c>
      <c r="Z50" s="7">
        <f>(Z48/Z49)-1</f>
        <v>8.2206335701438871E-2</v>
      </c>
    </row>
    <row r="52" spans="1:34" x14ac:dyDescent="0.2">
      <c r="A52" s="5" t="s">
        <v>44</v>
      </c>
      <c r="C52" s="5" t="s">
        <v>21</v>
      </c>
      <c r="D52" s="4">
        <f t="shared" ref="D52:G53" si="25">D4+D8+D12+D16+D20+D24+D28+D32+D36+D40+D44+D48</f>
        <v>15657197.1899276</v>
      </c>
      <c r="E52" s="4">
        <f t="shared" si="25"/>
        <v>4569976.5439727977</v>
      </c>
      <c r="F52" s="4">
        <f t="shared" si="25"/>
        <v>988418.00743419991</v>
      </c>
      <c r="G52" s="4">
        <f t="shared" si="25"/>
        <v>21215591.741334595</v>
      </c>
      <c r="I52" s="4">
        <f t="shared" ref="I52:L53" si="26">I4+I8+I12+I16+I20+I24+I28+I32+I36+I40+I44+I48</f>
        <v>24315042.185488682</v>
      </c>
      <c r="J52" s="4">
        <f t="shared" si="26"/>
        <v>3776623.7394170994</v>
      </c>
      <c r="K52" s="4">
        <f t="shared" si="26"/>
        <v>9838166.1253023054</v>
      </c>
      <c r="L52" s="4">
        <f t="shared" si="26"/>
        <v>37929832.050208092</v>
      </c>
      <c r="N52" s="4">
        <f>N4+N8+N12+N16+N20+N24+N28+N32+N36+N40+N44+N48</f>
        <v>59145423.791542694</v>
      </c>
      <c r="P52" s="4">
        <f t="shared" ref="P52:S53" si="27">P4+P8+P12+P16+P20+P24+P28+P32+P36+P40+P44+P48</f>
        <v>15227486.451802637</v>
      </c>
      <c r="Q52" s="4">
        <f t="shared" si="27"/>
        <v>4566406.568213623</v>
      </c>
      <c r="R52" s="4">
        <f t="shared" si="27"/>
        <v>1002067.7305402498</v>
      </c>
      <c r="S52" s="4">
        <f t="shared" si="27"/>
        <v>20795960.75055651</v>
      </c>
      <c r="T52" s="4"/>
      <c r="U52" s="4">
        <f t="shared" ref="U52:X53" si="28">U4+U8+U12+U16+U20+U24+U28+U32+U36+U40+U44+U48</f>
        <v>23107996.824752305</v>
      </c>
      <c r="V52" s="4">
        <f t="shared" si="28"/>
        <v>3708934.1352905249</v>
      </c>
      <c r="W52" s="4">
        <f t="shared" si="28"/>
        <v>9058135.3761372622</v>
      </c>
      <c r="X52" s="4">
        <f t="shared" si="28"/>
        <v>35875066.336180091</v>
      </c>
      <c r="Z52" s="4">
        <f>Z4+Z8+Z12+Z16+Z20+Z24+Z28+Z32+Z36+Z40+Z44+Z48</f>
        <v>56671027.086736605</v>
      </c>
    </row>
    <row r="53" spans="1:34" x14ac:dyDescent="0.2">
      <c r="C53" s="5" t="s">
        <v>22</v>
      </c>
      <c r="D53" s="4">
        <f t="shared" si="25"/>
        <v>14018765.208000001</v>
      </c>
      <c r="E53" s="4">
        <f t="shared" si="25"/>
        <v>4080363.2680000002</v>
      </c>
      <c r="F53" s="4">
        <f t="shared" si="25"/>
        <v>882853.61400000006</v>
      </c>
      <c r="G53" s="4">
        <f t="shared" si="25"/>
        <v>18981982.09</v>
      </c>
      <c r="I53" s="4">
        <f t="shared" si="26"/>
        <v>22653484.996000003</v>
      </c>
      <c r="J53" s="4">
        <f t="shared" si="26"/>
        <v>3390924.4729999998</v>
      </c>
      <c r="K53" s="4">
        <f t="shared" si="26"/>
        <v>9335392.3310000002</v>
      </c>
      <c r="L53" s="4">
        <f t="shared" si="26"/>
        <v>35379801.799999997</v>
      </c>
      <c r="N53" s="4">
        <f>N5+N9+N13+N17+N21+N25+N29+N33+N37+N41+N45+N49</f>
        <v>54361783.890000001</v>
      </c>
      <c r="P53" s="4">
        <f t="shared" si="27"/>
        <v>13785515.827</v>
      </c>
      <c r="Q53" s="4">
        <f t="shared" si="27"/>
        <v>4096297.9592500003</v>
      </c>
      <c r="R53" s="4">
        <f t="shared" si="27"/>
        <v>865185.82475000003</v>
      </c>
      <c r="S53" s="4">
        <f t="shared" si="27"/>
        <v>18746999.611000001</v>
      </c>
      <c r="T53" s="4"/>
      <c r="U53" s="4">
        <f t="shared" si="28"/>
        <v>21491078.999499999</v>
      </c>
      <c r="V53" s="4">
        <f t="shared" si="28"/>
        <v>3365047.9345</v>
      </c>
      <c r="W53" s="4">
        <f t="shared" si="28"/>
        <v>8488308.9840000011</v>
      </c>
      <c r="X53" s="4">
        <f t="shared" si="28"/>
        <v>33344435.918000001</v>
      </c>
      <c r="Z53" s="4">
        <f>Z5+Z9+Z13+Z17+Z21+Z25+Z29+Z33+Z37+Z41+Z45+Z49</f>
        <v>52091435.528999999</v>
      </c>
    </row>
    <row r="54" spans="1:34" x14ac:dyDescent="0.2">
      <c r="C54" s="5" t="s">
        <v>23</v>
      </c>
      <c r="D54" s="7">
        <f>(D52/D53)-1</f>
        <v>0.11687420094550172</v>
      </c>
      <c r="E54" s="7">
        <f>(E52/E53)-1</f>
        <v>0.11999257022347987</v>
      </c>
      <c r="F54" s="7">
        <f>(F52/F53)-1</f>
        <v>0.11957179736277301</v>
      </c>
      <c r="G54" s="7">
        <f>(G52/G53)-1</f>
        <v>0.11766999045433169</v>
      </c>
      <c r="I54" s="7">
        <f>(I52/I53)-1</f>
        <v>7.3346647978536961E-2</v>
      </c>
      <c r="J54" s="7">
        <f>(J52/J53)-1</f>
        <v>0.11374457599637</v>
      </c>
      <c r="K54" s="7">
        <f>(K52/K53)-1</f>
        <v>5.3856739650110397E-2</v>
      </c>
      <c r="L54" s="7">
        <f>(L52/L53)-1</f>
        <v>7.2075877208789052E-2</v>
      </c>
      <c r="N54" s="7">
        <f>(N52/N53)-1</f>
        <v>8.7996374644774278E-2</v>
      </c>
      <c r="P54" s="7">
        <f>(P52/P53)-1</f>
        <v>0.10460041125036668</v>
      </c>
      <c r="Q54" s="7">
        <f>(Q52/Q53)-1</f>
        <v>0.11476426120371763</v>
      </c>
      <c r="R54" s="7">
        <f>(R52/R53)-1</f>
        <v>0.15821098991052307</v>
      </c>
      <c r="S54" s="7">
        <f>(S52/S53)-1</f>
        <v>0.10929541697724576</v>
      </c>
      <c r="T54" s="4"/>
      <c r="U54" s="7">
        <f>(U52/U53)-1</f>
        <v>7.5236698226735177E-2</v>
      </c>
      <c r="V54" s="7">
        <f>(V52/V53)-1</f>
        <v>0.10219355191492152</v>
      </c>
      <c r="W54" s="7">
        <f>(W52/W53)-1</f>
        <v>6.7130731599350568E-2</v>
      </c>
      <c r="X54" s="7">
        <f>(X52/X53)-1</f>
        <v>7.5893634080461458E-2</v>
      </c>
      <c r="Z54" s="7">
        <f>(Z52/Z53)-1</f>
        <v>8.7914481742149109E-2</v>
      </c>
    </row>
    <row r="56" spans="1:34" x14ac:dyDescent="0.2">
      <c r="D56" s="43" t="s">
        <v>7</v>
      </c>
      <c r="E56" s="43"/>
      <c r="F56" s="43"/>
      <c r="G56" s="43"/>
      <c r="H56" s="6"/>
      <c r="I56" s="43" t="s">
        <v>8</v>
      </c>
      <c r="J56" s="43"/>
      <c r="K56" s="43"/>
      <c r="L56" s="43"/>
      <c r="N56" s="11" t="s">
        <v>24</v>
      </c>
      <c r="R56" t="s">
        <v>26</v>
      </c>
      <c r="Z56" s="11" t="s">
        <v>24</v>
      </c>
    </row>
    <row r="57" spans="1:34" x14ac:dyDescent="0.2">
      <c r="D57" s="6" t="s">
        <v>0</v>
      </c>
      <c r="E57" s="6" t="s">
        <v>1</v>
      </c>
      <c r="F57" s="6" t="s">
        <v>2</v>
      </c>
      <c r="G57" s="6" t="s">
        <v>24</v>
      </c>
      <c r="H57" s="6"/>
      <c r="I57" s="6" t="s">
        <v>3</v>
      </c>
      <c r="J57" s="6" t="s">
        <v>4</v>
      </c>
      <c r="K57" s="6" t="s">
        <v>25</v>
      </c>
      <c r="L57" s="6" t="s">
        <v>24</v>
      </c>
      <c r="N57" s="6" t="s">
        <v>49</v>
      </c>
      <c r="P57" s="6" t="s">
        <v>0</v>
      </c>
      <c r="Q57" s="6" t="s">
        <v>1</v>
      </c>
      <c r="R57" s="6" t="s">
        <v>2</v>
      </c>
      <c r="S57" s="6" t="s">
        <v>24</v>
      </c>
      <c r="T57" s="6"/>
      <c r="U57" s="6" t="s">
        <v>3</v>
      </c>
      <c r="V57" s="6" t="s">
        <v>4</v>
      </c>
      <c r="W57" s="6" t="s">
        <v>25</v>
      </c>
      <c r="X57" s="6" t="s">
        <v>24</v>
      </c>
      <c r="Y57" s="6"/>
      <c r="Z57" s="6" t="s">
        <v>49</v>
      </c>
      <c r="AA57" s="6"/>
    </row>
    <row r="58" spans="1:34" x14ac:dyDescent="0.2">
      <c r="A58" s="5">
        <v>2007</v>
      </c>
      <c r="AC58" t="s">
        <v>27</v>
      </c>
    </row>
    <row r="59" spans="1:34" x14ac:dyDescent="0.2">
      <c r="A59" s="5" t="s">
        <v>9</v>
      </c>
      <c r="C59" s="5" t="s">
        <v>21</v>
      </c>
      <c r="D59" s="4">
        <v>1571400.1793037001</v>
      </c>
      <c r="E59" s="4">
        <v>461737.83542880003</v>
      </c>
      <c r="F59" s="4">
        <v>97192.359228299974</v>
      </c>
      <c r="G59" s="4">
        <f>SUM(D59:F59)</f>
        <v>2130330.3739608</v>
      </c>
      <c r="I59" s="4">
        <v>2096063.5742977932</v>
      </c>
      <c r="J59" s="4">
        <v>298943.7145603</v>
      </c>
      <c r="K59" s="4">
        <v>814806.641325998</v>
      </c>
      <c r="L59" s="4">
        <f>SUM(I59:K59)</f>
        <v>3209813.9301840914</v>
      </c>
      <c r="N59" s="2">
        <f>G59+L59</f>
        <v>5340144.304144891</v>
      </c>
      <c r="AC59" s="6" t="s">
        <v>0</v>
      </c>
      <c r="AD59" s="6" t="s">
        <v>1</v>
      </c>
      <c r="AE59" s="6" t="s">
        <v>2</v>
      </c>
      <c r="AF59" s="6" t="s">
        <v>3</v>
      </c>
      <c r="AG59" s="6" t="s">
        <v>4</v>
      </c>
      <c r="AH59" s="6" t="s">
        <v>25</v>
      </c>
    </row>
    <row r="60" spans="1:34" x14ac:dyDescent="0.2">
      <c r="C60" s="5" t="s">
        <v>22</v>
      </c>
      <c r="D60" s="4">
        <v>1469430.067</v>
      </c>
      <c r="E60" s="4">
        <v>404240.98200000002</v>
      </c>
      <c r="F60" s="4">
        <v>95933.585999999996</v>
      </c>
      <c r="G60" s="4">
        <f>SUM(D60:F60)</f>
        <v>1969604.635</v>
      </c>
      <c r="I60" s="4">
        <v>1924634.9709999999</v>
      </c>
      <c r="J60" s="4">
        <v>288786.42800000001</v>
      </c>
      <c r="K60" s="4">
        <v>742288.24800000002</v>
      </c>
      <c r="L60" s="4">
        <f>SUM(I60:K60)</f>
        <v>2955709.6469999999</v>
      </c>
      <c r="N60" s="2">
        <f>G60+L60</f>
        <v>4925314.2819999997</v>
      </c>
    </row>
    <row r="61" spans="1:34" x14ac:dyDescent="0.2">
      <c r="C61" s="5" t="s">
        <v>23</v>
      </c>
      <c r="D61" s="7">
        <f>(D59/D60)-1</f>
        <v>6.9394328177783349E-2</v>
      </c>
      <c r="E61" s="7">
        <f>(E59/E60)-1</f>
        <v>0.14223410289657368</v>
      </c>
      <c r="F61" s="7">
        <f>(F59/F60)-1</f>
        <v>1.3121298606517007E-2</v>
      </c>
      <c r="G61" s="7">
        <f>(G59/G60)-1</f>
        <v>8.160304667479612E-2</v>
      </c>
      <c r="H61" s="7"/>
      <c r="I61" s="7">
        <f>(I59/I60)-1</f>
        <v>8.9070709968822159E-2</v>
      </c>
      <c r="J61" s="7">
        <f>(J59/J60)-1</f>
        <v>3.5172312738672051E-2</v>
      </c>
      <c r="K61" s="7">
        <f>(K59/K60)-1</f>
        <v>9.7695731437739131E-2</v>
      </c>
      <c r="L61" s="7">
        <f>(L59/L60)-1</f>
        <v>8.5970651224826389E-2</v>
      </c>
      <c r="N61" s="7">
        <f>(N59/N60)-1</f>
        <v>8.4224071479240381E-2</v>
      </c>
      <c r="P61" s="3">
        <f>(D61+D116+D171+D226+D281)/5</f>
        <v>9.1434042503335838E-2</v>
      </c>
      <c r="Q61" s="3">
        <f>(E61+E116+E171+E226+E281)/5</f>
        <v>0.12400341254529992</v>
      </c>
      <c r="R61" s="3">
        <f>(F61+F116+F171+F226+F281)/5</f>
        <v>0.16582476853747438</v>
      </c>
      <c r="S61" s="3">
        <f>(G61+G116+G171+G226+G281)/5</f>
        <v>0.1004214167686845</v>
      </c>
      <c r="U61" s="3">
        <f>(I61+I116+I171+I226+I281)/5</f>
        <v>7.645935747968062E-2</v>
      </c>
      <c r="V61" s="3">
        <f>(J61+J116+J171+J226+J281)/5</f>
        <v>6.4466708188146218E-2</v>
      </c>
      <c r="W61" s="3">
        <f>(K61+K116+K171+K226+K281)/5</f>
        <v>6.2867891206660212E-2</v>
      </c>
      <c r="X61" s="3">
        <f>(L61+L116+L171+L226+L281)/5</f>
        <v>7.1475604982990729E-2</v>
      </c>
      <c r="Z61" s="3">
        <f>(N61+N116+N171+N226+N281)/5</f>
        <v>8.2579824740239394E-2</v>
      </c>
      <c r="AB61" s="3" t="s">
        <v>35</v>
      </c>
      <c r="AC61" s="3">
        <f>(P61+P65+P105)/3</f>
        <v>0.10599872401348299</v>
      </c>
      <c r="AD61" s="3">
        <f>(Q61+Q65+Q105)/3</f>
        <v>0.13613580012821067</v>
      </c>
      <c r="AE61" s="3">
        <f>(R61+R65+R105)/3</f>
        <v>0.13493636536093243</v>
      </c>
      <c r="AF61" s="3">
        <f>(U61+U65+U105)/3</f>
        <v>7.0545082891115982E-2</v>
      </c>
      <c r="AG61" s="3">
        <f>(V61+V65+V105)/3</f>
        <v>7.7155991984313693E-2</v>
      </c>
      <c r="AH61" s="3">
        <f>(W61+W65+W105)/3</f>
        <v>8.6012203939969667E-2</v>
      </c>
    </row>
    <row r="63" spans="1:34" x14ac:dyDescent="0.2">
      <c r="A63" s="5" t="s">
        <v>10</v>
      </c>
      <c r="C63" s="5" t="s">
        <v>21</v>
      </c>
      <c r="D63" s="4">
        <v>1296958.9294865003</v>
      </c>
      <c r="E63" s="4">
        <v>371626.22406379995</v>
      </c>
      <c r="F63" s="4">
        <v>82866.710912600014</v>
      </c>
      <c r="G63" s="4">
        <f>SUM(D63:F63)</f>
        <v>1751451.8644629002</v>
      </c>
      <c r="I63" s="4">
        <v>1796189.9980182808</v>
      </c>
      <c r="J63" s="4">
        <v>224266.40974799986</v>
      </c>
      <c r="K63" s="4">
        <v>718300.94829808408</v>
      </c>
      <c r="L63" s="4">
        <f>SUM(I63:K63)</f>
        <v>2738757.3560643648</v>
      </c>
      <c r="N63" s="2">
        <f>G63+L63</f>
        <v>4490209.2205272652</v>
      </c>
      <c r="AB63" s="3" t="s">
        <v>36</v>
      </c>
      <c r="AC63" s="3">
        <f>(P69+P73+P77)/3</f>
        <v>0.10530007453544499</v>
      </c>
      <c r="AD63" s="3">
        <f>(Q69+Q73+Q77)/3</f>
        <v>7.4003916109935675E-2</v>
      </c>
      <c r="AE63" s="3">
        <f>(R69+R73+R77)/3</f>
        <v>0.19509244941433335</v>
      </c>
      <c r="AF63" s="3">
        <f>(U69+U73+U77)/3</f>
        <v>7.2531251450515755E-2</v>
      </c>
      <c r="AG63" s="3">
        <f>(V69+V73+V77)/3</f>
        <v>0.14156361956688279</v>
      </c>
      <c r="AH63" s="3">
        <f>(W69+W73+W77)/3</f>
        <v>6.0858442405758571E-2</v>
      </c>
    </row>
    <row r="64" spans="1:34" x14ac:dyDescent="0.2">
      <c r="C64" s="5" t="s">
        <v>22</v>
      </c>
      <c r="D64" s="4">
        <v>1133845.966</v>
      </c>
      <c r="E64" s="4">
        <v>349300.72200000001</v>
      </c>
      <c r="F64" s="4">
        <v>62231.487999999998</v>
      </c>
      <c r="G64" s="4">
        <f>SUM(D64:F64)</f>
        <v>1545378.176</v>
      </c>
      <c r="I64" s="4">
        <v>1641005.726</v>
      </c>
      <c r="J64" s="4">
        <v>239934.878</v>
      </c>
      <c r="K64" s="4">
        <v>657420.598</v>
      </c>
      <c r="L64" s="4">
        <f>SUM(I64:K64)</f>
        <v>2538361.202</v>
      </c>
      <c r="N64" s="2">
        <f>G64+L64</f>
        <v>4083739.378</v>
      </c>
    </row>
    <row r="65" spans="1:34" x14ac:dyDescent="0.2">
      <c r="C65" s="5" t="s">
        <v>23</v>
      </c>
      <c r="D65" s="7">
        <f>(D63/D64)-1</f>
        <v>0.14385813274260961</v>
      </c>
      <c r="E65" s="7">
        <f>(E63/E64)-1</f>
        <v>6.3914846599715691E-2</v>
      </c>
      <c r="F65" s="7">
        <f>(F63/F64)-1</f>
        <v>0.33158813288539757</v>
      </c>
      <c r="G65" s="7">
        <f>(G63/G64)-1</f>
        <v>0.13334838789835501</v>
      </c>
      <c r="H65" s="7"/>
      <c r="I65" s="7">
        <f>(I63/I64)-1</f>
        <v>9.4566563394356429E-2</v>
      </c>
      <c r="J65" s="7">
        <f>(J63/J64)-1</f>
        <v>-6.5303003809225824E-2</v>
      </c>
      <c r="K65" s="7">
        <f>(K63/K64)-1</f>
        <v>9.2604871954565793E-2</v>
      </c>
      <c r="L65" s="7">
        <f>(L63/L64)-1</f>
        <v>7.894705997967133E-2</v>
      </c>
      <c r="N65" s="7">
        <f>(N63/N64)-1</f>
        <v>9.9533737318548532E-2</v>
      </c>
      <c r="P65" s="3">
        <f>(D65+D120+D175+D230+D285)/5</f>
        <v>0.1168074749115946</v>
      </c>
      <c r="Q65" s="3">
        <f>(E65+E120+E175+E230+E285)/5</f>
        <v>0.16466807096907116</v>
      </c>
      <c r="R65" s="3">
        <f>(F65+F120+F175+F230+F285)/5</f>
        <v>0.11025295752470701</v>
      </c>
      <c r="S65" s="3">
        <f>(G65+G120+G175+G230+G285)/5</f>
        <v>0.12592916212323754</v>
      </c>
      <c r="U65" s="3">
        <f>(I65+I120+I175+I230+I285)/5</f>
        <v>6.5935006580123107E-2</v>
      </c>
      <c r="V65" s="3">
        <f>(J65+J120+J175+J230+J285)/5</f>
        <v>4.2338597086949023E-2</v>
      </c>
      <c r="W65" s="3">
        <f>(K65+K120+K175+K230+K285)/5</f>
        <v>0.10318684279456</v>
      </c>
      <c r="X65" s="3">
        <f>(L65+L120+L175+L230+L285)/5</f>
        <v>7.2529611346253284E-2</v>
      </c>
      <c r="Z65" s="3">
        <f>(N65+N120+N175+N230+N285)/5</f>
        <v>9.2697684083509868E-2</v>
      </c>
      <c r="AB65" s="3" t="s">
        <v>37</v>
      </c>
      <c r="AC65" s="3">
        <f>(P81+P85+P89)/3</f>
        <v>7.3944574494370544E-2</v>
      </c>
      <c r="AD65" s="3">
        <f>(Q81+Q85+Q89)/3</f>
        <v>8.9647848740886119E-2</v>
      </c>
      <c r="AE65" s="3">
        <f>(R81+R85+R89)/3</f>
        <v>0.10074309273221442</v>
      </c>
      <c r="AF65" s="3">
        <f>(U81+U85+U89)/3</f>
        <v>8.6511184080068929E-2</v>
      </c>
      <c r="AG65" s="3">
        <f>(V81+V85+V89)/3</f>
        <v>0.10536425925316818</v>
      </c>
      <c r="AH65" s="3">
        <f>(W81+W85+W89)/3</f>
        <v>7.4855805908240036E-2</v>
      </c>
    </row>
    <row r="67" spans="1:34" x14ac:dyDescent="0.2">
      <c r="A67" s="5" t="s">
        <v>11</v>
      </c>
      <c r="C67" s="5" t="s">
        <v>21</v>
      </c>
      <c r="D67" s="4">
        <v>1259228.5149876014</v>
      </c>
      <c r="E67" s="4">
        <v>353797.92040479975</v>
      </c>
      <c r="F67" s="4">
        <v>97214.569852900022</v>
      </c>
      <c r="G67" s="4">
        <f>SUM(D67:F67)</f>
        <v>1710241.0052453012</v>
      </c>
      <c r="I67" s="4">
        <v>1784527.5209224562</v>
      </c>
      <c r="J67" s="4">
        <v>250763.30606400009</v>
      </c>
      <c r="K67" s="4">
        <v>763152.40998969041</v>
      </c>
      <c r="L67" s="4">
        <f>SUM(I67:K67)</f>
        <v>2798443.2369761467</v>
      </c>
      <c r="N67" s="2">
        <f>G67+L67</f>
        <v>4508684.2422214476</v>
      </c>
      <c r="AB67" s="3" t="s">
        <v>38</v>
      </c>
      <c r="AC67" s="3">
        <f>(P93+P97+P101)/3</f>
        <v>0.10180987612322766</v>
      </c>
      <c r="AD67" s="3">
        <f>(Q93+Q97+Q101)/3</f>
        <v>0.1269772399695713</v>
      </c>
      <c r="AE67" s="3">
        <f>(R93+R97+R101)/3</f>
        <v>0.18505938684781739</v>
      </c>
      <c r="AF67" s="3">
        <f>(U93+U97+U101)/3</f>
        <v>9.4704775123939003E-2</v>
      </c>
      <c r="AG67" s="3">
        <f>(V93+V97+V101)/3</f>
        <v>8.8026938371684807E-2</v>
      </c>
      <c r="AH67" s="3">
        <f>(W93+W97+W101)/3</f>
        <v>8.4072799034080395E-2</v>
      </c>
    </row>
    <row r="68" spans="1:34" x14ac:dyDescent="0.2">
      <c r="C68" s="5" t="s">
        <v>22</v>
      </c>
      <c r="D68" s="4">
        <v>1163161.0689999999</v>
      </c>
      <c r="E68" s="4">
        <v>294892.85700000002</v>
      </c>
      <c r="F68" s="4">
        <v>64191.006000000001</v>
      </c>
      <c r="G68" s="4">
        <f>SUM(D68:F68)</f>
        <v>1522244.932</v>
      </c>
      <c r="I68" s="4">
        <v>1652089.1259999999</v>
      </c>
      <c r="J68" s="4">
        <v>200470.29500000001</v>
      </c>
      <c r="K68" s="4">
        <v>692697.00399999996</v>
      </c>
      <c r="L68" s="4">
        <f>SUM(I68:K68)</f>
        <v>2545256.4249999998</v>
      </c>
      <c r="N68" s="2">
        <f>G68+L68</f>
        <v>4067501.3569999998</v>
      </c>
    </row>
    <row r="69" spans="1:34" x14ac:dyDescent="0.2">
      <c r="C69" s="5" t="s">
        <v>23</v>
      </c>
      <c r="D69" s="7">
        <f>(D67/D68)-1</f>
        <v>8.2591696496679745E-2</v>
      </c>
      <c r="E69" s="7">
        <f>(E67/E68)-1</f>
        <v>0.19975072982116937</v>
      </c>
      <c r="F69" s="7">
        <f>(F67/F68)-1</f>
        <v>0.51445780196839452</v>
      </c>
      <c r="G69" s="7">
        <f>(G67/G68)-1</f>
        <v>0.12349922755091902</v>
      </c>
      <c r="H69" s="7"/>
      <c r="I69" s="7">
        <f>(I67/I68)-1</f>
        <v>8.0164195041409814E-2</v>
      </c>
      <c r="J69" s="7">
        <f>(J67/J68)-1</f>
        <v>0.25087512872667772</v>
      </c>
      <c r="K69" s="7">
        <f>(K67/K68)-1</f>
        <v>0.10171172328282574</v>
      </c>
      <c r="L69" s="7">
        <f>(L67/L68)-1</f>
        <v>9.947398992466816E-2</v>
      </c>
      <c r="N69" s="7">
        <f>(N67/N68)-1</f>
        <v>0.10846533203048359</v>
      </c>
      <c r="P69" s="3">
        <f>(D69+D124+D179+D234+D289)/5</f>
        <v>9.6599745151057223E-2</v>
      </c>
      <c r="Q69" s="3">
        <f>(E69+E124+E179+E234+E289)/5</f>
        <v>6.5567346354551775E-2</v>
      </c>
      <c r="R69" s="3">
        <f>(F69+F124+F179+F234+F289)/5</f>
        <v>0.21666713498043358</v>
      </c>
      <c r="S69" s="3">
        <f>(G69+G124+G179+G234+G289)/5</f>
        <v>9.3472995057020822E-2</v>
      </c>
      <c r="U69" s="3">
        <f>(I69+I124+I179+I234+I289)/5</f>
        <v>9.3626661196676772E-2</v>
      </c>
      <c r="V69" s="3">
        <f>(J69+J124+J179+J234+J289)/5</f>
        <v>0.16130954027524766</v>
      </c>
      <c r="W69" s="3">
        <f>(K69+K124+K179+K234+K289)/5</f>
        <v>6.5551400185665853E-2</v>
      </c>
      <c r="X69" s="3">
        <f>(L69+L124+L179+L234+L289)/5</f>
        <v>8.9931322884577017E-2</v>
      </c>
      <c r="Z69" s="3">
        <f>(N69+N124+N179+N234+N289)/5</f>
        <v>9.1252730623937461E-2</v>
      </c>
    </row>
    <row r="71" spans="1:34" x14ac:dyDescent="0.2">
      <c r="A71" s="5" t="s">
        <v>12</v>
      </c>
      <c r="C71" s="5" t="s">
        <v>21</v>
      </c>
      <c r="D71" s="4">
        <v>1169267.1540300003</v>
      </c>
      <c r="E71" s="4">
        <v>324757.39612389926</v>
      </c>
      <c r="F71" s="4">
        <v>87950.554452399927</v>
      </c>
      <c r="G71" s="4">
        <f>SUM(D71:F71)</f>
        <v>1581975.1046062994</v>
      </c>
      <c r="I71" s="4">
        <v>1704524.2121936905</v>
      </c>
      <c r="J71" s="4">
        <v>251970.48032670026</v>
      </c>
      <c r="K71" s="4">
        <v>711500.91404466028</v>
      </c>
      <c r="L71" s="4">
        <f>SUM(I71:K71)</f>
        <v>2667995.6065650508</v>
      </c>
      <c r="N71" s="2">
        <f>G71+L71</f>
        <v>4249970.7111713504</v>
      </c>
      <c r="AC71" s="3">
        <f>(P85+P89+P93+P97+P101+P105)/6</f>
        <v>0.10100706618161905</v>
      </c>
      <c r="AD71" s="3">
        <f>(Q85+Q89+Q93+Q97+Q101+Q105)/6</f>
        <v>0.11334424129306393</v>
      </c>
      <c r="AE71" s="3">
        <f>(R85+R89+R93+R97+R101+R105)/6</f>
        <v>0.14376747677078341</v>
      </c>
      <c r="AF71" s="3">
        <f>(U85+U89+U93+U97+U101+U105)/6</f>
        <v>8.2513416075796764E-2</v>
      </c>
      <c r="AG71" s="3">
        <f>(V85+V89+V93+V97+V101+V105)/6</f>
        <v>9.8206494096669192E-2</v>
      </c>
      <c r="AH71" s="3">
        <f>(W85+W89+W93+W97+W101+W105)/6</f>
        <v>8.3612747523487338E-2</v>
      </c>
    </row>
    <row r="72" spans="1:34" x14ac:dyDescent="0.2">
      <c r="C72" s="5" t="s">
        <v>22</v>
      </c>
      <c r="D72" s="4">
        <v>1056956.601</v>
      </c>
      <c r="E72" s="4">
        <v>304116.78499999997</v>
      </c>
      <c r="F72" s="4">
        <v>62752.144</v>
      </c>
      <c r="G72" s="4">
        <f>SUM(D72:F72)</f>
        <v>1423825.53</v>
      </c>
      <c r="I72" s="4">
        <v>1586419.352</v>
      </c>
      <c r="J72" s="4">
        <v>232576.45499999999</v>
      </c>
      <c r="K72" s="4">
        <v>691383.64399999997</v>
      </c>
      <c r="L72" s="4">
        <f>SUM(I72:K72)</f>
        <v>2510379.4509999999</v>
      </c>
      <c r="N72" s="2">
        <f>G72+L72</f>
        <v>3934204.9809999997</v>
      </c>
    </row>
    <row r="73" spans="1:34" x14ac:dyDescent="0.2">
      <c r="C73" s="5" t="s">
        <v>23</v>
      </c>
      <c r="D73" s="7">
        <f>(D71/D72)-1</f>
        <v>0.10625843381245925</v>
      </c>
      <c r="E73" s="7">
        <f>(E71/E72)-1</f>
        <v>6.7870673839654394E-2</v>
      </c>
      <c r="F73" s="7">
        <f>(F71/F72)-1</f>
        <v>0.401554574014235</v>
      </c>
      <c r="G73" s="7">
        <f>(G71/G72)-1</f>
        <v>0.11107370339559752</v>
      </c>
      <c r="H73" s="7"/>
      <c r="I73" s="7">
        <f>(I71/I72)-1</f>
        <v>7.4447440422859001E-2</v>
      </c>
      <c r="J73" s="7">
        <f>(J71/J72)-1</f>
        <v>8.3387741578141661E-2</v>
      </c>
      <c r="K73" s="7">
        <f>(K71/K72)-1</f>
        <v>2.9097115934464179E-2</v>
      </c>
      <c r="L73" s="7">
        <f>(L71/L72)-1</f>
        <v>6.2785789416123894E-2</v>
      </c>
      <c r="N73" s="7">
        <f>(N71/N72)-1</f>
        <v>8.0261636517751755E-2</v>
      </c>
      <c r="P73" s="3">
        <f>(D73+D128+D183+D238+D293)/5</f>
        <v>0.12366316324924406</v>
      </c>
      <c r="Q73" s="3">
        <f>(E73+E128+E183+E238+E293)/5</f>
        <v>5.4602135231377399E-2</v>
      </c>
      <c r="R73" s="3">
        <f>(F73+F128+F183+F238+F293)/5</f>
        <v>0.19741199822093475</v>
      </c>
      <c r="S73" s="3">
        <f>(G73+G128+G183+G238+G293)/5</f>
        <v>0.11026882359168363</v>
      </c>
      <c r="U73" s="3">
        <f>(I73+I128+I183+I238+I293)/5</f>
        <v>7.695678532459449E-2</v>
      </c>
      <c r="V73" s="3">
        <f>(J73+J128+J183+J238+J293)/5</f>
        <v>8.3605223008134555E-2</v>
      </c>
      <c r="W73" s="3">
        <f>(K73+K128+K183+K238+K293)/5</f>
        <v>3.0411491872669248E-2</v>
      </c>
      <c r="X73" s="3">
        <f>(L73+L128+L183+L238+L293)/5</f>
        <v>6.4367342598774302E-2</v>
      </c>
      <c r="Z73" s="3">
        <f>(N73+N128+N183+N238+N293)/5</f>
        <v>8.1075219952237723E-2</v>
      </c>
      <c r="AC73" s="6"/>
      <c r="AD73" s="6"/>
      <c r="AE73" s="6"/>
      <c r="AF73" s="6"/>
      <c r="AG73" s="6"/>
      <c r="AH73" s="6"/>
    </row>
    <row r="75" spans="1:34" x14ac:dyDescent="0.2">
      <c r="A75" s="5" t="s">
        <v>13</v>
      </c>
      <c r="C75" s="5" t="s">
        <v>21</v>
      </c>
      <c r="D75" s="4">
        <v>1205966.1547584005</v>
      </c>
      <c r="E75" s="4">
        <v>311641.48446470039</v>
      </c>
      <c r="F75" s="4">
        <v>92263.236917499918</v>
      </c>
      <c r="G75" s="4">
        <f>SUM(D75:F75)</f>
        <v>1609870.8761406008</v>
      </c>
      <c r="I75" s="4">
        <v>1901030.7296295813</v>
      </c>
      <c r="J75" s="4">
        <v>388080.09153969993</v>
      </c>
      <c r="K75" s="4">
        <v>729258.74472084921</v>
      </c>
      <c r="L75" s="4">
        <f>SUM(I75:K75)</f>
        <v>3018369.5658901306</v>
      </c>
      <c r="N75" s="2">
        <f>G75+L75</f>
        <v>4628240.4420307316</v>
      </c>
      <c r="AB75" s="3"/>
      <c r="AC75" s="3"/>
      <c r="AD75" s="3"/>
      <c r="AE75" s="3"/>
      <c r="AF75" s="3"/>
      <c r="AG75" s="3"/>
      <c r="AH75" s="3"/>
    </row>
    <row r="76" spans="1:34" x14ac:dyDescent="0.2">
      <c r="C76" s="5" t="s">
        <v>22</v>
      </c>
      <c r="D76" s="4">
        <v>1061075.923</v>
      </c>
      <c r="E76" s="4">
        <v>324030.55499999999</v>
      </c>
      <c r="F76" s="4">
        <v>84201.891000000003</v>
      </c>
      <c r="G76" s="4">
        <f>SUM(D76:F76)</f>
        <v>1469308.3689999999</v>
      </c>
      <c r="I76" s="4">
        <v>1859987.6270000001</v>
      </c>
      <c r="J76" s="4">
        <v>304851.53700000001</v>
      </c>
      <c r="K76" s="4">
        <v>691195.89099999995</v>
      </c>
      <c r="L76" s="4">
        <f>SUM(I76:K76)</f>
        <v>2856035.0549999997</v>
      </c>
      <c r="N76" s="2">
        <f>G76+L76</f>
        <v>4325343.4239999996</v>
      </c>
    </row>
    <row r="77" spans="1:34" x14ac:dyDescent="0.2">
      <c r="C77" s="5" t="s">
        <v>23</v>
      </c>
      <c r="D77" s="7">
        <f>(D75/D76)-1</f>
        <v>0.13655029637158256</v>
      </c>
      <c r="E77" s="7">
        <f>(E75/E76)-1</f>
        <v>-3.8234266318803223E-2</v>
      </c>
      <c r="F77" s="7">
        <f>(F75/F76)-1</f>
        <v>9.5738300194468495E-2</v>
      </c>
      <c r="G77" s="7">
        <f>(G75/G76)-1</f>
        <v>9.5665763638348222E-2</v>
      </c>
      <c r="H77" s="7"/>
      <c r="I77" s="7">
        <f>(I75/I76)-1</f>
        <v>2.206633099800781E-2</v>
      </c>
      <c r="J77" s="7">
        <f>(J75/J76)-1</f>
        <v>0.27301339976416106</v>
      </c>
      <c r="K77" s="7">
        <f>(K75/K76)-1</f>
        <v>5.506811341974438E-2</v>
      </c>
      <c r="L77" s="7">
        <f>(L75/L76)-1</f>
        <v>5.6839117085042634E-2</v>
      </c>
      <c r="N77" s="7">
        <f>(N75/N76)-1</f>
        <v>7.002843204311815E-2</v>
      </c>
      <c r="P77" s="3">
        <f>(D77+D132+D187+D242+D297)/5</f>
        <v>9.5637315206033691E-2</v>
      </c>
      <c r="Q77" s="3">
        <f>(E77+E132+E187+E242+E297)/5</f>
        <v>0.10184226674387784</v>
      </c>
      <c r="R77" s="3">
        <f>(F77+F132+F187+F242+F297)/5</f>
        <v>0.17119821504163163</v>
      </c>
      <c r="S77" s="3">
        <f>(G77+G132+G187+G242+G297)/5</f>
        <v>9.8824957491756835E-2</v>
      </c>
      <c r="U77" s="3">
        <f>(I77+I132+I187+I242+I297)/5</f>
        <v>4.7010307830275974E-2</v>
      </c>
      <c r="V77" s="3">
        <f>(J77+J132+J187+J242+J297)/5</f>
        <v>0.17977609541726616</v>
      </c>
      <c r="W77" s="3">
        <f>(K77+K132+K187+K242+K297)/5</f>
        <v>8.6612435158940612E-2</v>
      </c>
      <c r="X77" s="3">
        <f>(L77+L132+L187+L242+L297)/5</f>
        <v>7.0310515422935801E-2</v>
      </c>
      <c r="Z77" s="3">
        <f>(N77+N132+N187+N242+N297)/5</f>
        <v>8.0191909800806552E-2</v>
      </c>
      <c r="AB77" s="3"/>
      <c r="AC77" s="3"/>
      <c r="AD77" s="3"/>
      <c r="AF77" s="3"/>
      <c r="AG77" s="3"/>
      <c r="AH77" s="3"/>
    </row>
    <row r="79" spans="1:34" x14ac:dyDescent="0.2">
      <c r="A79" s="5" t="s">
        <v>14</v>
      </c>
      <c r="C79" s="5" t="s">
        <v>21</v>
      </c>
      <c r="D79" s="4">
        <v>1192422.6370028993</v>
      </c>
      <c r="E79" s="4">
        <v>344371.38504370011</v>
      </c>
      <c r="F79" s="4">
        <v>93105.662596300099</v>
      </c>
      <c r="G79" s="4">
        <f>SUM(D79:F79)</f>
        <v>1629899.6846428995</v>
      </c>
      <c r="I79" s="4">
        <v>2092631.3275412293</v>
      </c>
      <c r="J79" s="4">
        <v>447449.27918800042</v>
      </c>
      <c r="K79" s="4">
        <v>735942.24155946611</v>
      </c>
      <c r="L79" s="4">
        <f>SUM(I79:K79)</f>
        <v>3276022.8482886963</v>
      </c>
      <c r="N79" s="2">
        <f>G79+L79</f>
        <v>4905922.532931596</v>
      </c>
      <c r="AB79" s="3"/>
      <c r="AC79" s="3"/>
      <c r="AD79" s="3"/>
      <c r="AE79" s="3"/>
      <c r="AF79" s="3"/>
      <c r="AG79" s="3"/>
      <c r="AH79" s="3"/>
    </row>
    <row r="80" spans="1:34" x14ac:dyDescent="0.2">
      <c r="C80" s="5" t="s">
        <v>22</v>
      </c>
      <c r="D80" s="4">
        <v>1119714.209</v>
      </c>
      <c r="E80" s="4">
        <v>271174.43400000001</v>
      </c>
      <c r="F80" s="4">
        <v>69063.495999999999</v>
      </c>
      <c r="G80" s="4">
        <f>SUM(D80:F80)</f>
        <v>1459952.1390000002</v>
      </c>
      <c r="I80" s="4">
        <v>1948207.9669999999</v>
      </c>
      <c r="J80" s="4">
        <v>426581.5</v>
      </c>
      <c r="K80" s="4">
        <v>695338.85400000005</v>
      </c>
      <c r="L80" s="4">
        <f>SUM(I80:K80)</f>
        <v>3070128.3210000005</v>
      </c>
      <c r="N80" s="2">
        <f>G80+L80</f>
        <v>4530080.4600000009</v>
      </c>
    </row>
    <row r="81" spans="1:34" x14ac:dyDescent="0.2">
      <c r="C81" s="5" t="s">
        <v>23</v>
      </c>
      <c r="D81" s="7">
        <f>(D79/D80)-1</f>
        <v>6.4934808738235095E-2</v>
      </c>
      <c r="E81" s="7">
        <f>(E79/E80)-1</f>
        <v>0.2699257078331363</v>
      </c>
      <c r="F81" s="7">
        <f>(F79/F80)-1</f>
        <v>0.34811684882416172</v>
      </c>
      <c r="G81" s="7">
        <f>(G79/G80)-1</f>
        <v>0.11640624449463499</v>
      </c>
      <c r="H81" s="7"/>
      <c r="I81" s="7">
        <f>(I79/I80)-1</f>
        <v>7.4131387915235436E-2</v>
      </c>
      <c r="J81" s="7">
        <f>(J79/J80)-1</f>
        <v>4.8918622087456676E-2</v>
      </c>
      <c r="K81" s="7">
        <f>(K79/K80)-1</f>
        <v>5.8393669972404583E-2</v>
      </c>
      <c r="L81" s="7">
        <f>(L79/L80)-1</f>
        <v>6.7063818108303641E-2</v>
      </c>
      <c r="N81" s="7">
        <f>(N79/N80)-1</f>
        <v>8.2965871412269632E-2</v>
      </c>
      <c r="P81" s="3">
        <f>(D81+D136+D191+D246+D301)/5</f>
        <v>3.0975609388598845E-2</v>
      </c>
      <c r="Q81" s="3">
        <f>(E81+E136+E191+E246+E301)/5</f>
        <v>8.9545735243249561E-2</v>
      </c>
      <c r="R81" s="3">
        <f>(F81+F136+F191+F246+F301)/5</f>
        <v>0.12353394813601071</v>
      </c>
      <c r="S81" s="3">
        <f>(G81+G136+G191+G246+G301)/5</f>
        <v>4.6376363885520064E-2</v>
      </c>
      <c r="U81" s="3">
        <f>(I81+I136+I191+I246+I301)/5</f>
        <v>0.11780826577078743</v>
      </c>
      <c r="V81" s="3">
        <f>(J81+J136+J191+J246+J301)/5</f>
        <v>0.11559729897238977</v>
      </c>
      <c r="W81" s="3">
        <f>(K81+K136+K191+K246+K301)/5</f>
        <v>6.709120750472608E-2</v>
      </c>
      <c r="X81" s="3">
        <f>(L81+L136+L191+L246+L301)/5</f>
        <v>0.10435740226787478</v>
      </c>
      <c r="Z81" s="3">
        <f>(N81+N136+N191+N246+N301)/5</f>
        <v>7.6764205572295643E-2</v>
      </c>
      <c r="AB81" s="3"/>
      <c r="AC81" s="3"/>
      <c r="AD81" s="3"/>
      <c r="AE81" s="3"/>
      <c r="AF81" s="3"/>
      <c r="AG81" s="3"/>
      <c r="AH81" s="3"/>
    </row>
    <row r="83" spans="1:34" x14ac:dyDescent="0.2">
      <c r="A83" s="5" t="s">
        <v>15</v>
      </c>
      <c r="C83" s="5" t="s">
        <v>21</v>
      </c>
      <c r="D83" s="4">
        <v>1332333.479660999</v>
      </c>
      <c r="E83" s="4">
        <v>411508.85950499994</v>
      </c>
      <c r="F83" s="4">
        <v>91698.448761999898</v>
      </c>
      <c r="G83" s="4">
        <f>SUM(D83:F83)</f>
        <v>1835540.7879279989</v>
      </c>
      <c r="I83" s="4">
        <v>2476721.0404224633</v>
      </c>
      <c r="J83" s="4">
        <v>461356.74002190022</v>
      </c>
      <c r="K83" s="4">
        <v>780719.43463724153</v>
      </c>
      <c r="L83" s="4">
        <f>SUM(I83:K83)</f>
        <v>3718797.2150816051</v>
      </c>
      <c r="N83" s="2">
        <f>G83+L83</f>
        <v>5554338.0030096043</v>
      </c>
    </row>
    <row r="84" spans="1:34" x14ac:dyDescent="0.2">
      <c r="C84" s="5" t="s">
        <v>22</v>
      </c>
      <c r="D84" s="4">
        <v>1212157.747</v>
      </c>
      <c r="E84" s="4">
        <v>366303.07699999999</v>
      </c>
      <c r="F84" s="4">
        <v>90520.642999999996</v>
      </c>
      <c r="G84" s="4">
        <f>SUM(D84:F84)</f>
        <v>1668981.4669999999</v>
      </c>
      <c r="I84" s="4">
        <v>2341726.605</v>
      </c>
      <c r="J84" s="4">
        <v>398742.56</v>
      </c>
      <c r="K84" s="4">
        <v>712756.54099999997</v>
      </c>
      <c r="L84" s="4">
        <f>SUM(I84:K84)</f>
        <v>3453225.7060000002</v>
      </c>
      <c r="N84" s="2">
        <f>G84+L84</f>
        <v>5122207.1730000004</v>
      </c>
    </row>
    <row r="85" spans="1:34" x14ac:dyDescent="0.2">
      <c r="C85" s="5" t="s">
        <v>23</v>
      </c>
      <c r="D85" s="7">
        <f>(D83/D84)-1</f>
        <v>9.9141991179304112E-2</v>
      </c>
      <c r="E85" s="7">
        <f>(E83/E84)-1</f>
        <v>0.1234108729722736</v>
      </c>
      <c r="F85" s="7">
        <f>(F83/F84)-1</f>
        <v>1.3011460402462038E-2</v>
      </c>
      <c r="G85" s="7">
        <f>(G83/G84)-1</f>
        <v>9.9796986498232432E-2</v>
      </c>
      <c r="H85" s="7"/>
      <c r="I85" s="7">
        <f>(I83/I84)-1</f>
        <v>5.7647393651430789E-2</v>
      </c>
      <c r="J85" s="7">
        <f>(J83/J84)-1</f>
        <v>0.15702908669167459</v>
      </c>
      <c r="K85" s="7">
        <f>(K83/K84)-1</f>
        <v>9.5352185112029142E-2</v>
      </c>
      <c r="L85" s="7">
        <f>(L83/L84)-1</f>
        <v>7.6905343493815836E-2</v>
      </c>
      <c r="N85" s="7">
        <f>(N83/N84)-1</f>
        <v>8.4364184308560741E-2</v>
      </c>
      <c r="P85" s="3">
        <f>(D85+D140+D195+D250+D305)/5</f>
        <v>8.8891567180374761E-2</v>
      </c>
      <c r="Q85" s="3">
        <f>(E85+E140+E195+E250+E305)/5</f>
        <v>9.5939950646066752E-2</v>
      </c>
      <c r="R85" s="3">
        <f>(F85+F140+F195+F250+F305)/5</f>
        <v>4.6876197310502167E-2</v>
      </c>
      <c r="S85" s="3">
        <f>(G85+G140+G195+G250+G305)/5</f>
        <v>8.7866270407853261E-2</v>
      </c>
      <c r="U85" s="3">
        <f>(I85+I140+I195+I250+I305)/5</f>
        <v>5.4129016230024175E-2</v>
      </c>
      <c r="V85" s="3">
        <f>(J85+J140+J195+J250+J305)/5</f>
        <v>0.14269222101573989</v>
      </c>
      <c r="W85" s="3">
        <f>(K85+K140+K195+K250+K305)/5</f>
        <v>9.3581401233343617E-2</v>
      </c>
      <c r="X85" s="3">
        <f>(L85+L140+L195+L250+L305)/5</f>
        <v>7.2933235258333756E-2</v>
      </c>
      <c r="Z85" s="3">
        <f>(N85+N140+N195+N250+N305)/5</f>
        <v>7.7940823597310291E-2</v>
      </c>
    </row>
    <row r="87" spans="1:34" x14ac:dyDescent="0.2">
      <c r="A87" s="5" t="s">
        <v>16</v>
      </c>
      <c r="C87" s="5" t="s">
        <v>21</v>
      </c>
      <c r="D87" s="4">
        <v>1308397.9753590012</v>
      </c>
      <c r="E87" s="4">
        <v>389542.95756800001</v>
      </c>
      <c r="F87" s="4">
        <v>93606.870397000108</v>
      </c>
      <c r="G87" s="4">
        <f>SUM(D87:F87)</f>
        <v>1791547.8033240014</v>
      </c>
      <c r="I87" s="4">
        <v>2405205.7811911805</v>
      </c>
      <c r="J87" s="4">
        <v>357794.30879059999</v>
      </c>
      <c r="K87" s="4">
        <v>780519.67794501153</v>
      </c>
      <c r="L87" s="4">
        <f>SUM(I87:K87)</f>
        <v>3543519.7679267917</v>
      </c>
      <c r="N87" s="2">
        <f>G87+L87</f>
        <v>5335067.5712507926</v>
      </c>
    </row>
    <row r="88" spans="1:34" x14ac:dyDescent="0.2">
      <c r="C88" s="5" t="s">
        <v>22</v>
      </c>
      <c r="D88" s="4">
        <v>1178016.277</v>
      </c>
      <c r="E88" s="4">
        <v>367484.614</v>
      </c>
      <c r="F88" s="4">
        <v>85282.620999999999</v>
      </c>
      <c r="G88" s="4">
        <f>SUM(D88:F88)</f>
        <v>1630783.5120000001</v>
      </c>
      <c r="I88" s="4">
        <v>2214959.1940000001</v>
      </c>
      <c r="J88" s="4">
        <v>356695.66399999999</v>
      </c>
      <c r="K88" s="4">
        <v>746091.50300000003</v>
      </c>
      <c r="L88" s="4">
        <f>SUM(I88:K88)</f>
        <v>3317746.361</v>
      </c>
      <c r="N88" s="2">
        <f>G88+L88</f>
        <v>4948529.8729999997</v>
      </c>
    </row>
    <row r="89" spans="1:34" x14ac:dyDescent="0.2">
      <c r="C89" s="5" t="s">
        <v>23</v>
      </c>
      <c r="D89" s="7">
        <f>(D87/D88)-1</f>
        <v>0.11067902957252707</v>
      </c>
      <c r="E89" s="7">
        <f>(E87/E88)-1</f>
        <v>6.002521664213134E-2</v>
      </c>
      <c r="F89" s="7">
        <f>(F87/F88)-1</f>
        <v>9.7607804490437822E-2</v>
      </c>
      <c r="G89" s="7">
        <f>(G87/G88)-1</f>
        <v>9.8581013446008781E-2</v>
      </c>
      <c r="H89" s="7"/>
      <c r="I89" s="7">
        <f>(I87/I88)-1</f>
        <v>8.5891689430004137E-2</v>
      </c>
      <c r="J89" s="7">
        <f>(J87/J88)-1</f>
        <v>3.0800620850832683E-3</v>
      </c>
      <c r="K89" s="7">
        <f>(K87/K88)-1</f>
        <v>4.6144708533172318E-2</v>
      </c>
      <c r="L89" s="7">
        <f>(L87/L88)-1</f>
        <v>6.8050231199331845E-2</v>
      </c>
      <c r="N89" s="7">
        <f>(N87/N88)-1</f>
        <v>7.8111622678041615E-2</v>
      </c>
      <c r="P89" s="3">
        <f>(D89+D144+D199+D254+D309)/5</f>
        <v>0.10196654691413802</v>
      </c>
      <c r="Q89" s="3">
        <f>(E89+E144+E199+E254+E309)/5</f>
        <v>8.3457860333342099E-2</v>
      </c>
      <c r="R89" s="3">
        <f>(F89+F144+F199+F254+F309)/5</f>
        <v>0.13181913275013038</v>
      </c>
      <c r="S89" s="3">
        <f>(G89+G144+G199+G254+G309)/5</f>
        <v>9.8703039300843939E-2</v>
      </c>
      <c r="U89" s="3">
        <f>(I89+I144+I199+I254+I309)/5</f>
        <v>8.759627023939523E-2</v>
      </c>
      <c r="V89" s="3">
        <f>(J89+J144+J199+J254+J309)/5</f>
        <v>5.7803257771374919E-2</v>
      </c>
      <c r="W89" s="3">
        <f>(K89+K144+K199+K254+K309)/5</f>
        <v>6.3894808986650412E-2</v>
      </c>
      <c r="X89" s="3">
        <f>(L89+L144+L199+L254+L309)/5</f>
        <v>7.8800492197682676E-2</v>
      </c>
      <c r="Z89" s="3">
        <f>(N89+N144+N199+N254+N309)/5</f>
        <v>8.5677536229642387E-2</v>
      </c>
    </row>
    <row r="91" spans="1:34" x14ac:dyDescent="0.2">
      <c r="A91" s="5" t="s">
        <v>17</v>
      </c>
      <c r="C91" s="5" t="s">
        <v>21</v>
      </c>
      <c r="D91" s="4">
        <v>1180467.1537163993</v>
      </c>
      <c r="E91" s="4">
        <v>356018.7344695995</v>
      </c>
      <c r="F91" s="4">
        <v>74895.894513199994</v>
      </c>
      <c r="G91" s="4">
        <f>SUM(D91:F91)</f>
        <v>1611381.7826991989</v>
      </c>
      <c r="I91" s="4">
        <v>1910170.1231957986</v>
      </c>
      <c r="J91" s="4">
        <v>300750.57294370019</v>
      </c>
      <c r="K91" s="4">
        <v>736971.6471627336</v>
      </c>
      <c r="L91" s="4">
        <f>SUM(I91:K91)</f>
        <v>2947892.3433022322</v>
      </c>
      <c r="N91" s="2">
        <f>G91+L91</f>
        <v>4559274.1260014307</v>
      </c>
    </row>
    <row r="92" spans="1:34" x14ac:dyDescent="0.2">
      <c r="C92" s="5" t="s">
        <v>22</v>
      </c>
      <c r="D92" s="4">
        <v>1061416.4790000001</v>
      </c>
      <c r="E92" s="4">
        <v>304656.63799999998</v>
      </c>
      <c r="F92" s="4">
        <v>62365.275999999998</v>
      </c>
      <c r="G92" s="4">
        <f>SUM(D92:F92)</f>
        <v>1428438.3930000002</v>
      </c>
      <c r="I92" s="4">
        <v>1737748.7919999999</v>
      </c>
      <c r="J92" s="4">
        <v>262194.17099999997</v>
      </c>
      <c r="K92" s="4">
        <v>688264.05799999996</v>
      </c>
      <c r="L92" s="4">
        <f>SUM(I92:K92)</f>
        <v>2688207.0209999997</v>
      </c>
      <c r="N92" s="2">
        <f>G92+L92</f>
        <v>4116645.4139999999</v>
      </c>
    </row>
    <row r="93" spans="1:34" x14ac:dyDescent="0.2">
      <c r="C93" s="5" t="s">
        <v>23</v>
      </c>
      <c r="D93" s="7">
        <f>(D91/D92)-1</f>
        <v>0.11216207499299546</v>
      </c>
      <c r="E93" s="7">
        <f>(E91/E92)-1</f>
        <v>0.1685901111716448</v>
      </c>
      <c r="F93" s="7">
        <f>(F91/F92)-1</f>
        <v>0.20092300262088147</v>
      </c>
      <c r="G93" s="7">
        <f>(G91/G92)-1</f>
        <v>0.12807229950952381</v>
      </c>
      <c r="H93" s="7"/>
      <c r="I93" s="7">
        <f>(I91/I92)-1</f>
        <v>9.922109109761279E-2</v>
      </c>
      <c r="J93" s="7">
        <f>(J91/J92)-1</f>
        <v>0.14705285703586535</v>
      </c>
      <c r="K93" s="7">
        <f>(K91/K92)-1</f>
        <v>7.0768753062990353E-2</v>
      </c>
      <c r="L93" s="7">
        <f>(L91/L92)-1</f>
        <v>9.6601682933493249E-2</v>
      </c>
      <c r="N93" s="7">
        <f>(N91/N92)-1</f>
        <v>0.10752169970630132</v>
      </c>
      <c r="P93" s="3">
        <f>(D93+D148+D203+D258+D313)/5</f>
        <v>7.8940284681499537E-2</v>
      </c>
      <c r="Q93" s="3">
        <f>(E93+E148+E203+E258+E313)/5</f>
        <v>0.17556016861228235</v>
      </c>
      <c r="R93" s="3">
        <f>(F93+F148+F203+F258+F313)/5</f>
        <v>0.18865349299906764</v>
      </c>
      <c r="S93" s="3">
        <f>(G93+G148+G203+G258+G313)/5</f>
        <v>0.1036429530911199</v>
      </c>
      <c r="U93" s="3">
        <f>(I93+I148+I203+I258+I313)/5</f>
        <v>0.11641329895071779</v>
      </c>
      <c r="V93" s="3">
        <f>(J93+J148+J203+J258+J313)/5</f>
        <v>-1.1319654305420369E-3</v>
      </c>
      <c r="W93" s="3">
        <f>(K93+K148+K203+K258+K313)/5</f>
        <v>9.0653665684029633E-2</v>
      </c>
      <c r="X93" s="3">
        <f>(L93+L148+L203+L258+L313)/5</f>
        <v>9.5315362624054559E-2</v>
      </c>
      <c r="Z93" s="3">
        <f>(N93+N148+N203+N258+N313)/5</f>
        <v>9.8140697368000712E-2</v>
      </c>
    </row>
    <row r="95" spans="1:34" x14ac:dyDescent="0.2">
      <c r="A95" s="5" t="s">
        <v>18</v>
      </c>
      <c r="C95" s="5" t="s">
        <v>21</v>
      </c>
      <c r="D95" s="4">
        <v>1239843.0009711992</v>
      </c>
      <c r="E95" s="4">
        <v>366128.37746939599</v>
      </c>
      <c r="F95" s="4">
        <v>78562.428761299976</v>
      </c>
      <c r="G95" s="4">
        <f>SUM(D95:F95)</f>
        <v>1684533.8072018952</v>
      </c>
      <c r="I95" s="4">
        <v>1827948.8095360859</v>
      </c>
      <c r="J95" s="4">
        <v>265180.85441819986</v>
      </c>
      <c r="K95" s="4">
        <v>756239.56110764516</v>
      </c>
      <c r="L95" s="4">
        <f>SUM(I95:K95)</f>
        <v>2849369.2250619312</v>
      </c>
      <c r="N95" s="2">
        <f>G95+L95</f>
        <v>4533903.0322638266</v>
      </c>
    </row>
    <row r="96" spans="1:34" x14ac:dyDescent="0.2">
      <c r="C96" s="5" t="s">
        <v>22</v>
      </c>
      <c r="D96" s="4">
        <v>1109128.9779999999</v>
      </c>
      <c r="E96" s="4">
        <v>324049.239</v>
      </c>
      <c r="F96" s="4">
        <v>63279.813999999998</v>
      </c>
      <c r="G96" s="4">
        <f>SUM(D96:F96)</f>
        <v>1496458.031</v>
      </c>
      <c r="I96" s="4">
        <v>1632090.584</v>
      </c>
      <c r="J96" s="4">
        <v>252810.625</v>
      </c>
      <c r="K96" s="4">
        <v>704382.02</v>
      </c>
      <c r="L96" s="4">
        <f>SUM(I96:K96)</f>
        <v>2589283.2290000003</v>
      </c>
      <c r="N96" s="2">
        <f>G96+L96</f>
        <v>4085741.2600000002</v>
      </c>
    </row>
    <row r="97" spans="1:35" x14ac:dyDescent="0.2">
      <c r="C97" s="5" t="s">
        <v>23</v>
      </c>
      <c r="D97" s="7">
        <f>(D95/D96)-1</f>
        <v>0.11785286072581491</v>
      </c>
      <c r="E97" s="7">
        <f>(E95/E96)-1</f>
        <v>0.12985414994107103</v>
      </c>
      <c r="F97" s="7">
        <f>(F95/F96)-1</f>
        <v>0.24150852847481463</v>
      </c>
      <c r="G97" s="7">
        <f>(G95/G96)-1</f>
        <v>0.12568062204605535</v>
      </c>
      <c r="H97" s="7"/>
      <c r="I97" s="7">
        <f>(I95/I96)-1</f>
        <v>0.12000450676951258</v>
      </c>
      <c r="J97" s="7">
        <f>(J95/J96)-1</f>
        <v>4.8930813007561857E-2</v>
      </c>
      <c r="K97" s="7">
        <f>(K95/K96)-1</f>
        <v>7.3621329953375447E-2</v>
      </c>
      <c r="L97" s="7">
        <f>(L95/L96)-1</f>
        <v>0.10044710178823424</v>
      </c>
      <c r="N97" s="7">
        <f>(N95/N96)-1</f>
        <v>0.10968922008140725</v>
      </c>
      <c r="P97" s="3">
        <f>(D97+D152+D207+D262+D317)/5</f>
        <v>0.12220116129656441</v>
      </c>
      <c r="Q97" s="3">
        <f>(E97+E152+E207+E262+E317)/5</f>
        <v>8.1063955510018146E-2</v>
      </c>
      <c r="R97" s="3">
        <f>(F97+F152+F207+F262+F317)/5</f>
        <v>0.16673808872309387</v>
      </c>
      <c r="S97" s="3">
        <f>(G97+G152+G207+G262+G317)/5</f>
        <v>0.11402023274285736</v>
      </c>
      <c r="U97" s="3">
        <f>(I97+I152+I207+I262+I317)/5</f>
        <v>8.3345635187343919E-2</v>
      </c>
      <c r="V97" s="3">
        <f>(J97+J152+J207+J262+J317)/5</f>
        <v>0.17881973182741157</v>
      </c>
      <c r="W97" s="3">
        <f>(K97+K152+K207+K262+K317)/5</f>
        <v>8.5208022228329489E-2</v>
      </c>
      <c r="X97" s="3">
        <f>(L97+L152+L207+L262+L317)/5</f>
        <v>9.1886973718088599E-2</v>
      </c>
      <c r="Z97" s="3">
        <f>(N97+N152+N207+N262+N317)/5</f>
        <v>0.10002754975853581</v>
      </c>
    </row>
    <row r="99" spans="1:35" x14ac:dyDescent="0.2">
      <c r="A99" s="5" t="s">
        <v>19</v>
      </c>
      <c r="C99" s="5" t="s">
        <v>21</v>
      </c>
      <c r="D99" s="4">
        <v>1330142.3468704997</v>
      </c>
      <c r="E99" s="4">
        <v>391731.06192479964</v>
      </c>
      <c r="F99" s="4">
        <v>80058.185342899931</v>
      </c>
      <c r="G99" s="4">
        <f>SUM(D99:F99)</f>
        <v>1801931.5941381992</v>
      </c>
      <c r="I99" s="4">
        <v>1925353.7588368948</v>
      </c>
      <c r="J99" s="4">
        <v>271885.50633030018</v>
      </c>
      <c r="K99" s="4">
        <v>761930.90504839888</v>
      </c>
      <c r="L99" s="4">
        <f>SUM(I99:K99)</f>
        <v>2959170.1702155937</v>
      </c>
      <c r="N99" s="2">
        <f>G99+L99</f>
        <v>4761101.7643537931</v>
      </c>
    </row>
    <row r="100" spans="1:35" x14ac:dyDescent="0.2">
      <c r="C100" s="5" t="s">
        <v>22</v>
      </c>
      <c r="D100" s="4">
        <v>1177684.149</v>
      </c>
      <c r="E100" s="4">
        <v>356121.25599999999</v>
      </c>
      <c r="F100" s="4">
        <v>65733.172000000006</v>
      </c>
      <c r="G100" s="4">
        <f>SUM(D100:F100)</f>
        <v>1599538.577</v>
      </c>
      <c r="I100" s="4">
        <v>1795301.091</v>
      </c>
      <c r="J100" s="4">
        <v>242709.375</v>
      </c>
      <c r="K100" s="4">
        <v>718060.94400000002</v>
      </c>
      <c r="L100" s="4">
        <f>SUM(I100:K100)</f>
        <v>2756071.41</v>
      </c>
      <c r="N100" s="2">
        <f>G100+L100</f>
        <v>4355609.9869999997</v>
      </c>
    </row>
    <row r="101" spans="1:35" x14ac:dyDescent="0.2">
      <c r="C101" s="5" t="s">
        <v>23</v>
      </c>
      <c r="D101" s="7">
        <f>(D99/D100)-1</f>
        <v>0.12945593094715213</v>
      </c>
      <c r="E101" s="7">
        <f>(E99/E100)-1</f>
        <v>9.9993486277043964E-2</v>
      </c>
      <c r="F101" s="7">
        <f>(F99/F100)-1</f>
        <v>0.21792670134494529</v>
      </c>
      <c r="G101" s="7">
        <f>(G99/G100)-1</f>
        <v>0.12653212623217591</v>
      </c>
      <c r="H101" s="7"/>
      <c r="I101" s="7">
        <f>(I99/I100)-1</f>
        <v>7.2440588650483306E-2</v>
      </c>
      <c r="J101" s="7">
        <f>(J99/J100)-1</f>
        <v>0.12021015393534018</v>
      </c>
      <c r="K101" s="7">
        <f>(K99/K100)-1</f>
        <v>6.1095038540905255E-2</v>
      </c>
      <c r="L101" s="7">
        <f>(L99/L100)-1</f>
        <v>7.369139982319739E-2</v>
      </c>
      <c r="N101" s="7">
        <f>(N99/N100)-1</f>
        <v>9.3096438515855917E-2</v>
      </c>
      <c r="P101" s="3">
        <f>(D101+D156+D211+D266+D321)/5</f>
        <v>0.10428818239161904</v>
      </c>
      <c r="Q101" s="3">
        <f>(E101+E156+E211+E266+E321)/5</f>
        <v>0.12430759578641334</v>
      </c>
      <c r="R101" s="3">
        <f>(F101+F156+F211+F266+F321)/5</f>
        <v>0.19978657882129061</v>
      </c>
      <c r="S101" s="3">
        <f>(G101+G156+G211+G266+G321)/5</f>
        <v>0.11243640075233632</v>
      </c>
      <c r="U101" s="3">
        <f>(I101+I156+I211+I266+I321)/5</f>
        <v>8.4355391233755309E-2</v>
      </c>
      <c r="V101" s="3">
        <f>(J101+J156+J211+J266+J321)/5</f>
        <v>8.6393048718184873E-2</v>
      </c>
      <c r="W101" s="3">
        <f>(K101+K156+K211+K266+K321)/5</f>
        <v>7.6356709189882063E-2</v>
      </c>
      <c r="X101" s="3">
        <f>(L101+L156+L211+L266+L321)/5</f>
        <v>8.2190238910770569E-2</v>
      </c>
      <c r="Z101" s="3">
        <f>(N101+N156+N211+N266+N321)/5</f>
        <v>9.357726688584278E-2</v>
      </c>
    </row>
    <row r="103" spans="1:35" x14ac:dyDescent="0.2">
      <c r="A103" s="5" t="s">
        <v>20</v>
      </c>
      <c r="C103" s="5" t="s">
        <v>21</v>
      </c>
      <c r="D103" s="4">
        <v>1476102.2833836016</v>
      </c>
      <c r="E103" s="4">
        <v>449310.18490030011</v>
      </c>
      <c r="F103" s="4">
        <v>95179.731467899997</v>
      </c>
      <c r="G103" s="4">
        <f>SUM(D103:F103)</f>
        <v>2020592.1997518018</v>
      </c>
      <c r="I103" s="4">
        <v>2148136.4988957276</v>
      </c>
      <c r="J103" s="4">
        <v>285087.39403630001</v>
      </c>
      <c r="K103" s="4">
        <v>842951.10302722931</v>
      </c>
      <c r="L103" s="4">
        <f>SUM(I103:K103)</f>
        <v>3276174.9959592568</v>
      </c>
      <c r="N103" s="2">
        <f>G103+L103</f>
        <v>5296767.1957110586</v>
      </c>
    </row>
    <row r="104" spans="1:35" x14ac:dyDescent="0.2">
      <c r="C104" s="5" t="s">
        <v>22</v>
      </c>
      <c r="D104" s="4">
        <v>1334768.885</v>
      </c>
      <c r="E104" s="4">
        <v>411998.86800000002</v>
      </c>
      <c r="F104" s="4">
        <v>79310.172000000006</v>
      </c>
      <c r="G104" s="4">
        <f>SUM(D104:F104)</f>
        <v>1826077.925</v>
      </c>
      <c r="I104" s="4">
        <v>2017988.754</v>
      </c>
      <c r="J104" s="4">
        <v>268918.19699999999</v>
      </c>
      <c r="K104" s="4">
        <v>782575.08900000004</v>
      </c>
      <c r="L104" s="4">
        <f>SUM(I104:K104)</f>
        <v>3069482.04</v>
      </c>
      <c r="N104" s="2">
        <f>G104+L104</f>
        <v>4895559.9649999999</v>
      </c>
    </row>
    <row r="105" spans="1:35" x14ac:dyDescent="0.2">
      <c r="C105" s="5" t="s">
        <v>23</v>
      </c>
      <c r="D105" s="7">
        <f>(D103/D104)-1</f>
        <v>0.10588604512128819</v>
      </c>
      <c r="E105" s="7">
        <f>(E103/E104)-1</f>
        <v>9.0561697611994729E-2</v>
      </c>
      <c r="F105" s="7">
        <f>(F103/F104)-1</f>
        <v>0.20009488149767218</v>
      </c>
      <c r="G105" s="7">
        <f>(G103/G104)-1</f>
        <v>0.10652024871928822</v>
      </c>
      <c r="H105" s="7"/>
      <c r="I105" s="7">
        <f>(I103/I104)-1</f>
        <v>6.4493790977651511E-2</v>
      </c>
      <c r="J105" s="7">
        <f>(J103/J104)-1</f>
        <v>6.0126823757858272E-2</v>
      </c>
      <c r="K105" s="7">
        <f>(K103/K104)-1</f>
        <v>7.7150442016215681E-2</v>
      </c>
      <c r="L105" s="7">
        <f>(L103/L104)-1</f>
        <v>6.7338056801028445E-2</v>
      </c>
      <c r="N105" s="7">
        <f>(N103/N104)-1</f>
        <v>8.19532869742019E-2</v>
      </c>
      <c r="P105" s="3">
        <f>(D105+D160+D215+D270+D325)/5</f>
        <v>0.10975465462551855</v>
      </c>
      <c r="Q105" s="3">
        <f>(E105+E160+E215+E270+E325)/5</f>
        <v>0.11973591687026093</v>
      </c>
      <c r="R105" s="3">
        <f>(F105+F160+F215+F270+F325)/5</f>
        <v>0.12873137002061591</v>
      </c>
      <c r="S105" s="3">
        <f>(G105+G160+G215+G270+G325)/5</f>
        <v>0.11232207549101525</v>
      </c>
      <c r="U105" s="3">
        <f>(I105+I160+I215+I270+I325)/5</f>
        <v>6.9240884613544246E-2</v>
      </c>
      <c r="V105" s="3">
        <f>(J105+J160+J215+J270+J325)/5</f>
        <v>0.12466267067784584</v>
      </c>
      <c r="W105" s="3">
        <f>(K105+K160+K215+K270+K325)/5</f>
        <v>9.1981877818688759E-2</v>
      </c>
      <c r="X105" s="3">
        <f>(L105+L160+L215+L270+L325)/5</f>
        <v>7.8020515328547452E-2</v>
      </c>
      <c r="Z105" s="3">
        <f>(N105+N160+N215+N270+N325)/5</f>
        <v>9.0939251433562254E-2</v>
      </c>
    </row>
    <row r="107" spans="1:35" x14ac:dyDescent="0.2">
      <c r="A107" s="5" t="s">
        <v>44</v>
      </c>
      <c r="C107" s="5" t="s">
        <v>21</v>
      </c>
      <c r="D107" s="4">
        <f t="shared" ref="D107:G108" si="29">D59+D63+D67+D71+D75+D79+D83+D87+D91+D95+D99+D103</f>
        <v>15562529.809530804</v>
      </c>
      <c r="E107" s="4">
        <f t="shared" si="29"/>
        <v>4532172.421366795</v>
      </c>
      <c r="F107" s="4">
        <f t="shared" si="29"/>
        <v>1064594.6532043</v>
      </c>
      <c r="G107" s="4">
        <f t="shared" si="29"/>
        <v>21159296.884101894</v>
      </c>
      <c r="I107" s="4">
        <f t="shared" ref="I107:L108" si="30">I59+I63+I67+I71+I75+I79+I83+I87+I91+I95+I99+I103</f>
        <v>24068503.374681178</v>
      </c>
      <c r="J107" s="4">
        <f t="shared" si="30"/>
        <v>3803528.6579677006</v>
      </c>
      <c r="K107" s="4">
        <f t="shared" si="30"/>
        <v>9132294.2288670093</v>
      </c>
      <c r="L107" s="4">
        <f t="shared" si="30"/>
        <v>37004326.261515893</v>
      </c>
      <c r="N107" s="4">
        <f>N59+N63+N67+N71+N75+N79+N83+N87+N91+N95+N99+N103</f>
        <v>58163623.145617798</v>
      </c>
    </row>
    <row r="108" spans="1:35" x14ac:dyDescent="0.2">
      <c r="C108" s="5" t="s">
        <v>22</v>
      </c>
      <c r="D108" s="4">
        <f t="shared" si="29"/>
        <v>14077356.350000001</v>
      </c>
      <c r="E108" s="4">
        <f t="shared" si="29"/>
        <v>4078370.0269999998</v>
      </c>
      <c r="F108" s="4">
        <f t="shared" si="29"/>
        <v>884865.30900000001</v>
      </c>
      <c r="G108" s="4">
        <f t="shared" si="29"/>
        <v>19040591.686000001</v>
      </c>
      <c r="I108" s="4">
        <f t="shared" si="30"/>
        <v>22352159.788999997</v>
      </c>
      <c r="J108" s="4">
        <f t="shared" si="30"/>
        <v>3475271.6850000001</v>
      </c>
      <c r="K108" s="4">
        <f t="shared" si="30"/>
        <v>8522454.3939999994</v>
      </c>
      <c r="L108" s="4">
        <f t="shared" si="30"/>
        <v>34349885.868000008</v>
      </c>
      <c r="N108" s="4">
        <f>N60+N64+N68+N72+N76+N80+N84+N88+N92+N96+N100+N104</f>
        <v>53390477.554000005</v>
      </c>
    </row>
    <row r="109" spans="1:35" x14ac:dyDescent="0.2">
      <c r="C109" s="5" t="s">
        <v>23</v>
      </c>
      <c r="D109" s="7">
        <f>(D107/D108)-1</f>
        <v>0.10550087833294075</v>
      </c>
      <c r="E109" s="7">
        <f>(E107/E108)-1</f>
        <v>0.11127052998195142</v>
      </c>
      <c r="F109" s="7">
        <f>(F107/F108)-1</f>
        <v>0.20311491746400923</v>
      </c>
      <c r="G109" s="7">
        <f>(G107/G108)-1</f>
        <v>0.11127307559773558</v>
      </c>
      <c r="I109" s="7">
        <f>(I107/I108)-1</f>
        <v>7.6786476201097686E-2</v>
      </c>
      <c r="J109" s="7">
        <f>(J107/J108)-1</f>
        <v>9.4455053509780562E-2</v>
      </c>
      <c r="K109" s="7">
        <f>(K107/K108)-1</f>
        <v>7.1556831714623348E-2</v>
      </c>
      <c r="L109" s="7">
        <f>(L107/L108)-1</f>
        <v>7.7276541870223037E-2</v>
      </c>
      <c r="N109" s="7">
        <f>(N107/N108)-1</f>
        <v>8.940069110245652E-2</v>
      </c>
      <c r="P109" s="3">
        <f>(D109+D164+D219+D274+D329)/5</f>
        <v>9.521951244037799E-2</v>
      </c>
      <c r="Q109" s="3">
        <f>(E109+E164+E219+E274+E329)/5</f>
        <v>0.10250827682021284</v>
      </c>
      <c r="R109" s="3">
        <f>(F109+F164+F219+F274+F329)/5</f>
        <v>0.142371228158476</v>
      </c>
      <c r="S109" s="3">
        <f>(G109+G164+G219+G274+G329)/5</f>
        <v>9.9008920157140828E-2</v>
      </c>
      <c r="U109" s="3">
        <f>(I109+I164+I219+I274+I329)/5</f>
        <v>7.946979090865422E-2</v>
      </c>
      <c r="V109" s="3">
        <f>(J109+J164+J219+J274+J329)/5</f>
        <v>9.9264225689976102E-2</v>
      </c>
      <c r="W109" s="3">
        <f>(K109+K164+K219+K274+K329)/5</f>
        <v>7.4922161003906362E-2</v>
      </c>
      <c r="X109" s="3">
        <f>(L109+L164+L219+L274+L329)/5</f>
        <v>8.037835259959758E-2</v>
      </c>
      <c r="Z109" s="3">
        <f>(N109+N164+N219+N274+N329)/5</f>
        <v>8.7127100463150864E-2</v>
      </c>
    </row>
    <row r="111" spans="1:35" x14ac:dyDescent="0.2">
      <c r="D111" s="43" t="s">
        <v>7</v>
      </c>
      <c r="E111" s="43"/>
      <c r="F111" s="43"/>
      <c r="G111" s="43"/>
      <c r="H111" s="6"/>
      <c r="I111" s="43" t="s">
        <v>8</v>
      </c>
      <c r="J111" s="43"/>
      <c r="K111" s="43"/>
      <c r="L111" s="43"/>
      <c r="N111" s="11" t="s">
        <v>24</v>
      </c>
    </row>
    <row r="112" spans="1:35" x14ac:dyDescent="0.2">
      <c r="D112" s="6" t="s">
        <v>0</v>
      </c>
      <c r="E112" s="6" t="s">
        <v>1</v>
      </c>
      <c r="F112" s="6" t="s">
        <v>2</v>
      </c>
      <c r="G112" s="6" t="s">
        <v>24</v>
      </c>
      <c r="H112" s="6"/>
      <c r="I112" s="6" t="s">
        <v>3</v>
      </c>
      <c r="J112" s="6" t="s">
        <v>4</v>
      </c>
      <c r="K112" s="6" t="s">
        <v>25</v>
      </c>
      <c r="L112" s="6" t="s">
        <v>24</v>
      </c>
      <c r="N112" s="6" t="s">
        <v>49</v>
      </c>
      <c r="P112" s="6"/>
      <c r="Q112" s="6"/>
      <c r="R112" s="6"/>
      <c r="S112" s="6"/>
      <c r="T112" s="6"/>
      <c r="U112" s="6"/>
      <c r="V112" s="6"/>
      <c r="W112" s="6"/>
      <c r="X112" s="6"/>
      <c r="Y112" s="6"/>
      <c r="Z112" s="6"/>
      <c r="AA112" s="6"/>
      <c r="AC112" s="6"/>
      <c r="AD112" s="6"/>
      <c r="AE112" s="6"/>
      <c r="AF112" s="6"/>
      <c r="AG112" s="6"/>
      <c r="AH112" s="6"/>
      <c r="AI112" s="6"/>
    </row>
    <row r="113" spans="1:35" x14ac:dyDescent="0.2">
      <c r="A113" s="5">
        <v>2006</v>
      </c>
      <c r="D113" s="6"/>
      <c r="E113" s="6"/>
      <c r="F113" s="6"/>
      <c r="G113" s="6"/>
      <c r="H113" s="6"/>
      <c r="I113" s="6"/>
      <c r="J113" s="6"/>
      <c r="K113" s="6"/>
    </row>
    <row r="114" spans="1:35" x14ac:dyDescent="0.2">
      <c r="A114" s="5" t="s">
        <v>9</v>
      </c>
      <c r="C114" s="5" t="s">
        <v>21</v>
      </c>
      <c r="D114" s="4">
        <f>1421283.8329621-932.451108</f>
        <v>1420351.3818540999</v>
      </c>
      <c r="E114" s="4">
        <v>434428.91138150019</v>
      </c>
      <c r="F114" s="4">
        <v>87819.113620099888</v>
      </c>
      <c r="G114" s="4">
        <f>SUM(D114:F114)</f>
        <v>1942599.4068556998</v>
      </c>
      <c r="I114" s="4">
        <f>1930167.57094715-16159.082</f>
        <v>1914008.4889471501</v>
      </c>
      <c r="J114" s="4">
        <v>290581.77657739999</v>
      </c>
      <c r="K114" s="4">
        <f>94619.3907792001+681887.240932504-116.4</f>
        <v>776390.23171170405</v>
      </c>
      <c r="L114" s="4">
        <f>SUM(I114:K114)</f>
        <v>2980980.4972362537</v>
      </c>
      <c r="N114" s="2">
        <f>G114+L114</f>
        <v>4923579.9040919533</v>
      </c>
      <c r="AB114" s="3"/>
      <c r="AC114" s="3"/>
      <c r="AD114" s="3"/>
      <c r="AE114" s="3"/>
      <c r="AF114" s="3"/>
      <c r="AG114" s="3"/>
      <c r="AH114" s="3"/>
      <c r="AI114" s="3"/>
    </row>
    <row r="115" spans="1:35" x14ac:dyDescent="0.2">
      <c r="C115" s="5" t="s">
        <v>22</v>
      </c>
      <c r="D115" s="4">
        <v>1309698.1529999999</v>
      </c>
      <c r="E115" s="4">
        <v>372628.04700000002</v>
      </c>
      <c r="F115" s="4">
        <v>66000.020999999993</v>
      </c>
      <c r="G115" s="4">
        <f>SUM(D115:F115)</f>
        <v>1748326.2209999999</v>
      </c>
      <c r="I115" s="4">
        <v>1777210.1240000001</v>
      </c>
      <c r="J115" s="4">
        <v>249519.42600000001</v>
      </c>
      <c r="K115" s="4">
        <v>722119.62699999998</v>
      </c>
      <c r="L115" s="4">
        <f>SUM(I115:K115)</f>
        <v>2748849.1770000001</v>
      </c>
      <c r="N115" s="2">
        <f>G115+L115</f>
        <v>4497175.398</v>
      </c>
    </row>
    <row r="116" spans="1:35" s="3" customFormat="1" x14ac:dyDescent="0.2">
      <c r="A116" s="7"/>
      <c r="B116" s="7"/>
      <c r="C116" s="7" t="s">
        <v>23</v>
      </c>
      <c r="D116" s="7">
        <f>(D114/D115)-1</f>
        <v>8.4487581051127858E-2</v>
      </c>
      <c r="E116" s="7">
        <f>(E114/E115)-1</f>
        <v>0.1658513492987288</v>
      </c>
      <c r="F116" s="7">
        <f>(F114/F115)-1</f>
        <v>0.33059220723732641</v>
      </c>
      <c r="G116" s="7">
        <f>(G114/G115)-1</f>
        <v>0.11111952879399145</v>
      </c>
      <c r="H116" s="7"/>
      <c r="I116" s="7">
        <f>(I114/I115)-1</f>
        <v>7.6973658376003007E-2</v>
      </c>
      <c r="J116" s="7">
        <f>(J114/J115)-1</f>
        <v>0.16456574638561405</v>
      </c>
      <c r="K116" s="7">
        <f>(K114/K115)-1</f>
        <v>7.5154590295748891E-2</v>
      </c>
      <c r="L116" s="7">
        <f>(L114/L115)-1</f>
        <v>8.4446728535900961E-2</v>
      </c>
      <c r="N116" s="7">
        <f>(N114/N115)-1</f>
        <v>9.4816071946312253E-2</v>
      </c>
    </row>
    <row r="118" spans="1:35" x14ac:dyDescent="0.2">
      <c r="A118" s="5" t="s">
        <v>10</v>
      </c>
      <c r="C118" s="5" t="s">
        <v>21</v>
      </c>
      <c r="D118" s="4">
        <f>1281272.2498914-920.271156</f>
        <v>1280351.9787354001</v>
      </c>
      <c r="E118" s="4">
        <v>393053.70058220014</v>
      </c>
      <c r="F118" s="4">
        <v>74663.745100999935</v>
      </c>
      <c r="G118" s="4">
        <f>SUM(D118:F118)</f>
        <v>1748069.4244186003</v>
      </c>
      <c r="I118" s="4">
        <f>1734164.45068346-14321.414</f>
        <v>1719843.03668346</v>
      </c>
      <c r="J118" s="4">
        <v>264602.87703969999</v>
      </c>
      <c r="K118" s="4">
        <f>89047.6772026+610945.96926944-94.56</f>
        <v>699899.08647204004</v>
      </c>
      <c r="L118" s="4">
        <f>SUM(I118:K118)</f>
        <v>2684345.0001952001</v>
      </c>
      <c r="N118" s="2">
        <f>G118+L118</f>
        <v>4432414.4246137999</v>
      </c>
      <c r="AB118" s="3"/>
      <c r="AC118" s="3"/>
      <c r="AD118" s="3"/>
      <c r="AE118" s="3"/>
      <c r="AF118" s="3"/>
      <c r="AG118" s="3"/>
      <c r="AH118" s="3"/>
      <c r="AI118" s="3"/>
    </row>
    <row r="119" spans="1:35" x14ac:dyDescent="0.2">
      <c r="C119" s="5" t="s">
        <v>22</v>
      </c>
      <c r="D119" s="4">
        <v>1158732.142</v>
      </c>
      <c r="E119" s="4">
        <v>326345.71999999997</v>
      </c>
      <c r="F119" s="4">
        <v>69123.467000000004</v>
      </c>
      <c r="G119" s="4">
        <f>SUM(D119:F119)</f>
        <v>1554201.3289999999</v>
      </c>
      <c r="I119" s="4">
        <v>1649596.4310000001</v>
      </c>
      <c r="J119" s="4">
        <v>228892.723</v>
      </c>
      <c r="K119" s="4">
        <v>682116.44300000009</v>
      </c>
      <c r="L119" s="4">
        <f>SUM(I119:K119)</f>
        <v>2560605.5970000001</v>
      </c>
      <c r="N119" s="2">
        <f>G119+L119</f>
        <v>4114806.926</v>
      </c>
    </row>
    <row r="120" spans="1:35" s="3" customFormat="1" x14ac:dyDescent="0.2">
      <c r="A120" s="7"/>
      <c r="B120" s="7"/>
      <c r="C120" s="7" t="s">
        <v>23</v>
      </c>
      <c r="D120" s="7">
        <f>(D118/D119)-1</f>
        <v>0.1049594054804428</v>
      </c>
      <c r="E120" s="7">
        <f>(E118/E119)-1</f>
        <v>0.20440893351443434</v>
      </c>
      <c r="F120" s="7">
        <f>(F118/F119)-1</f>
        <v>8.0150466136195586E-2</v>
      </c>
      <c r="G120" s="7">
        <f>(G118/G119)-1</f>
        <v>0.12473808367114092</v>
      </c>
      <c r="H120" s="7"/>
      <c r="I120" s="7">
        <f>(I118/I119)-1</f>
        <v>4.2584115946999068E-2</v>
      </c>
      <c r="J120" s="7">
        <f>(J118/J119)-1</f>
        <v>0.1560126227328773</v>
      </c>
      <c r="K120" s="7">
        <f>(K118/K119)-1</f>
        <v>2.6069806195890166E-2</v>
      </c>
      <c r="L120" s="7">
        <f>(L118/L119)-1</f>
        <v>4.8324272718989869E-2</v>
      </c>
      <c r="N120" s="7">
        <f>(N118/N119)-1</f>
        <v>7.7186488777140738E-2</v>
      </c>
    </row>
    <row r="122" spans="1:35" x14ac:dyDescent="0.2">
      <c r="A122" s="5" t="s">
        <v>11</v>
      </c>
      <c r="C122" s="5" t="s">
        <v>21</v>
      </c>
      <c r="D122" s="4">
        <f>1374586.2633422-927.869091</f>
        <v>1373658.3942512001</v>
      </c>
      <c r="E122" s="4">
        <v>380868.45788320003</v>
      </c>
      <c r="F122" s="4">
        <v>83851.584260600037</v>
      </c>
      <c r="G122" s="4">
        <f>SUM(D122:F122)</f>
        <v>1838378.4363950002</v>
      </c>
      <c r="I122" s="4">
        <f>1777492.30230322-16037.536</f>
        <v>1761454.7663032198</v>
      </c>
      <c r="J122" s="4">
        <v>273089.0615875998</v>
      </c>
      <c r="K122" s="4">
        <f>94032.0621313001+653830.306557212-94.56</f>
        <v>747767.80868851207</v>
      </c>
      <c r="L122" s="4">
        <f>SUM(I122:K122)</f>
        <v>2782311.6365793319</v>
      </c>
      <c r="N122" s="2">
        <f>G122+L122</f>
        <v>4620690.0729743317</v>
      </c>
    </row>
    <row r="123" spans="1:35" x14ac:dyDescent="0.2">
      <c r="C123" s="5" t="s">
        <v>22</v>
      </c>
      <c r="D123" s="4">
        <v>1216132.9809999999</v>
      </c>
      <c r="E123" s="4">
        <v>360990.76</v>
      </c>
      <c r="F123" s="4">
        <v>72789.047000000006</v>
      </c>
      <c r="G123" s="4">
        <f>SUM(D123:F123)</f>
        <v>1649912.7879999999</v>
      </c>
      <c r="I123" s="4">
        <v>1618501.5970000001</v>
      </c>
      <c r="J123" s="4">
        <v>224215.30100000001</v>
      </c>
      <c r="K123" s="4">
        <v>663624.39800000004</v>
      </c>
      <c r="L123" s="4">
        <f>SUM(I123:K123)</f>
        <v>2506341.2960000001</v>
      </c>
      <c r="N123" s="2">
        <f>G123+L123</f>
        <v>4156254.0839999998</v>
      </c>
    </row>
    <row r="124" spans="1:35" s="3" customFormat="1" x14ac:dyDescent="0.2">
      <c r="A124" s="7"/>
      <c r="B124" s="7"/>
      <c r="C124" s="7" t="s">
        <v>23</v>
      </c>
      <c r="D124" s="7">
        <f>(D122/D123)-1</f>
        <v>0.12952976007744677</v>
      </c>
      <c r="E124" s="7">
        <f>(E122/E123)-1</f>
        <v>5.5064284424343857E-2</v>
      </c>
      <c r="F124" s="7">
        <f>(F122/F123)-1</f>
        <v>0.15198079541555232</v>
      </c>
      <c r="G124" s="7">
        <f>(G122/G123)-1</f>
        <v>0.11422764267646879</v>
      </c>
      <c r="H124" s="7"/>
      <c r="I124" s="7">
        <f>(I122/I123)-1</f>
        <v>8.8324391874677666E-2</v>
      </c>
      <c r="J124" s="7">
        <f>(J122/J123)-1</f>
        <v>0.21797691937001118</v>
      </c>
      <c r="K124" s="7">
        <f>(K122/K123)-1</f>
        <v>0.12679372690651447</v>
      </c>
      <c r="L124" s="7">
        <f>(L122/L123)-1</f>
        <v>0.11010884312514313</v>
      </c>
      <c r="N124" s="7">
        <f>(N122/N123)-1</f>
        <v>0.11174388754581543</v>
      </c>
    </row>
    <row r="126" spans="1:35" x14ac:dyDescent="0.2">
      <c r="A126" s="5" t="s">
        <v>12</v>
      </c>
      <c r="C126" s="5" t="s">
        <v>21</v>
      </c>
      <c r="D126" s="4">
        <f>1138459.29058474-922.34575</f>
        <v>1137536.9448347399</v>
      </c>
      <c r="E126" s="4">
        <v>329004.95919899992</v>
      </c>
      <c r="F126" s="4">
        <v>76888.188168299981</v>
      </c>
      <c r="G126" s="4">
        <f>SUM(D126:F126)</f>
        <v>1543430.0922020399</v>
      </c>
      <c r="I126" s="4">
        <f>1629719.94399886-14733.297</f>
        <v>1614986.6469988599</v>
      </c>
      <c r="J126" s="4">
        <v>248772.72364249983</v>
      </c>
      <c r="K126" s="4">
        <f>81743.066519+616481.863251632-87.72</f>
        <v>698137.20977063198</v>
      </c>
      <c r="L126" s="4">
        <f>SUM(I126:K126)</f>
        <v>2561896.580411992</v>
      </c>
      <c r="N126" s="2">
        <f>G126+L126</f>
        <v>4105326.6726140319</v>
      </c>
    </row>
    <row r="127" spans="1:35" x14ac:dyDescent="0.2">
      <c r="C127" s="5" t="s">
        <v>22</v>
      </c>
      <c r="D127" s="4">
        <v>1015528.853</v>
      </c>
      <c r="E127" s="4">
        <v>293801.66499999998</v>
      </c>
      <c r="F127" s="4">
        <v>68062.596999999994</v>
      </c>
      <c r="G127" s="4">
        <f>SUM(D127:F127)</f>
        <v>1377393.115</v>
      </c>
      <c r="I127" s="4">
        <v>1485481.865</v>
      </c>
      <c r="J127" s="4">
        <v>238090.50700000001</v>
      </c>
      <c r="K127" s="4">
        <v>691376.78599999996</v>
      </c>
      <c r="L127" s="4">
        <f>SUM(I127:K127)</f>
        <v>2414949.1579999998</v>
      </c>
      <c r="N127" s="2">
        <f>G127+L127</f>
        <v>3792342.273</v>
      </c>
    </row>
    <row r="128" spans="1:35" s="3" customFormat="1" x14ac:dyDescent="0.2">
      <c r="A128" s="7"/>
      <c r="B128" s="7"/>
      <c r="C128" s="7" t="s">
        <v>23</v>
      </c>
      <c r="D128" s="7">
        <f>(D126/D127)-1</f>
        <v>0.12014241788828817</v>
      </c>
      <c r="E128" s="7">
        <f>(E126/E127)-1</f>
        <v>0.11981992749768766</v>
      </c>
      <c r="F128" s="7">
        <f>(F126/F127)-1</f>
        <v>0.12966873962067571</v>
      </c>
      <c r="G128" s="7">
        <f>(G126/G127)-1</f>
        <v>0.12054436412805791</v>
      </c>
      <c r="H128" s="7"/>
      <c r="I128" s="7">
        <f>(I126/I127)-1</f>
        <v>8.7180318420689629E-2</v>
      </c>
      <c r="J128" s="7">
        <f>(J126/J127)-1</f>
        <v>4.4866201416841056E-2</v>
      </c>
      <c r="K128" s="7">
        <f>(K126/K127)-1</f>
        <v>9.7782047467125377E-3</v>
      </c>
      <c r="L128" s="7">
        <f>(L126/L127)-1</f>
        <v>6.0849074989922425E-2</v>
      </c>
      <c r="N128" s="7">
        <f>(N126/N127)-1</f>
        <v>8.2530630698172791E-2</v>
      </c>
    </row>
    <row r="130" spans="1:14" x14ac:dyDescent="0.2">
      <c r="A130" s="5" t="s">
        <v>13</v>
      </c>
      <c r="C130" s="5" t="s">
        <v>21</v>
      </c>
      <c r="D130" s="4">
        <f>1151017.82576745-923.252757</f>
        <v>1150094.57301045</v>
      </c>
      <c r="E130" s="4">
        <v>338908.9780730994</v>
      </c>
      <c r="F130" s="4">
        <v>86426.961722199921</v>
      </c>
      <c r="G130" s="4">
        <f>SUM(D130:F130)</f>
        <v>1575430.5128057492</v>
      </c>
      <c r="I130" s="4">
        <f>1823956.32355474-16695.203</f>
        <v>1807261.1205547401</v>
      </c>
      <c r="J130" s="4">
        <v>311230.15851850022</v>
      </c>
      <c r="K130" s="4">
        <f>88036.8124071001+613705.120123077-80.04</f>
        <v>701661.89253017702</v>
      </c>
      <c r="L130" s="4">
        <f>SUM(I130:K130)</f>
        <v>2820153.171603417</v>
      </c>
      <c r="N130" s="2">
        <f>G130+L130</f>
        <v>4395583.6844091658</v>
      </c>
    </row>
    <row r="131" spans="1:14" x14ac:dyDescent="0.2">
      <c r="C131" s="5" t="s">
        <v>22</v>
      </c>
      <c r="D131" s="4">
        <v>1084184.385</v>
      </c>
      <c r="E131" s="4">
        <v>309850.32500000001</v>
      </c>
      <c r="F131" s="4">
        <v>65914.343999999997</v>
      </c>
      <c r="G131" s="4">
        <f>SUM(D131:F131)</f>
        <v>1459949.054</v>
      </c>
      <c r="I131" s="4">
        <v>1686652.4709999999</v>
      </c>
      <c r="J131" s="4">
        <v>295737.01299999998</v>
      </c>
      <c r="K131" s="4">
        <v>642687.85</v>
      </c>
      <c r="L131" s="4">
        <f>SUM(I131:K131)</f>
        <v>2625077.3339999998</v>
      </c>
      <c r="N131" s="2">
        <f>G131+L131</f>
        <v>4085026.3879999998</v>
      </c>
    </row>
    <row r="132" spans="1:14" s="3" customFormat="1" x14ac:dyDescent="0.2">
      <c r="A132" s="7"/>
      <c r="B132" s="7"/>
      <c r="C132" s="7" t="s">
        <v>23</v>
      </c>
      <c r="D132" s="7">
        <f>(D130/D131)-1</f>
        <v>6.0792415867942928E-2</v>
      </c>
      <c r="E132" s="7">
        <f>(E130/E131)-1</f>
        <v>9.3782871046203864E-2</v>
      </c>
      <c r="F132" s="7">
        <f>(F130/F131)-1</f>
        <v>0.31120112068778116</v>
      </c>
      <c r="G132" s="7">
        <f>(G130/G131)-1</f>
        <v>7.9099649737331967E-2</v>
      </c>
      <c r="H132" s="7"/>
      <c r="I132" s="7">
        <f>(I130/I131)-1</f>
        <v>7.1507706316780606E-2</v>
      </c>
      <c r="J132" s="7">
        <f>(J130/J131)-1</f>
        <v>5.2388253202855672E-2</v>
      </c>
      <c r="K132" s="7">
        <f>(K130/K131)-1</f>
        <v>9.176156438958194E-2</v>
      </c>
      <c r="L132" s="7">
        <f>(L130/L131)-1</f>
        <v>7.4312415515076502E-2</v>
      </c>
      <c r="N132" s="7">
        <f>(N130/N131)-1</f>
        <v>7.6023326880199749E-2</v>
      </c>
    </row>
    <row r="134" spans="1:14" x14ac:dyDescent="0.2">
      <c r="A134" s="5" t="s">
        <v>14</v>
      </c>
      <c r="C134" s="5" t="s">
        <v>21</v>
      </c>
      <c r="D134" s="4">
        <f>1155906.0567414-913.91517</f>
        <v>1154992.1415714</v>
      </c>
      <c r="E134" s="4">
        <v>350401.52836619964</v>
      </c>
      <c r="F134" s="4">
        <v>92700.005194300087</v>
      </c>
      <c r="G134" s="4">
        <f>SUM(D134:F134)</f>
        <v>1598093.6751318998</v>
      </c>
      <c r="I134" s="4">
        <f>1999409.98481972-19200.293</f>
        <v>1980209.69181972</v>
      </c>
      <c r="J134" s="4">
        <v>386311.55624090013</v>
      </c>
      <c r="K134" s="4">
        <f>86618.8249050001+609371.863577668-73.2</f>
        <v>695917.48848266806</v>
      </c>
      <c r="L134" s="4">
        <f>SUM(I134:K134)</f>
        <v>3062438.736543288</v>
      </c>
      <c r="N134" s="2">
        <f>G134+L134</f>
        <v>4660532.4116751878</v>
      </c>
    </row>
    <row r="135" spans="1:14" x14ac:dyDescent="0.2">
      <c r="C135" s="5" t="s">
        <v>22</v>
      </c>
      <c r="D135" s="4">
        <v>1058221.433</v>
      </c>
      <c r="E135" s="4">
        <v>318114.79499999998</v>
      </c>
      <c r="F135" s="4">
        <v>81108.998000000007</v>
      </c>
      <c r="G135" s="4">
        <f>SUM(D135:F135)</f>
        <v>1457445.2259999998</v>
      </c>
      <c r="I135" s="4">
        <v>1853521.36</v>
      </c>
      <c r="J135" s="4">
        <v>339571.75699999998</v>
      </c>
      <c r="K135" s="4">
        <v>639513.61400000006</v>
      </c>
      <c r="L135" s="4">
        <f>SUM(I135:K135)</f>
        <v>2832606.7310000001</v>
      </c>
      <c r="N135" s="2">
        <f>G135+L135</f>
        <v>4290051.9570000004</v>
      </c>
    </row>
    <row r="136" spans="1:14" s="3" customFormat="1" x14ac:dyDescent="0.2">
      <c r="A136" s="7"/>
      <c r="B136" s="7"/>
      <c r="C136" s="7" t="s">
        <v>23</v>
      </c>
      <c r="D136" s="7">
        <f>(D134/D135)-1</f>
        <v>9.1446558871010941E-2</v>
      </c>
      <c r="E136" s="7">
        <f>(E134/E135)-1</f>
        <v>0.10149396970423719</v>
      </c>
      <c r="F136" s="7">
        <f>(F134/F135)-1</f>
        <v>0.14290655143218611</v>
      </c>
      <c r="G136" s="7">
        <f>(G134/G135)-1</f>
        <v>9.6503420247163296E-2</v>
      </c>
      <c r="H136" s="7"/>
      <c r="I136" s="7">
        <f>(I134/I135)-1</f>
        <v>6.8350079234975603E-2</v>
      </c>
      <c r="J136" s="7">
        <f>(J134/J135)-1</f>
        <v>0.13764336484821427</v>
      </c>
      <c r="K136" s="7">
        <f>(K134/K135)-1</f>
        <v>8.8198082492529917E-2</v>
      </c>
      <c r="L136" s="7">
        <f>(L134/L135)-1</f>
        <v>8.1137986091754266E-2</v>
      </c>
      <c r="N136" s="7">
        <f>(N134/N135)-1</f>
        <v>8.6358034445406018E-2</v>
      </c>
    </row>
    <row r="138" spans="1:14" x14ac:dyDescent="0.2">
      <c r="A138" s="5" t="s">
        <v>15</v>
      </c>
      <c r="C138" s="5" t="s">
        <v>21</v>
      </c>
      <c r="D138" s="4">
        <f>1330745.49249146-915.703947</f>
        <v>1329829.78854446</v>
      </c>
      <c r="E138" s="4">
        <v>413215.74455649994</v>
      </c>
      <c r="F138" s="4">
        <v>92227.950450300006</v>
      </c>
      <c r="G138" s="4">
        <f>SUM(D138:F138)</f>
        <v>1835273.4835512599</v>
      </c>
      <c r="I138" s="4">
        <f>2325592.19476762-21526.554</f>
        <v>2304065.6407676199</v>
      </c>
      <c r="J138" s="4">
        <v>451549.00322369993</v>
      </c>
      <c r="K138" s="4">
        <f>88578.8850168999+663306.573304601-64.08</f>
        <v>751821.37832150096</v>
      </c>
      <c r="L138" s="4">
        <f>SUM(I138:K138)</f>
        <v>3507436.0223128209</v>
      </c>
      <c r="N138" s="2">
        <f>G138+L138</f>
        <v>5342709.505864081</v>
      </c>
    </row>
    <row r="139" spans="1:14" x14ac:dyDescent="0.2">
      <c r="C139" s="5" t="s">
        <v>22</v>
      </c>
      <c r="D139" s="4">
        <v>1205192.1910000001</v>
      </c>
      <c r="E139" s="4">
        <v>394699.00900000002</v>
      </c>
      <c r="F139" s="4">
        <v>85693.72</v>
      </c>
      <c r="G139" s="4">
        <f>SUM(D139:F139)</f>
        <v>1685584.9200000002</v>
      </c>
      <c r="I139" s="4">
        <v>2149006.588</v>
      </c>
      <c r="J139" s="4">
        <v>427107.86599999998</v>
      </c>
      <c r="K139" s="4">
        <v>725478.33400000003</v>
      </c>
      <c r="L139" s="4">
        <f>SUM(I139:K139)</f>
        <v>3301592.7879999997</v>
      </c>
      <c r="N139" s="2">
        <f>G139+L139</f>
        <v>4987177.7079999996</v>
      </c>
    </row>
    <row r="140" spans="1:14" s="3" customFormat="1" x14ac:dyDescent="0.2">
      <c r="A140" s="7"/>
      <c r="B140" s="7"/>
      <c r="C140" s="7" t="s">
        <v>23</v>
      </c>
      <c r="D140" s="7">
        <f>(D138/D139)-1</f>
        <v>0.10341719642328795</v>
      </c>
      <c r="E140" s="7">
        <f>(E138/E139)-1</f>
        <v>4.6913559786768921E-2</v>
      </c>
      <c r="F140" s="7">
        <f>(F138/F139)-1</f>
        <v>7.6250983739531986E-2</v>
      </c>
      <c r="G140" s="7">
        <f>(G138/G139)-1</f>
        <v>8.8805115527053724E-2</v>
      </c>
      <c r="H140" s="7"/>
      <c r="I140" s="7">
        <f>(I138/I139)-1</f>
        <v>7.2153828486830163E-2</v>
      </c>
      <c r="J140" s="7">
        <f>(J138/J139)-1</f>
        <v>5.7224741498205001E-2</v>
      </c>
      <c r="K140" s="7">
        <f>(K138/K139)-1</f>
        <v>3.6311276418491856E-2</v>
      </c>
      <c r="L140" s="7">
        <f>(L138/L139)-1</f>
        <v>6.2346645249826471E-2</v>
      </c>
      <c r="N140" s="7">
        <f>(N138/N139)-1</f>
        <v>7.1289177703406814E-2</v>
      </c>
    </row>
    <row r="142" spans="1:14" x14ac:dyDescent="0.2">
      <c r="A142" s="5" t="s">
        <v>16</v>
      </c>
      <c r="C142" s="5" t="s">
        <v>21</v>
      </c>
      <c r="D142" s="4">
        <f>1302141.0590983-916.435857</f>
        <v>1301224.6232413</v>
      </c>
      <c r="E142" s="4">
        <v>392338.05398749956</v>
      </c>
      <c r="F142" s="4">
        <v>82536.07905719991</v>
      </c>
      <c r="G142" s="4">
        <f>SUM(D142:F142)</f>
        <v>1776098.7562859994</v>
      </c>
      <c r="I142" s="4">
        <f>2191124.11914439-20986.576</f>
        <v>2170137.54314439</v>
      </c>
      <c r="J142" s="4">
        <v>373430.26973340032</v>
      </c>
      <c r="K142" s="4">
        <f>89674.2056115+660340.19764906-81.48</f>
        <v>749932.92326056003</v>
      </c>
      <c r="L142" s="4">
        <f>SUM(I142:K142)</f>
        <v>3293500.7361383503</v>
      </c>
      <c r="N142" s="2">
        <f>G142+L142</f>
        <v>5069599.4924243502</v>
      </c>
    </row>
    <row r="143" spans="1:14" x14ac:dyDescent="0.2">
      <c r="C143" s="5" t="s">
        <v>22</v>
      </c>
      <c r="D143" s="4">
        <v>1185253.8640000001</v>
      </c>
      <c r="E143" s="4">
        <v>348521.51299999998</v>
      </c>
      <c r="F143" s="4">
        <v>85082.240999999995</v>
      </c>
      <c r="G143" s="4">
        <f>SUM(D143:F143)</f>
        <v>1618857.618</v>
      </c>
      <c r="I143" s="4">
        <v>2015834.727</v>
      </c>
      <c r="J143" s="4">
        <v>339028.89799999999</v>
      </c>
      <c r="K143" s="4">
        <v>717425.88300000003</v>
      </c>
      <c r="L143" s="4">
        <f>SUM(I143:K143)</f>
        <v>3072289.5079999999</v>
      </c>
      <c r="N143" s="2">
        <f>G143+L143</f>
        <v>4691147.1260000002</v>
      </c>
    </row>
    <row r="144" spans="1:14" s="3" customFormat="1" x14ac:dyDescent="0.2">
      <c r="A144" s="7"/>
      <c r="B144" s="7"/>
      <c r="C144" s="7" t="s">
        <v>23</v>
      </c>
      <c r="D144" s="7">
        <f>(D142/D143)-1</f>
        <v>9.7844658232052684E-2</v>
      </c>
      <c r="E144" s="7">
        <f>(E142/E143)-1</f>
        <v>0.12572119468418452</v>
      </c>
      <c r="F144" s="7">
        <f>(F142/F143)-1</f>
        <v>-2.9925891853272657E-2</v>
      </c>
      <c r="G144" s="7">
        <f>(G142/G143)-1</f>
        <v>9.7130925251018185E-2</v>
      </c>
      <c r="H144" s="7"/>
      <c r="I144" s="7">
        <f>(I142/I143)-1</f>
        <v>7.6545370549313985E-2</v>
      </c>
      <c r="J144" s="7">
        <f>(J142/J143)-1</f>
        <v>0.10147032284368973</v>
      </c>
      <c r="K144" s="7">
        <f>(K142/K143)-1</f>
        <v>4.5310660001041558E-2</v>
      </c>
      <c r="L144" s="7">
        <f>(L142/L143)-1</f>
        <v>7.2002077786723406E-2</v>
      </c>
      <c r="N144" s="7">
        <f>(N142/N143)-1</f>
        <v>8.0673736350504344E-2</v>
      </c>
    </row>
    <row r="146" spans="1:14" x14ac:dyDescent="0.2">
      <c r="A146" s="5" t="s">
        <v>17</v>
      </c>
      <c r="C146" s="5" t="s">
        <v>21</v>
      </c>
      <c r="D146" s="4">
        <f>1197335.5619001-915.19506</f>
        <v>1196420.3668400999</v>
      </c>
      <c r="E146" s="4">
        <v>360833.69025609957</v>
      </c>
      <c r="F146" s="4">
        <v>70077.873257400002</v>
      </c>
      <c r="G146" s="4">
        <f>SUM(D146:F146)</f>
        <v>1627331.9303535996</v>
      </c>
      <c r="I146" s="4">
        <f>1817284.14987229-16797.92</f>
        <v>1800486.22987229</v>
      </c>
      <c r="J146" s="4">
        <v>286305.63561409991</v>
      </c>
      <c r="K146" s="4">
        <f>87149.4030580001+598622.956277124-75.48</f>
        <v>685696.87933512416</v>
      </c>
      <c r="L146" s="4">
        <f>SUM(I146:K146)</f>
        <v>2772488.744821514</v>
      </c>
      <c r="N146" s="2">
        <f>G146+L146</f>
        <v>4399820.6751751136</v>
      </c>
    </row>
    <row r="147" spans="1:14" x14ac:dyDescent="0.2">
      <c r="C147" s="5" t="s">
        <v>22</v>
      </c>
      <c r="D147" s="4">
        <v>1095773.7309999999</v>
      </c>
      <c r="E147" s="4">
        <v>301139.20000000001</v>
      </c>
      <c r="F147" s="4">
        <v>58109.889000000003</v>
      </c>
      <c r="G147" s="4">
        <f>SUM(D147:F147)</f>
        <v>1455022.8199999998</v>
      </c>
      <c r="I147" s="4">
        <v>1633105.175</v>
      </c>
      <c r="J147" s="4">
        <v>311724.55499999999</v>
      </c>
      <c r="K147" s="4">
        <v>625719.0290000001</v>
      </c>
      <c r="L147" s="4">
        <f>SUM(I147:K147)</f>
        <v>2570548.7590000001</v>
      </c>
      <c r="N147" s="2">
        <f>G147+L147</f>
        <v>4025571.5789999999</v>
      </c>
    </row>
    <row r="148" spans="1:14" s="3" customFormat="1" x14ac:dyDescent="0.2">
      <c r="A148" s="7"/>
      <c r="B148" s="7"/>
      <c r="C148" s="7" t="s">
        <v>23</v>
      </c>
      <c r="D148" s="7">
        <f>(D146/D147)-1</f>
        <v>9.1849834498450855E-2</v>
      </c>
      <c r="E148" s="7">
        <f>(E146/E147)-1</f>
        <v>0.19822889300396485</v>
      </c>
      <c r="F148" s="7">
        <f>(F146/F147)-1</f>
        <v>0.20595434724371953</v>
      </c>
      <c r="G148" s="7">
        <f>(G146/G147)-1</f>
        <v>0.11842364805907302</v>
      </c>
      <c r="H148" s="7"/>
      <c r="I148" s="7">
        <f>(I146/I147)-1</f>
        <v>0.10249251391435332</v>
      </c>
      <c r="J148" s="7">
        <f>(J146/J147)-1</f>
        <v>-8.1542884505521496E-2</v>
      </c>
      <c r="K148" s="7">
        <f>(K146/K147)-1</f>
        <v>9.5854285318728971E-2</v>
      </c>
      <c r="L148" s="7">
        <f>(L146/L147)-1</f>
        <v>7.855909564620478E-2</v>
      </c>
      <c r="N148" s="7">
        <f>(N146/N147)-1</f>
        <v>9.296793978957929E-2</v>
      </c>
    </row>
    <row r="150" spans="1:14" x14ac:dyDescent="0.2">
      <c r="A150" s="5" t="s">
        <v>18</v>
      </c>
      <c r="C150" s="5" t="s">
        <v>21</v>
      </c>
      <c r="D150" s="4">
        <f>1233242.146872-918.357881</f>
        <v>1232323.788991</v>
      </c>
      <c r="E150" s="4">
        <v>375092.26105749968</v>
      </c>
      <c r="F150" s="4">
        <v>74519.716020200096</v>
      </c>
      <c r="G150" s="4">
        <f>SUM(D150:F150)</f>
        <v>1681935.7660687</v>
      </c>
      <c r="I150" s="4">
        <f>1759336.33126171-15461.238</f>
        <v>1743875.0932617101</v>
      </c>
      <c r="J150" s="4">
        <v>258105.90314059993</v>
      </c>
      <c r="K150" s="4">
        <f>670286.245771541+89501.1121512-68.52</f>
        <v>759718.83792274096</v>
      </c>
      <c r="L150" s="4">
        <f>SUM(I150:K150)</f>
        <v>2761699.8343250509</v>
      </c>
      <c r="N150" s="2">
        <f>G150+L150</f>
        <v>4443635.6003937507</v>
      </c>
    </row>
    <row r="151" spans="1:14" x14ac:dyDescent="0.2">
      <c r="C151" s="5" t="s">
        <v>22</v>
      </c>
      <c r="D151" s="4">
        <v>1109274.6229999999</v>
      </c>
      <c r="E151" s="4">
        <v>349398.913</v>
      </c>
      <c r="F151" s="4">
        <v>64276.377999999997</v>
      </c>
      <c r="G151" s="4">
        <f>SUM(D151:F151)</f>
        <v>1522949.9139999999</v>
      </c>
      <c r="I151" s="4">
        <v>1627911.62</v>
      </c>
      <c r="J151" s="4">
        <v>223278.209</v>
      </c>
      <c r="K151" s="4">
        <v>717642.31599999999</v>
      </c>
      <c r="L151" s="4">
        <f>SUM(I151:K151)</f>
        <v>2568832.145</v>
      </c>
      <c r="N151" s="2">
        <f>G151+L151</f>
        <v>4091782.0589999999</v>
      </c>
    </row>
    <row r="152" spans="1:14" s="3" customFormat="1" x14ac:dyDescent="0.2">
      <c r="A152" s="7"/>
      <c r="B152" s="7"/>
      <c r="C152" s="7" t="s">
        <v>23</v>
      </c>
      <c r="D152" s="7">
        <f>(D150/D151)-1</f>
        <v>0.11092759488017245</v>
      </c>
      <c r="E152" s="7">
        <f>(E150/E151)-1</f>
        <v>7.3535855726888588E-2</v>
      </c>
      <c r="F152" s="7">
        <f>(F150/F151)-1</f>
        <v>0.15936395825228522</v>
      </c>
      <c r="G152" s="7">
        <f>(G150/G151)-1</f>
        <v>0.10439335568897778</v>
      </c>
      <c r="H152" s="7"/>
      <c r="I152" s="7">
        <f>(I150/I151)-1</f>
        <v>7.1234501822470042E-2</v>
      </c>
      <c r="J152" s="7">
        <f>(J150/J151)-1</f>
        <v>0.15598339979787235</v>
      </c>
      <c r="K152" s="7">
        <f>(K150/K151)-1</f>
        <v>5.8631606560308969E-2</v>
      </c>
      <c r="L152" s="7">
        <f>(L150/L151)-1</f>
        <v>7.5079911196397342E-2</v>
      </c>
      <c r="N152" s="7">
        <f>(N150/N151)-1</f>
        <v>8.5990293793834383E-2</v>
      </c>
    </row>
    <row r="154" spans="1:14" x14ac:dyDescent="0.2">
      <c r="A154" s="5" t="s">
        <v>19</v>
      </c>
      <c r="C154" s="5" t="s">
        <v>21</v>
      </c>
      <c r="D154" s="4">
        <f>1324952.326838-917.70696</f>
        <v>1324034.6198779999</v>
      </c>
      <c r="E154" s="4">
        <v>403362.26972120034</v>
      </c>
      <c r="F154" s="4">
        <v>79344.251174899982</v>
      </c>
      <c r="G154" s="4">
        <f>SUM(D154:F154)</f>
        <v>1806741.1407741003</v>
      </c>
      <c r="I154" s="4">
        <f>1878664.64037192-15218.145</f>
        <v>1863446.4953719201</v>
      </c>
      <c r="J154" s="4">
        <v>237261.47704909989</v>
      </c>
      <c r="K154" s="4">
        <f>653763.400372332+87542.1120333999-89.16</f>
        <v>741216.3524057318</v>
      </c>
      <c r="L154" s="4">
        <f>SUM(I154:K154)</f>
        <v>2841924.3248267518</v>
      </c>
      <c r="N154" s="2">
        <f>G154+L154</f>
        <v>4648665.4656008519</v>
      </c>
    </row>
    <row r="155" spans="1:14" x14ac:dyDescent="0.2">
      <c r="C155" s="5" t="s">
        <v>22</v>
      </c>
      <c r="D155" s="4">
        <v>1168059.3810000001</v>
      </c>
      <c r="E155" s="4">
        <v>374115.10800000001</v>
      </c>
      <c r="F155" s="4">
        <v>62750.050999999999</v>
      </c>
      <c r="G155" s="4">
        <f>SUM(D155:F155)</f>
        <v>1604924.54</v>
      </c>
      <c r="I155" s="4">
        <v>1690824.4790000001</v>
      </c>
      <c r="J155" s="4">
        <v>244018.83600000001</v>
      </c>
      <c r="K155" s="4">
        <v>710951.92299999995</v>
      </c>
      <c r="L155" s="4">
        <f>SUM(I155:K155)</f>
        <v>2645795.2379999999</v>
      </c>
      <c r="N155" s="2">
        <f>G155+L155</f>
        <v>4250719.7779999999</v>
      </c>
    </row>
    <row r="156" spans="1:14" s="3" customFormat="1" x14ac:dyDescent="0.2">
      <c r="A156" s="7"/>
      <c r="B156" s="7"/>
      <c r="C156" s="7" t="s">
        <v>23</v>
      </c>
      <c r="D156" s="7">
        <f>(D154/D155)-1</f>
        <v>0.13353365540754125</v>
      </c>
      <c r="E156" s="7">
        <f>(E154/E155)-1</f>
        <v>7.8176906240312372E-2</v>
      </c>
      <c r="F156" s="7">
        <f>(F154/F155)-1</f>
        <v>0.26444919024687308</v>
      </c>
      <c r="G156" s="7">
        <f>(G154/G155)-1</f>
        <v>0.12574834251964284</v>
      </c>
      <c r="H156" s="7"/>
      <c r="I156" s="7">
        <f>(I154/I155)-1</f>
        <v>0.1020933979344878</v>
      </c>
      <c r="J156" s="7">
        <f>(J154/J155)-1</f>
        <v>-2.7691956332830503E-2</v>
      </c>
      <c r="K156" s="7">
        <f>(K154/K155)-1</f>
        <v>4.2568883248849332E-2</v>
      </c>
      <c r="L156" s="7">
        <f>(L154/L155)-1</f>
        <v>7.4128596200440988E-2</v>
      </c>
      <c r="N156" s="7">
        <f>(N154/N155)-1</f>
        <v>9.3618424263217204E-2</v>
      </c>
    </row>
    <row r="158" spans="1:14" x14ac:dyDescent="0.2">
      <c r="A158" s="5" t="s">
        <v>20</v>
      </c>
      <c r="C158" s="5" t="s">
        <v>21</v>
      </c>
      <c r="D158" s="4">
        <f>1477569.647483-922.961295</f>
        <v>1476646.686188</v>
      </c>
      <c r="E158" s="4">
        <v>465709.7524509005</v>
      </c>
      <c r="F158" s="4">
        <v>90290.793495999955</v>
      </c>
      <c r="G158" s="4">
        <f>SUM(D158:F158)</f>
        <v>2032647.2321349003</v>
      </c>
      <c r="I158" s="4">
        <f>2091210.78811427-16874.744</f>
        <v>2074336.04411427</v>
      </c>
      <c r="J158" s="4">
        <v>296754.70140980021</v>
      </c>
      <c r="K158" s="4">
        <f>707915.16890404+101395.6111883-103.44</f>
        <v>809207.34009234002</v>
      </c>
      <c r="L158" s="4">
        <f>SUM(I158:K158)</f>
        <v>3180298.0856164102</v>
      </c>
      <c r="N158" s="2">
        <f>G158+L158</f>
        <v>5212945.3177513108</v>
      </c>
    </row>
    <row r="159" spans="1:14" x14ac:dyDescent="0.2">
      <c r="C159" s="5" t="s">
        <v>22</v>
      </c>
      <c r="D159" s="4">
        <v>1305951.75</v>
      </c>
      <c r="E159" s="4">
        <v>416439.91899999999</v>
      </c>
      <c r="F159" s="4">
        <v>72294.285000000003</v>
      </c>
      <c r="G159" s="4">
        <f>SUM(D159:F159)</f>
        <v>1794685.9539999999</v>
      </c>
      <c r="I159" s="4">
        <v>2039497.45</v>
      </c>
      <c r="J159" s="4">
        <v>210393.95199999999</v>
      </c>
      <c r="K159" s="4">
        <v>770703.45700000005</v>
      </c>
      <c r="L159" s="4">
        <f>SUM(I159:K159)</f>
        <v>3020594.8589999997</v>
      </c>
      <c r="N159" s="2">
        <f>G159+L159</f>
        <v>4815280.8129999992</v>
      </c>
    </row>
    <row r="160" spans="1:14" s="3" customFormat="1" x14ac:dyDescent="0.2">
      <c r="A160" s="7"/>
      <c r="B160" s="7"/>
      <c r="C160" s="7" t="s">
        <v>23</v>
      </c>
      <c r="D160" s="7">
        <f>(D158/D159)-1</f>
        <v>0.13070539259049974</v>
      </c>
      <c r="E160" s="7">
        <f>(E158/E159)-1</f>
        <v>0.11831198500185214</v>
      </c>
      <c r="F160" s="7">
        <f>(F158/F159)-1</f>
        <v>0.24893404085813908</v>
      </c>
      <c r="G160" s="7">
        <f>(G158/G159)-1</f>
        <v>0.13259215496980503</v>
      </c>
      <c r="H160" s="7"/>
      <c r="I160" s="7">
        <f>(I158/I159)-1</f>
        <v>1.7081950317844319E-2</v>
      </c>
      <c r="J160" s="7">
        <f>(J158/J159)-1</f>
        <v>0.41047163470649672</v>
      </c>
      <c r="K160" s="7">
        <f>(K158/K159)-1</f>
        <v>4.9959401041508533E-2</v>
      </c>
      <c r="L160" s="7">
        <f>(L158/L159)-1</f>
        <v>5.2871448860666526E-2</v>
      </c>
      <c r="N160" s="7">
        <f>(N158/N159)-1</f>
        <v>8.2583865862551953E-2</v>
      </c>
    </row>
    <row r="162" spans="1:14" x14ac:dyDescent="0.2">
      <c r="A162" s="5" t="s">
        <v>45</v>
      </c>
      <c r="C162" s="5" t="s">
        <v>21</v>
      </c>
      <c r="D162" s="4">
        <f t="shared" ref="D162:G163" si="31">D114+D118+D122+D126+D130+D134+D138+D142+D146+D150+D154+D158</f>
        <v>15377465.287940148</v>
      </c>
      <c r="E162" s="4">
        <f t="shared" si="31"/>
        <v>4637218.3075148985</v>
      </c>
      <c r="F162" s="4">
        <f t="shared" si="31"/>
        <v>991346.26152249984</v>
      </c>
      <c r="G162" s="4">
        <f t="shared" si="31"/>
        <v>21006029.856977548</v>
      </c>
      <c r="I162" s="4">
        <f t="shared" ref="I162:L163" si="32">I114+I118+I122+I126+I130+I134+I138+I142+I146+I150+I154+I158</f>
        <v>22754110.797839351</v>
      </c>
      <c r="J162" s="4">
        <f t="shared" si="32"/>
        <v>3677995.1437772997</v>
      </c>
      <c r="K162" s="4">
        <f t="shared" si="32"/>
        <v>8817367.4289937299</v>
      </c>
      <c r="L162" s="4">
        <f t="shared" si="32"/>
        <v>35249473.370610386</v>
      </c>
      <c r="N162" s="4">
        <f>N114+N118+N122+N126+N130+N134+N138+N142+N146+N150+N154+N158</f>
        <v>56255503.227587931</v>
      </c>
    </row>
    <row r="163" spans="1:14" x14ac:dyDescent="0.2">
      <c r="C163" s="5" t="s">
        <v>22</v>
      </c>
      <c r="D163" s="4">
        <f t="shared" si="31"/>
        <v>13912003.487</v>
      </c>
      <c r="E163" s="4">
        <f t="shared" si="31"/>
        <v>4166044.9740000004</v>
      </c>
      <c r="F163" s="4">
        <f t="shared" si="31"/>
        <v>851205.03800000006</v>
      </c>
      <c r="G163" s="4">
        <f t="shared" si="31"/>
        <v>18929253.498999998</v>
      </c>
      <c r="I163" s="4">
        <f t="shared" si="32"/>
        <v>21227143.886999998</v>
      </c>
      <c r="J163" s="4">
        <f t="shared" si="32"/>
        <v>3331579.0430000001</v>
      </c>
      <c r="K163" s="4">
        <f t="shared" si="32"/>
        <v>8309359.6600000001</v>
      </c>
      <c r="L163" s="4">
        <f t="shared" si="32"/>
        <v>32868082.59</v>
      </c>
      <c r="N163" s="4">
        <f>N115+N119+N123+N127+N131+N135+N139+N143+N147+N151+N155+N159</f>
        <v>51797336.088999994</v>
      </c>
    </row>
    <row r="164" spans="1:14" x14ac:dyDescent="0.2">
      <c r="C164" s="5" t="s">
        <v>23</v>
      </c>
      <c r="D164" s="7">
        <f>(D162/D163)-1</f>
        <v>0.10533794088748905</v>
      </c>
      <c r="E164" s="7">
        <f>(E162/E163)-1</f>
        <v>0.11309847504178627</v>
      </c>
      <c r="F164" s="7">
        <f>(F162/F163)-1</f>
        <v>0.1646386208565882</v>
      </c>
      <c r="G164" s="7">
        <f>(G162/G163)-1</f>
        <v>0.10971253346505527</v>
      </c>
      <c r="I164" s="7">
        <f>(I162/I163)-1</f>
        <v>7.1934637978993576E-2</v>
      </c>
      <c r="J164" s="7">
        <f>(J162/J163)-1</f>
        <v>0.10397955333077169</v>
      </c>
      <c r="K164" s="7">
        <f>(K162/K163)-1</f>
        <v>6.1136813157721681E-2</v>
      </c>
      <c r="L164" s="7">
        <f>(L162/L163)-1</f>
        <v>7.2452987608559782E-2</v>
      </c>
      <c r="N164" s="7">
        <f>(N162/N163)-1</f>
        <v>8.6069428955337646E-2</v>
      </c>
    </row>
    <row r="166" spans="1:14" x14ac:dyDescent="0.2">
      <c r="D166" s="43" t="s">
        <v>7</v>
      </c>
      <c r="E166" s="43"/>
      <c r="F166" s="43"/>
      <c r="G166" s="43"/>
      <c r="H166" s="6"/>
      <c r="I166" s="43" t="s">
        <v>8</v>
      </c>
      <c r="J166" s="43"/>
      <c r="K166" s="43"/>
      <c r="L166" s="43"/>
      <c r="N166" s="11" t="s">
        <v>24</v>
      </c>
    </row>
    <row r="167" spans="1:14" x14ac:dyDescent="0.2">
      <c r="D167" s="6" t="s">
        <v>0</v>
      </c>
      <c r="E167" s="6" t="s">
        <v>1</v>
      </c>
      <c r="F167" s="6" t="s">
        <v>2</v>
      </c>
      <c r="G167" s="6" t="s">
        <v>24</v>
      </c>
      <c r="H167" s="6"/>
      <c r="I167" s="6" t="s">
        <v>3</v>
      </c>
      <c r="J167" s="6" t="s">
        <v>4</v>
      </c>
      <c r="K167" s="6" t="s">
        <v>25</v>
      </c>
      <c r="L167" s="6" t="s">
        <v>24</v>
      </c>
      <c r="N167" s="6" t="s">
        <v>49</v>
      </c>
    </row>
    <row r="168" spans="1:14" x14ac:dyDescent="0.2">
      <c r="A168" s="5">
        <v>2005</v>
      </c>
    </row>
    <row r="169" spans="1:14" x14ac:dyDescent="0.2">
      <c r="A169" s="5" t="s">
        <v>9</v>
      </c>
      <c r="C169" s="5" t="s">
        <v>21</v>
      </c>
      <c r="D169" s="4">
        <f>1368206.5942479-921.961</f>
        <v>1367284.6332479001</v>
      </c>
      <c r="E169" s="4">
        <v>442586.23097129987</v>
      </c>
      <c r="F169" s="4">
        <v>88372.842168300063</v>
      </c>
      <c r="G169" s="4">
        <f>SUM(D169:F169)</f>
        <v>1898243.7063874998</v>
      </c>
      <c r="I169" s="4">
        <f>1887851.23738044-15485.9</f>
        <v>1872365.3373804402</v>
      </c>
      <c r="J169" s="4">
        <v>282026.16632760008</v>
      </c>
      <c r="K169" s="4">
        <f>640434.261642797+101389.8336632-113.088</f>
        <v>741711.00730599707</v>
      </c>
      <c r="L169" s="4">
        <f>SUM(I169:K169)</f>
        <v>2896102.5110140373</v>
      </c>
      <c r="N169" s="2">
        <f>G169+L169</f>
        <v>4794346.2174015371</v>
      </c>
    </row>
    <row r="170" spans="1:14" x14ac:dyDescent="0.2">
      <c r="C170" s="5" t="s">
        <v>22</v>
      </c>
      <c r="D170" s="4">
        <v>1212115.5279999999</v>
      </c>
      <c r="E170" s="4">
        <v>429297.875</v>
      </c>
      <c r="F170" s="4">
        <v>65103.697999999997</v>
      </c>
      <c r="G170" s="4">
        <f>SUM(D170:F170)</f>
        <v>1706517.101</v>
      </c>
      <c r="I170" s="4">
        <v>1740928.2390000001</v>
      </c>
      <c r="J170" s="4">
        <v>270041.71000000002</v>
      </c>
      <c r="K170" s="4">
        <v>724584.755</v>
      </c>
      <c r="L170" s="4">
        <f>SUM(I170:K170)</f>
        <v>2735554.7039999999</v>
      </c>
      <c r="N170" s="2">
        <f>G170+L170</f>
        <v>4442071.8049999997</v>
      </c>
    </row>
    <row r="171" spans="1:14" s="3" customFormat="1" x14ac:dyDescent="0.2">
      <c r="A171" s="7"/>
      <c r="B171" s="7"/>
      <c r="C171" s="7" t="s">
        <v>23</v>
      </c>
      <c r="D171" s="7">
        <f>(D169/D170)-1</f>
        <v>0.12801511214358441</v>
      </c>
      <c r="E171" s="7">
        <f>(E169/E170)-1</f>
        <v>3.0953696128358077E-2</v>
      </c>
      <c r="F171" s="7">
        <f>(F169/F170)-1</f>
        <v>0.35741662736731272</v>
      </c>
      <c r="G171" s="7">
        <f>(G169/G170)-1</f>
        <v>0.1123496537334141</v>
      </c>
      <c r="H171" s="7"/>
      <c r="I171" s="7">
        <f>(I169/I170)-1</f>
        <v>7.5498286164821238E-2</v>
      </c>
      <c r="J171" s="7">
        <f>(J169/J170)-1</f>
        <v>4.4380019396263126E-2</v>
      </c>
      <c r="K171" s="7">
        <f>(K169/K170)-1</f>
        <v>2.3635954507484902E-2</v>
      </c>
      <c r="L171" s="7">
        <f>(L169/L170)-1</f>
        <v>5.8689305967553951E-2</v>
      </c>
      <c r="N171" s="7">
        <f>(N169/N170)-1</f>
        <v>7.930407878706891E-2</v>
      </c>
    </row>
    <row r="173" spans="1:14" x14ac:dyDescent="0.2">
      <c r="A173" s="5" t="s">
        <v>10</v>
      </c>
      <c r="C173" s="5" t="s">
        <v>21</v>
      </c>
      <c r="D173" s="4">
        <f>1172982.8992943-924</f>
        <v>1172058.8992943</v>
      </c>
      <c r="E173" s="4">
        <v>368360.87133830012</v>
      </c>
      <c r="F173" s="4">
        <v>69599.847748699947</v>
      </c>
      <c r="G173" s="4">
        <f>SUM(D173:F173)</f>
        <v>1610019.6183813</v>
      </c>
      <c r="I173" s="4">
        <f>1686613.55022222-13456.885</f>
        <v>1673156.6652222199</v>
      </c>
      <c r="J173" s="4">
        <v>251888.55461779973</v>
      </c>
      <c r="K173" s="4">
        <f>593580.463178925+91685.4380731-94.08</f>
        <v>685171.82125202508</v>
      </c>
      <c r="L173" s="4">
        <f>SUM(I173:K173)</f>
        <v>2610217.0410920447</v>
      </c>
      <c r="N173" s="2">
        <f>G173+L173</f>
        <v>4220236.6594733447</v>
      </c>
    </row>
    <row r="174" spans="1:14" x14ac:dyDescent="0.2">
      <c r="C174" s="5" t="s">
        <v>22</v>
      </c>
      <c r="D174" s="4">
        <v>1094890.5689999999</v>
      </c>
      <c r="E174" s="4">
        <v>297323.57199999999</v>
      </c>
      <c r="F174" s="4">
        <v>68887.351999999999</v>
      </c>
      <c r="G174" s="4">
        <f>SUM(D174:F174)</f>
        <v>1461101.4929999998</v>
      </c>
      <c r="I174" s="4">
        <v>1621550.1470000001</v>
      </c>
      <c r="J174" s="4">
        <v>246426.03</v>
      </c>
      <c r="K174" s="4">
        <v>594868.80000000005</v>
      </c>
      <c r="L174" s="4">
        <f>SUM(I174:K174)</f>
        <v>2462844.977</v>
      </c>
      <c r="N174" s="2">
        <f>G174+L174</f>
        <v>3923946.4699999997</v>
      </c>
    </row>
    <row r="175" spans="1:14" s="3" customFormat="1" x14ac:dyDescent="0.2">
      <c r="A175" s="7"/>
      <c r="B175" s="7"/>
      <c r="C175" s="7" t="s">
        <v>23</v>
      </c>
      <c r="D175" s="7">
        <f>(D173/D174)-1</f>
        <v>7.0480404598589619E-2</v>
      </c>
      <c r="E175" s="7">
        <f>(E173/E174)-1</f>
        <v>0.23892252760336175</v>
      </c>
      <c r="F175" s="7">
        <f>(F173/F174)-1</f>
        <v>1.0342910970071006E-2</v>
      </c>
      <c r="G175" s="7">
        <f>(G173/G174)-1</f>
        <v>0.10192182137569028</v>
      </c>
      <c r="H175" s="7"/>
      <c r="I175" s="7">
        <f>(I173/I174)-1</f>
        <v>3.1825422308212836E-2</v>
      </c>
      <c r="J175" s="7">
        <f>(J173/J174)-1</f>
        <v>2.2166995174169424E-2</v>
      </c>
      <c r="K175" s="7">
        <f>(K173/K174)-1</f>
        <v>0.15180325687281804</v>
      </c>
      <c r="L175" s="7">
        <f>(L173/L174)-1</f>
        <v>5.9838140633422743E-2</v>
      </c>
      <c r="N175" s="7">
        <f>(N173/N174)-1</f>
        <v>7.5508213921517964E-2</v>
      </c>
    </row>
    <row r="177" spans="1:14" x14ac:dyDescent="0.2">
      <c r="A177" s="5" t="s">
        <v>11</v>
      </c>
      <c r="C177" s="5" t="s">
        <v>21</v>
      </c>
      <c r="D177" s="4">
        <f>1195726.5891082-838.214</f>
        <v>1194888.3751082001</v>
      </c>
      <c r="E177" s="4">
        <v>360237.14354339993</v>
      </c>
      <c r="F177" s="4">
        <v>69870.278709599996</v>
      </c>
      <c r="G177" s="4">
        <f>SUM(D177:F177)</f>
        <v>1624995.7973612</v>
      </c>
      <c r="I177" s="4">
        <f>1688564.38572225-14755.221</f>
        <v>1673809.1647222501</v>
      </c>
      <c r="J177" s="4">
        <v>265524.22178639978</v>
      </c>
      <c r="K177" s="4">
        <f>645248.93228355+95583.9833308-84.834</f>
        <v>740748.08161434997</v>
      </c>
      <c r="L177" s="4">
        <f>SUM(I177:K177)</f>
        <v>2680081.4681230001</v>
      </c>
      <c r="N177" s="2">
        <f>G177+L177</f>
        <v>4305077.2654841999</v>
      </c>
    </row>
    <row r="178" spans="1:14" x14ac:dyDescent="0.2">
      <c r="C178" s="5" t="s">
        <v>22</v>
      </c>
      <c r="D178" s="4">
        <v>1083983.662</v>
      </c>
      <c r="E178" s="4">
        <v>366403.91499999998</v>
      </c>
      <c r="F178" s="4">
        <v>61177.381000000001</v>
      </c>
      <c r="G178" s="4">
        <f>SUM(D178:F178)</f>
        <v>1511564.9580000001</v>
      </c>
      <c r="I178" s="4">
        <v>1533308.0589999999</v>
      </c>
      <c r="J178" s="4">
        <v>230950.682</v>
      </c>
      <c r="K178" s="4">
        <v>660676.55700000003</v>
      </c>
      <c r="L178" s="4">
        <f>SUM(I178:K178)</f>
        <v>2424935.298</v>
      </c>
      <c r="N178" s="2">
        <f>G178+L178</f>
        <v>3936500.2560000001</v>
      </c>
    </row>
    <row r="179" spans="1:14" s="3" customFormat="1" x14ac:dyDescent="0.2">
      <c r="A179" s="7"/>
      <c r="B179" s="7"/>
      <c r="C179" s="7" t="s">
        <v>23</v>
      </c>
      <c r="D179" s="7">
        <f>(D177/D178)-1</f>
        <v>0.10231216299291424</v>
      </c>
      <c r="E179" s="7">
        <f>(E177/E178)-1</f>
        <v>-1.6830528288978686E-2</v>
      </c>
      <c r="F179" s="7">
        <f>(F177/F178)-1</f>
        <v>0.14209332873533764</v>
      </c>
      <c r="G179" s="7">
        <f>(G177/G178)-1</f>
        <v>7.5041987948228028E-2</v>
      </c>
      <c r="H179" s="7"/>
      <c r="I179" s="7">
        <f>(I177/I178)-1</f>
        <v>9.1632666310958344E-2</v>
      </c>
      <c r="J179" s="7">
        <f>(J177/J178)-1</f>
        <v>0.14970096423616441</v>
      </c>
      <c r="K179" s="7">
        <f>(K177/K178)-1</f>
        <v>0.12119625521138322</v>
      </c>
      <c r="L179" s="7">
        <f>(L177/L178)-1</f>
        <v>0.10521772285365127</v>
      </c>
      <c r="N179" s="7">
        <f>(N177/N178)-1</f>
        <v>9.3630632672363268E-2</v>
      </c>
    </row>
    <row r="181" spans="1:14" x14ac:dyDescent="0.2">
      <c r="A181" s="5" t="s">
        <v>12</v>
      </c>
      <c r="C181" s="5" t="s">
        <v>21</v>
      </c>
      <c r="D181" s="4">
        <f>1114620.2492172-920.147</f>
        <v>1113700.1022172</v>
      </c>
      <c r="E181" s="4">
        <v>336257.76518009993</v>
      </c>
      <c r="F181" s="4">
        <v>68486.976105900001</v>
      </c>
      <c r="G181" s="4">
        <f>SUM(D181:F181)</f>
        <v>1518444.8435032</v>
      </c>
      <c r="I181" s="4">
        <f>1628442.80324778-14693.374</f>
        <v>1613749.42924778</v>
      </c>
      <c r="J181" s="4">
        <v>224777.58092869993</v>
      </c>
      <c r="K181" s="4">
        <f>606110.76500743+84449.0486999-79.809</f>
        <v>690480.00470733002</v>
      </c>
      <c r="L181" s="4">
        <f>SUM(I181:K181)</f>
        <v>2529007.0148838097</v>
      </c>
      <c r="N181" s="2">
        <f>G181+L181</f>
        <v>4047451.8583870097</v>
      </c>
    </row>
    <row r="182" spans="1:14" x14ac:dyDescent="0.2">
      <c r="C182" s="5" t="s">
        <v>22</v>
      </c>
      <c r="D182" s="4">
        <v>997678.86300000001</v>
      </c>
      <c r="E182" s="4">
        <v>319123</v>
      </c>
      <c r="F182" s="4">
        <v>59254.512000000002</v>
      </c>
      <c r="G182" s="4">
        <f>SUM(D182:F182)</f>
        <v>1376056.375</v>
      </c>
      <c r="I182" s="4">
        <v>1430654.682</v>
      </c>
      <c r="J182" s="4">
        <v>209963.96299999999</v>
      </c>
      <c r="K182" s="4">
        <v>645053.88400000008</v>
      </c>
      <c r="L182" s="4">
        <f>SUM(I182:K182)</f>
        <v>2285672.5290000001</v>
      </c>
      <c r="N182" s="2">
        <f>G182+L182</f>
        <v>3661728.9040000001</v>
      </c>
    </row>
    <row r="183" spans="1:14" s="3" customFormat="1" x14ac:dyDescent="0.2">
      <c r="A183" s="7"/>
      <c r="B183" s="7"/>
      <c r="C183" s="7" t="s">
        <v>23</v>
      </c>
      <c r="D183" s="7">
        <f>(D181/D182)-1</f>
        <v>0.11629116694757524</v>
      </c>
      <c r="E183" s="7">
        <f>(E181/E182)-1</f>
        <v>5.3693294372702427E-2</v>
      </c>
      <c r="F183" s="7">
        <f>(F181/F182)-1</f>
        <v>0.15581031375129717</v>
      </c>
      <c r="G183" s="7">
        <f>(G181/G182)-1</f>
        <v>0.10347575222214278</v>
      </c>
      <c r="H183" s="7"/>
      <c r="I183" s="7">
        <f>(I181/I182)-1</f>
        <v>0.12797969317922386</v>
      </c>
      <c r="J183" s="7">
        <f>(J181/J182)-1</f>
        <v>7.0553145011365226E-2</v>
      </c>
      <c r="K183" s="7">
        <f>(K181/K182)-1</f>
        <v>7.0422210971959665E-2</v>
      </c>
      <c r="L183" s="7">
        <f>(L181/L182)-1</f>
        <v>0.10646078245962487</v>
      </c>
      <c r="N183" s="7">
        <f>(N181/N182)-1</f>
        <v>0.10533902549848895</v>
      </c>
    </row>
    <row r="185" spans="1:14" x14ac:dyDescent="0.2">
      <c r="A185" s="5" t="s">
        <v>13</v>
      </c>
      <c r="C185" s="5" t="s">
        <v>21</v>
      </c>
      <c r="D185" s="4">
        <f>1079502.2250167-916.002</f>
        <v>1078586.2230167</v>
      </c>
      <c r="E185" s="4">
        <v>336753.02678899973</v>
      </c>
      <c r="F185" s="4">
        <v>66493.100822000066</v>
      </c>
      <c r="G185" s="4">
        <f>SUM(D185:F185)</f>
        <v>1481832.3506276999</v>
      </c>
      <c r="I185" s="4">
        <f>1719555.64932079-15679.232</f>
        <v>1703876.41732079</v>
      </c>
      <c r="J185" s="4">
        <v>275274.1157509</v>
      </c>
      <c r="K185" s="4">
        <f>604774.964207369+90559.1392348001-75.144</f>
        <v>695258.95944216917</v>
      </c>
      <c r="L185" s="4">
        <f>SUM(I185:K185)</f>
        <v>2674409.4925138592</v>
      </c>
      <c r="N185" s="2">
        <f>G185+L185</f>
        <v>4156241.843141559</v>
      </c>
    </row>
    <row r="186" spans="1:14" x14ac:dyDescent="0.2">
      <c r="C186" s="5" t="s">
        <v>22</v>
      </c>
      <c r="D186" s="4">
        <v>984499.04</v>
      </c>
      <c r="E186" s="4">
        <v>304524.24200000003</v>
      </c>
      <c r="F186" s="4">
        <v>66167.327999999994</v>
      </c>
      <c r="G186" s="4">
        <f>SUM(D186:F186)</f>
        <v>1355190.61</v>
      </c>
      <c r="I186" s="4">
        <v>1634036.0649999999</v>
      </c>
      <c r="J186" s="4">
        <v>233884.65599999999</v>
      </c>
      <c r="K186" s="4">
        <v>648745.88299999991</v>
      </c>
      <c r="L186" s="4">
        <f>SUM(I186:K186)</f>
        <v>2516666.6039999998</v>
      </c>
      <c r="N186" s="2">
        <f>G186+L186</f>
        <v>3871857.2139999997</v>
      </c>
    </row>
    <row r="187" spans="1:14" s="3" customFormat="1" x14ac:dyDescent="0.2">
      <c r="A187" s="7"/>
      <c r="B187" s="7"/>
      <c r="C187" s="7" t="s">
        <v>23</v>
      </c>
      <c r="D187" s="7">
        <f>(D185/D186)-1</f>
        <v>9.5568587874600652E-2</v>
      </c>
      <c r="E187" s="7">
        <f>(E185/E186)-1</f>
        <v>0.10583323211752615</v>
      </c>
      <c r="F187" s="7">
        <f>(F185/F186)-1</f>
        <v>4.9234695105124793E-3</v>
      </c>
      <c r="G187" s="7">
        <f>(G185/G186)-1</f>
        <v>9.3449393534168479E-2</v>
      </c>
      <c r="H187" s="7"/>
      <c r="I187" s="7">
        <f>(I185/I186)-1</f>
        <v>4.2741010322064232E-2</v>
      </c>
      <c r="J187" s="7">
        <f>(J185/J186)-1</f>
        <v>0.17696526338564089</v>
      </c>
      <c r="K187" s="7">
        <f>(K185/K186)-1</f>
        <v>7.1696911935808405E-2</v>
      </c>
      <c r="L187" s="7">
        <f>(L185/L186)-1</f>
        <v>6.2679295009971492E-2</v>
      </c>
      <c r="N187" s="7">
        <f>(N185/N186)-1</f>
        <v>7.3449152027939224E-2</v>
      </c>
    </row>
    <row r="189" spans="1:14" x14ac:dyDescent="0.2">
      <c r="A189" s="5" t="s">
        <v>14</v>
      </c>
      <c r="C189" s="5" t="s">
        <v>21</v>
      </c>
      <c r="D189" s="4">
        <f>1110676.8072168-921.739</f>
        <v>1109755.0682168</v>
      </c>
      <c r="E189" s="4">
        <v>351784.09680800018</v>
      </c>
      <c r="F189" s="4">
        <v>75396.154196800024</v>
      </c>
      <c r="G189" s="4">
        <f>SUM(D189:F189)</f>
        <v>1536935.3192216002</v>
      </c>
      <c r="I189" s="4">
        <f>1785756.75951225-16741.774</f>
        <v>1769014.9855122501</v>
      </c>
      <c r="J189" s="4">
        <v>335368.3375231002</v>
      </c>
      <c r="K189" s="4">
        <f>612418.776627101+87528.1743833001-71.28</f>
        <v>699875.6710104011</v>
      </c>
      <c r="L189" s="4">
        <f>SUM(I189:K189)</f>
        <v>2804258.9940457512</v>
      </c>
      <c r="N189" s="2">
        <f>G189+L189</f>
        <v>4341194.3132673511</v>
      </c>
    </row>
    <row r="190" spans="1:14" x14ac:dyDescent="0.2">
      <c r="C190" s="5" t="s">
        <v>22</v>
      </c>
      <c r="D190" s="4">
        <v>1000163.84</v>
      </c>
      <c r="E190" s="4">
        <v>339153.68599999999</v>
      </c>
      <c r="F190" s="4">
        <v>65627.906000000003</v>
      </c>
      <c r="G190" s="4">
        <f>SUM(D190:F190)</f>
        <v>1404945.432</v>
      </c>
      <c r="I190" s="4">
        <v>1616281.1029999999</v>
      </c>
      <c r="J190" s="4">
        <v>312632.44799999997</v>
      </c>
      <c r="K190" s="4">
        <v>664767.69200000004</v>
      </c>
      <c r="L190" s="4">
        <f>SUM(I190:K190)</f>
        <v>2593681.2429999998</v>
      </c>
      <c r="N190" s="2">
        <f>G190+L190</f>
        <v>3998626.6749999998</v>
      </c>
    </row>
    <row r="191" spans="1:14" s="3" customFormat="1" x14ac:dyDescent="0.2">
      <c r="A191" s="7"/>
      <c r="B191" s="7"/>
      <c r="C191" s="7" t="s">
        <v>23</v>
      </c>
      <c r="D191" s="7">
        <f>(D189/D190)-1</f>
        <v>0.10957327573130415</v>
      </c>
      <c r="E191" s="7">
        <f>(E189/E190)-1</f>
        <v>3.7240965760873879E-2</v>
      </c>
      <c r="F191" s="7">
        <f>(F189/F190)-1</f>
        <v>0.14884290528483457</v>
      </c>
      <c r="G191" s="7">
        <f>(G189/G190)-1</f>
        <v>9.3946628968861079E-2</v>
      </c>
      <c r="H191" s="7"/>
      <c r="I191" s="7">
        <f>(I189/I190)-1</f>
        <v>9.4497103399129534E-2</v>
      </c>
      <c r="J191" s="7">
        <f>(J189/J190)-1</f>
        <v>7.2724023589196385E-2</v>
      </c>
      <c r="K191" s="7">
        <f>(K189/K190)-1</f>
        <v>5.281240263764353E-2</v>
      </c>
      <c r="L191" s="7">
        <f>(L189/L190)-1</f>
        <v>8.118875502302858E-2</v>
      </c>
      <c r="N191" s="7">
        <f>(N189/N190)-1</f>
        <v>8.5671323209324468E-2</v>
      </c>
    </row>
    <row r="193" spans="1:14" x14ac:dyDescent="0.2">
      <c r="A193" s="5" t="s">
        <v>15</v>
      </c>
      <c r="C193" s="5" t="s">
        <v>21</v>
      </c>
      <c r="D193" s="4">
        <f>1240979.5038222-918.976</f>
        <v>1240060.5278222</v>
      </c>
      <c r="E193" s="4">
        <v>397101.35070279997</v>
      </c>
      <c r="F193" s="4">
        <v>97510.740552300078</v>
      </c>
      <c r="G193" s="4">
        <f>SUM(D193:F193)</f>
        <v>1734672.6190773002</v>
      </c>
      <c r="I193" s="4">
        <f>2191104.45952141-21334.743</f>
        <v>2169769.7165214103</v>
      </c>
      <c r="J193" s="4">
        <v>469576.52463230013</v>
      </c>
      <c r="K193" s="4">
        <f>648253.832199705+92497.226048-61.752</f>
        <v>740689.30624770501</v>
      </c>
      <c r="L193" s="4">
        <f>SUM(I193:K193)</f>
        <v>3380035.5474014156</v>
      </c>
      <c r="N193" s="2">
        <f>G193+L193</f>
        <v>5114708.1664787158</v>
      </c>
    </row>
    <row r="194" spans="1:14" x14ac:dyDescent="0.2">
      <c r="C194" s="5" t="s">
        <v>22</v>
      </c>
      <c r="D194" s="4">
        <v>1160933.2830000001</v>
      </c>
      <c r="E194" s="4">
        <v>365273.16899999999</v>
      </c>
      <c r="F194" s="4">
        <v>95912.817999999999</v>
      </c>
      <c r="G194" s="4">
        <f>SUM(D194:F194)</f>
        <v>1622119.27</v>
      </c>
      <c r="I194" s="4">
        <v>2095203.0930000001</v>
      </c>
      <c r="J194" s="4">
        <v>370898.24</v>
      </c>
      <c r="K194" s="4">
        <v>655715.20899999992</v>
      </c>
      <c r="L194" s="4">
        <f>SUM(I194:K194)</f>
        <v>3121816.5419999999</v>
      </c>
      <c r="N194" s="2">
        <f>G194+L194</f>
        <v>4743935.8119999999</v>
      </c>
    </row>
    <row r="195" spans="1:14" s="3" customFormat="1" x14ac:dyDescent="0.2">
      <c r="A195" s="7"/>
      <c r="B195" s="7"/>
      <c r="C195" s="7" t="s">
        <v>23</v>
      </c>
      <c r="D195" s="7">
        <f>(D193/D194)-1</f>
        <v>6.8158305030005639E-2</v>
      </c>
      <c r="E195" s="7">
        <f>(E193/E194)-1</f>
        <v>8.7135285052376776E-2</v>
      </c>
      <c r="F195" s="7">
        <f>(F193/F194)-1</f>
        <v>1.6660156438111029E-2</v>
      </c>
      <c r="G195" s="7">
        <f>(G193/G194)-1</f>
        <v>6.938660501659677E-2</v>
      </c>
      <c r="H195" s="7"/>
      <c r="I195" s="7">
        <f>(I193/I194)-1</f>
        <v>3.5589210311179231E-2</v>
      </c>
      <c r="J195" s="7">
        <f>(J193/J194)-1</f>
        <v>0.26605217817237459</v>
      </c>
      <c r="K195" s="7">
        <f>(K193/K194)-1</f>
        <v>0.12958994405100821</v>
      </c>
      <c r="L195" s="7">
        <f>(L193/L194)-1</f>
        <v>8.2714343372652932E-2</v>
      </c>
      <c r="N195" s="7">
        <f>(N193/N194)-1</f>
        <v>7.8157118724252239E-2</v>
      </c>
    </row>
    <row r="197" spans="1:14" x14ac:dyDescent="0.2">
      <c r="A197" s="5" t="s">
        <v>16</v>
      </c>
      <c r="C197" s="5" t="s">
        <v>21</v>
      </c>
      <c r="D197" s="4">
        <f>1266095.8847191-922.058</f>
        <v>1265173.8267191001</v>
      </c>
      <c r="E197" s="4">
        <v>421840.7703965003</v>
      </c>
      <c r="F197" s="4">
        <v>95319.275594099992</v>
      </c>
      <c r="G197" s="4">
        <f>SUM(D197:F197)</f>
        <v>1782333.8727097004</v>
      </c>
      <c r="I197" s="4">
        <f>2099546.29897935-20687.864</f>
        <v>2078858.4349793498</v>
      </c>
      <c r="J197" s="4">
        <v>359597.66596279992</v>
      </c>
      <c r="K197" s="4">
        <f>643347.923530186+90792.7363266-78.864</f>
        <v>734061.79585678596</v>
      </c>
      <c r="L197" s="4">
        <f>SUM(I197:K197)</f>
        <v>3172517.8967989357</v>
      </c>
      <c r="N197" s="2">
        <f>G197+L197</f>
        <v>4954851.7695086356</v>
      </c>
    </row>
    <row r="198" spans="1:14" x14ac:dyDescent="0.2">
      <c r="C198" s="5" t="s">
        <v>22</v>
      </c>
      <c r="D198" s="4">
        <v>1172625.5049999999</v>
      </c>
      <c r="E198" s="4">
        <v>404986.06599999999</v>
      </c>
      <c r="F198" s="4">
        <v>74075.812999999995</v>
      </c>
      <c r="G198" s="4">
        <f>SUM(D198:F198)</f>
        <v>1651687.3840000001</v>
      </c>
      <c r="I198" s="4">
        <v>1917692.108</v>
      </c>
      <c r="J198" s="4">
        <v>349086.75300000003</v>
      </c>
      <c r="K198" s="4">
        <v>696538.18400000001</v>
      </c>
      <c r="L198" s="4">
        <f>SUM(I198:K198)</f>
        <v>2963317.0449999999</v>
      </c>
      <c r="N198" s="2">
        <f>G198+L198</f>
        <v>4615004.4289999995</v>
      </c>
    </row>
    <row r="199" spans="1:14" s="3" customFormat="1" x14ac:dyDescent="0.2">
      <c r="A199" s="7"/>
      <c r="B199" s="7"/>
      <c r="C199" s="7" t="s">
        <v>23</v>
      </c>
      <c r="D199" s="7">
        <f>(D197/D198)-1</f>
        <v>7.8924022481585254E-2</v>
      </c>
      <c r="E199" s="7">
        <f>(E197/E198)-1</f>
        <v>4.1617985929669699E-2</v>
      </c>
      <c r="F199" s="7">
        <f>(F197/F198)-1</f>
        <v>0.28678001271616149</v>
      </c>
      <c r="G199" s="7">
        <f>(G197/G198)-1</f>
        <v>7.9098799188805913E-2</v>
      </c>
      <c r="H199" s="7"/>
      <c r="I199" s="7">
        <f>(I197/I198)-1</f>
        <v>8.404181584051762E-2</v>
      </c>
      <c r="J199" s="7">
        <f>(J197/J198)-1</f>
        <v>3.0109744561976903E-2</v>
      </c>
      <c r="K199" s="7">
        <f>(K197/K198)-1</f>
        <v>5.3871579073095033E-2</v>
      </c>
      <c r="L199" s="7">
        <f>(L197/L198)-1</f>
        <v>7.0596850968720926E-2</v>
      </c>
      <c r="N199" s="7">
        <f>(N197/N198)-1</f>
        <v>7.3639656415730892E-2</v>
      </c>
    </row>
    <row r="201" spans="1:14" x14ac:dyDescent="0.2">
      <c r="A201" s="5" t="s">
        <v>17</v>
      </c>
      <c r="C201" s="5" t="s">
        <v>21</v>
      </c>
      <c r="D201" s="4">
        <f>1097035.8303415-923.21</f>
        <v>1096112.6203415</v>
      </c>
      <c r="E201" s="4">
        <v>372014.09035060013</v>
      </c>
      <c r="F201" s="4">
        <v>77430.545544799999</v>
      </c>
      <c r="G201" s="4">
        <f>SUM(D201:F201)</f>
        <v>1545557.2562369001</v>
      </c>
      <c r="I201" s="4">
        <f>1746874.64484079-16691.137</f>
        <v>1730183.5078407899</v>
      </c>
      <c r="J201" s="4">
        <v>269790.35436109989</v>
      </c>
      <c r="K201" s="4">
        <f>614313.415109619+85956.4449001-69.84</f>
        <v>700200.02000971907</v>
      </c>
      <c r="L201" s="4">
        <f>SUM(I201:K201)</f>
        <v>2700173.8822116088</v>
      </c>
      <c r="N201" s="2">
        <f>G201+L201</f>
        <v>4245731.1384485085</v>
      </c>
    </row>
    <row r="202" spans="1:14" x14ac:dyDescent="0.2">
      <c r="C202" s="5" t="s">
        <v>22</v>
      </c>
      <c r="D202" s="4">
        <v>1048947.83</v>
      </c>
      <c r="E202" s="4">
        <v>297151.69199999998</v>
      </c>
      <c r="F202" s="4">
        <v>68027.584000000003</v>
      </c>
      <c r="G202" s="4">
        <f>SUM(D202:F202)</f>
        <v>1414127.1060000001</v>
      </c>
      <c r="I202" s="4">
        <v>1512616.9709999999</v>
      </c>
      <c r="J202" s="4">
        <v>298620.22899999999</v>
      </c>
      <c r="K202" s="4">
        <v>651931.89500000002</v>
      </c>
      <c r="L202" s="4">
        <f>SUM(I202:K202)</f>
        <v>2463169.0949999997</v>
      </c>
      <c r="N202" s="2">
        <f>G202+L202</f>
        <v>3877296.2009999999</v>
      </c>
    </row>
    <row r="203" spans="1:14" s="3" customFormat="1" x14ac:dyDescent="0.2">
      <c r="A203" s="7"/>
      <c r="B203" s="7"/>
      <c r="C203" s="7" t="s">
        <v>23</v>
      </c>
      <c r="D203" s="7">
        <f>(D201/D202)-1</f>
        <v>4.4963904774463437E-2</v>
      </c>
      <c r="E203" s="7">
        <f>(E201/E202)-1</f>
        <v>0.25193327302541535</v>
      </c>
      <c r="F203" s="7">
        <f>(F201/F202)-1</f>
        <v>0.13822277658427495</v>
      </c>
      <c r="G203" s="7">
        <f>(G201/G202)-1</f>
        <v>9.2940832319283739E-2</v>
      </c>
      <c r="H203" s="7"/>
      <c r="I203" s="7">
        <f>(I201/I202)-1</f>
        <v>0.14383452057724533</v>
      </c>
      <c r="J203" s="7">
        <f>(J201/J202)-1</f>
        <v>-9.654360903627901E-2</v>
      </c>
      <c r="K203" s="7">
        <f>(K201/K202)-1</f>
        <v>7.4038600319929149E-2</v>
      </c>
      <c r="L203" s="7">
        <f>(L201/L202)-1</f>
        <v>9.6219454723066367E-2</v>
      </c>
      <c r="N203" s="7">
        <f>(N201/N202)-1</f>
        <v>9.5023675868117774E-2</v>
      </c>
    </row>
    <row r="205" spans="1:14" x14ac:dyDescent="0.2">
      <c r="A205" s="5" t="s">
        <v>18</v>
      </c>
      <c r="C205" s="5" t="s">
        <v>21</v>
      </c>
      <c r="D205" s="4">
        <f>1130323.0157343-921.059</f>
        <v>1129401.9567343001</v>
      </c>
      <c r="E205" s="4">
        <v>368071.33282069996</v>
      </c>
      <c r="F205" s="4">
        <v>69834.725662299883</v>
      </c>
      <c r="G205" s="4">
        <f>SUM(D205:F205)</f>
        <v>1567308.0152173</v>
      </c>
      <c r="I205" s="4">
        <f>1694042.20079993-15103.109</f>
        <v>1678939.09179993</v>
      </c>
      <c r="J205" s="4">
        <v>260451.84396370011</v>
      </c>
      <c r="K205" s="4">
        <f>649696.79423294+87083.8418856001-67.795</f>
        <v>736712.84111854003</v>
      </c>
      <c r="L205" s="4">
        <f>SUM(I205:K205)</f>
        <v>2676103.7768821702</v>
      </c>
      <c r="N205" s="2">
        <f>G205+L205</f>
        <v>4243411.7920994703</v>
      </c>
    </row>
    <row r="206" spans="1:14" x14ac:dyDescent="0.2">
      <c r="C206" s="5" t="s">
        <v>22</v>
      </c>
      <c r="D206" s="4">
        <v>982522.87199999997</v>
      </c>
      <c r="E206" s="4">
        <v>339478.83899999998</v>
      </c>
      <c r="F206" s="4">
        <v>58422.156999999999</v>
      </c>
      <c r="G206" s="4">
        <f>SUM(D206:F206)</f>
        <v>1380423.8679999998</v>
      </c>
      <c r="I206" s="4">
        <v>1543158.0619999999</v>
      </c>
      <c r="J206" s="4">
        <v>202158.424</v>
      </c>
      <c r="K206" s="4">
        <v>665421.91300000006</v>
      </c>
      <c r="L206" s="4">
        <f>SUM(I206:K206)</f>
        <v>2410738.3990000002</v>
      </c>
      <c r="N206" s="2">
        <f>G206+L206</f>
        <v>3791162.267</v>
      </c>
    </row>
    <row r="207" spans="1:14" s="3" customFormat="1" x14ac:dyDescent="0.2">
      <c r="A207" s="7"/>
      <c r="B207" s="7"/>
      <c r="C207" s="7" t="s">
        <v>23</v>
      </c>
      <c r="D207" s="7">
        <f>(D205/D206)-1</f>
        <v>0.14949177156081528</v>
      </c>
      <c r="E207" s="7">
        <f>(E205/E206)-1</f>
        <v>8.4224671867397349E-2</v>
      </c>
      <c r="F207" s="7">
        <f>(F205/F206)-1</f>
        <v>0.19534658164538299</v>
      </c>
      <c r="G207" s="7">
        <f>(G205/G206)-1</f>
        <v>0.13538171249390496</v>
      </c>
      <c r="H207" s="7"/>
      <c r="I207" s="7">
        <f>(I205/I206)-1</f>
        <v>8.7989061615601383E-2</v>
      </c>
      <c r="J207" s="7">
        <f>(J205/J206)-1</f>
        <v>0.28835513658189238</v>
      </c>
      <c r="K207" s="7">
        <f>(K205/K206)-1</f>
        <v>0.10713642987368832</v>
      </c>
      <c r="L207" s="7">
        <f>(L205/L206)-1</f>
        <v>0.11007638904007444</v>
      </c>
      <c r="N207" s="7">
        <f>(N205/N206)-1</f>
        <v>0.11929046905643048</v>
      </c>
    </row>
    <row r="209" spans="1:14" x14ac:dyDescent="0.2">
      <c r="A209" s="5" t="s">
        <v>19</v>
      </c>
      <c r="C209" s="5" t="s">
        <v>21</v>
      </c>
      <c r="D209" s="4">
        <f>1287010.193178-925.888</f>
        <v>1286084.3051779999</v>
      </c>
      <c r="E209" s="4">
        <v>409723.40129570023</v>
      </c>
      <c r="F209" s="4">
        <v>76257.846508100076</v>
      </c>
      <c r="G209" s="4">
        <f>SUM(D209:F209)</f>
        <v>1772065.5529818004</v>
      </c>
      <c r="I209" s="4">
        <f>1787058.17539118-15004.752</f>
        <v>1772053.4233911799</v>
      </c>
      <c r="J209" s="4">
        <v>244689.49816029976</v>
      </c>
      <c r="K209" s="4">
        <f>652055.430202452+91318.7311231001-79.2</f>
        <v>743294.96132555208</v>
      </c>
      <c r="L209" s="4">
        <f>SUM(I209:K209)</f>
        <v>2760037.8828770318</v>
      </c>
      <c r="N209" s="2">
        <f>G209+L209</f>
        <v>4532103.4358588327</v>
      </c>
    </row>
    <row r="210" spans="1:14" x14ac:dyDescent="0.2">
      <c r="C210" s="5" t="s">
        <v>22</v>
      </c>
      <c r="D210" s="4">
        <v>1180727.1680000001</v>
      </c>
      <c r="E210" s="4">
        <v>349864.60600000003</v>
      </c>
      <c r="F210" s="4">
        <v>62066.258999999998</v>
      </c>
      <c r="G210" s="4">
        <f>SUM(D210:F210)</f>
        <v>1592658.0330000003</v>
      </c>
      <c r="I210" s="4">
        <v>1620838.371</v>
      </c>
      <c r="J210" s="4">
        <v>235998.405</v>
      </c>
      <c r="K210" s="4">
        <v>690606.98700000008</v>
      </c>
      <c r="L210" s="4">
        <f>SUM(I210:K210)</f>
        <v>2547443.7630000003</v>
      </c>
      <c r="N210" s="2">
        <f>G210+L210</f>
        <v>4140101.7960000006</v>
      </c>
    </row>
    <row r="211" spans="1:14" s="3" customFormat="1" x14ac:dyDescent="0.2">
      <c r="A211" s="7"/>
      <c r="B211" s="7"/>
      <c r="C211" s="7" t="s">
        <v>23</v>
      </c>
      <c r="D211" s="7">
        <f>(D209/D210)-1</f>
        <v>8.9230721570048521E-2</v>
      </c>
      <c r="E211" s="7">
        <f>(E209/E210)-1</f>
        <v>0.1710913143803412</v>
      </c>
      <c r="F211" s="7">
        <f>(F209/F210)-1</f>
        <v>0.22865221356582932</v>
      </c>
      <c r="G211" s="7">
        <f>(G209/G210)-1</f>
        <v>0.11264660477294064</v>
      </c>
      <c r="H211" s="7"/>
      <c r="I211" s="7">
        <f>(I209/I210)-1</f>
        <v>9.3294343900487409E-2</v>
      </c>
      <c r="J211" s="7">
        <f>(J209/J210)-1</f>
        <v>3.6826914827241097E-2</v>
      </c>
      <c r="K211" s="7">
        <f>(K209/K210)-1</f>
        <v>7.6292269434499627E-2</v>
      </c>
      <c r="L211" s="7">
        <f>(L209/L210)-1</f>
        <v>8.3453901108564432E-2</v>
      </c>
      <c r="N211" s="7">
        <f>(N209/N210)-1</f>
        <v>9.468405830928317E-2</v>
      </c>
    </row>
    <row r="213" spans="1:14" x14ac:dyDescent="0.2">
      <c r="A213" s="5" t="s">
        <v>20</v>
      </c>
      <c r="C213" s="5" t="s">
        <v>21</v>
      </c>
      <c r="D213" s="4">
        <f>1440562.4572498-923.819</f>
        <v>1439638.6382498001</v>
      </c>
      <c r="E213" s="4">
        <v>483222.33214250003</v>
      </c>
      <c r="F213" s="4">
        <v>90535.437333400012</v>
      </c>
      <c r="G213" s="4">
        <f>SUM(D213:F213)</f>
        <v>2013396.4077257002</v>
      </c>
      <c r="I213" s="4">
        <f>1986765.39732253-16769.77</f>
        <v>1969995.6273225299</v>
      </c>
      <c r="J213" s="4">
        <v>280755.14490190014</v>
      </c>
      <c r="K213" s="4">
        <f>707287.613533888+98733.0079283002-109.368</f>
        <v>805911.25346218818</v>
      </c>
      <c r="L213" s="4">
        <f>SUM(I213:K213)</f>
        <v>3056662.0256866179</v>
      </c>
      <c r="N213" s="2">
        <f>G213+L213</f>
        <v>5070058.4334123181</v>
      </c>
    </row>
    <row r="214" spans="1:14" x14ac:dyDescent="0.2">
      <c r="C214" s="5" t="s">
        <v>22</v>
      </c>
      <c r="D214" s="4">
        <v>1287500.922</v>
      </c>
      <c r="E214" s="4">
        <v>431919.94699999999</v>
      </c>
      <c r="F214" s="4">
        <v>91951.563999999998</v>
      </c>
      <c r="G214" s="4">
        <f>SUM(D214:F214)</f>
        <v>1811372.433</v>
      </c>
      <c r="I214" s="4">
        <v>1857913.868</v>
      </c>
      <c r="J214" s="4">
        <v>260693.91</v>
      </c>
      <c r="K214" s="4">
        <v>713990.04200000002</v>
      </c>
      <c r="L214" s="4">
        <f>SUM(I214:K214)</f>
        <v>2832597.82</v>
      </c>
      <c r="N214" s="2">
        <f>G214+L214</f>
        <v>4643970.2529999996</v>
      </c>
    </row>
    <row r="215" spans="1:14" s="3" customFormat="1" x14ac:dyDescent="0.2">
      <c r="A215" s="7"/>
      <c r="B215" s="7"/>
      <c r="C215" s="7" t="s">
        <v>23</v>
      </c>
      <c r="D215" s="7">
        <f>(D213/D214)-1</f>
        <v>0.1181651318846979</v>
      </c>
      <c r="E215" s="7">
        <f>(E213/E214)-1</f>
        <v>0.11877753157461846</v>
      </c>
      <c r="F215" s="7">
        <f>(F213/F214)-1</f>
        <v>-1.5400789339482968E-2</v>
      </c>
      <c r="G215" s="7">
        <f>(G213/G214)-1</f>
        <v>0.11153088732343552</v>
      </c>
      <c r="H215" s="7"/>
      <c r="I215" s="7">
        <f>(I213/I214)-1</f>
        <v>6.0326671355967143E-2</v>
      </c>
      <c r="J215" s="7">
        <f>(J213/J214)-1</f>
        <v>7.6953216520862178E-2</v>
      </c>
      <c r="K215" s="7">
        <f>(K213/K214)-1</f>
        <v>0.12874298807403828</v>
      </c>
      <c r="L215" s="7">
        <f>(L213/L214)-1</f>
        <v>7.9102018685666575E-2</v>
      </c>
      <c r="N215" s="7">
        <f>(N213/N214)-1</f>
        <v>9.1750841887298096E-2</v>
      </c>
    </row>
    <row r="217" spans="1:14" x14ac:dyDescent="0.2">
      <c r="A217" s="5" t="s">
        <v>46</v>
      </c>
      <c r="C217" s="5" t="s">
        <v>21</v>
      </c>
      <c r="D217" s="4">
        <f t="shared" ref="D217:G218" si="33">D169+D173+D177+D181+D185+D189+D193+D197+D201+D205+D209+D213</f>
        <v>14492745.176145999</v>
      </c>
      <c r="E217" s="4">
        <f t="shared" si="33"/>
        <v>4647952.4123389004</v>
      </c>
      <c r="F217" s="4">
        <f t="shared" si="33"/>
        <v>945107.77094630012</v>
      </c>
      <c r="G217" s="4">
        <f t="shared" si="33"/>
        <v>20085805.359431203</v>
      </c>
      <c r="I217" s="4">
        <f t="shared" ref="I217:L218" si="34">I169+I173+I177+I181+I185+I189+I193+I197+I201+I205+I209+I213</f>
        <v>21705771.801260918</v>
      </c>
      <c r="J217" s="4">
        <f t="shared" si="34"/>
        <v>3519720.0089166001</v>
      </c>
      <c r="K217" s="4">
        <f t="shared" si="34"/>
        <v>8714115.7233527619</v>
      </c>
      <c r="L217" s="4">
        <f t="shared" si="34"/>
        <v>33939607.533530287</v>
      </c>
      <c r="N217" s="4">
        <f>N169+N173+N177+N181+N185+N189+N193+N197+N201+N205+N209+N213</f>
        <v>54025412.89296148</v>
      </c>
    </row>
    <row r="218" spans="1:14" x14ac:dyDescent="0.2">
      <c r="C218" s="5" t="s">
        <v>22</v>
      </c>
      <c r="D218" s="4">
        <f t="shared" si="33"/>
        <v>13206589.081999999</v>
      </c>
      <c r="E218" s="4">
        <f t="shared" si="33"/>
        <v>4244500.6090000002</v>
      </c>
      <c r="F218" s="4">
        <f t="shared" si="33"/>
        <v>836674.37199999997</v>
      </c>
      <c r="G218" s="4">
        <f t="shared" si="33"/>
        <v>18287764.062999997</v>
      </c>
      <c r="I218" s="4">
        <f t="shared" si="34"/>
        <v>20124180.767999999</v>
      </c>
      <c r="J218" s="4">
        <f t="shared" si="34"/>
        <v>3221355.4499999997</v>
      </c>
      <c r="K218" s="4">
        <f t="shared" si="34"/>
        <v>8012901.8010000009</v>
      </c>
      <c r="L218" s="4">
        <f t="shared" si="34"/>
        <v>31358438.019000001</v>
      </c>
      <c r="N218" s="4">
        <f>N170+N174+N178+N182+N186+N190+N194+N198+N202+N206+N210+N214</f>
        <v>49646202.081999995</v>
      </c>
    </row>
    <row r="219" spans="1:14" x14ac:dyDescent="0.2">
      <c r="C219" s="5" t="s">
        <v>23</v>
      </c>
      <c r="D219" s="7">
        <f>(D217/D218)-1</f>
        <v>9.7387454562281706E-2</v>
      </c>
      <c r="E219" s="7">
        <f>(E217/E218)-1</f>
        <v>9.5052832006532029E-2</v>
      </c>
      <c r="F219" s="7">
        <f>(F217/F218)-1</f>
        <v>0.12960047848376099</v>
      </c>
      <c r="G219" s="7">
        <f>(G217/G218)-1</f>
        <v>9.8319362073848282E-2</v>
      </c>
      <c r="I219" s="7">
        <f>(I217/I218)-1</f>
        <v>7.8591573564865236E-2</v>
      </c>
      <c r="J219" s="7">
        <f>(J217/J218)-1</f>
        <v>9.2620812433660715E-2</v>
      </c>
      <c r="K219" s="7">
        <f>(K217/K218)-1</f>
        <v>8.7510609735071299E-2</v>
      </c>
      <c r="L219" s="7">
        <f>(L217/L218)-1</f>
        <v>8.2311801147951336E-2</v>
      </c>
      <c r="N219" s="7">
        <f>(N217/N218)-1</f>
        <v>8.8208375007787998E-2</v>
      </c>
    </row>
    <row r="221" spans="1:14" x14ac:dyDescent="0.2">
      <c r="D221" s="43" t="s">
        <v>7</v>
      </c>
      <c r="E221" s="43"/>
      <c r="F221" s="43"/>
      <c r="G221" s="43"/>
      <c r="H221" s="6"/>
      <c r="I221" s="43" t="s">
        <v>8</v>
      </c>
      <c r="J221" s="43"/>
      <c r="K221" s="43"/>
      <c r="L221" s="43"/>
      <c r="N221" s="11" t="s">
        <v>24</v>
      </c>
    </row>
    <row r="222" spans="1:14" x14ac:dyDescent="0.2">
      <c r="D222" s="6" t="s">
        <v>0</v>
      </c>
      <c r="E222" s="6" t="s">
        <v>1</v>
      </c>
      <c r="F222" s="6" t="s">
        <v>2</v>
      </c>
      <c r="G222" s="6" t="s">
        <v>24</v>
      </c>
      <c r="H222" s="6"/>
      <c r="I222" s="6" t="s">
        <v>3</v>
      </c>
      <c r="J222" s="6" t="s">
        <v>4</v>
      </c>
      <c r="K222" s="6" t="s">
        <v>25</v>
      </c>
      <c r="L222" s="6" t="s">
        <v>24</v>
      </c>
      <c r="N222" s="6" t="s">
        <v>49</v>
      </c>
    </row>
    <row r="223" spans="1:14" x14ac:dyDescent="0.2">
      <c r="A223" s="5">
        <v>2004</v>
      </c>
    </row>
    <row r="224" spans="1:14" x14ac:dyDescent="0.2">
      <c r="A224" s="5" t="s">
        <v>9</v>
      </c>
      <c r="C224" s="5" t="s">
        <v>21</v>
      </c>
      <c r="D224" s="4">
        <f>1366898-930.183768</f>
        <v>1365967.816232</v>
      </c>
      <c r="E224" s="4">
        <v>454880</v>
      </c>
      <c r="F224" s="4">
        <v>78376</v>
      </c>
      <c r="G224" s="4">
        <f>SUM(D224:F224)</f>
        <v>1899223.816232</v>
      </c>
      <c r="I224" s="4">
        <f>1889190-15437.987</f>
        <v>1873752.013</v>
      </c>
      <c r="J224" s="4">
        <v>283133</v>
      </c>
      <c r="K224" s="4">
        <f>636828+108017-98.519736</f>
        <v>744746.48026400001</v>
      </c>
      <c r="L224" s="4">
        <f>SUM(I224:K224)</f>
        <v>2901631.4932640004</v>
      </c>
      <c r="N224" s="2">
        <f>G224+L224</f>
        <v>4800855.3094960004</v>
      </c>
    </row>
    <row r="225" spans="1:14" x14ac:dyDescent="0.2">
      <c r="C225" s="5" t="s">
        <v>22</v>
      </c>
      <c r="D225" s="4">
        <v>1292705.9380000001</v>
      </c>
      <c r="E225" s="4">
        <v>407288.37300000002</v>
      </c>
      <c r="F225" s="4">
        <v>71472.615999999995</v>
      </c>
      <c r="G225" s="4">
        <f>SUM(D225:F225)</f>
        <v>1771466.9270000001</v>
      </c>
      <c r="I225" s="4">
        <v>1744139.375</v>
      </c>
      <c r="J225" s="4">
        <v>272448.50900000002</v>
      </c>
      <c r="K225" s="4">
        <v>726930.55300000007</v>
      </c>
      <c r="L225" s="4">
        <f>SUM(I225:K225)</f>
        <v>2743518.4369999999</v>
      </c>
      <c r="N225" s="2">
        <f>G225+L225</f>
        <v>4514985.3640000001</v>
      </c>
    </row>
    <row r="226" spans="1:14" s="3" customFormat="1" x14ac:dyDescent="0.2">
      <c r="A226" s="7"/>
      <c r="B226" s="7"/>
      <c r="C226" s="7" t="s">
        <v>23</v>
      </c>
      <c r="D226" s="7">
        <f>(D224/D225)-1</f>
        <v>5.6673274314301025E-2</v>
      </c>
      <c r="E226" s="7">
        <f>(E224/E225)-1</f>
        <v>0.11684995240460738</v>
      </c>
      <c r="F226" s="7">
        <f>(F224/F225)-1</f>
        <v>9.6587817633539519E-2</v>
      </c>
      <c r="G226" s="7">
        <f>(G224/G225)-1</f>
        <v>7.2119263015741231E-2</v>
      </c>
      <c r="H226" s="7"/>
      <c r="I226" s="7">
        <f>(I224/I225)-1</f>
        <v>7.4313234284960838E-2</v>
      </c>
      <c r="J226" s="7">
        <f>(J224/J225)-1</f>
        <v>3.921655155763748E-2</v>
      </c>
      <c r="K226" s="7">
        <f>(K224/K225)-1</f>
        <v>2.4508430950487048E-2</v>
      </c>
      <c r="L226" s="7">
        <f>(L224/L225)-1</f>
        <v>5.7631490327032298E-2</v>
      </c>
      <c r="N226" s="7">
        <f>(N224/N225)-1</f>
        <v>6.3315807793170142E-2</v>
      </c>
    </row>
    <row r="228" spans="1:14" x14ac:dyDescent="0.2">
      <c r="A228" s="5" t="s">
        <v>10</v>
      </c>
      <c r="C228" s="5" t="s">
        <v>21</v>
      </c>
      <c r="D228" s="4">
        <f>1218112-925.022889</f>
        <v>1217186.9771110001</v>
      </c>
      <c r="E228" s="4">
        <v>375434</v>
      </c>
      <c r="F228" s="4">
        <v>70821</v>
      </c>
      <c r="G228" s="4">
        <f>SUM(D228:F228)</f>
        <v>1663441.9771110001</v>
      </c>
      <c r="I228" s="4">
        <f>1718916-13932.276</f>
        <v>1704983.7239999999</v>
      </c>
      <c r="J228" s="4">
        <v>257192</v>
      </c>
      <c r="K228" s="4">
        <f>603546+99037-100.92</f>
        <v>702482.08</v>
      </c>
      <c r="L228" s="4">
        <f>SUM(I228:K228)</f>
        <v>2664657.804</v>
      </c>
      <c r="N228" s="2">
        <f>G228+L228</f>
        <v>4328099.7811110001</v>
      </c>
    </row>
    <row r="229" spans="1:14" x14ac:dyDescent="0.2">
      <c r="C229" s="5" t="s">
        <v>22</v>
      </c>
      <c r="D229" s="4">
        <v>1081348.8529999999</v>
      </c>
      <c r="E229" s="4">
        <v>325376.815</v>
      </c>
      <c r="F229" s="4">
        <v>70386.089000000007</v>
      </c>
      <c r="G229" s="4">
        <f>SUM(D229:F229)</f>
        <v>1477111.7569999998</v>
      </c>
      <c r="I229" s="4">
        <v>1604960.3740000001</v>
      </c>
      <c r="J229" s="4">
        <v>231078.579</v>
      </c>
      <c r="K229" s="4">
        <v>610927.61300000001</v>
      </c>
      <c r="L229" s="4">
        <f>SUM(I229:K229)</f>
        <v>2446966.5660000001</v>
      </c>
      <c r="N229" s="2">
        <f>G229+L229</f>
        <v>3924078.3229999999</v>
      </c>
    </row>
    <row r="230" spans="1:14" s="3" customFormat="1" x14ac:dyDescent="0.2">
      <c r="A230" s="7"/>
      <c r="B230" s="7"/>
      <c r="C230" s="7" t="s">
        <v>23</v>
      </c>
      <c r="D230" s="7">
        <f>(D228/D229)-1</f>
        <v>0.12561915031781168</v>
      </c>
      <c r="E230" s="7">
        <f>(E228/E229)-1</f>
        <v>0.15384373653052075</v>
      </c>
      <c r="F230" s="7">
        <f>(F228/F229)-1</f>
        <v>6.178934022033733E-3</v>
      </c>
      <c r="G230" s="7">
        <f>(G228/G229)-1</f>
        <v>0.12614497124404145</v>
      </c>
      <c r="H230" s="7"/>
      <c r="I230" s="7">
        <f>(I228/I229)-1</f>
        <v>6.2321382895401012E-2</v>
      </c>
      <c r="J230" s="7">
        <f>(J228/J229)-1</f>
        <v>0.11300667120685381</v>
      </c>
      <c r="K230" s="7">
        <f>(K228/K229)-1</f>
        <v>0.1498613993733493</v>
      </c>
      <c r="L230" s="7">
        <f>(L228/L229)-1</f>
        <v>8.8963715738811455E-2</v>
      </c>
      <c r="N230" s="7">
        <f>(N228/N229)-1</f>
        <v>0.10295958053205245</v>
      </c>
    </row>
    <row r="232" spans="1:14" x14ac:dyDescent="0.2">
      <c r="A232" s="5" t="s">
        <v>11</v>
      </c>
      <c r="C232" s="5" t="s">
        <v>21</v>
      </c>
      <c r="D232" s="4">
        <f>1178547-924.790068</f>
        <v>1177622.2099319999</v>
      </c>
      <c r="E232" s="4">
        <v>344338</v>
      </c>
      <c r="F232" s="4">
        <v>68112</v>
      </c>
      <c r="G232" s="4">
        <f>SUM(D232:F232)</f>
        <v>1590072.2099319999</v>
      </c>
      <c r="I232" s="4">
        <f>1652169-14170.275</f>
        <v>1637998.7250000001</v>
      </c>
      <c r="J232" s="4">
        <v>258796</v>
      </c>
      <c r="K232" s="4">
        <f>615621+101435-83.880048</f>
        <v>716972.11995199998</v>
      </c>
      <c r="L232" s="4">
        <f>SUM(I232:K232)</f>
        <v>2613766.8449520003</v>
      </c>
      <c r="N232" s="2">
        <f>G232+L232</f>
        <v>4203839.0548839998</v>
      </c>
    </row>
    <row r="233" spans="1:14" x14ac:dyDescent="0.2">
      <c r="C233" s="5" t="s">
        <v>22</v>
      </c>
      <c r="D233" s="4">
        <v>1033906.297</v>
      </c>
      <c r="E233" s="4">
        <v>326249.79399999999</v>
      </c>
      <c r="F233" s="4">
        <v>60259.891000000003</v>
      </c>
      <c r="G233" s="4">
        <f>SUM(D233:F233)</f>
        <v>1420415.9820000001</v>
      </c>
      <c r="I233" s="4">
        <v>1440824.3870000001</v>
      </c>
      <c r="J233" s="4">
        <v>239065.03099999999</v>
      </c>
      <c r="K233" s="4">
        <v>660507.11200000008</v>
      </c>
      <c r="L233" s="4">
        <f>SUM(I233:K233)</f>
        <v>2340396.5300000003</v>
      </c>
      <c r="N233" s="2">
        <f>G233+L233</f>
        <v>3760812.5120000001</v>
      </c>
    </row>
    <row r="234" spans="1:14" s="3" customFormat="1" x14ac:dyDescent="0.2">
      <c r="A234" s="7"/>
      <c r="B234" s="7"/>
      <c r="C234" s="7" t="s">
        <v>23</v>
      </c>
      <c r="D234" s="7">
        <f>(D232/D233)-1</f>
        <v>0.13900284131067631</v>
      </c>
      <c r="E234" s="7">
        <f>(E232/E233)-1</f>
        <v>5.544281201906287E-2</v>
      </c>
      <c r="F234" s="7">
        <f>(F232/F233)-1</f>
        <v>0.13030406908635128</v>
      </c>
      <c r="G234" s="7">
        <f>(G232/G233)-1</f>
        <v>0.11944122713482663</v>
      </c>
      <c r="H234" s="7"/>
      <c r="I234" s="7">
        <f>(I232/I233)-1</f>
        <v>0.13684827920670117</v>
      </c>
      <c r="J234" s="7">
        <f>(J232/J233)-1</f>
        <v>8.2533898485554813E-2</v>
      </c>
      <c r="K234" s="7">
        <f>(K232/K233)-1</f>
        <v>8.5487358010461367E-2</v>
      </c>
      <c r="L234" s="7">
        <f>(L232/L233)-1</f>
        <v>0.11680512744222882</v>
      </c>
      <c r="N234" s="7">
        <f>(N232/N233)-1</f>
        <v>0.11780075222319386</v>
      </c>
    </row>
    <row r="236" spans="1:14" x14ac:dyDescent="0.2">
      <c r="A236" s="5" t="s">
        <v>12</v>
      </c>
      <c r="C236" s="5" t="s">
        <v>21</v>
      </c>
      <c r="D236" s="4">
        <f>1086378-920.871791</f>
        <v>1085457.128209</v>
      </c>
      <c r="E236" s="4">
        <v>316112</v>
      </c>
      <c r="F236" s="4">
        <v>67305</v>
      </c>
      <c r="G236" s="4">
        <f>SUM(D236:F236)</f>
        <v>1468874.128209</v>
      </c>
      <c r="I236" s="4">
        <f>1550376-14989.424</f>
        <v>1535386.5759999999</v>
      </c>
      <c r="J236" s="4">
        <v>259553</v>
      </c>
      <c r="K236" s="4">
        <f>576898+94911-72.959806</f>
        <v>671736.040194</v>
      </c>
      <c r="L236" s="4">
        <f>SUM(I236:K236)</f>
        <v>2466675.616194</v>
      </c>
      <c r="N236" s="2">
        <f>G236+L236</f>
        <v>3935549.744403</v>
      </c>
    </row>
    <row r="237" spans="1:14" x14ac:dyDescent="0.2">
      <c r="C237" s="5" t="s">
        <v>22</v>
      </c>
      <c r="D237" s="4">
        <v>1008435.394</v>
      </c>
      <c r="E237" s="4">
        <v>289340.84299999999</v>
      </c>
      <c r="F237" s="4">
        <v>60857.678999999996</v>
      </c>
      <c r="G237" s="4">
        <f>SUM(D237:F237)</f>
        <v>1358633.916</v>
      </c>
      <c r="I237" s="4">
        <v>1455110.416</v>
      </c>
      <c r="J237" s="4">
        <v>235689.30799999999</v>
      </c>
      <c r="K237" s="4">
        <v>681797.09499999997</v>
      </c>
      <c r="L237" s="4">
        <f>SUM(I237:K237)</f>
        <v>2372596.8190000001</v>
      </c>
      <c r="N237" s="2">
        <f>G237+L237</f>
        <v>3731230.7350000003</v>
      </c>
    </row>
    <row r="238" spans="1:14" s="3" customFormat="1" x14ac:dyDescent="0.2">
      <c r="A238" s="7"/>
      <c r="B238" s="7"/>
      <c r="C238" s="7" t="s">
        <v>23</v>
      </c>
      <c r="D238" s="7">
        <f>(D236/D237)-1</f>
        <v>7.6377460239163364E-2</v>
      </c>
      <c r="E238" s="7">
        <f>(E236/E237)-1</f>
        <v>9.2524638839183826E-2</v>
      </c>
      <c r="F238" s="7">
        <f>(F236/F237)-1</f>
        <v>0.10594096104125184</v>
      </c>
      <c r="G238" s="7">
        <f>(G236/G237)-1</f>
        <v>8.1140483032811295E-2</v>
      </c>
      <c r="H238" s="7"/>
      <c r="I238" s="7">
        <f>(I236/I237)-1</f>
        <v>5.5168431974168319E-2</v>
      </c>
      <c r="J238" s="7">
        <f>(J236/J237)-1</f>
        <v>0.10125063458542649</v>
      </c>
      <c r="K238" s="7">
        <f>(K236/K237)-1</f>
        <v>-1.4756670099921654E-2</v>
      </c>
      <c r="L238" s="7">
        <f>(L236/L237)-1</f>
        <v>3.9652247883250613E-2</v>
      </c>
      <c r="N238" s="7">
        <f>(N236/N237)-1</f>
        <v>5.4759146221226462E-2</v>
      </c>
    </row>
    <row r="240" spans="1:14" x14ac:dyDescent="0.2">
      <c r="A240" s="5" t="s">
        <v>13</v>
      </c>
      <c r="C240" s="5" t="s">
        <v>21</v>
      </c>
      <c r="D240" s="4">
        <f>1059450-918.587979</f>
        <v>1058531.4120209999</v>
      </c>
      <c r="E240" s="4">
        <v>313236</v>
      </c>
      <c r="F240" s="4">
        <v>88314</v>
      </c>
      <c r="G240" s="4">
        <f>SUM(D240:F240)</f>
        <v>1460081.4120209999</v>
      </c>
      <c r="I240" s="4">
        <f>1693481-15914.796</f>
        <v>1677566.2039999999</v>
      </c>
      <c r="J240" s="4">
        <v>316259</v>
      </c>
      <c r="K240" s="4">
        <f>588958+96376-69.119832</f>
        <v>685264.880168</v>
      </c>
      <c r="L240" s="4">
        <f>SUM(I240:K240)</f>
        <v>2679090.0841680001</v>
      </c>
      <c r="N240" s="2">
        <f>G240+L240</f>
        <v>4139171.4961890001</v>
      </c>
    </row>
    <row r="241" spans="1:14" x14ac:dyDescent="0.2">
      <c r="C241" s="5" t="s">
        <v>22</v>
      </c>
      <c r="D241" s="4">
        <v>961239.47100000002</v>
      </c>
      <c r="E241" s="4">
        <v>304037.32</v>
      </c>
      <c r="F241" s="4">
        <v>68187.903999999995</v>
      </c>
      <c r="G241" s="4">
        <f>SUM(D241:F241)</f>
        <v>1333464.6950000001</v>
      </c>
      <c r="I241" s="4">
        <v>1594069.966</v>
      </c>
      <c r="J241" s="4">
        <v>282667.864</v>
      </c>
      <c r="K241" s="4">
        <v>602684.98499999999</v>
      </c>
      <c r="L241" s="4">
        <f>SUM(I241:K241)</f>
        <v>2479422.8149999999</v>
      </c>
      <c r="N241" s="2">
        <f>G241+L241</f>
        <v>3812887.51</v>
      </c>
    </row>
    <row r="242" spans="1:14" s="3" customFormat="1" x14ac:dyDescent="0.2">
      <c r="A242" s="7"/>
      <c r="B242" s="7"/>
      <c r="C242" s="7" t="s">
        <v>23</v>
      </c>
      <c r="D242" s="7">
        <f>(D240/D241)-1</f>
        <v>0.10121509151073949</v>
      </c>
      <c r="E242" s="7">
        <f>(E240/E241)-1</f>
        <v>3.0255101577661536E-2</v>
      </c>
      <c r="F242" s="7">
        <f>(F240/F241)-1</f>
        <v>0.29515639606696231</v>
      </c>
      <c r="G242" s="7">
        <f>(G240/G241)-1</f>
        <v>9.4953182859483176E-2</v>
      </c>
      <c r="H242" s="7"/>
      <c r="I242" s="7">
        <f>(I240/I241)-1</f>
        <v>5.237928057167851E-2</v>
      </c>
      <c r="J242" s="7">
        <f>(J240/J241)-1</f>
        <v>0.11883606266611202</v>
      </c>
      <c r="K242" s="7">
        <f>(K240/K241)-1</f>
        <v>0.13701999754979788</v>
      </c>
      <c r="L242" s="7">
        <f>(L240/L241)-1</f>
        <v>8.0529737792220946E-2</v>
      </c>
      <c r="N242" s="7">
        <f>(N240/N241)-1</f>
        <v>8.5573986993652484E-2</v>
      </c>
    </row>
    <row r="244" spans="1:14" x14ac:dyDescent="0.2">
      <c r="A244" s="5" t="s">
        <v>14</v>
      </c>
      <c r="C244" s="5" t="s">
        <v>21</v>
      </c>
      <c r="D244" s="4">
        <f>1107384-912.818136</f>
        <v>1106471.1818639999</v>
      </c>
      <c r="E244" s="4">
        <v>357830</v>
      </c>
      <c r="F244" s="4">
        <v>88850</v>
      </c>
      <c r="G244" s="4">
        <f>SUM(D244:F244)</f>
        <v>1553151.1818639999</v>
      </c>
      <c r="I244" s="4">
        <f>1845652-16739.466</f>
        <v>1828912.534</v>
      </c>
      <c r="J244" s="4">
        <v>391259</v>
      </c>
      <c r="K244" s="4">
        <f>592730+93871-71.76024</f>
        <v>686529.23976000003</v>
      </c>
      <c r="L244" s="4">
        <f>SUM(I244:K244)</f>
        <v>2906700.7737600002</v>
      </c>
      <c r="N244" s="2">
        <f>G244+L244</f>
        <v>4459851.9556240002</v>
      </c>
    </row>
    <row r="245" spans="1:14" x14ac:dyDescent="0.2">
      <c r="C245" s="5" t="s">
        <v>22</v>
      </c>
      <c r="D245" s="4">
        <v>1063964.3219999999</v>
      </c>
      <c r="E245" s="4">
        <v>300671.27899999998</v>
      </c>
      <c r="F245" s="4">
        <v>80421.62</v>
      </c>
      <c r="G245" s="4">
        <f>SUM(D245:F245)</f>
        <v>1445057.2209999999</v>
      </c>
      <c r="I245" s="4">
        <v>1699418.166</v>
      </c>
      <c r="J245" s="4">
        <v>349158.201</v>
      </c>
      <c r="K245" s="4">
        <v>656239.34400000004</v>
      </c>
      <c r="L245" s="4">
        <f>SUM(I245:K245)</f>
        <v>2704815.7110000001</v>
      </c>
      <c r="N245" s="2">
        <f>G245+L245</f>
        <v>4149872.932</v>
      </c>
    </row>
    <row r="246" spans="1:14" s="3" customFormat="1" x14ac:dyDescent="0.2">
      <c r="A246" s="7"/>
      <c r="B246" s="7"/>
      <c r="C246" s="7" t="s">
        <v>23</v>
      </c>
      <c r="D246" s="7">
        <f>(D244/D245)-1</f>
        <v>3.9951395911563381E-2</v>
      </c>
      <c r="E246" s="7">
        <f>(E244/E245)-1</f>
        <v>0.19010369460662724</v>
      </c>
      <c r="F246" s="7">
        <f>(F244/F245)-1</f>
        <v>0.10480241507196708</v>
      </c>
      <c r="G246" s="7">
        <f>(G244/G245)-1</f>
        <v>7.4802547119343421E-2</v>
      </c>
      <c r="H246" s="7"/>
      <c r="I246" s="7">
        <f>(I244/I245)-1</f>
        <v>7.6199237239411799E-2</v>
      </c>
      <c r="J246" s="7">
        <f>(J244/J245)-1</f>
        <v>0.12057800412369524</v>
      </c>
      <c r="K246" s="7">
        <f>(K244/K245)-1</f>
        <v>4.6156781114909728E-2</v>
      </c>
      <c r="L246" s="7">
        <f>(L244/L245)-1</f>
        <v>7.4639119382133856E-2</v>
      </c>
      <c r="N246" s="7">
        <f>(N244/N245)-1</f>
        <v>7.4696027734663106E-2</v>
      </c>
    </row>
    <row r="248" spans="1:14" x14ac:dyDescent="0.2">
      <c r="A248" s="5" t="s">
        <v>15</v>
      </c>
      <c r="C248" s="5" t="s">
        <v>21</v>
      </c>
      <c r="D248" s="4">
        <f>1245159-915.204069</f>
        <v>1244243.795931</v>
      </c>
      <c r="E248" s="4">
        <v>402880</v>
      </c>
      <c r="F248" s="4">
        <v>91606</v>
      </c>
      <c r="G248" s="4">
        <f>SUM(D248:F248)</f>
        <v>1738729.795931</v>
      </c>
      <c r="I248" s="4">
        <f>2111123-18794.061</f>
        <v>2092328.939</v>
      </c>
      <c r="J248" s="4">
        <v>425870</v>
      </c>
      <c r="K248" s="4">
        <f>630436+96943-53.51964</f>
        <v>727325.48036000005</v>
      </c>
      <c r="L248" s="4">
        <f>SUM(I248:K248)</f>
        <v>3245524.4193600002</v>
      </c>
      <c r="N248" s="2">
        <f>G248+L248</f>
        <v>4984254.215291</v>
      </c>
    </row>
    <row r="249" spans="1:14" x14ac:dyDescent="0.2">
      <c r="C249" s="5" t="s">
        <v>22</v>
      </c>
      <c r="D249" s="4">
        <v>1135555.6129999999</v>
      </c>
      <c r="E249" s="4">
        <v>376612.65</v>
      </c>
      <c r="F249" s="4">
        <v>89913.86</v>
      </c>
      <c r="G249" s="4">
        <f>SUM(D249:F249)</f>
        <v>1602082.1229999999</v>
      </c>
      <c r="I249" s="4">
        <v>1949970.236</v>
      </c>
      <c r="J249" s="4">
        <v>396614.43300000002</v>
      </c>
      <c r="K249" s="4">
        <v>652605.28799999994</v>
      </c>
      <c r="L249" s="4">
        <f>SUM(I249:K249)</f>
        <v>2999189.9570000004</v>
      </c>
      <c r="N249" s="2">
        <f>G249+L249</f>
        <v>4601272.08</v>
      </c>
    </row>
    <row r="250" spans="1:14" s="3" customFormat="1" x14ac:dyDescent="0.2">
      <c r="A250" s="7"/>
      <c r="B250" s="7"/>
      <c r="C250" s="7" t="s">
        <v>23</v>
      </c>
      <c r="D250" s="7">
        <f>(D248/D249)-1</f>
        <v>9.5713659187381506E-2</v>
      </c>
      <c r="E250" s="7">
        <f>(E248/E249)-1</f>
        <v>6.9746329551065189E-2</v>
      </c>
      <c r="F250" s="7">
        <f>(F248/F249)-1</f>
        <v>1.8819567973169082E-2</v>
      </c>
      <c r="G250" s="7">
        <f>(G248/G249)-1</f>
        <v>8.529380046705648E-2</v>
      </c>
      <c r="H250" s="7"/>
      <c r="I250" s="7">
        <f>(I248/I249)-1</f>
        <v>7.3005577404105626E-2</v>
      </c>
      <c r="J250" s="7">
        <f>(J248/J249)-1</f>
        <v>7.3763243507580567E-2</v>
      </c>
      <c r="K250" s="7">
        <f>(K248/K249)-1</f>
        <v>0.11449522971073467</v>
      </c>
      <c r="L250" s="7">
        <f>(L248/L249)-1</f>
        <v>8.2133664720056787E-2</v>
      </c>
      <c r="N250" s="7">
        <f>(N248/N249)-1</f>
        <v>8.3233968483559018E-2</v>
      </c>
    </row>
    <row r="252" spans="1:14" x14ac:dyDescent="0.2">
      <c r="A252" s="5" t="s">
        <v>16</v>
      </c>
      <c r="C252" s="5" t="s">
        <v>21</v>
      </c>
      <c r="D252" s="4">
        <f>1228153-913.569849</f>
        <v>1227239.4301509999</v>
      </c>
      <c r="E252" s="4">
        <v>402209</v>
      </c>
      <c r="F252" s="4">
        <v>90174</v>
      </c>
      <c r="G252" s="4">
        <f>SUM(D252:F252)</f>
        <v>1719622.4301509999</v>
      </c>
      <c r="I252" s="4">
        <f>1990804-18436.237</f>
        <v>1972367.763</v>
      </c>
      <c r="J252" s="4">
        <v>317840</v>
      </c>
      <c r="K252" s="4">
        <f>610865+93936-75.600072</f>
        <v>704725.39992800006</v>
      </c>
      <c r="L252" s="4">
        <f>SUM(I252:K252)</f>
        <v>2994933.1629280001</v>
      </c>
      <c r="N252" s="2">
        <f>G252+L252</f>
        <v>4714555.5930789998</v>
      </c>
    </row>
    <row r="253" spans="1:14" x14ac:dyDescent="0.2">
      <c r="C253" s="5" t="s">
        <v>22</v>
      </c>
      <c r="D253" s="4">
        <v>1104049.9639999999</v>
      </c>
      <c r="E253" s="4">
        <v>363414.23599999998</v>
      </c>
      <c r="F253" s="4">
        <v>75426.587</v>
      </c>
      <c r="G253" s="4">
        <f>SUM(D253:F253)</f>
        <v>1542890.787</v>
      </c>
      <c r="I253" s="4">
        <v>1818133.236</v>
      </c>
      <c r="J253" s="4">
        <v>298282.72899999999</v>
      </c>
      <c r="K253" s="4">
        <v>637627.81599999999</v>
      </c>
      <c r="L253" s="4">
        <f>SUM(I253:K253)</f>
        <v>2754043.781</v>
      </c>
      <c r="N253" s="2">
        <f>G253+L253</f>
        <v>4296934.568</v>
      </c>
    </row>
    <row r="254" spans="1:14" s="3" customFormat="1" x14ac:dyDescent="0.2">
      <c r="A254" s="7"/>
      <c r="B254" s="7"/>
      <c r="C254" s="7" t="s">
        <v>23</v>
      </c>
      <c r="D254" s="7">
        <f>(D252/D253)-1</f>
        <v>0.11157961158268748</v>
      </c>
      <c r="E254" s="7">
        <f>(E252/E253)-1</f>
        <v>0.10675080983894092</v>
      </c>
      <c r="F254" s="7">
        <f>(F252/F253)-1</f>
        <v>0.19552008895749196</v>
      </c>
      <c r="G254" s="7">
        <f>(G252/G253)-1</f>
        <v>0.11454578939747084</v>
      </c>
      <c r="H254" s="7"/>
      <c r="I254" s="7">
        <f>(I252/I253)-1</f>
        <v>8.4831256558141499E-2</v>
      </c>
      <c r="J254" s="7">
        <f>(J252/J253)-1</f>
        <v>6.5566219893341549E-2</v>
      </c>
      <c r="K254" s="7">
        <f>(K252/K253)-1</f>
        <v>0.10523001388007214</v>
      </c>
      <c r="L254" s="7">
        <f>(L252/L253)-1</f>
        <v>8.7467520883249161E-2</v>
      </c>
      <c r="N254" s="7">
        <f>(N252/N253)-1</f>
        <v>9.719045483938582E-2</v>
      </c>
    </row>
    <row r="256" spans="1:14" x14ac:dyDescent="0.2">
      <c r="A256" s="5" t="s">
        <v>17</v>
      </c>
      <c r="C256" s="5" t="s">
        <v>21</v>
      </c>
      <c r="D256" s="4">
        <f>1077332-913.709739</f>
        <v>1076418.2902609999</v>
      </c>
      <c r="E256" s="4">
        <v>356308</v>
      </c>
      <c r="F256" s="4">
        <v>74386</v>
      </c>
      <c r="G256" s="4">
        <f>SUM(D256:F256)</f>
        <v>1507112.2902609999</v>
      </c>
      <c r="I256" s="4">
        <f>1684069-15757.609</f>
        <v>1668311.3910000001</v>
      </c>
      <c r="J256" s="4">
        <v>265290</v>
      </c>
      <c r="K256" s="4">
        <f>564375+89690-81.48024</f>
        <v>653983.51976000005</v>
      </c>
      <c r="L256" s="4">
        <f>SUM(I256:K256)</f>
        <v>2587584.9107600003</v>
      </c>
      <c r="N256" s="2">
        <f>G256+L256</f>
        <v>4094697.2010210003</v>
      </c>
    </row>
    <row r="257" spans="1:14" x14ac:dyDescent="0.2">
      <c r="C257" s="5" t="s">
        <v>22</v>
      </c>
      <c r="D257" s="4">
        <v>1011213.184</v>
      </c>
      <c r="E257" s="4">
        <v>302946.60399999999</v>
      </c>
      <c r="F257" s="4">
        <v>51277.214999999997</v>
      </c>
      <c r="G257" s="4">
        <f>SUM(D257:F257)</f>
        <v>1365437.003</v>
      </c>
      <c r="I257" s="4">
        <v>1507800.36</v>
      </c>
      <c r="J257" s="4">
        <v>246170.91399999999</v>
      </c>
      <c r="K257" s="4">
        <v>587131.522</v>
      </c>
      <c r="L257" s="4">
        <f>SUM(I257:K257)</f>
        <v>2341102.7960000001</v>
      </c>
      <c r="N257" s="2">
        <f>G257+L257</f>
        <v>3706539.7990000001</v>
      </c>
    </row>
    <row r="258" spans="1:14" s="3" customFormat="1" x14ac:dyDescent="0.2">
      <c r="A258" s="7"/>
      <c r="B258" s="7"/>
      <c r="C258" s="7" t="s">
        <v>23</v>
      </c>
      <c r="D258" s="7">
        <f>(D256/D257)-1</f>
        <v>6.4482057090149647E-2</v>
      </c>
      <c r="E258" s="7">
        <f>(E256/E257)-1</f>
        <v>0.17614125821327908</v>
      </c>
      <c r="F258" s="7">
        <f>(F256/F257)-1</f>
        <v>0.45066380847711796</v>
      </c>
      <c r="G258" s="7">
        <f>(G256/G257)-1</f>
        <v>0.10375820118374213</v>
      </c>
      <c r="H258" s="7"/>
      <c r="I258" s="7">
        <f>(I256/I257)-1</f>
        <v>0.10645376885305957</v>
      </c>
      <c r="J258" s="7">
        <f>(J256/J257)-1</f>
        <v>7.7665901667002046E-2</v>
      </c>
      <c r="K258" s="7">
        <f>(K256/K257)-1</f>
        <v>0.11386204837423142</v>
      </c>
      <c r="L258" s="7">
        <f>(L256/L257)-1</f>
        <v>0.10528461850591908</v>
      </c>
      <c r="N258" s="7">
        <f>(N256/N257)-1</f>
        <v>0.10472230788557102</v>
      </c>
    </row>
    <row r="260" spans="1:14" x14ac:dyDescent="0.2">
      <c r="A260" s="5" t="s">
        <v>18</v>
      </c>
      <c r="C260" s="5" t="s">
        <v>21</v>
      </c>
      <c r="D260" s="4">
        <f>1141816-914.07138</f>
        <v>1140901.9286199999</v>
      </c>
      <c r="E260" s="4">
        <v>372159</v>
      </c>
      <c r="F260" s="4">
        <v>69578</v>
      </c>
      <c r="G260" s="4">
        <f>SUM(D260:F260)</f>
        <v>1582638.9286199999</v>
      </c>
      <c r="I260" s="4">
        <f>1662192-14850.987</f>
        <v>1647341.013</v>
      </c>
      <c r="J260" s="4">
        <v>268914</v>
      </c>
      <c r="K260" s="4">
        <f>615239+94990-52.895</f>
        <v>710176.10499999998</v>
      </c>
      <c r="L260" s="4">
        <f>SUM(I260:K260)</f>
        <v>2626431.1179999998</v>
      </c>
      <c r="N260" s="2">
        <f>G260+L260</f>
        <v>4209070.0466200002</v>
      </c>
    </row>
    <row r="261" spans="1:14" x14ac:dyDescent="0.2">
      <c r="C261" s="5" t="s">
        <v>22</v>
      </c>
      <c r="D261" s="4">
        <v>1034070.985</v>
      </c>
      <c r="E261" s="4">
        <v>352100.859</v>
      </c>
      <c r="F261" s="4">
        <v>64741.629000000001</v>
      </c>
      <c r="G261" s="4">
        <f>SUM(D261:F261)</f>
        <v>1450913.473</v>
      </c>
      <c r="I261" s="4">
        <v>1551130.027</v>
      </c>
      <c r="J261" s="4">
        <v>207263.546</v>
      </c>
      <c r="K261" s="4">
        <v>645366.522</v>
      </c>
      <c r="L261" s="4">
        <f>SUM(I261:K261)</f>
        <v>2403760.0950000002</v>
      </c>
      <c r="N261" s="2">
        <f>G261+L261</f>
        <v>3854673.568</v>
      </c>
    </row>
    <row r="262" spans="1:14" s="3" customFormat="1" x14ac:dyDescent="0.2">
      <c r="A262" s="7"/>
      <c r="B262" s="7"/>
      <c r="C262" s="7" t="s">
        <v>23</v>
      </c>
      <c r="D262" s="7">
        <f>(D260/D261)-1</f>
        <v>0.10331103489960114</v>
      </c>
      <c r="E262" s="7">
        <f>(E260/E261)-1</f>
        <v>5.6967032278668839E-2</v>
      </c>
      <c r="F262" s="7">
        <f>(F260/F261)-1</f>
        <v>7.4702646113522952E-2</v>
      </c>
      <c r="G262" s="7">
        <f>(G260/G261)-1</f>
        <v>9.0787947090763543E-2</v>
      </c>
      <c r="H262" s="7"/>
      <c r="I262" s="7">
        <f>(I260/I261)-1</f>
        <v>6.202638355604484E-2</v>
      </c>
      <c r="J262" s="7">
        <f>(J260/J261)-1</f>
        <v>0.29744957658883253</v>
      </c>
      <c r="K262" s="7">
        <f>(K260/K261)-1</f>
        <v>0.1004229082090502</v>
      </c>
      <c r="L262" s="7">
        <f>(L260/L261)-1</f>
        <v>9.2634461926201395E-2</v>
      </c>
      <c r="N262" s="7">
        <f>(N260/N261)-1</f>
        <v>9.1939426871852969E-2</v>
      </c>
    </row>
    <row r="264" spans="1:14" x14ac:dyDescent="0.2">
      <c r="A264" s="5" t="s">
        <v>19</v>
      </c>
      <c r="C264" s="5" t="s">
        <v>21</v>
      </c>
      <c r="D264" s="4">
        <f>1254339-983.810514</f>
        <v>1253355.189486</v>
      </c>
      <c r="E264" s="4">
        <v>397005</v>
      </c>
      <c r="F264" s="4">
        <v>82305</v>
      </c>
      <c r="G264" s="4">
        <f>SUM(D264:F264)</f>
        <v>1732665.189486</v>
      </c>
      <c r="I264" s="4">
        <f>1756834-14623.718</f>
        <v>1742210.2819999999</v>
      </c>
      <c r="J264" s="4">
        <v>255115</v>
      </c>
      <c r="K264" s="4">
        <f>608630+94522-73.44</f>
        <v>703078.56</v>
      </c>
      <c r="L264" s="4">
        <f>SUM(I264:K264)</f>
        <v>2700403.8420000002</v>
      </c>
      <c r="N264" s="2">
        <f>G264+L264</f>
        <v>4433069.0314859999</v>
      </c>
    </row>
    <row r="265" spans="1:14" x14ac:dyDescent="0.2">
      <c r="C265" s="5" t="s">
        <v>22</v>
      </c>
      <c r="D265" s="4">
        <v>1151057.3030000001</v>
      </c>
      <c r="E265" s="4">
        <v>344036.815</v>
      </c>
      <c r="F265" s="4">
        <v>69706.093999999997</v>
      </c>
      <c r="G265" s="4">
        <f>SUM(D265:F265)</f>
        <v>1564800.2120000001</v>
      </c>
      <c r="I265" s="4">
        <v>1594873.085</v>
      </c>
      <c r="J265" s="4">
        <v>220218.75099999999</v>
      </c>
      <c r="K265" s="4">
        <v>650218.98899999994</v>
      </c>
      <c r="L265" s="4">
        <f>SUM(I265:K265)</f>
        <v>2465310.8249999997</v>
      </c>
      <c r="N265" s="2">
        <f>G265+L265</f>
        <v>4030111.0369999995</v>
      </c>
    </row>
    <row r="266" spans="1:14" s="3" customFormat="1" x14ac:dyDescent="0.2">
      <c r="A266" s="7"/>
      <c r="B266" s="7"/>
      <c r="C266" s="7" t="s">
        <v>23</v>
      </c>
      <c r="D266" s="7">
        <f>(D264/D265)-1</f>
        <v>8.8872974628961598E-2</v>
      </c>
      <c r="E266" s="7">
        <f>(E264/E265)-1</f>
        <v>0.15396080503768172</v>
      </c>
      <c r="F266" s="7">
        <f>(F264/F265)-1</f>
        <v>0.1807432503677513</v>
      </c>
      <c r="G266" s="7">
        <f>(G264/G265)-1</f>
        <v>0.10727566126249988</v>
      </c>
      <c r="H266" s="7"/>
      <c r="I266" s="7">
        <f>(I264/I265)-1</f>
        <v>9.2381769048412998E-2</v>
      </c>
      <c r="J266" s="7">
        <f>(J264/J265)-1</f>
        <v>0.15846175151542852</v>
      </c>
      <c r="K266" s="7">
        <f>(K264/K265)-1</f>
        <v>8.1295028127823743E-2</v>
      </c>
      <c r="L266" s="7">
        <f>(L264/L265)-1</f>
        <v>9.5360396188582275E-2</v>
      </c>
      <c r="N266" s="7">
        <f>(N264/N265)-1</f>
        <v>9.9986821898078837E-2</v>
      </c>
    </row>
    <row r="268" spans="1:14" x14ac:dyDescent="0.2">
      <c r="A268" s="5" t="s">
        <v>20</v>
      </c>
      <c r="C268" s="5" t="s">
        <v>21</v>
      </c>
      <c r="D268" s="4">
        <f>1360296-937.840006</f>
        <v>1359358.1599940001</v>
      </c>
      <c r="E268" s="4">
        <v>433868</v>
      </c>
      <c r="F268" s="4">
        <v>94085</v>
      </c>
      <c r="G268" s="4">
        <f>SUM(D268:F268)</f>
        <v>1887311.1599940001</v>
      </c>
      <c r="I268" s="4">
        <f>1929232-16060.223</f>
        <v>1913171.777</v>
      </c>
      <c r="J268" s="4">
        <v>278368</v>
      </c>
      <c r="K268" s="4">
        <f>636121+101674-101.184</f>
        <v>737693.81599999999</v>
      </c>
      <c r="L268" s="4">
        <f>SUM(I268:K268)</f>
        <v>2929233.5929999999</v>
      </c>
      <c r="N268" s="2">
        <f>G268+L268</f>
        <v>4816544.752994</v>
      </c>
    </row>
    <row r="269" spans="1:14" x14ac:dyDescent="0.2">
      <c r="C269" s="5" t="s">
        <v>22</v>
      </c>
      <c r="D269" s="4">
        <v>1256390.939</v>
      </c>
      <c r="E269" s="4">
        <v>368337.98</v>
      </c>
      <c r="F269" s="4">
        <v>79168.153999999995</v>
      </c>
      <c r="G269" s="4">
        <f>SUM(D269:F269)</f>
        <v>1703897.0730000001</v>
      </c>
      <c r="I269" s="4">
        <v>1771097.6980000001</v>
      </c>
      <c r="J269" s="4">
        <v>283758.67200000002</v>
      </c>
      <c r="K269" s="4">
        <v>673992.71199999994</v>
      </c>
      <c r="L269" s="4">
        <f>SUM(I269:K269)</f>
        <v>2728849.0819999999</v>
      </c>
      <c r="N269" s="2">
        <f>G269+L269</f>
        <v>4432746.1550000003</v>
      </c>
    </row>
    <row r="270" spans="1:14" s="3" customFormat="1" x14ac:dyDescent="0.2">
      <c r="A270" s="7"/>
      <c r="B270" s="7"/>
      <c r="C270" s="7" t="s">
        <v>23</v>
      </c>
      <c r="D270" s="7">
        <f>(D268/D269)-1</f>
        <v>8.1954762484959476E-2</v>
      </c>
      <c r="E270" s="7">
        <f>(E268/E269)-1</f>
        <v>0.1779073121919168</v>
      </c>
      <c r="F270" s="7">
        <f>(F268/F269)-1</f>
        <v>0.18841977798295018</v>
      </c>
      <c r="G270" s="7">
        <f>(G268/G269)-1</f>
        <v>0.10764387702777634</v>
      </c>
      <c r="H270" s="7"/>
      <c r="I270" s="7">
        <f>(I268/I269)-1</f>
        <v>8.0218092519930506E-2</v>
      </c>
      <c r="J270" s="7">
        <f>(J268/J269)-1</f>
        <v>-1.899738239541815E-2</v>
      </c>
      <c r="K270" s="7">
        <f>(K268/K269)-1</f>
        <v>9.4513045713764399E-2</v>
      </c>
      <c r="L270" s="7">
        <f>(L268/L269)-1</f>
        <v>7.3431877314789507E-2</v>
      </c>
      <c r="N270" s="7">
        <f>(N268/N269)-1</f>
        <v>8.6582579866678611E-2</v>
      </c>
    </row>
    <row r="272" spans="1:14" x14ac:dyDescent="0.2">
      <c r="A272" s="5" t="s">
        <v>47</v>
      </c>
      <c r="C272" s="5" t="s">
        <v>21</v>
      </c>
      <c r="D272" s="4">
        <f t="shared" ref="D272:G273" si="35">D224+D228+D232+D236+D240+D244+D248+D252+D256+D260+D264+D268</f>
        <v>14312753.519812001</v>
      </c>
      <c r="E272" s="4">
        <f t="shared" si="35"/>
        <v>4526259</v>
      </c>
      <c r="F272" s="4">
        <f t="shared" si="35"/>
        <v>963912</v>
      </c>
      <c r="G272" s="4">
        <f t="shared" si="35"/>
        <v>19802924.519811999</v>
      </c>
      <c r="I272" s="4">
        <f t="shared" ref="I272:L273" si="36">I224+I228+I232+I236+I240+I244+I248+I252+I256+I260+I264+I268</f>
        <v>21294330.941</v>
      </c>
      <c r="J272" s="4">
        <f t="shared" si="36"/>
        <v>3577589</v>
      </c>
      <c r="K272" s="4">
        <f t="shared" si="36"/>
        <v>8444713.7213860005</v>
      </c>
      <c r="L272" s="4">
        <f t="shared" si="36"/>
        <v>33316633.662386</v>
      </c>
      <c r="N272" s="4">
        <f>N224+N228+N232+N236+N240+N244+N248+N252+N256+N260+N264+N268</f>
        <v>53119558.182197995</v>
      </c>
    </row>
    <row r="273" spans="1:14" x14ac:dyDescent="0.2">
      <c r="C273" s="5" t="s">
        <v>22</v>
      </c>
      <c r="D273" s="4">
        <f t="shared" si="35"/>
        <v>13133938.262999998</v>
      </c>
      <c r="E273" s="4">
        <f t="shared" si="35"/>
        <v>4060413.568</v>
      </c>
      <c r="F273" s="4">
        <f t="shared" si="35"/>
        <v>841819.33799999999</v>
      </c>
      <c r="G273" s="4">
        <f t="shared" si="35"/>
        <v>18036171.169</v>
      </c>
      <c r="I273" s="4">
        <f t="shared" si="36"/>
        <v>19731527.325999998</v>
      </c>
      <c r="J273" s="4">
        <f t="shared" si="36"/>
        <v>3262416.5370000005</v>
      </c>
      <c r="K273" s="4">
        <f t="shared" si="36"/>
        <v>7786029.551</v>
      </c>
      <c r="L273" s="4">
        <f t="shared" si="36"/>
        <v>30779973.413999997</v>
      </c>
      <c r="N273" s="4">
        <f>N225+N229+N233+N237+N241+N245+N249+N253+N257+N261+N265+N269</f>
        <v>48816144.583000004</v>
      </c>
    </row>
    <row r="274" spans="1:14" x14ac:dyDescent="0.2">
      <c r="C274" s="5" t="s">
        <v>23</v>
      </c>
      <c r="D274" s="7">
        <f>(D272/D273)-1</f>
        <v>8.9753372766558259E-2</v>
      </c>
      <c r="E274" s="7">
        <f>(E272/E273)-1</f>
        <v>0.11472856747187388</v>
      </c>
      <c r="F274" s="7">
        <f>(F272/F273)-1</f>
        <v>0.14503428050259393</v>
      </c>
      <c r="G274" s="7">
        <f>(G272/G273)-1</f>
        <v>9.7956120190777485E-2</v>
      </c>
      <c r="I274" s="7">
        <f>(I272/I273)-1</f>
        <v>7.9203377882497428E-2</v>
      </c>
      <c r="J274" s="7">
        <f>(J272/J273)-1</f>
        <v>9.6607057812985619E-2</v>
      </c>
      <c r="K274" s="7">
        <f>(K272/K273)-1</f>
        <v>8.4598210945834751E-2</v>
      </c>
      <c r="L274" s="7">
        <f>(L272/L273)-1</f>
        <v>8.2412684841119077E-2</v>
      </c>
      <c r="N274" s="7">
        <f>(N272/N273)-1</f>
        <v>8.815554026150263E-2</v>
      </c>
    </row>
    <row r="276" spans="1:14" x14ac:dyDescent="0.2">
      <c r="D276" s="43" t="s">
        <v>7</v>
      </c>
      <c r="E276" s="43"/>
      <c r="F276" s="43"/>
      <c r="G276" s="43"/>
      <c r="H276" s="6"/>
      <c r="I276" s="43" t="s">
        <v>8</v>
      </c>
      <c r="J276" s="43"/>
      <c r="K276" s="43"/>
      <c r="L276" s="43"/>
      <c r="N276" s="11" t="s">
        <v>24</v>
      </c>
    </row>
    <row r="277" spans="1:14" x14ac:dyDescent="0.2">
      <c r="D277" s="6" t="s">
        <v>0</v>
      </c>
      <c r="E277" s="6" t="s">
        <v>1</v>
      </c>
      <c r="F277" s="6" t="s">
        <v>2</v>
      </c>
      <c r="G277" s="6" t="s">
        <v>24</v>
      </c>
      <c r="H277" s="6"/>
      <c r="I277" s="6" t="s">
        <v>3</v>
      </c>
      <c r="J277" s="6" t="s">
        <v>4</v>
      </c>
      <c r="K277" s="6" t="s">
        <v>25</v>
      </c>
      <c r="L277" s="6" t="s">
        <v>24</v>
      </c>
      <c r="N277" s="6" t="s">
        <v>49</v>
      </c>
    </row>
    <row r="278" spans="1:14" x14ac:dyDescent="0.2">
      <c r="A278" s="5">
        <v>2003</v>
      </c>
    </row>
    <row r="279" spans="1:14" x14ac:dyDescent="0.2">
      <c r="A279" s="5" t="s">
        <v>9</v>
      </c>
      <c r="C279" s="5" t="s">
        <v>21</v>
      </c>
      <c r="D279" s="4">
        <f>1277408.119-930.999898</f>
        <v>1276477.119102</v>
      </c>
      <c r="E279" s="4">
        <v>409814.75099999999</v>
      </c>
      <c r="F279" s="4">
        <v>72765.597999999998</v>
      </c>
      <c r="G279" s="4">
        <f>SUM(D279:F279)</f>
        <v>1759057.468102</v>
      </c>
      <c r="I279" s="4">
        <f>1757177.234-12666.117</f>
        <v>1744511.1169999999</v>
      </c>
      <c r="J279" s="4">
        <v>268300.72200000001</v>
      </c>
      <c r="K279" s="4">
        <f>633648.932+90660.459-93.999936</f>
        <v>724215.39106400008</v>
      </c>
      <c r="L279" s="4">
        <f>SUM(I279:K279)</f>
        <v>2737027.230064</v>
      </c>
      <c r="N279" s="2">
        <f>G279+L279</f>
        <v>4496084.6981659997</v>
      </c>
    </row>
    <row r="280" spans="1:14" x14ac:dyDescent="0.2">
      <c r="C280" s="5" t="s">
        <v>22</v>
      </c>
      <c r="D280" s="4">
        <v>1141138.2209999999</v>
      </c>
      <c r="E280" s="4">
        <v>352035.82799999998</v>
      </c>
      <c r="F280" s="4">
        <v>70549.914999999994</v>
      </c>
      <c r="G280" s="4">
        <f>SUM(D280:F280)</f>
        <v>1563723.9639999999</v>
      </c>
      <c r="I280" s="4">
        <v>1635825.4069999999</v>
      </c>
      <c r="J280" s="4">
        <v>258230.03200000001</v>
      </c>
      <c r="K280" s="4">
        <v>662385.21</v>
      </c>
      <c r="L280" s="4">
        <f>SUM(I280:K280)</f>
        <v>2556440.6489999997</v>
      </c>
      <c r="N280" s="2">
        <f>G280+L280</f>
        <v>4120164.6129999999</v>
      </c>
    </row>
    <row r="281" spans="1:14" x14ac:dyDescent="0.2">
      <c r="A281" s="7"/>
      <c r="B281" s="7"/>
      <c r="C281" s="7" t="s">
        <v>23</v>
      </c>
      <c r="D281" s="7">
        <f>(D279/D280)-1</f>
        <v>0.11859991682988258</v>
      </c>
      <c r="E281" s="7">
        <f>(E279/E280)-1</f>
        <v>0.16412796199823165</v>
      </c>
      <c r="F281" s="7">
        <f>(F279/F280)-1</f>
        <v>3.1405891842676281E-2</v>
      </c>
      <c r="G281" s="7">
        <f>(G279/G280)-1</f>
        <v>0.12491559162547961</v>
      </c>
      <c r="H281" s="7"/>
      <c r="I281" s="7">
        <f>(I279/I280)-1</f>
        <v>6.6440898603795873E-2</v>
      </c>
      <c r="J281" s="7">
        <f>(J279/J280)-1</f>
        <v>3.8998910862544367E-2</v>
      </c>
      <c r="K281" s="7">
        <f>(K279/K280)-1</f>
        <v>9.3344748841841074E-2</v>
      </c>
      <c r="L281" s="7">
        <f>(L279/L280)-1</f>
        <v>7.0639848859640031E-2</v>
      </c>
      <c r="N281" s="7">
        <f>(N279/N280)-1</f>
        <v>9.1239093695405282E-2</v>
      </c>
    </row>
    <row r="283" spans="1:14" x14ac:dyDescent="0.2">
      <c r="A283" s="5" t="s">
        <v>10</v>
      </c>
      <c r="C283" s="5" t="s">
        <v>21</v>
      </c>
      <c r="D283" s="4">
        <f>1178813.522-926.999892</f>
        <v>1177886.522108</v>
      </c>
      <c r="E283" s="4">
        <v>356924.49599999998</v>
      </c>
      <c r="F283" s="4">
        <v>67934.679999999993</v>
      </c>
      <c r="G283" s="4">
        <f>SUM(D283:F283)</f>
        <v>1602745.698108</v>
      </c>
      <c r="I283" s="4">
        <f>1594347.024-11304.65</f>
        <v>1583042.3740000001</v>
      </c>
      <c r="J283" s="4">
        <v>219904.48699999999</v>
      </c>
      <c r="K283" s="4">
        <f>583046.319+81078.468-87.999744</f>
        <v>664036.78725599998</v>
      </c>
      <c r="L283" s="4">
        <f>SUM(I283:K283)</f>
        <v>2466983.6482560001</v>
      </c>
      <c r="N283" s="2">
        <f>G283+L283</f>
        <v>4069729.3463639999</v>
      </c>
    </row>
    <row r="284" spans="1:14" x14ac:dyDescent="0.2">
      <c r="C284" s="5" t="s">
        <v>22</v>
      </c>
      <c r="D284" s="4">
        <v>1034031.736</v>
      </c>
      <c r="E284" s="4">
        <v>307097.78499999997</v>
      </c>
      <c r="F284" s="4">
        <v>60493.692999999999</v>
      </c>
      <c r="G284" s="4">
        <f>SUM(D284:F284)</f>
        <v>1401623.2139999999</v>
      </c>
      <c r="I284" s="4">
        <v>1441255.219</v>
      </c>
      <c r="J284" s="4">
        <v>223069.916</v>
      </c>
      <c r="K284" s="4">
        <v>606097.01599999995</v>
      </c>
      <c r="L284" s="4">
        <f>SUM(I284:K284)</f>
        <v>2270422.1510000001</v>
      </c>
      <c r="N284" s="2">
        <f>G284+L284</f>
        <v>3672045.3650000002</v>
      </c>
    </row>
    <row r="285" spans="1:14" x14ac:dyDescent="0.2">
      <c r="A285" s="7"/>
      <c r="B285" s="7"/>
      <c r="C285" s="7" t="s">
        <v>23</v>
      </c>
      <c r="D285" s="7">
        <f>(D283/D284)-1</f>
        <v>0.13912028141851929</v>
      </c>
      <c r="E285" s="7">
        <f>(E283/E284)-1</f>
        <v>0.1622503105973232</v>
      </c>
      <c r="F285" s="7">
        <f>(F283/F284)-1</f>
        <v>0.12300434360983714</v>
      </c>
      <c r="G285" s="7">
        <f>(G283/G284)-1</f>
        <v>0.14349254642696008</v>
      </c>
      <c r="H285" s="7"/>
      <c r="I285" s="7">
        <f>(I283/I284)-1</f>
        <v>9.8377548355646161E-2</v>
      </c>
      <c r="J285" s="7">
        <f>(J283/J284)-1</f>
        <v>-1.419029986992959E-2</v>
      </c>
      <c r="K285" s="7">
        <f>(K283/K284)-1</f>
        <v>9.5594879576176739E-2</v>
      </c>
      <c r="L285" s="7">
        <f>(L283/L284)-1</f>
        <v>8.6574867660371035E-2</v>
      </c>
      <c r="N285" s="7">
        <f>(N283/N284)-1</f>
        <v>0.10830039986828965</v>
      </c>
    </row>
    <row r="287" spans="1:14" x14ac:dyDescent="0.2">
      <c r="A287" s="5" t="s">
        <v>11</v>
      </c>
      <c r="C287" s="5" t="s">
        <v>21</v>
      </c>
      <c r="D287" s="4">
        <f>1196646.082-929.999987</f>
        <v>1195716.082013</v>
      </c>
      <c r="E287" s="4">
        <v>351575.27799999999</v>
      </c>
      <c r="F287" s="4">
        <v>70636.269</v>
      </c>
      <c r="G287" s="4">
        <f>SUM(D287:F287)</f>
        <v>1617927.6290130001</v>
      </c>
      <c r="I287" s="4">
        <f>1598314.047-12863.386</f>
        <v>1585450.6610000001</v>
      </c>
      <c r="J287" s="4">
        <v>259378.53899999999</v>
      </c>
      <c r="K287" s="4">
        <f>618995.694+86161.782-92.000064</f>
        <v>705065.475936</v>
      </c>
      <c r="L287" s="4">
        <f>SUM(I287:K287)</f>
        <v>2549894.6759360004</v>
      </c>
      <c r="N287" s="2">
        <f>G287+L287</f>
        <v>4167822.3049490005</v>
      </c>
    </row>
    <row r="288" spans="1:14" x14ac:dyDescent="0.2">
      <c r="C288" s="5" t="s">
        <v>22</v>
      </c>
      <c r="D288" s="4">
        <v>1161382.9709999999</v>
      </c>
      <c r="E288" s="4">
        <v>339880.19300000003</v>
      </c>
      <c r="F288" s="4">
        <v>61718.033000000003</v>
      </c>
      <c r="G288" s="4">
        <f>SUM(D288:F288)</f>
        <v>1562981.1969999999</v>
      </c>
      <c r="I288" s="4">
        <v>1480119.754</v>
      </c>
      <c r="J288" s="4">
        <v>234633.86600000001</v>
      </c>
      <c r="K288" s="4">
        <v>789929.19900000002</v>
      </c>
      <c r="L288" s="4">
        <f>SUM(I288:K288)</f>
        <v>2504682.8190000001</v>
      </c>
      <c r="N288" s="2">
        <f>G288+L288</f>
        <v>4067664.0159999998</v>
      </c>
    </row>
    <row r="289" spans="1:14" x14ac:dyDescent="0.2">
      <c r="A289" s="7"/>
      <c r="B289" s="7"/>
      <c r="C289" s="7" t="s">
        <v>23</v>
      </c>
      <c r="D289" s="7">
        <f>(D287/D288)-1</f>
        <v>2.9562264877569078E-2</v>
      </c>
      <c r="E289" s="7">
        <f>(E287/E288)-1</f>
        <v>3.4409433797161437E-2</v>
      </c>
      <c r="F289" s="7">
        <f>(F287/F288)-1</f>
        <v>0.1444996796965321</v>
      </c>
      <c r="G289" s="7">
        <f>(G287/G288)-1</f>
        <v>3.5154889974661652E-2</v>
      </c>
      <c r="H289" s="7"/>
      <c r="I289" s="7">
        <f>(I287/I288)-1</f>
        <v>7.1163773549636877E-2</v>
      </c>
      <c r="J289" s="7">
        <f>(J287/J288)-1</f>
        <v>0.1054607905578302</v>
      </c>
      <c r="K289" s="7">
        <f>(K287/K288)-1</f>
        <v>-0.10743206248285553</v>
      </c>
      <c r="L289" s="7">
        <f>(L287/L288)-1</f>
        <v>1.8050931077193688E-2</v>
      </c>
      <c r="N289" s="7">
        <f>(N287/N288)-1</f>
        <v>2.4623048647831158E-2</v>
      </c>
    </row>
    <row r="291" spans="1:14" x14ac:dyDescent="0.2">
      <c r="A291" s="5" t="s">
        <v>12</v>
      </c>
      <c r="C291" s="5" t="s">
        <v>21</v>
      </c>
      <c r="D291" s="4">
        <f>1134694.054-921.999931</f>
        <v>1133772.0540690001</v>
      </c>
      <c r="E291" s="4">
        <v>307566.42800000001</v>
      </c>
      <c r="F291" s="4">
        <v>72075.42</v>
      </c>
      <c r="G291" s="4">
        <f>SUM(D291:F291)</f>
        <v>1513413.9020690001</v>
      </c>
      <c r="I291" s="4">
        <f>1549501.757-13233.839</f>
        <v>1536267.9180000001</v>
      </c>
      <c r="J291" s="4">
        <v>246604.31099999999</v>
      </c>
      <c r="K291" s="4">
        <f>564689.899+80963.387-76.999867</f>
        <v>645576.28613299993</v>
      </c>
      <c r="L291" s="4">
        <f>SUM(I291:K291)</f>
        <v>2428448.515133</v>
      </c>
      <c r="N291" s="2">
        <f>G291+L291</f>
        <v>3941862.417202</v>
      </c>
    </row>
    <row r="292" spans="1:14" x14ac:dyDescent="0.2">
      <c r="C292" s="5" t="s">
        <v>22</v>
      </c>
      <c r="D292" s="4">
        <v>945403.80799999996</v>
      </c>
      <c r="E292" s="4">
        <v>327511.15600000002</v>
      </c>
      <c r="F292" s="4">
        <v>60360.356</v>
      </c>
      <c r="G292" s="4">
        <f>SUM(D292:F292)</f>
        <v>1333275.3199999998</v>
      </c>
      <c r="I292" s="4">
        <v>1477169.267</v>
      </c>
      <c r="J292" s="4">
        <v>220582.54300000001</v>
      </c>
      <c r="K292" s="4">
        <v>610464.44799999997</v>
      </c>
      <c r="L292" s="4">
        <f>SUM(I292:K292)</f>
        <v>2308216.2579999999</v>
      </c>
      <c r="N292" s="2">
        <f>G292+L292</f>
        <v>3641491.5779999997</v>
      </c>
    </row>
    <row r="293" spans="1:14" x14ac:dyDescent="0.2">
      <c r="A293" s="7"/>
      <c r="B293" s="7"/>
      <c r="C293" s="7" t="s">
        <v>23</v>
      </c>
      <c r="D293" s="7">
        <f>(D291/D292)-1</f>
        <v>0.19924633735873432</v>
      </c>
      <c r="E293" s="7">
        <f>(E291/E292)-1</f>
        <v>-6.0897858392341297E-2</v>
      </c>
      <c r="F293" s="7">
        <f>(F291/F292)-1</f>
        <v>0.19408540267721408</v>
      </c>
      <c r="G293" s="7">
        <f>(G291/G292)-1</f>
        <v>0.13510981517980869</v>
      </c>
      <c r="H293" s="7"/>
      <c r="I293" s="7">
        <f>(I291/I292)-1</f>
        <v>4.0008042626031637E-2</v>
      </c>
      <c r="J293" s="7">
        <f>(J291/J292)-1</f>
        <v>0.11796839244889834</v>
      </c>
      <c r="K293" s="7">
        <f>(K291/K292)-1</f>
        <v>5.751659781013152E-2</v>
      </c>
      <c r="L293" s="7">
        <f>(L291/L292)-1</f>
        <v>5.2088818244949708E-2</v>
      </c>
      <c r="N293" s="7">
        <f>(N291/N292)-1</f>
        <v>8.2485660825548646E-2</v>
      </c>
    </row>
    <row r="295" spans="1:14" x14ac:dyDescent="0.2">
      <c r="A295" s="5" t="s">
        <v>13</v>
      </c>
      <c r="C295" s="5" t="s">
        <v>21</v>
      </c>
      <c r="D295" s="4">
        <f>1094739.314-927.00006</f>
        <v>1093812.31394</v>
      </c>
      <c r="E295" s="4">
        <v>326127.40700000001</v>
      </c>
      <c r="F295" s="4">
        <v>71859.845000000001</v>
      </c>
      <c r="G295" s="4">
        <f>SUM(D295:F295)</f>
        <v>1491799.5659399999</v>
      </c>
      <c r="I295" s="4">
        <f>1723652.836-14696.191</f>
        <v>1708956.6449999998</v>
      </c>
      <c r="J295" s="4">
        <v>319725.37699999998</v>
      </c>
      <c r="K295" s="4">
        <f>554972.521+82344.924-66.00024</f>
        <v>637251.44475999998</v>
      </c>
      <c r="L295" s="4">
        <f>SUM(I295:K295)</f>
        <v>2665933.4667599997</v>
      </c>
      <c r="N295" s="2">
        <f>G295+L295</f>
        <v>4157733.0326999994</v>
      </c>
    </row>
    <row r="296" spans="1:14" x14ac:dyDescent="0.2">
      <c r="C296" s="5" t="s">
        <v>22</v>
      </c>
      <c r="D296" s="4">
        <v>1008995.93</v>
      </c>
      <c r="E296" s="4">
        <v>247521.057</v>
      </c>
      <c r="F296" s="4">
        <v>62542.741000000002</v>
      </c>
      <c r="G296" s="4">
        <f>SUM(D296:F296)</f>
        <v>1319059.7279999999</v>
      </c>
      <c r="I296" s="4">
        <v>1633244.0079999999</v>
      </c>
      <c r="J296" s="4">
        <v>250239.49900000001</v>
      </c>
      <c r="K296" s="4">
        <v>591408.098</v>
      </c>
      <c r="L296" s="4">
        <f>SUM(I296:K296)</f>
        <v>2474891.605</v>
      </c>
      <c r="N296" s="2">
        <f>G296+L296</f>
        <v>3793951.3329999996</v>
      </c>
    </row>
    <row r="297" spans="1:14" x14ac:dyDescent="0.2">
      <c r="A297" s="7"/>
      <c r="B297" s="7"/>
      <c r="C297" s="7" t="s">
        <v>23</v>
      </c>
      <c r="D297" s="7">
        <f>(D295/D296)-1</f>
        <v>8.4060184405302829E-2</v>
      </c>
      <c r="E297" s="7">
        <f>(E295/E296)-1</f>
        <v>0.31757439529680087</v>
      </c>
      <c r="F297" s="7">
        <f>(F295/F296)-1</f>
        <v>0.14897178874843364</v>
      </c>
      <c r="G297" s="7">
        <f>(G295/G296)-1</f>
        <v>0.13095679768945234</v>
      </c>
      <c r="H297" s="7"/>
      <c r="I297" s="7">
        <f>(I295/I296)-1</f>
        <v>4.6357210942848726E-2</v>
      </c>
      <c r="J297" s="7">
        <f>(J295/J296)-1</f>
        <v>0.27767749806756115</v>
      </c>
      <c r="K297" s="7">
        <f>(K295/K296)-1</f>
        <v>7.7515588499770471E-2</v>
      </c>
      <c r="L297" s="7">
        <f>(L295/L296)-1</f>
        <v>7.7192011712367448E-2</v>
      </c>
      <c r="N297" s="7">
        <f>(N295/N296)-1</f>
        <v>9.5884651059123138E-2</v>
      </c>
    </row>
    <row r="299" spans="1:14" x14ac:dyDescent="0.2">
      <c r="A299" s="5" t="s">
        <v>14</v>
      </c>
      <c r="C299" s="5" t="s">
        <v>21</v>
      </c>
      <c r="D299" s="4">
        <f>1133675.508-917.999997</f>
        <v>1132757.5080029999</v>
      </c>
      <c r="E299" s="4">
        <v>362436.99599999998</v>
      </c>
      <c r="F299" s="4">
        <v>84565.998999999996</v>
      </c>
      <c r="G299" s="4">
        <f>SUM(D299:F299)</f>
        <v>1579760.503003</v>
      </c>
      <c r="I299" s="4">
        <f>1786027.177-15459.334</f>
        <v>1770567.8429999999</v>
      </c>
      <c r="J299" s="4">
        <v>420470.511</v>
      </c>
      <c r="K299" s="4">
        <f>550738.651+77938.786-70.99992</f>
        <v>628606.43707999995</v>
      </c>
      <c r="L299" s="4">
        <f>SUM(I299:K299)</f>
        <v>2819644.7910799999</v>
      </c>
      <c r="N299" s="2">
        <f>G299+L299</f>
        <v>4399405.2940830002</v>
      </c>
    </row>
    <row r="300" spans="1:14" x14ac:dyDescent="0.2">
      <c r="C300" s="5" t="s">
        <v>22</v>
      </c>
      <c r="D300" s="4">
        <v>1334269.561</v>
      </c>
      <c r="E300" s="4">
        <v>426916.63199999998</v>
      </c>
      <c r="F300" s="4">
        <v>96868.156000000003</v>
      </c>
      <c r="G300" s="4">
        <f>SUM(D300:F300)</f>
        <v>1858054.3489999999</v>
      </c>
      <c r="I300" s="4">
        <v>1387740.784</v>
      </c>
      <c r="J300" s="4">
        <v>350941.17499999999</v>
      </c>
      <c r="K300" s="4">
        <v>576758.65899999999</v>
      </c>
      <c r="L300" s="4">
        <f>SUM(I300:K300)</f>
        <v>2315440.6179999998</v>
      </c>
      <c r="N300" s="2">
        <f>G300+L300</f>
        <v>4173494.9669999997</v>
      </c>
    </row>
    <row r="301" spans="1:14" x14ac:dyDescent="0.2">
      <c r="A301" s="7"/>
      <c r="B301" s="7"/>
      <c r="C301" s="7" t="s">
        <v>23</v>
      </c>
      <c r="D301" s="7">
        <f>(D299/D300)-1</f>
        <v>-0.15102799230911934</v>
      </c>
      <c r="E301" s="7">
        <f>(E299/E300)-1</f>
        <v>-0.15103566168862681</v>
      </c>
      <c r="F301" s="7">
        <f>(F299/F300)-1</f>
        <v>-0.12699897993309595</v>
      </c>
      <c r="G301" s="7">
        <f>(G299/G300)-1</f>
        <v>-0.14977702140240245</v>
      </c>
      <c r="H301" s="7"/>
      <c r="I301" s="7">
        <f>(I299/I300)-1</f>
        <v>0.27586352106518475</v>
      </c>
      <c r="J301" s="7">
        <f>(J299/J300)-1</f>
        <v>0.1981224802133863</v>
      </c>
      <c r="K301" s="7">
        <f>(K299/K300)-1</f>
        <v>8.9895101306142644E-2</v>
      </c>
      <c r="L301" s="7">
        <f>(L299/L300)-1</f>
        <v>0.21775733273415354</v>
      </c>
      <c r="N301" s="7">
        <f>(N299/N300)-1</f>
        <v>5.4129771059814979E-2</v>
      </c>
    </row>
    <row r="303" spans="1:14" x14ac:dyDescent="0.2">
      <c r="A303" s="5" t="s">
        <v>15</v>
      </c>
      <c r="C303" s="5" t="s">
        <v>21</v>
      </c>
      <c r="D303" s="4">
        <f>1261904.645-918.999912</f>
        <v>1260985.645088</v>
      </c>
      <c r="E303" s="4">
        <v>407480.55200000003</v>
      </c>
      <c r="F303" s="4">
        <v>91770.751000000004</v>
      </c>
      <c r="G303" s="4">
        <f>SUM(D303:F303)</f>
        <v>1760236.9480879998</v>
      </c>
      <c r="I303" s="4">
        <f>2162288.702-19019.864</f>
        <v>2143268.838</v>
      </c>
      <c r="J303" s="4">
        <v>452907.196</v>
      </c>
      <c r="K303" s="4">
        <f>616214.117+81811.652-59.99988</f>
        <v>697965.76911999995</v>
      </c>
      <c r="L303" s="4">
        <f>SUM(I303:K303)</f>
        <v>3294141.8031199998</v>
      </c>
      <c r="N303" s="2">
        <f>G303+L303</f>
        <v>5054378.7512079999</v>
      </c>
    </row>
    <row r="304" spans="1:14" x14ac:dyDescent="0.2">
      <c r="C304" s="5" t="s">
        <v>22</v>
      </c>
      <c r="D304" s="4">
        <v>1169716.5419999999</v>
      </c>
      <c r="E304" s="4">
        <v>353564.23200000002</v>
      </c>
      <c r="F304" s="4">
        <v>82703.263000000006</v>
      </c>
      <c r="G304" s="4">
        <f>SUM(D304:F304)</f>
        <v>1605984.037</v>
      </c>
      <c r="I304" s="4">
        <v>2076309.7760000001</v>
      </c>
      <c r="J304" s="4">
        <v>390642.03700000001</v>
      </c>
      <c r="K304" s="4">
        <v>639070.10900000005</v>
      </c>
      <c r="L304" s="4">
        <f>SUM(I304:K304)</f>
        <v>3106021.9220000003</v>
      </c>
      <c r="N304" s="2">
        <f>G304+L304</f>
        <v>4712005.9590000007</v>
      </c>
    </row>
    <row r="305" spans="1:14" x14ac:dyDescent="0.2">
      <c r="A305" s="7"/>
      <c r="B305" s="7"/>
      <c r="C305" s="7" t="s">
        <v>23</v>
      </c>
      <c r="D305" s="7">
        <f>(D303/D304)-1</f>
        <v>7.8026684081894615E-2</v>
      </c>
      <c r="E305" s="7">
        <f>(E303/E304)-1</f>
        <v>0.15249370586784927</v>
      </c>
      <c r="F305" s="7">
        <f>(F303/F304)-1</f>
        <v>0.10963881799923669</v>
      </c>
      <c r="G305" s="7">
        <f>(G303/G304)-1</f>
        <v>9.6048844530326916E-2</v>
      </c>
      <c r="H305" s="7"/>
      <c r="I305" s="7">
        <f>(I303/I304)-1</f>
        <v>3.224907129657506E-2</v>
      </c>
      <c r="J305" s="7">
        <f>(J303/J304)-1</f>
        <v>0.15939185520886467</v>
      </c>
      <c r="K305" s="7">
        <f>(K303/K304)-1</f>
        <v>9.2158370874454221E-2</v>
      </c>
      <c r="L305" s="7">
        <f>(L303/L304)-1</f>
        <v>6.0566179455316727E-2</v>
      </c>
      <c r="N305" s="7">
        <f>(N303/N304)-1</f>
        <v>7.2659668766772656E-2</v>
      </c>
    </row>
    <row r="307" spans="1:14" x14ac:dyDescent="0.2">
      <c r="A307" s="5" t="s">
        <v>16</v>
      </c>
      <c r="C307" s="5" t="s">
        <v>21</v>
      </c>
      <c r="D307" s="4">
        <f>1200766.627-919.999933</f>
        <v>1199846.6270670001</v>
      </c>
      <c r="E307" s="4">
        <v>389806.375</v>
      </c>
      <c r="F307" s="4">
        <v>83327.236000000004</v>
      </c>
      <c r="G307" s="4">
        <f>SUM(D307:F307)</f>
        <v>1672980.2380670002</v>
      </c>
      <c r="I307" s="4">
        <f>2058106.179-18469.814</f>
        <v>2039636.365</v>
      </c>
      <c r="J307" s="4">
        <v>365517.45500000002</v>
      </c>
      <c r="K307" s="4">
        <f>607871.687+85657.546-73.999728</f>
        <v>693455.23327199998</v>
      </c>
      <c r="L307" s="4">
        <f>SUM(I307:K307)</f>
        <v>3098609.0532719996</v>
      </c>
      <c r="N307" s="2">
        <f>G307+L307</f>
        <v>4771589.2913389998</v>
      </c>
    </row>
    <row r="308" spans="1:14" x14ac:dyDescent="0.2">
      <c r="C308" s="5" t="s">
        <v>22</v>
      </c>
      <c r="D308" s="4">
        <v>1080159.1470000001</v>
      </c>
      <c r="E308" s="4">
        <v>359874.16700000002</v>
      </c>
      <c r="F308" s="4">
        <v>75129.573999999993</v>
      </c>
      <c r="G308" s="4">
        <f>SUM(D308:F308)</f>
        <v>1515162.8880000003</v>
      </c>
      <c r="I308" s="4">
        <v>1843037.327</v>
      </c>
      <c r="J308" s="4">
        <v>335709.80200000003</v>
      </c>
      <c r="K308" s="4">
        <v>648745.57999999996</v>
      </c>
      <c r="L308" s="4">
        <f>SUM(I308:K308)</f>
        <v>2827492.7090000003</v>
      </c>
      <c r="N308" s="2">
        <f>G308+L308</f>
        <v>4342655.597000001</v>
      </c>
    </row>
    <row r="309" spans="1:14" x14ac:dyDescent="0.2">
      <c r="A309" s="7"/>
      <c r="B309" s="7"/>
      <c r="C309" s="7" t="s">
        <v>23</v>
      </c>
      <c r="D309" s="7">
        <f>(D307/D308)-1</f>
        <v>0.11080541270183764</v>
      </c>
      <c r="E309" s="7">
        <f>(E307/E308)-1</f>
        <v>8.3174094571784041E-2</v>
      </c>
      <c r="F309" s="7">
        <f>(F307/F308)-1</f>
        <v>0.10911364943983326</v>
      </c>
      <c r="G309" s="7">
        <f>(G307/G308)-1</f>
        <v>0.10415866922091599</v>
      </c>
      <c r="H309" s="7"/>
      <c r="I309" s="7">
        <f>(I307/I308)-1</f>
        <v>0.10667121881899888</v>
      </c>
      <c r="J309" s="7">
        <f>(J307/J308)-1</f>
        <v>8.878993947278313E-2</v>
      </c>
      <c r="K309" s="7">
        <f>(K307/K308)-1</f>
        <v>6.8917083445870997E-2</v>
      </c>
      <c r="L309" s="7">
        <f>(L307/L308)-1</f>
        <v>9.5885780150388067E-2</v>
      </c>
      <c r="N309" s="7">
        <f>(N307/N308)-1</f>
        <v>9.8772210864549237E-2</v>
      </c>
    </row>
    <row r="311" spans="1:14" x14ac:dyDescent="0.2">
      <c r="A311" s="5" t="s">
        <v>17</v>
      </c>
      <c r="C311" s="5" t="s">
        <v>21</v>
      </c>
      <c r="D311" s="4">
        <f>1106068.544-915.000241</f>
        <v>1105153.543759</v>
      </c>
      <c r="E311" s="4">
        <v>365278.495</v>
      </c>
      <c r="F311" s="4">
        <v>67037.241999999998</v>
      </c>
      <c r="G311" s="4">
        <f>SUM(D311:F311)</f>
        <v>1537469.2807590002</v>
      </c>
      <c r="I311" s="4">
        <f>1671456.035-14547.559</f>
        <v>1656908.476</v>
      </c>
      <c r="J311" s="4">
        <v>271008.11700000003</v>
      </c>
      <c r="K311" s="4">
        <f>563826.583+81470.022-82.00008</f>
        <v>645214.60491999995</v>
      </c>
      <c r="L311" s="4">
        <f>SUM(I311:K311)</f>
        <v>2573131.1979200002</v>
      </c>
      <c r="N311" s="2">
        <f>G311+L311</f>
        <v>4110600.4786790004</v>
      </c>
    </row>
    <row r="312" spans="1:14" x14ac:dyDescent="0.2">
      <c r="C312" s="5" t="s">
        <v>22</v>
      </c>
      <c r="D312" s="4">
        <v>1022113.419</v>
      </c>
      <c r="E312" s="4">
        <v>337312.799</v>
      </c>
      <c r="F312" s="4">
        <v>70751.442999999999</v>
      </c>
      <c r="G312" s="4">
        <f>SUM(D312:F312)</f>
        <v>1430177.6609999998</v>
      </c>
      <c r="I312" s="4">
        <v>1466206.8659999999</v>
      </c>
      <c r="J312" s="4">
        <v>285961.65000000002</v>
      </c>
      <c r="K312" s="4">
        <v>587228.89800000004</v>
      </c>
      <c r="L312" s="4">
        <f>SUM(I312:K312)</f>
        <v>2339397.4139999999</v>
      </c>
      <c r="N312" s="2">
        <f>G312+L312</f>
        <v>3769575.0749999997</v>
      </c>
    </row>
    <row r="313" spans="1:14" x14ac:dyDescent="0.2">
      <c r="A313" s="7"/>
      <c r="B313" s="7"/>
      <c r="C313" s="7" t="s">
        <v>23</v>
      </c>
      <c r="D313" s="7">
        <f>(D311/D312)-1</f>
        <v>8.1243552051438295E-2</v>
      </c>
      <c r="E313" s="7">
        <f>(E311/E312)-1</f>
        <v>8.2907307647107631E-2</v>
      </c>
      <c r="F313" s="7">
        <f>(F311/F312)-1</f>
        <v>-5.2496469930655709E-2</v>
      </c>
      <c r="G313" s="7">
        <f>(G311/G312)-1</f>
        <v>7.5019784383976829E-2</v>
      </c>
      <c r="H313" s="7"/>
      <c r="I313" s="7">
        <f>(I311/I312)-1</f>
        <v>0.13006460031131795</v>
      </c>
      <c r="J313" s="7">
        <f>(J311/J312)-1</f>
        <v>-5.2292092313777072E-2</v>
      </c>
      <c r="K313" s="7">
        <f>(K311/K312)-1</f>
        <v>9.8744641344268302E-2</v>
      </c>
      <c r="L313" s="7">
        <f>(L311/L312)-1</f>
        <v>9.9911961311589303E-2</v>
      </c>
      <c r="N313" s="7">
        <f>(N311/N312)-1</f>
        <v>9.0467863590434128E-2</v>
      </c>
    </row>
    <row r="315" spans="1:14" x14ac:dyDescent="0.2">
      <c r="A315" s="5" t="s">
        <v>18</v>
      </c>
      <c r="C315" s="5" t="s">
        <v>21</v>
      </c>
      <c r="D315" s="4">
        <f>1120859.543-921.999795</f>
        <v>1119937.543205</v>
      </c>
      <c r="E315" s="4">
        <v>361434.27899999998</v>
      </c>
      <c r="F315" s="4">
        <v>63368.082999999999</v>
      </c>
      <c r="G315" s="4">
        <f>SUM(D315:F315)</f>
        <v>1544739.9052050002</v>
      </c>
      <c r="I315" s="4">
        <f>1638259.879-14861.117</f>
        <v>1623398.7619999999</v>
      </c>
      <c r="J315" s="4">
        <v>274702.783</v>
      </c>
      <c r="K315" s="4">
        <f>587997.359+84946.179-63.99997</f>
        <v>672879.53803000005</v>
      </c>
      <c r="L315" s="4">
        <f>SUM(I315:K315)</f>
        <v>2570981.0830299999</v>
      </c>
      <c r="N315" s="2">
        <f>G315+L315</f>
        <v>4115720.9882350001</v>
      </c>
    </row>
    <row r="316" spans="1:14" x14ac:dyDescent="0.2">
      <c r="C316" s="5" t="s">
        <v>22</v>
      </c>
      <c r="D316" s="4">
        <v>991601.902</v>
      </c>
      <c r="E316" s="4">
        <v>340738.48200000002</v>
      </c>
      <c r="F316" s="4">
        <v>54497.580999999998</v>
      </c>
      <c r="G316" s="4">
        <f>SUM(D316:F316)</f>
        <v>1386837.9650000001</v>
      </c>
      <c r="I316" s="4">
        <v>1509473.2009999999</v>
      </c>
      <c r="J316" s="4">
        <v>248964.86199999999</v>
      </c>
      <c r="K316" s="4">
        <v>619464.45799999998</v>
      </c>
      <c r="L316" s="4">
        <f>SUM(I316:K316)</f>
        <v>2377902.5209999997</v>
      </c>
      <c r="N316" s="2">
        <f>G316+L316</f>
        <v>3764740.4859999996</v>
      </c>
    </row>
    <row r="317" spans="1:14" x14ac:dyDescent="0.2">
      <c r="A317" s="7"/>
      <c r="B317" s="7"/>
      <c r="C317" s="7" t="s">
        <v>23</v>
      </c>
      <c r="D317" s="7">
        <f>(D315/D316)-1</f>
        <v>0.12942254441641832</v>
      </c>
      <c r="E317" s="7">
        <f>(E315/E316)-1</f>
        <v>6.0738067736064938E-2</v>
      </c>
      <c r="F317" s="7">
        <f>(F315/F316)-1</f>
        <v>0.1627687291294635</v>
      </c>
      <c r="G317" s="7">
        <f>(G315/G316)-1</f>
        <v>0.11385752639458513</v>
      </c>
      <c r="H317" s="7"/>
      <c r="I317" s="7">
        <f>(I315/I316)-1</f>
        <v>7.5473722173090785E-2</v>
      </c>
      <c r="J317" s="7">
        <f>(J315/J316)-1</f>
        <v>0.10337973316089877</v>
      </c>
      <c r="K317" s="7">
        <f>(K315/K316)-1</f>
        <v>8.6227836545224479E-2</v>
      </c>
      <c r="L317" s="7">
        <f>(L315/L316)-1</f>
        <v>8.1197004639535608E-2</v>
      </c>
      <c r="N317" s="7">
        <f>(N315/N316)-1</f>
        <v>9.3228338989153947E-2</v>
      </c>
    </row>
    <row r="319" spans="1:14" x14ac:dyDescent="0.2">
      <c r="A319" s="5" t="s">
        <v>19</v>
      </c>
      <c r="C319" s="5" t="s">
        <v>21</v>
      </c>
      <c r="D319" s="4">
        <f>1237461.09-920.000326</f>
        <v>1236541.0896740002</v>
      </c>
      <c r="E319" s="4">
        <v>393441.49800000002</v>
      </c>
      <c r="F319" s="4">
        <v>67981.562999999995</v>
      </c>
      <c r="G319" s="4">
        <f>SUM(D319:F319)</f>
        <v>1697964.1506740004</v>
      </c>
      <c r="I319" s="4">
        <f>1729551.546-14435.622</f>
        <v>1715115.9240000001</v>
      </c>
      <c r="J319" s="4">
        <v>261256.891</v>
      </c>
      <c r="K319" s="4">
        <f>614323.427+100227.763-73.00008</f>
        <v>714478.18992000003</v>
      </c>
      <c r="L319" s="4">
        <f>SUM(I319:K319)</f>
        <v>2690851.0049200002</v>
      </c>
      <c r="N319" s="2">
        <f>G319+L319</f>
        <v>4388815.1555940006</v>
      </c>
    </row>
    <row r="320" spans="1:14" x14ac:dyDescent="0.2">
      <c r="C320" s="5" t="s">
        <v>22</v>
      </c>
      <c r="D320" s="4">
        <v>1144577.0379999999</v>
      </c>
      <c r="E320" s="4">
        <v>351816.2</v>
      </c>
      <c r="F320" s="4">
        <v>61401.665999999997</v>
      </c>
      <c r="G320" s="4">
        <f>SUM(D320:F320)</f>
        <v>1557794.9039999999</v>
      </c>
      <c r="I320" s="4">
        <v>1615645.6969999999</v>
      </c>
      <c r="J320" s="4">
        <v>228339.796</v>
      </c>
      <c r="K320" s="4">
        <v>637623.89799999993</v>
      </c>
      <c r="L320" s="4">
        <f>SUM(I320:K320)</f>
        <v>2481609.3909999998</v>
      </c>
      <c r="N320" s="2">
        <f>G320+L320</f>
        <v>4039404.2949999999</v>
      </c>
    </row>
    <row r="321" spans="1:14" x14ac:dyDescent="0.2">
      <c r="A321" s="7"/>
      <c r="B321" s="7"/>
      <c r="C321" s="7" t="s">
        <v>23</v>
      </c>
      <c r="D321" s="7">
        <f>(D319/D320)-1</f>
        <v>8.0347629404391663E-2</v>
      </c>
      <c r="E321" s="7">
        <f>(E319/E320)-1</f>
        <v>0.11831546699668749</v>
      </c>
      <c r="F321" s="7">
        <f>(F319/F320)-1</f>
        <v>0.10716153858105404</v>
      </c>
      <c r="G321" s="7">
        <f>(G319/G320)-1</f>
        <v>8.9979268974422322E-2</v>
      </c>
      <c r="H321" s="7"/>
      <c r="I321" s="7">
        <f>(I319/I320)-1</f>
        <v>6.1566856634905021E-2</v>
      </c>
      <c r="J321" s="7">
        <f>(J319/J320)-1</f>
        <v>0.14415837964574507</v>
      </c>
      <c r="K321" s="7">
        <f>(K319/K320)-1</f>
        <v>0.12053232659733237</v>
      </c>
      <c r="L321" s="7">
        <f>(L319/L320)-1</f>
        <v>8.4316901233067787E-2</v>
      </c>
      <c r="N321" s="7">
        <f>(N319/N320)-1</f>
        <v>8.6500591442778774E-2</v>
      </c>
    </row>
    <row r="323" spans="1:14" x14ac:dyDescent="0.2">
      <c r="A323" s="5" t="s">
        <v>20</v>
      </c>
      <c r="C323" s="5" t="s">
        <v>21</v>
      </c>
      <c r="D323" s="4">
        <f>1328679.511-929.081893</f>
        <v>1327750.4291069999</v>
      </c>
      <c r="E323" s="4">
        <v>437754.73499999999</v>
      </c>
      <c r="F323" s="4">
        <v>79364.710000000006</v>
      </c>
      <c r="G323" s="4">
        <f>SUM(D323:F323)</f>
        <v>1844869.874107</v>
      </c>
      <c r="I323" s="4">
        <f>1857446.988-15852.557</f>
        <v>1841594.4309999999</v>
      </c>
      <c r="J323" s="4">
        <v>277023.67</v>
      </c>
      <c r="K323" s="4">
        <f>647056.13+105217.828-100.000296</f>
        <v>752173.95770399994</v>
      </c>
      <c r="L323" s="4">
        <f>SUM(I323:K323)</f>
        <v>2870792.058704</v>
      </c>
      <c r="N323" s="2">
        <f>G323+L323</f>
        <v>4715661.9328109995</v>
      </c>
    </row>
    <row r="324" spans="1:14" x14ac:dyDescent="0.2">
      <c r="C324" s="5" t="s">
        <v>22</v>
      </c>
      <c r="D324" s="4">
        <v>1193953.6640000001</v>
      </c>
      <c r="E324" s="4">
        <v>400463.18</v>
      </c>
      <c r="F324" s="4">
        <v>77685.998000000007</v>
      </c>
      <c r="G324" s="4">
        <f>SUM(D324:F324)</f>
        <v>1672102.8419999999</v>
      </c>
      <c r="I324" s="4">
        <v>1638306.8929999999</v>
      </c>
      <c r="J324" s="4">
        <v>253045.33199999999</v>
      </c>
      <c r="K324" s="4">
        <v>677912.98800000001</v>
      </c>
      <c r="L324" s="4">
        <f>SUM(I324:K324)</f>
        <v>2569265.213</v>
      </c>
      <c r="N324" s="2">
        <f>G324+L324</f>
        <v>4241368.0549999997</v>
      </c>
    </row>
    <row r="325" spans="1:14" x14ac:dyDescent="0.2">
      <c r="A325" s="7"/>
      <c r="B325" s="7"/>
      <c r="C325" s="7" t="s">
        <v>23</v>
      </c>
      <c r="D325" s="7">
        <f>(D323/D324)-1</f>
        <v>0.11206194104614742</v>
      </c>
      <c r="E325" s="7">
        <f>(E323/E324)-1</f>
        <v>9.3121057970922516E-2</v>
      </c>
      <c r="F325" s="7">
        <f>(F323/F324)-1</f>
        <v>2.1608939103801017E-2</v>
      </c>
      <c r="G325" s="7">
        <f>(G323/G324)-1</f>
        <v>0.10332320941477113</v>
      </c>
      <c r="H325" s="7"/>
      <c r="I325" s="7">
        <f>(I323/I324)-1</f>
        <v>0.12408391789632778</v>
      </c>
      <c r="J325" s="7">
        <f>(J323/J324)-1</f>
        <v>9.4759060799430195E-2</v>
      </c>
      <c r="K325" s="7">
        <f>(K323/K324)-1</f>
        <v>0.10954351224791692</v>
      </c>
      <c r="L325" s="7">
        <f>(L323/L324)-1</f>
        <v>0.11735917498058623</v>
      </c>
      <c r="N325" s="7">
        <f>(N323/N324)-1</f>
        <v>0.1118256825770807</v>
      </c>
    </row>
    <row r="327" spans="1:14" x14ac:dyDescent="0.2">
      <c r="A327" s="5" t="s">
        <v>48</v>
      </c>
      <c r="C327" s="5" t="s">
        <v>21</v>
      </c>
      <c r="D327" s="4">
        <f t="shared" ref="D327:G328" si="37">D279+D283+D287+D291+D295+D299+D303+D307+D311+D315+D319+D323</f>
        <v>14260636.477134999</v>
      </c>
      <c r="E327" s="4">
        <f t="shared" si="37"/>
        <v>4469641.29</v>
      </c>
      <c r="F327" s="4">
        <f t="shared" si="37"/>
        <v>892687.39599999995</v>
      </c>
      <c r="G327" s="4">
        <f t="shared" si="37"/>
        <v>19622965.163135</v>
      </c>
      <c r="I327" s="4">
        <f t="shared" ref="I327:L328" si="38">I279+I283+I287+I291+I295+I299+I303+I307+I311+I315+I319+I323</f>
        <v>20948719.353999995</v>
      </c>
      <c r="J327" s="4">
        <f t="shared" si="38"/>
        <v>3636800.0589999999</v>
      </c>
      <c r="K327" s="4">
        <f t="shared" si="38"/>
        <v>8180919.1151950005</v>
      </c>
      <c r="L327" s="4">
        <f t="shared" si="38"/>
        <v>32766438.528194997</v>
      </c>
      <c r="N327" s="4">
        <f>N279+N283+N287+N291+N295+N299+N303+N307+N311+N315+N319+N323</f>
        <v>52389403.691329993</v>
      </c>
    </row>
    <row r="328" spans="1:14" x14ac:dyDescent="0.2">
      <c r="C328" s="5" t="s">
        <v>22</v>
      </c>
      <c r="D328" s="4">
        <f t="shared" si="37"/>
        <v>13227343.939000001</v>
      </c>
      <c r="E328" s="4">
        <f t="shared" si="37"/>
        <v>4144731.7110000001</v>
      </c>
      <c r="F328" s="4">
        <f t="shared" si="37"/>
        <v>834702.41899999999</v>
      </c>
      <c r="G328" s="4">
        <f t="shared" si="37"/>
        <v>18206778.068999998</v>
      </c>
      <c r="I328" s="4">
        <f t="shared" si="38"/>
        <v>19204334.198999997</v>
      </c>
      <c r="J328" s="4">
        <f t="shared" si="38"/>
        <v>3280360.5100000002</v>
      </c>
      <c r="K328" s="4">
        <f t="shared" si="38"/>
        <v>7647088.5609999998</v>
      </c>
      <c r="L328" s="4">
        <f t="shared" si="38"/>
        <v>30131783.27</v>
      </c>
      <c r="N328" s="4">
        <f>N280+N284+N288+N292+N296+N300+N304+N308+N312+N316+N320+N324</f>
        <v>48338561.339000009</v>
      </c>
    </row>
    <row r="329" spans="1:14" x14ac:dyDescent="0.2">
      <c r="C329" s="5" t="s">
        <v>23</v>
      </c>
      <c r="D329" s="7">
        <f>(D327/D328)-1</f>
        <v>7.8117915652620162E-2</v>
      </c>
      <c r="E329" s="7">
        <f>(E327/E328)-1</f>
        <v>7.8390979598920607E-2</v>
      </c>
      <c r="F329" s="7">
        <f>(F327/F328)-1</f>
        <v>6.9467843485427672E-2</v>
      </c>
      <c r="G329" s="7">
        <f>(G327/G328)-1</f>
        <v>7.7783509458287492E-2</v>
      </c>
      <c r="I329" s="7">
        <f>(I327/I328)-1</f>
        <v>9.08328889158172E-2</v>
      </c>
      <c r="J329" s="7">
        <f>(J327/J328)-1</f>
        <v>0.10865865136268194</v>
      </c>
      <c r="K329" s="7">
        <f>(K327/K328)-1</f>
        <v>6.9808339466280733E-2</v>
      </c>
      <c r="L329" s="7">
        <f>(L327/L328)-1</f>
        <v>8.7437747530134668E-2</v>
      </c>
      <c r="N329" s="7">
        <f>(N327/N328)-1</f>
        <v>8.3801466988669526E-2</v>
      </c>
    </row>
    <row r="331" spans="1:14" x14ac:dyDescent="0.2">
      <c r="D331" s="43" t="s">
        <v>7</v>
      </c>
      <c r="E331" s="43"/>
      <c r="F331" s="43"/>
      <c r="G331" s="43"/>
      <c r="H331" s="6"/>
      <c r="I331" s="43" t="s">
        <v>8</v>
      </c>
      <c r="J331" s="43"/>
      <c r="K331" s="43"/>
      <c r="L331" s="43"/>
      <c r="N331" s="11" t="s">
        <v>24</v>
      </c>
    </row>
    <row r="332" spans="1:14" x14ac:dyDescent="0.2">
      <c r="D332" s="6" t="s">
        <v>0</v>
      </c>
      <c r="E332" s="6" t="s">
        <v>1</v>
      </c>
      <c r="F332" s="6" t="s">
        <v>2</v>
      </c>
      <c r="G332" s="6" t="s">
        <v>24</v>
      </c>
      <c r="H332" s="6"/>
      <c r="I332" s="6" t="s">
        <v>3</v>
      </c>
      <c r="J332" s="6" t="s">
        <v>4</v>
      </c>
      <c r="K332" s="6" t="s">
        <v>25</v>
      </c>
      <c r="L332" s="6" t="s">
        <v>24</v>
      </c>
      <c r="N332" s="6" t="s">
        <v>49</v>
      </c>
    </row>
    <row r="333" spans="1:14" x14ac:dyDescent="0.2">
      <c r="A333" s="5">
        <v>2002</v>
      </c>
    </row>
    <row r="334" spans="1:14" x14ac:dyDescent="0.2">
      <c r="A334" s="5" t="s">
        <v>9</v>
      </c>
      <c r="C334" s="5" t="s">
        <v>21</v>
      </c>
      <c r="D334" s="4">
        <f>1409715.772-953.9196035</f>
        <v>1408761.8523965001</v>
      </c>
      <c r="E334" s="4">
        <v>408084.09600000002</v>
      </c>
      <c r="F334" s="4">
        <v>82136.198999999993</v>
      </c>
      <c r="G334" s="4">
        <f>SUM(D334:F334)</f>
        <v>1898982.1473965002</v>
      </c>
      <c r="I334" s="4">
        <f>1760110.032-16625.381</f>
        <v>1743484.6509999998</v>
      </c>
      <c r="J334" s="4">
        <v>274117.02100000001</v>
      </c>
      <c r="K334" s="4">
        <f>561416.998+98061.263-92</f>
        <v>659386.26100000006</v>
      </c>
      <c r="L334" s="4">
        <f>SUM(I334:K334)</f>
        <v>2676987.9329999997</v>
      </c>
      <c r="N334" s="2">
        <f>G334+L334</f>
        <v>4575970.0803964995</v>
      </c>
    </row>
    <row r="335" spans="1:14" x14ac:dyDescent="0.2">
      <c r="C335" s="5" t="s">
        <v>22</v>
      </c>
      <c r="D335" s="4">
        <v>1236902.111</v>
      </c>
      <c r="E335" s="4">
        <v>389221.79499999998</v>
      </c>
      <c r="F335" s="4">
        <v>70647.937999999995</v>
      </c>
      <c r="G335" s="4">
        <f>SUM(D335:F335)</f>
        <v>1696771.844</v>
      </c>
      <c r="I335" s="4">
        <v>1585680.9269999999</v>
      </c>
      <c r="J335" s="4">
        <v>277229.239</v>
      </c>
      <c r="K335" s="4">
        <v>684028.09700000007</v>
      </c>
      <c r="L335" s="4">
        <f>SUM(I335:K335)</f>
        <v>2546938.2630000003</v>
      </c>
      <c r="N335" s="2">
        <f>G335+L335</f>
        <v>4243710.1070000008</v>
      </c>
    </row>
    <row r="336" spans="1:14" x14ac:dyDescent="0.2">
      <c r="A336" s="7"/>
      <c r="B336" s="7"/>
      <c r="C336" s="7" t="s">
        <v>23</v>
      </c>
      <c r="D336" s="7">
        <f>(D334/D335)-1</f>
        <v>0.1389436883227213</v>
      </c>
      <c r="E336" s="7">
        <f>(E334/E335)-1</f>
        <v>4.8461574460392232E-2</v>
      </c>
      <c r="F336" s="7">
        <f>(F334/F335)-1</f>
        <v>0.16261282813378086</v>
      </c>
      <c r="G336" s="7">
        <f>(G334/G335)-1</f>
        <v>0.11917353774553807</v>
      </c>
      <c r="H336" s="7"/>
      <c r="I336" s="7">
        <f>(I334/I335)-1</f>
        <v>9.9517955543902303E-2</v>
      </c>
      <c r="J336" s="7">
        <f>(J334/J335)-1</f>
        <v>-1.1226153529931171E-2</v>
      </c>
      <c r="K336" s="7">
        <f>(K334/K335)-1</f>
        <v>-3.6024596223567129E-2</v>
      </c>
      <c r="L336" s="7">
        <f>(L334/L335)-1</f>
        <v>5.1061178784449934E-2</v>
      </c>
      <c r="N336" s="7">
        <f>(N334/N335)-1</f>
        <v>7.8294691441914477E-2</v>
      </c>
    </row>
    <row r="338" spans="1:14" x14ac:dyDescent="0.2">
      <c r="A338" s="5" t="s">
        <v>10</v>
      </c>
      <c r="C338" s="5" t="s">
        <v>21</v>
      </c>
      <c r="D338" s="4">
        <f>1188634.6-936.4023217</f>
        <v>1187698.1976783001</v>
      </c>
      <c r="E338" s="4">
        <v>350852.788</v>
      </c>
      <c r="F338" s="4">
        <v>63630.665000000001</v>
      </c>
      <c r="G338" s="4">
        <f>SUM(D338:F338)</f>
        <v>1602181.6506783001</v>
      </c>
      <c r="I338" s="4">
        <f>1610957.535-15324.048</f>
        <v>1595633.487</v>
      </c>
      <c r="J338" s="4">
        <v>248918.022</v>
      </c>
      <c r="K338" s="4">
        <f>505022.104+85994.811-94</f>
        <v>590922.91500000004</v>
      </c>
      <c r="L338" s="4">
        <f>SUM(I338:K338)</f>
        <v>2435474.4240000001</v>
      </c>
      <c r="N338" s="2">
        <f>G338+L338</f>
        <v>4037656.0746782999</v>
      </c>
    </row>
    <row r="339" spans="1:14" x14ac:dyDescent="0.2">
      <c r="C339" s="5" t="s">
        <v>22</v>
      </c>
      <c r="D339" s="4">
        <v>1087113.274</v>
      </c>
      <c r="E339" s="4">
        <v>295794.326</v>
      </c>
      <c r="F339" s="4">
        <v>62744.737000000001</v>
      </c>
      <c r="G339" s="4">
        <f>SUM(D339:F339)</f>
        <v>1445652.3370000001</v>
      </c>
      <c r="I339" s="4">
        <v>1466785.159</v>
      </c>
      <c r="J339" s="4">
        <v>237050.549</v>
      </c>
      <c r="K339" s="4">
        <v>565539.85199999996</v>
      </c>
      <c r="L339" s="4">
        <f>SUM(I339:K339)</f>
        <v>2269375.56</v>
      </c>
      <c r="N339" s="2">
        <f>G339+L339</f>
        <v>3715027.8969999999</v>
      </c>
    </row>
    <row r="340" spans="1:14" x14ac:dyDescent="0.2">
      <c r="A340" s="7"/>
      <c r="B340" s="7"/>
      <c r="C340" s="7" t="s">
        <v>23</v>
      </c>
      <c r="D340" s="7">
        <f>(D338/D339)-1</f>
        <v>9.2524786592110164E-2</v>
      </c>
      <c r="E340" s="7">
        <f>(E338/E339)-1</f>
        <v>0.18613765431051577</v>
      </c>
      <c r="F340" s="7">
        <f>(F338/F339)-1</f>
        <v>1.4119558744823513E-2</v>
      </c>
      <c r="G340" s="7">
        <f>(G338/G339)-1</f>
        <v>0.10827590401377396</v>
      </c>
      <c r="H340" s="7"/>
      <c r="I340" s="7">
        <f>(I338/I339)-1</f>
        <v>8.7844035787656871E-2</v>
      </c>
      <c r="J340" s="7">
        <f>(J338/J339)-1</f>
        <v>5.0063047945102968E-2</v>
      </c>
      <c r="K340" s="7">
        <f>(K338/K339)-1</f>
        <v>4.4882890056703095E-2</v>
      </c>
      <c r="L340" s="7">
        <f>(L338/L339)-1</f>
        <v>7.3191439498890176E-2</v>
      </c>
      <c r="N340" s="7">
        <f>(N338/N339)-1</f>
        <v>8.6844079404849728E-2</v>
      </c>
    </row>
    <row r="342" spans="1:14" x14ac:dyDescent="0.2">
      <c r="A342" s="5" t="s">
        <v>11</v>
      </c>
      <c r="C342" s="5" t="s">
        <v>21</v>
      </c>
      <c r="D342" s="4">
        <f>1302679.669-944.1723685</f>
        <v>1301735.4966315001</v>
      </c>
      <c r="E342" s="4">
        <v>369252.28899999999</v>
      </c>
      <c r="F342" s="4">
        <v>69064.922000000006</v>
      </c>
      <c r="G342" s="4">
        <f>SUM(D342:F342)</f>
        <v>1740052.7076315002</v>
      </c>
      <c r="I342" s="4">
        <f>1592825.775-15806.738</f>
        <v>1577019.037</v>
      </c>
      <c r="J342" s="4">
        <v>257393.82500000001</v>
      </c>
      <c r="K342" s="4">
        <f>559577.188+102410.735-81</f>
        <v>661906.92299999995</v>
      </c>
      <c r="L342" s="4">
        <f>SUM(I342:K342)</f>
        <v>2496319.7850000001</v>
      </c>
      <c r="N342" s="2">
        <f>G342+L342</f>
        <v>4236372.4926315006</v>
      </c>
    </row>
    <row r="343" spans="1:14" x14ac:dyDescent="0.2">
      <c r="C343" s="5" t="s">
        <v>22</v>
      </c>
      <c r="D343" s="4">
        <v>1120703.558</v>
      </c>
      <c r="E343" s="4">
        <v>331634.88900000002</v>
      </c>
      <c r="F343" s="4">
        <v>66448.331999999995</v>
      </c>
      <c r="G343" s="4">
        <f>SUM(D343:F343)</f>
        <v>1518786.7789999999</v>
      </c>
      <c r="I343" s="4">
        <v>1584563.841</v>
      </c>
      <c r="J343" s="4">
        <v>219795.46400000001</v>
      </c>
      <c r="K343" s="4">
        <v>635773.20399999991</v>
      </c>
      <c r="L343" s="4">
        <f>SUM(I343:K343)</f>
        <v>2440132.5089999996</v>
      </c>
      <c r="N343" s="2">
        <f>G343+L343</f>
        <v>3958919.2879999997</v>
      </c>
    </row>
    <row r="344" spans="1:14" x14ac:dyDescent="0.2">
      <c r="A344" s="7"/>
      <c r="B344" s="7"/>
      <c r="C344" s="7" t="s">
        <v>23</v>
      </c>
      <c r="D344" s="7">
        <f>(D342/D343)-1</f>
        <v>0.16153418746574566</v>
      </c>
      <c r="E344" s="7">
        <f>(E342/E343)-1</f>
        <v>0.11343016446016918</v>
      </c>
      <c r="F344" s="7">
        <f>(F342/F343)-1</f>
        <v>3.9377813125542671E-2</v>
      </c>
      <c r="G344" s="7">
        <f>(G342/G343)-1</f>
        <v>0.14568597231086411</v>
      </c>
      <c r="H344" s="7"/>
      <c r="I344" s="7">
        <f>(I342/I343)-1</f>
        <v>-4.7614389554910819E-3</v>
      </c>
      <c r="J344" s="7">
        <f>(J342/J343)-1</f>
        <v>0.17106067757613053</v>
      </c>
      <c r="K344" s="7">
        <f>(K342/K343)-1</f>
        <v>4.1105411230889288E-2</v>
      </c>
      <c r="L344" s="7">
        <f>(L342/L343)-1</f>
        <v>2.302632164145324E-2</v>
      </c>
      <c r="N344" s="7">
        <f>(N342/N343)-1</f>
        <v>7.0083066727957277E-2</v>
      </c>
    </row>
    <row r="346" spans="1:14" x14ac:dyDescent="0.2">
      <c r="A346" s="5" t="s">
        <v>12</v>
      </c>
      <c r="C346" s="5" t="s">
        <v>21</v>
      </c>
      <c r="D346" s="4">
        <f>1126378.875-935.7964209</f>
        <v>1125443.0785791001</v>
      </c>
      <c r="E346" s="4">
        <v>315574.45699999999</v>
      </c>
      <c r="F346" s="4">
        <v>72308.775999999998</v>
      </c>
      <c r="G346" s="4">
        <f>SUM(D346:F346)</f>
        <v>1513326.3115791001</v>
      </c>
      <c r="I346" s="4">
        <f>1480270.397-14210.138</f>
        <v>1466060.2590000001</v>
      </c>
      <c r="J346" s="4">
        <v>225828.03099999999</v>
      </c>
      <c r="K346" s="4">
        <f>557138.069+87513.585-75</f>
        <v>644576.65399999998</v>
      </c>
      <c r="L346" s="4">
        <f>SUM(I346:K346)</f>
        <v>2336464.9440000001</v>
      </c>
      <c r="N346" s="2">
        <f>G346+L346</f>
        <v>3849791.2555791</v>
      </c>
    </row>
    <row r="347" spans="1:14" x14ac:dyDescent="0.2">
      <c r="C347" s="5" t="s">
        <v>22</v>
      </c>
      <c r="D347" s="4">
        <v>1006427.224</v>
      </c>
      <c r="E347" s="4">
        <v>293035.05800000002</v>
      </c>
      <c r="F347" s="4">
        <v>54025.851000000002</v>
      </c>
      <c r="G347" s="4">
        <f>SUM(D347:F347)</f>
        <v>1353488.1330000001</v>
      </c>
      <c r="I347" s="4">
        <v>1330039.629</v>
      </c>
      <c r="J347" s="4">
        <v>221093.946</v>
      </c>
      <c r="K347" s="4">
        <v>595534.93099999998</v>
      </c>
      <c r="L347" s="4">
        <f>SUM(I347:K347)</f>
        <v>2146668.5060000001</v>
      </c>
      <c r="N347" s="2">
        <f>G347+L347</f>
        <v>3500156.6390000004</v>
      </c>
    </row>
    <row r="348" spans="1:14" x14ac:dyDescent="0.2">
      <c r="A348" s="7"/>
      <c r="B348" s="7"/>
      <c r="C348" s="7" t="s">
        <v>23</v>
      </c>
      <c r="D348" s="7">
        <f>(D346/D347)-1</f>
        <v>0.11825579807556963</v>
      </c>
      <c r="E348" s="7">
        <f>(E346/E347)-1</f>
        <v>7.6917073178322415E-2</v>
      </c>
      <c r="F348" s="7">
        <f>(F346/F347)-1</f>
        <v>0.33841068047220579</v>
      </c>
      <c r="G348" s="7">
        <f>(G346/G347)-1</f>
        <v>0.11809352049863886</v>
      </c>
      <c r="H348" s="7"/>
      <c r="I348" s="7">
        <f>(I346/I347)-1</f>
        <v>0.10226810317093205</v>
      </c>
      <c r="J348" s="7">
        <f>(J346/J347)-1</f>
        <v>2.1412096919198209E-2</v>
      </c>
      <c r="K348" s="7">
        <f>(K346/K347)-1</f>
        <v>8.2349028490488418E-2</v>
      </c>
      <c r="L348" s="7">
        <f>(L346/L347)-1</f>
        <v>8.8414413995227203E-2</v>
      </c>
      <c r="N348" s="7">
        <f>(N346/N347)-1</f>
        <v>9.9891134209065147E-2</v>
      </c>
    </row>
    <row r="350" spans="1:14" x14ac:dyDescent="0.2">
      <c r="A350" s="5" t="s">
        <v>13</v>
      </c>
      <c r="C350" s="5" t="s">
        <v>21</v>
      </c>
      <c r="D350" s="4">
        <f>1147955.003-935.7889355</f>
        <v>1147019.2140645001</v>
      </c>
      <c r="E350" s="4">
        <v>320972.15999999997</v>
      </c>
      <c r="F350" s="4">
        <v>77912.914000000004</v>
      </c>
      <c r="G350" s="4">
        <f>SUM(D350:F350)</f>
        <v>1545904.2880645001</v>
      </c>
      <c r="I350" s="4">
        <f>1591661.15-15044.525</f>
        <v>1576616.625</v>
      </c>
      <c r="J350" s="4">
        <v>306639.28200000001</v>
      </c>
      <c r="K350" s="4">
        <f>579552.282+88155.773-69</f>
        <v>667639.05500000005</v>
      </c>
      <c r="L350" s="4">
        <f>SUM(I350:K350)</f>
        <v>2550894.9620000003</v>
      </c>
      <c r="N350" s="2">
        <f>G350+L350</f>
        <v>4096799.2500645006</v>
      </c>
    </row>
    <row r="351" spans="1:14" x14ac:dyDescent="0.2">
      <c r="C351" s="5" t="s">
        <v>22</v>
      </c>
      <c r="D351" s="4">
        <v>1013249.224</v>
      </c>
      <c r="E351" s="4">
        <v>287772.19799999997</v>
      </c>
      <c r="F351" s="4">
        <v>68933.745999999999</v>
      </c>
      <c r="G351" s="4">
        <f>SUM(D351:F351)</f>
        <v>1369955.1680000001</v>
      </c>
      <c r="I351" s="4">
        <v>1496654.791</v>
      </c>
      <c r="J351" s="4">
        <v>248839.57800000001</v>
      </c>
      <c r="K351" s="4">
        <v>602925.26500000001</v>
      </c>
      <c r="L351" s="4">
        <f>SUM(I351:K351)</f>
        <v>2348419.6340000001</v>
      </c>
      <c r="N351" s="2">
        <f>G351+L351</f>
        <v>3718374.8020000001</v>
      </c>
    </row>
    <row r="352" spans="1:14" x14ac:dyDescent="0.2">
      <c r="A352" s="7"/>
      <c r="B352" s="7"/>
      <c r="C352" s="7" t="s">
        <v>23</v>
      </c>
      <c r="D352" s="7">
        <f>(D350/D351)-1</f>
        <v>0.13202081669149157</v>
      </c>
      <c r="E352" s="7">
        <f>(E350/E351)-1</f>
        <v>0.11536890022989654</v>
      </c>
      <c r="F352" s="7">
        <f>(F350/F351)-1</f>
        <v>0.1302579436202409</v>
      </c>
      <c r="G352" s="7">
        <f>(G350/G351)-1</f>
        <v>0.12843421753820494</v>
      </c>
      <c r="H352" s="7"/>
      <c r="I352" s="7">
        <f>(I350/I351)-1</f>
        <v>5.3427039074637195E-2</v>
      </c>
      <c r="J352" s="7">
        <f>(J350/J351)-1</f>
        <v>0.23227697323936147</v>
      </c>
      <c r="K352" s="7">
        <f>(K350/K351)-1</f>
        <v>0.10733302078492279</v>
      </c>
      <c r="L352" s="7">
        <f>(L350/L351)-1</f>
        <v>8.6217695112320802E-2</v>
      </c>
      <c r="N352" s="7">
        <f>(N350/N351)-1</f>
        <v>0.1017714642055334</v>
      </c>
    </row>
    <row r="354" spans="1:14" x14ac:dyDescent="0.2">
      <c r="A354" s="5" t="s">
        <v>14</v>
      </c>
      <c r="C354" s="5" t="s">
        <v>21</v>
      </c>
      <c r="D354" s="4">
        <f>1077978.277-866.8996753</f>
        <v>1077111.3773246999</v>
      </c>
      <c r="E354" s="4">
        <v>334519.12099999998</v>
      </c>
      <c r="F354" s="4">
        <v>86951.513000000006</v>
      </c>
      <c r="G354" s="4">
        <f>SUM(D354:F354)</f>
        <v>1498582.0113247</v>
      </c>
      <c r="I354" s="4">
        <f>1745940.893-16514.977</f>
        <v>1729425.916</v>
      </c>
      <c r="J354" s="4">
        <v>383211.14199999999</v>
      </c>
      <c r="K354" s="4">
        <f>564270.285+84662.294-65</f>
        <v>648867.57900000003</v>
      </c>
      <c r="L354" s="4">
        <f>SUM(I354:K354)</f>
        <v>2761504.6370000001</v>
      </c>
      <c r="N354" s="2">
        <f>G354+L354</f>
        <v>4260086.6483247001</v>
      </c>
    </row>
    <row r="355" spans="1:14" x14ac:dyDescent="0.2">
      <c r="C355" s="5" t="s">
        <v>22</v>
      </c>
      <c r="D355" s="4">
        <v>999213.35900000005</v>
      </c>
      <c r="E355" s="4">
        <v>288753.75099999999</v>
      </c>
      <c r="F355" s="4">
        <v>73881.320999999996</v>
      </c>
      <c r="G355" s="4">
        <f>SUM(D355:F355)</f>
        <v>1361848.4310000001</v>
      </c>
      <c r="I355" s="4">
        <v>1602219.5589999999</v>
      </c>
      <c r="J355" s="4">
        <v>322584.00699999998</v>
      </c>
      <c r="K355" s="4">
        <v>597304.58600000001</v>
      </c>
      <c r="L355" s="4">
        <f>SUM(I355:K355)</f>
        <v>2522108.1519999998</v>
      </c>
      <c r="N355" s="2">
        <f>G355+L355</f>
        <v>3883956.5829999996</v>
      </c>
    </row>
    <row r="356" spans="1:14" x14ac:dyDescent="0.2">
      <c r="A356" s="7"/>
      <c r="B356" s="7"/>
      <c r="C356" s="7" t="s">
        <v>23</v>
      </c>
      <c r="D356" s="7">
        <f>(D354/D355)-1</f>
        <v>7.7959344341291814E-2</v>
      </c>
      <c r="E356" s="7">
        <f>(E354/E355)-1</f>
        <v>0.15849272898276556</v>
      </c>
      <c r="F356" s="7">
        <f>(F354/F355)-1</f>
        <v>0.1769079359043948</v>
      </c>
      <c r="G356" s="7">
        <f>(G354/G355)-1</f>
        <v>0.10040293560737656</v>
      </c>
      <c r="H356" s="7"/>
      <c r="I356" s="7">
        <f>(I354/I355)-1</f>
        <v>7.9393836060392298E-2</v>
      </c>
      <c r="J356" s="7">
        <f>(J354/J355)-1</f>
        <v>0.18794215982319296</v>
      </c>
      <c r="K356" s="7">
        <f>(K354/K355)-1</f>
        <v>8.6326129429717735E-2</v>
      </c>
      <c r="L356" s="7">
        <f>(L354/L355)-1</f>
        <v>9.4919198770346824E-2</v>
      </c>
      <c r="N356" s="7">
        <f>(N354/N355)-1</f>
        <v>9.68419850445843E-2</v>
      </c>
    </row>
    <row r="358" spans="1:14" x14ac:dyDescent="0.2">
      <c r="A358" s="5" t="s">
        <v>15</v>
      </c>
      <c r="C358" s="5" t="s">
        <v>21</v>
      </c>
      <c r="D358" s="4">
        <f>1195783.523-936.0440722</f>
        <v>1194847.4789278</v>
      </c>
      <c r="E358" s="4">
        <v>387050.00799999997</v>
      </c>
      <c r="F358" s="4">
        <v>90989.175000000003</v>
      </c>
      <c r="G358" s="4">
        <f>SUM(D358:F358)</f>
        <v>1672886.6619277999</v>
      </c>
      <c r="I358" s="4">
        <f>2053657.308-19061.885</f>
        <v>2034595.423</v>
      </c>
      <c r="J358" s="4">
        <v>426952.223</v>
      </c>
      <c r="K358" s="4">
        <f>593899.294+90546.307-68</f>
        <v>684377.60100000002</v>
      </c>
      <c r="L358" s="4">
        <f>SUM(I358:K358)</f>
        <v>3145925.2469999995</v>
      </c>
      <c r="N358" s="2">
        <f>G358+L358</f>
        <v>4818811.9089277992</v>
      </c>
    </row>
    <row r="359" spans="1:14" x14ac:dyDescent="0.2">
      <c r="C359" s="5" t="s">
        <v>22</v>
      </c>
      <c r="D359" s="4">
        <v>1099251.9240000001</v>
      </c>
      <c r="E359" s="4">
        <v>351258.83899999998</v>
      </c>
      <c r="F359" s="4">
        <v>82931.725999999995</v>
      </c>
      <c r="G359" s="4">
        <f>SUM(D359:F359)</f>
        <v>1533442.4890000001</v>
      </c>
      <c r="I359" s="4">
        <v>1865827.923</v>
      </c>
      <c r="J359" s="4">
        <v>376339.31900000002</v>
      </c>
      <c r="K359" s="4">
        <v>619379.85199999996</v>
      </c>
      <c r="L359" s="4">
        <f>SUM(I359:K359)</f>
        <v>2861547.094</v>
      </c>
      <c r="N359" s="2">
        <f>G359+L359</f>
        <v>4394989.5830000006</v>
      </c>
    </row>
    <row r="360" spans="1:14" x14ac:dyDescent="0.2">
      <c r="A360" s="7"/>
      <c r="B360" s="7"/>
      <c r="C360" s="7" t="s">
        <v>23</v>
      </c>
      <c r="D360" s="7">
        <f>(D358/D359)-1</f>
        <v>8.6964191593081885E-2</v>
      </c>
      <c r="E360" s="7">
        <f>(E358/E359)-1</f>
        <v>0.10189400244530211</v>
      </c>
      <c r="F360" s="7">
        <f>(F358/F359)-1</f>
        <v>9.7157618545163471E-2</v>
      </c>
      <c r="G360" s="7">
        <f>(G358/G359)-1</f>
        <v>9.0935378358229402E-2</v>
      </c>
      <c r="H360" s="7"/>
      <c r="I360" s="7">
        <f>(I358/I359)-1</f>
        <v>9.0451803148408505E-2</v>
      </c>
      <c r="J360" s="7">
        <f>(J358/J359)-1</f>
        <v>0.13448741984889434</v>
      </c>
      <c r="K360" s="7">
        <f>(K358/K359)-1</f>
        <v>0.10494004412658886</v>
      </c>
      <c r="L360" s="7">
        <f>(L358/L359)-1</f>
        <v>9.9379162270743171E-2</v>
      </c>
      <c r="N360" s="7">
        <f>(N358/N359)-1</f>
        <v>9.6433067228910208E-2</v>
      </c>
    </row>
    <row r="362" spans="1:14" x14ac:dyDescent="0.2">
      <c r="A362" s="5" t="s">
        <v>16</v>
      </c>
      <c r="C362" s="5" t="s">
        <v>21</v>
      </c>
      <c r="D362" s="4">
        <f>1176602.947-933.1625755</f>
        <v>1175669.7844244998</v>
      </c>
      <c r="E362" s="4">
        <v>375756.47</v>
      </c>
      <c r="F362" s="4">
        <v>89870.290999999997</v>
      </c>
      <c r="G362" s="4">
        <f>SUM(D362:F362)</f>
        <v>1641296.5454244998</v>
      </c>
      <c r="I362" s="4">
        <f>1904589.59-17568.149</f>
        <v>1887021.4410000001</v>
      </c>
      <c r="J362" s="4">
        <v>356421.87699999998</v>
      </c>
      <c r="K362" s="4">
        <f>571456.27+87521.749-64</f>
        <v>658914.01899999997</v>
      </c>
      <c r="L362" s="4">
        <f>SUM(I362:K362)</f>
        <v>2902357.3369999998</v>
      </c>
      <c r="N362" s="2">
        <f>G362+L362</f>
        <v>4543653.8824244998</v>
      </c>
    </row>
    <row r="363" spans="1:14" x14ac:dyDescent="0.2">
      <c r="C363" s="5" t="s">
        <v>22</v>
      </c>
      <c r="D363" s="4">
        <v>1084584.6599999999</v>
      </c>
      <c r="E363" s="4">
        <v>314045.76699999999</v>
      </c>
      <c r="F363" s="4">
        <v>67213.538</v>
      </c>
      <c r="G363" s="4">
        <f>SUM(D363:F363)</f>
        <v>1465843.9649999999</v>
      </c>
      <c r="I363" s="4">
        <v>1698344.507</v>
      </c>
      <c r="J363" s="4">
        <v>350943.41899999999</v>
      </c>
      <c r="K363" s="4">
        <v>608632.52</v>
      </c>
      <c r="L363" s="4">
        <f>SUM(I363:K363)</f>
        <v>2657920.446</v>
      </c>
      <c r="N363" s="2">
        <f>G363+L363</f>
        <v>4123764.4109999998</v>
      </c>
    </row>
    <row r="364" spans="1:14" x14ac:dyDescent="0.2">
      <c r="A364" s="7"/>
      <c r="B364" s="7"/>
      <c r="C364" s="7" t="s">
        <v>23</v>
      </c>
      <c r="D364" s="7">
        <f>(D362/D363)-1</f>
        <v>8.3981571733183102E-2</v>
      </c>
      <c r="E364" s="7">
        <f>(E362/E363)-1</f>
        <v>0.19650226013076622</v>
      </c>
      <c r="F364" s="7">
        <f>(F362/F363)-1</f>
        <v>0.33708615368528871</v>
      </c>
      <c r="G364" s="7">
        <f>(G362/G363)-1</f>
        <v>0.11969389963310317</v>
      </c>
      <c r="H364" s="7"/>
      <c r="I364" s="7">
        <f>(I362/I363)-1</f>
        <v>0.11109461786012065</v>
      </c>
      <c r="J364" s="7">
        <f>(J362/J363)-1</f>
        <v>1.5610658879458894E-2</v>
      </c>
      <c r="K364" s="7">
        <f>(K362/K363)-1</f>
        <v>8.2613888262164981E-2</v>
      </c>
      <c r="L364" s="7">
        <f>(L362/L363)-1</f>
        <v>9.1965465470519092E-2</v>
      </c>
      <c r="N364" s="7">
        <f>(N362/N363)-1</f>
        <v>0.10182188640661893</v>
      </c>
    </row>
    <row r="366" spans="1:14" x14ac:dyDescent="0.2">
      <c r="A366" s="5" t="s">
        <v>17</v>
      </c>
      <c r="C366" s="5" t="s">
        <v>21</v>
      </c>
      <c r="D366" s="4">
        <f>1096994.592-922.1811589</f>
        <v>1096072.4108410999</v>
      </c>
      <c r="E366" s="4">
        <v>348440.39899999998</v>
      </c>
      <c r="F366" s="4">
        <v>70027.955000000002</v>
      </c>
      <c r="G366" s="4">
        <f>SUM(D366:F366)</f>
        <v>1514540.7648411</v>
      </c>
      <c r="I366" s="4">
        <f>1603414.861-15261.501</f>
        <v>1588153.36</v>
      </c>
      <c r="J366" s="4">
        <v>279653.99300000002</v>
      </c>
      <c r="K366" s="4">
        <f>579822.24+82762.164-71</f>
        <v>662513.40399999998</v>
      </c>
      <c r="L366" s="4">
        <f>SUM(I366:K366)</f>
        <v>2530320.7570000002</v>
      </c>
      <c r="N366" s="2">
        <f>G366+L366</f>
        <v>4044861.5218411004</v>
      </c>
    </row>
    <row r="367" spans="1:14" x14ac:dyDescent="0.2">
      <c r="C367" s="5" t="s">
        <v>22</v>
      </c>
      <c r="D367" s="4">
        <v>987106.65</v>
      </c>
      <c r="E367" s="4">
        <v>321746.08199999999</v>
      </c>
      <c r="F367" s="4">
        <v>68170.228000000003</v>
      </c>
      <c r="G367" s="4">
        <f>SUM(D367:F367)</f>
        <v>1377022.96</v>
      </c>
      <c r="I367" s="4">
        <v>1490312.4790000001</v>
      </c>
      <c r="J367" s="4">
        <v>238123.954</v>
      </c>
      <c r="K367" s="4">
        <v>583383.24899999995</v>
      </c>
      <c r="L367" s="4">
        <f>SUM(I367:K367)</f>
        <v>2311819.682</v>
      </c>
      <c r="N367" s="2">
        <f>G367+L367</f>
        <v>3688842.642</v>
      </c>
    </row>
    <row r="368" spans="1:14" x14ac:dyDescent="0.2">
      <c r="A368" s="7"/>
      <c r="B368" s="7"/>
      <c r="C368" s="7" t="s">
        <v>23</v>
      </c>
      <c r="D368" s="7">
        <f>(D366/D367)-1</f>
        <v>0.11038904544012529</v>
      </c>
      <c r="E368" s="7">
        <f>(E366/E367)-1</f>
        <v>8.2967030504508044E-2</v>
      </c>
      <c r="F368" s="7">
        <f>(F366/F367)-1</f>
        <v>2.7251295096152539E-2</v>
      </c>
      <c r="G368" s="7">
        <f>(G366/G367)-1</f>
        <v>9.9866021726391585E-2</v>
      </c>
      <c r="H368" s="7"/>
      <c r="I368" s="7">
        <f>(I366/I367)-1</f>
        <v>6.5651252592108245E-2</v>
      </c>
      <c r="J368" s="7">
        <f>(J366/J367)-1</f>
        <v>0.17440512935544494</v>
      </c>
      <c r="K368" s="7">
        <f>(K366/K367)-1</f>
        <v>0.13564008760217261</v>
      </c>
      <c r="L368" s="7">
        <f>(L366/L367)-1</f>
        <v>9.4514756795811561E-2</v>
      </c>
      <c r="N368" s="7">
        <f>(N366/N367)-1</f>
        <v>9.6512352082352759E-2</v>
      </c>
    </row>
    <row r="370" spans="1:14" x14ac:dyDescent="0.2">
      <c r="A370" s="5" t="s">
        <v>18</v>
      </c>
      <c r="C370" s="5" t="s">
        <v>21</v>
      </c>
      <c r="D370" s="4">
        <f>1152534.201-946.1739682</f>
        <v>1151588.0270317998</v>
      </c>
      <c r="E370" s="4">
        <v>373352.81</v>
      </c>
      <c r="F370" s="4">
        <v>66633.047000000006</v>
      </c>
      <c r="G370" s="4">
        <f>SUM(D370:F370)</f>
        <v>1591573.8840317999</v>
      </c>
      <c r="I370" s="4">
        <f>1567049.444-12443.188</f>
        <v>1554606.2559999998</v>
      </c>
      <c r="J370" s="4">
        <v>263810.19300000003</v>
      </c>
      <c r="K370" s="4">
        <f>602859.575+87652.524-66</f>
        <v>690446.09899999993</v>
      </c>
      <c r="L370" s="4">
        <f>SUM(I370:K370)</f>
        <v>2508862.5479999995</v>
      </c>
      <c r="N370" s="2">
        <f>G370+L370</f>
        <v>4100436.4320317991</v>
      </c>
    </row>
    <row r="371" spans="1:14" x14ac:dyDescent="0.2">
      <c r="C371" s="5" t="s">
        <v>22</v>
      </c>
      <c r="D371" s="4">
        <v>1024529.606</v>
      </c>
      <c r="E371" s="4">
        <v>334541.01500000001</v>
      </c>
      <c r="F371" s="4">
        <v>66670.353000000003</v>
      </c>
      <c r="G371" s="4">
        <f>SUM(D371:F371)</f>
        <v>1425740.9739999999</v>
      </c>
      <c r="I371" s="4">
        <v>1415693.4240000001</v>
      </c>
      <c r="J371" s="4">
        <v>232395.19399999999</v>
      </c>
      <c r="K371" s="4">
        <v>619376.41700000002</v>
      </c>
      <c r="L371" s="4">
        <f>SUM(I371:K371)</f>
        <v>2267465.0350000001</v>
      </c>
      <c r="N371" s="2">
        <f>G371+L371</f>
        <v>3693206.0090000001</v>
      </c>
    </row>
    <row r="372" spans="1:14" x14ac:dyDescent="0.2">
      <c r="A372" s="7"/>
      <c r="B372" s="7"/>
      <c r="C372" s="7" t="s">
        <v>23</v>
      </c>
      <c r="D372" s="7">
        <f>(D370/D371)-1</f>
        <v>0.12401634885678425</v>
      </c>
      <c r="E372" s="7">
        <f>(E370/E371)-1</f>
        <v>0.1160150572269889</v>
      </c>
      <c r="F372" s="7">
        <f>(F370/F371)-1</f>
        <v>-5.5955905918181337E-4</v>
      </c>
      <c r="G372" s="7">
        <f>(G370/G371)-1</f>
        <v>0.11631349105900068</v>
      </c>
      <c r="H372" s="7"/>
      <c r="I372" s="7">
        <f>(I370/I371)-1</f>
        <v>9.8123527061039439E-2</v>
      </c>
      <c r="J372" s="7">
        <f>(J370/J371)-1</f>
        <v>0.13517921115012399</v>
      </c>
      <c r="K372" s="7">
        <f>(K370/K371)-1</f>
        <v>0.11474392639008069</v>
      </c>
      <c r="L372" s="7">
        <f>(L370/L371)-1</f>
        <v>0.10646140481720789</v>
      </c>
      <c r="N372" s="7">
        <f>(N370/N371)-1</f>
        <v>0.11026474614181181</v>
      </c>
    </row>
    <row r="374" spans="1:14" x14ac:dyDescent="0.2">
      <c r="A374" s="5" t="s">
        <v>19</v>
      </c>
      <c r="C374" s="5" t="s">
        <v>21</v>
      </c>
      <c r="D374" s="4">
        <f>1162644.474-932.1460568</f>
        <v>1161712.3279432</v>
      </c>
      <c r="E374" s="4">
        <v>383624.788</v>
      </c>
      <c r="F374" s="4">
        <v>65655.771999999997</v>
      </c>
      <c r="G374" s="4">
        <f>SUM(D374:F374)</f>
        <v>1610992.8879431998</v>
      </c>
      <c r="I374" s="4">
        <f>1665198.681-12215.713</f>
        <v>1652982.9680000001</v>
      </c>
      <c r="J374" s="4">
        <v>256437.41099999999</v>
      </c>
      <c r="K374" s="4">
        <f>613531.447+88485.233-77</f>
        <v>701939.68</v>
      </c>
      <c r="L374" s="4">
        <f>SUM(I374:K374)</f>
        <v>2611360.0590000004</v>
      </c>
      <c r="N374" s="2">
        <f>G374+L374</f>
        <v>4222352.9469432002</v>
      </c>
    </row>
    <row r="375" spans="1:14" x14ac:dyDescent="0.2">
      <c r="C375" s="5" t="s">
        <v>22</v>
      </c>
      <c r="D375" s="4">
        <v>1028812.754</v>
      </c>
      <c r="E375" s="4">
        <v>380029.99900000001</v>
      </c>
      <c r="F375" s="4">
        <v>63171.313000000002</v>
      </c>
      <c r="G375" s="4">
        <f>SUM(D375:F375)</f>
        <v>1472014.0660000001</v>
      </c>
      <c r="I375" s="4">
        <v>1497001.7420000001</v>
      </c>
      <c r="J375" s="4">
        <v>257700.03599999999</v>
      </c>
      <c r="K375" s="4">
        <v>618212.14199999999</v>
      </c>
      <c r="L375" s="4">
        <f>SUM(I375:K375)</f>
        <v>2372913.92</v>
      </c>
      <c r="N375" s="2">
        <f>G375+L375</f>
        <v>3844927.986</v>
      </c>
    </row>
    <row r="376" spans="1:14" x14ac:dyDescent="0.2">
      <c r="A376" s="7"/>
      <c r="B376" s="7"/>
      <c r="C376" s="7" t="s">
        <v>23</v>
      </c>
      <c r="D376" s="7">
        <f>(D374/D375)-1</f>
        <v>0.12917761120912385</v>
      </c>
      <c r="E376" s="7">
        <f>(E374/E375)-1</f>
        <v>9.4592242966586859E-3</v>
      </c>
      <c r="F376" s="7">
        <f>(F374/F375)-1</f>
        <v>3.9328911843260261E-2</v>
      </c>
      <c r="G376" s="7">
        <f>(G374/G375)-1</f>
        <v>9.4414058366205644E-2</v>
      </c>
      <c r="H376" s="7"/>
      <c r="I376" s="7">
        <f>(I374/I375)-1</f>
        <v>0.10419575450300322</v>
      </c>
      <c r="J376" s="7">
        <f>(J374/J375)-1</f>
        <v>-4.8995918650163173E-3</v>
      </c>
      <c r="K376" s="7">
        <f>(K374/K375)-1</f>
        <v>0.13543496206517425</v>
      </c>
      <c r="L376" s="7">
        <f>(L374/L375)-1</f>
        <v>0.10048663670024771</v>
      </c>
      <c r="N376" s="7">
        <f>(N374/N375)-1</f>
        <v>9.8161776323890892E-2</v>
      </c>
    </row>
    <row r="378" spans="1:14" x14ac:dyDescent="0.2">
      <c r="A378" s="5" t="s">
        <v>20</v>
      </c>
      <c r="C378" s="5" t="s">
        <v>21</v>
      </c>
      <c r="D378" s="4">
        <f>1274933.394-997.7185299</f>
        <v>1273935.6754701</v>
      </c>
      <c r="E378" s="4">
        <v>417449.90500000003</v>
      </c>
      <c r="F378" s="4">
        <v>76376.099000000002</v>
      </c>
      <c r="G378" s="4">
        <f>SUM(D378:F378)</f>
        <v>1767761.6794701</v>
      </c>
      <c r="I378" s="4">
        <f>1793618.28-13080.816</f>
        <v>1780537.4639999999</v>
      </c>
      <c r="J378" s="4">
        <v>273034.81699999998</v>
      </c>
      <c r="K378" s="4">
        <f>651722.874+91919.791-99</f>
        <v>743543.66499999992</v>
      </c>
      <c r="L378" s="4">
        <f>SUM(I378:K378)</f>
        <v>2797115.946</v>
      </c>
      <c r="N378" s="2">
        <f>G378+L378</f>
        <v>4564877.6254701</v>
      </c>
    </row>
    <row r="379" spans="1:14" x14ac:dyDescent="0.2">
      <c r="C379" s="5" t="s">
        <v>22</v>
      </c>
      <c r="D379" s="4">
        <v>1293220.0759999999</v>
      </c>
      <c r="E379" s="4">
        <v>353424.26799999998</v>
      </c>
      <c r="F379" s="4">
        <v>68472.805999999997</v>
      </c>
      <c r="G379" s="4">
        <f>SUM(D379:F379)</f>
        <v>1715117.15</v>
      </c>
      <c r="I379" s="4">
        <v>1686743.0930000001</v>
      </c>
      <c r="J379" s="4">
        <v>243274.299</v>
      </c>
      <c r="K379" s="4">
        <v>618899.80200000003</v>
      </c>
      <c r="L379" s="4">
        <f>SUM(I379:K379)</f>
        <v>2548917.1940000001</v>
      </c>
      <c r="N379" s="2">
        <f>G379+L379</f>
        <v>4264034.3440000005</v>
      </c>
    </row>
    <row r="380" spans="1:14" x14ac:dyDescent="0.2">
      <c r="A380" s="7"/>
      <c r="B380" s="7"/>
      <c r="C380" s="7" t="s">
        <v>23</v>
      </c>
      <c r="D380" s="7">
        <f>(D378/D379)-1</f>
        <v>-1.4911924805209975E-2</v>
      </c>
      <c r="E380" s="7">
        <f>(E378/E379)-1</f>
        <v>0.18115800978330121</v>
      </c>
      <c r="F380" s="7">
        <f>(F378/F379)-1</f>
        <v>0.11542236198119293</v>
      </c>
      <c r="G380" s="7">
        <f>(G378/G379)-1</f>
        <v>3.0694421935026472E-2</v>
      </c>
      <c r="H380" s="7"/>
      <c r="I380" s="7">
        <f>(I378/I379)-1</f>
        <v>5.5606791211564754E-2</v>
      </c>
      <c r="J380" s="7">
        <f>(J378/J379)-1</f>
        <v>0.12233317749689609</v>
      </c>
      <c r="K380" s="7">
        <f>(K378/K379)-1</f>
        <v>0.2013958682765904</v>
      </c>
      <c r="L380" s="7">
        <f>(L378/L379)-1</f>
        <v>9.7374191905584384E-2</v>
      </c>
      <c r="N380" s="7">
        <f>(N378/N379)-1</f>
        <v>7.0553672226730813E-2</v>
      </c>
    </row>
    <row r="382" spans="1:14" x14ac:dyDescent="0.2">
      <c r="A382" s="5" t="s">
        <v>50</v>
      </c>
      <c r="C382" s="5" t="s">
        <v>21</v>
      </c>
      <c r="D382" s="4">
        <f t="shared" ref="D382:G383" si="39">D334+D338+D342+D346+D350+D354+D358+D362+D366+D370+D374+D378</f>
        <v>14301594.921313101</v>
      </c>
      <c r="E382" s="4">
        <f t="shared" si="39"/>
        <v>4384929.2910000002</v>
      </c>
      <c r="F382" s="4">
        <f t="shared" si="39"/>
        <v>911557.3280000001</v>
      </c>
      <c r="G382" s="4">
        <f t="shared" si="39"/>
        <v>19598081.540313102</v>
      </c>
      <c r="I382" s="4">
        <f t="shared" ref="I382:L383" si="40">I334+I338+I342+I346+I350+I354+I358+I362+I366+I370+I374+I378</f>
        <v>20186136.886999998</v>
      </c>
      <c r="J382" s="4">
        <f t="shared" si="40"/>
        <v>3552417.8369999998</v>
      </c>
      <c r="K382" s="4">
        <f t="shared" si="40"/>
        <v>8015033.8549999995</v>
      </c>
      <c r="L382" s="4">
        <f t="shared" si="40"/>
        <v>31753588.579</v>
      </c>
      <c r="N382" s="4">
        <f>N334+N338+N342+N346+N350+N354+N358+N362+N366+N370+N374+N378</f>
        <v>51351670.119313098</v>
      </c>
    </row>
    <row r="383" spans="1:14" x14ac:dyDescent="0.2">
      <c r="C383" s="5" t="s">
        <v>22</v>
      </c>
      <c r="D383" s="4">
        <f t="shared" si="39"/>
        <v>12981114.420000002</v>
      </c>
      <c r="E383" s="4">
        <f t="shared" si="39"/>
        <v>3941257.9869999997</v>
      </c>
      <c r="F383" s="4">
        <f t="shared" si="39"/>
        <v>813311.88899999997</v>
      </c>
      <c r="G383" s="4">
        <f t="shared" si="39"/>
        <v>17735684.295999996</v>
      </c>
      <c r="I383" s="4">
        <f t="shared" si="40"/>
        <v>18719867.073999997</v>
      </c>
      <c r="J383" s="4">
        <f t="shared" si="40"/>
        <v>3225369.0039999997</v>
      </c>
      <c r="K383" s="4">
        <f t="shared" si="40"/>
        <v>7348989.9170000004</v>
      </c>
      <c r="L383" s="4">
        <f t="shared" si="40"/>
        <v>29294225.994999997</v>
      </c>
      <c r="N383" s="4">
        <f>N335+N339+N343+N347+N351+N355+N359+N363+N367+N371+N375+N379</f>
        <v>47029910.291000009</v>
      </c>
    </row>
    <row r="384" spans="1:14" x14ac:dyDescent="0.2">
      <c r="C384" s="5" t="s">
        <v>23</v>
      </c>
      <c r="D384" s="7">
        <f>(D382/D383)-1</f>
        <v>0.10172320022683379</v>
      </c>
      <c r="E384" s="7">
        <f>(E382/E383)-1</f>
        <v>0.11257098760431905</v>
      </c>
      <c r="F384" s="7">
        <f>(F382/F383)-1</f>
        <v>0.12079675746631091</v>
      </c>
      <c r="G384" s="7">
        <f>(G382/G383)-1</f>
        <v>0.10500847969723615</v>
      </c>
      <c r="I384" s="7">
        <f>(I382/I383)-1</f>
        <v>7.8326935079389592E-2</v>
      </c>
      <c r="J384" s="7">
        <f>(J382/J383)-1</f>
        <v>0.10139888880757653</v>
      </c>
      <c r="K384" s="7">
        <f>(K382/K383)-1</f>
        <v>9.06306778921111E-2</v>
      </c>
      <c r="L384" s="7">
        <f>(L382/L383)-1</f>
        <v>8.3953833920028309E-2</v>
      </c>
      <c r="N384" s="7">
        <f>(N382/N383)-1</f>
        <v>9.1893856517522021E-2</v>
      </c>
    </row>
  </sheetData>
  <mergeCells count="14">
    <mergeCell ref="D331:G331"/>
    <mergeCell ref="I331:L331"/>
    <mergeCell ref="D276:G276"/>
    <mergeCell ref="I276:L276"/>
    <mergeCell ref="D1:G1"/>
    <mergeCell ref="I1:L1"/>
    <mergeCell ref="D56:G56"/>
    <mergeCell ref="I56:L56"/>
    <mergeCell ref="D221:G221"/>
    <mergeCell ref="I221:L221"/>
    <mergeCell ref="D111:G111"/>
    <mergeCell ref="I111:L111"/>
    <mergeCell ref="D166:G166"/>
    <mergeCell ref="I166:L166"/>
  </mergeCells>
  <phoneticPr fontId="1" type="noConversion"/>
  <conditionalFormatting sqref="D105:L105 D148:L148 D152:L152 D156:L156 D160:L160 D171:L171 D175:L175 D179:L179 D183:L183 D187:L187 D191:L191 D195:L195 D199:L199 D203:L203 D207:L207 D211:L211 D215:L215 D226:L226 D230:L230 D234:L234 D238:L238 D242:L242 D246:L246 D250:L250 D254:L254 D258:L258 D262:L262 D266:L266 D270:L270 D281:L281 D285:L285 D289:L289 D293:L293 D297:L297 D301:L301 D305:L305 D309:L309 D313:L313 D317:L317 D321:L321 D325:L325 D336:L336 D340:L340 D344:L344 D348:L348 D352:L352 D356:L356 D360:L360 D364:L364 D368:L368 D372:L372 D376:L376 D380:L380 D61:L61 D101:L101 D65:L65 D69:L69 D73:L73 D77:L77 D81:L81 D85:L85 D89:L89 D93:L93 D97:L97 P160:S160 P148:S148 P152:S152 P156:S156 U160:AB160 U148:AA148 U152:AB152 U156:AB156 AJ136:IV136 AJ124:IV124 AB114:AI114 N109 AJ120:IV120 AB118:AI118 AB61:AH61 AB79:AH79 AB67 AB63:AH63 AB65:AH65 AB75:AH75 AB81 AB77:AD77 AF77:AH77 D109:G109 I109:L109 D164:G164 I164:L164 D219:G219 I219:L219 D274:G274 I274:L274 D329:G329 I329:L329 N61 N65 N69 N73 N77 N81 N85 N89 N93 N97 N101 N105 N164 A116:XFD116 A120:AB120 A124:AA124 A128:XFD128 A132:XFD132 A136:AA136 A140:XFD140 A144:XFD144 N148 N152 N156 N160 N219 N171 N175 N179 N183 N187 N191 N195 N199 N203 N207 N211 N215 N274 N226 N230 N234 N238 N242 N246 N250 N254 N258 N262 N266 N270 N329 N281 N285 N289 N293 N297 N301 N305 N309 N313 N317 N321 N325 N384 N336 N340 N344 N348 N352 N356 N360 N364 N368 N372 N376 N380 D384:G384 I384:L384 D50:L50 D6:L6 D46:L46 D10:L10 D14:L14 D18:L18 D22:L22 D26:L26 D30:L30 D34:L34 D38:L38 D42:L42 D54:G54 I54:L54 N54 N6 N10 N14 N18 N22 N26 N30 N34 N38 N42 N46 N50 P6:S6 U6:X6 Z6 P10:S10 U10:X10 Z10 P14:S14 U14:X14 Z14 P18:S18 U18:X18 Z18 P22:S22 U22:X22 Z22 P26:S26 U26:X26 Z26 P30:S30 U30:X30 Z30 P34:S34 U34:X34 Z34 P38:S38 U38:X38 Z38 P42:S42 U42:X42 Z42 P46:S46 U46:X46 Z46 P50:S50 U50:X50 Z50 P54:S54 U54:X54 Z54">
    <cfRule type="cellIs" dxfId="0" priority="1" stopIfTrue="1" operator="lessThan">
      <formula>0</formula>
    </cfRule>
  </conditionalFormatting>
  <printOptions horizontalCentered="1"/>
  <pageMargins left="0.25" right="0.25" top="0.75" bottom="0.5" header="0.5" footer="0.5"/>
  <pageSetup scale="37" fitToHeight="4" orientation="landscape" r:id="rId1"/>
  <headerFooter alignWithMargins="0"/>
  <rowBreaks count="3" manualBreakCount="3">
    <brk id="110" max="16383" man="1"/>
    <brk id="165" max="16383" man="1"/>
    <brk id="2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5"/>
  <sheetViews>
    <sheetView topLeftCell="A52" zoomScale="82" workbookViewId="0">
      <pane xSplit="2" topLeftCell="C1" activePane="topRight" state="frozen"/>
      <selection activeCell="A52" sqref="A52"/>
      <selection pane="topRight" activeCell="D55" sqref="D55"/>
    </sheetView>
  </sheetViews>
  <sheetFormatPr defaultRowHeight="12.75" x14ac:dyDescent="0.2"/>
  <cols>
    <col min="1" max="1" width="10.7109375" customWidth="1"/>
    <col min="2" max="2" width="2.7109375" customWidth="1"/>
    <col min="3" max="3" width="12.7109375" customWidth="1"/>
    <col min="4" max="8" width="15.7109375" style="2" customWidth="1"/>
    <col min="9" max="9" width="2.7109375" style="2" customWidth="1"/>
    <col min="10" max="12" width="15.7109375" style="2" customWidth="1"/>
    <col min="13" max="13" width="15.7109375" customWidth="1"/>
  </cols>
  <sheetData>
    <row r="1" spans="1:12" hidden="1" x14ac:dyDescent="0.2">
      <c r="D1" s="44" t="s">
        <v>7</v>
      </c>
      <c r="E1" s="44"/>
      <c r="F1" s="44"/>
      <c r="G1" s="44"/>
      <c r="H1" s="1"/>
      <c r="I1" s="1"/>
      <c r="J1" s="44" t="s">
        <v>8</v>
      </c>
      <c r="K1" s="44"/>
      <c r="L1" s="44"/>
    </row>
    <row r="2" spans="1:12" hidden="1" x14ac:dyDescent="0.2">
      <c r="D2" s="1" t="s">
        <v>0</v>
      </c>
      <c r="E2" s="1" t="s">
        <v>1</v>
      </c>
      <c r="F2" s="1" t="s">
        <v>2</v>
      </c>
      <c r="G2" s="1" t="s">
        <v>5</v>
      </c>
      <c r="H2" s="1"/>
      <c r="I2" s="1"/>
      <c r="J2" s="1" t="s">
        <v>3</v>
      </c>
      <c r="K2" s="1" t="s">
        <v>4</v>
      </c>
      <c r="L2" s="1" t="s">
        <v>6</v>
      </c>
    </row>
    <row r="3" spans="1:12" hidden="1" x14ac:dyDescent="0.2">
      <c r="A3">
        <v>2007</v>
      </c>
    </row>
    <row r="4" spans="1:12" hidden="1" x14ac:dyDescent="0.2">
      <c r="A4" t="s">
        <v>9</v>
      </c>
      <c r="C4" t="s">
        <v>21</v>
      </c>
    </row>
    <row r="5" spans="1:12" hidden="1" x14ac:dyDescent="0.2">
      <c r="C5" t="s">
        <v>22</v>
      </c>
    </row>
    <row r="6" spans="1:12" hidden="1" x14ac:dyDescent="0.2">
      <c r="C6" t="s">
        <v>23</v>
      </c>
    </row>
    <row r="7" spans="1:12" hidden="1" x14ac:dyDescent="0.2"/>
    <row r="8" spans="1:12" hidden="1" x14ac:dyDescent="0.2">
      <c r="A8" t="s">
        <v>10</v>
      </c>
      <c r="C8" t="s">
        <v>21</v>
      </c>
    </row>
    <row r="9" spans="1:12" hidden="1" x14ac:dyDescent="0.2">
      <c r="C9" t="s">
        <v>22</v>
      </c>
    </row>
    <row r="10" spans="1:12" hidden="1" x14ac:dyDescent="0.2">
      <c r="C10" t="s">
        <v>23</v>
      </c>
    </row>
    <row r="11" spans="1:12" hidden="1" x14ac:dyDescent="0.2"/>
    <row r="12" spans="1:12" hidden="1" x14ac:dyDescent="0.2">
      <c r="A12" t="s">
        <v>11</v>
      </c>
      <c r="C12" t="s">
        <v>21</v>
      </c>
    </row>
    <row r="13" spans="1:12" hidden="1" x14ac:dyDescent="0.2">
      <c r="C13" t="s">
        <v>22</v>
      </c>
    </row>
    <row r="14" spans="1:12" hidden="1" x14ac:dyDescent="0.2">
      <c r="C14" t="s">
        <v>23</v>
      </c>
    </row>
    <row r="15" spans="1:12" hidden="1" x14ac:dyDescent="0.2"/>
    <row r="16" spans="1:12" hidden="1" x14ac:dyDescent="0.2">
      <c r="A16" t="s">
        <v>12</v>
      </c>
      <c r="C16" t="s">
        <v>21</v>
      </c>
    </row>
    <row r="17" spans="1:3" hidden="1" x14ac:dyDescent="0.2">
      <c r="C17" t="s">
        <v>22</v>
      </c>
    </row>
    <row r="18" spans="1:3" hidden="1" x14ac:dyDescent="0.2">
      <c r="C18" t="s">
        <v>23</v>
      </c>
    </row>
    <row r="19" spans="1:3" hidden="1" x14ac:dyDescent="0.2"/>
    <row r="20" spans="1:3" hidden="1" x14ac:dyDescent="0.2">
      <c r="A20" t="s">
        <v>13</v>
      </c>
      <c r="C20" t="s">
        <v>21</v>
      </c>
    </row>
    <row r="21" spans="1:3" hidden="1" x14ac:dyDescent="0.2">
      <c r="C21" t="s">
        <v>22</v>
      </c>
    </row>
    <row r="22" spans="1:3" hidden="1" x14ac:dyDescent="0.2">
      <c r="C22" t="s">
        <v>23</v>
      </c>
    </row>
    <row r="23" spans="1:3" hidden="1" x14ac:dyDescent="0.2"/>
    <row r="24" spans="1:3" hidden="1" x14ac:dyDescent="0.2">
      <c r="A24" t="s">
        <v>14</v>
      </c>
      <c r="C24" t="s">
        <v>21</v>
      </c>
    </row>
    <row r="25" spans="1:3" hidden="1" x14ac:dyDescent="0.2">
      <c r="C25" t="s">
        <v>22</v>
      </c>
    </row>
    <row r="26" spans="1:3" hidden="1" x14ac:dyDescent="0.2">
      <c r="C26" t="s">
        <v>23</v>
      </c>
    </row>
    <row r="27" spans="1:3" hidden="1" x14ac:dyDescent="0.2"/>
    <row r="28" spans="1:3" hidden="1" x14ac:dyDescent="0.2">
      <c r="A28" t="s">
        <v>15</v>
      </c>
      <c r="C28" t="s">
        <v>21</v>
      </c>
    </row>
    <row r="29" spans="1:3" hidden="1" x14ac:dyDescent="0.2">
      <c r="C29" t="s">
        <v>22</v>
      </c>
    </row>
    <row r="30" spans="1:3" hidden="1" x14ac:dyDescent="0.2">
      <c r="C30" t="s">
        <v>23</v>
      </c>
    </row>
    <row r="31" spans="1:3" hidden="1" x14ac:dyDescent="0.2"/>
    <row r="32" spans="1:3" hidden="1" x14ac:dyDescent="0.2">
      <c r="A32" t="s">
        <v>16</v>
      </c>
      <c r="C32" t="s">
        <v>21</v>
      </c>
    </row>
    <row r="33" spans="1:3" hidden="1" x14ac:dyDescent="0.2">
      <c r="C33" t="s">
        <v>22</v>
      </c>
    </row>
    <row r="34" spans="1:3" hidden="1" x14ac:dyDescent="0.2">
      <c r="C34" t="s">
        <v>23</v>
      </c>
    </row>
    <row r="35" spans="1:3" hidden="1" x14ac:dyDescent="0.2"/>
    <row r="36" spans="1:3" hidden="1" x14ac:dyDescent="0.2">
      <c r="A36" t="s">
        <v>17</v>
      </c>
      <c r="C36" t="s">
        <v>21</v>
      </c>
    </row>
    <row r="37" spans="1:3" hidden="1" x14ac:dyDescent="0.2">
      <c r="C37" t="s">
        <v>22</v>
      </c>
    </row>
    <row r="38" spans="1:3" hidden="1" x14ac:dyDescent="0.2">
      <c r="C38" t="s">
        <v>23</v>
      </c>
    </row>
    <row r="39" spans="1:3" hidden="1" x14ac:dyDescent="0.2"/>
    <row r="40" spans="1:3" hidden="1" x14ac:dyDescent="0.2">
      <c r="A40" t="s">
        <v>18</v>
      </c>
      <c r="C40" t="s">
        <v>21</v>
      </c>
    </row>
    <row r="41" spans="1:3" hidden="1" x14ac:dyDescent="0.2">
      <c r="C41" t="s">
        <v>22</v>
      </c>
    </row>
    <row r="42" spans="1:3" hidden="1" x14ac:dyDescent="0.2">
      <c r="C42" t="s">
        <v>23</v>
      </c>
    </row>
    <row r="43" spans="1:3" hidden="1" x14ac:dyDescent="0.2"/>
    <row r="44" spans="1:3" hidden="1" x14ac:dyDescent="0.2">
      <c r="A44" t="s">
        <v>19</v>
      </c>
      <c r="C44" t="s">
        <v>21</v>
      </c>
    </row>
    <row r="45" spans="1:3" hidden="1" x14ac:dyDescent="0.2">
      <c r="C45" t="s">
        <v>22</v>
      </c>
    </row>
    <row r="46" spans="1:3" hidden="1" x14ac:dyDescent="0.2">
      <c r="C46" t="s">
        <v>23</v>
      </c>
    </row>
    <row r="47" spans="1:3" hidden="1" x14ac:dyDescent="0.2"/>
    <row r="48" spans="1:3" hidden="1" x14ac:dyDescent="0.2">
      <c r="A48" t="s">
        <v>20</v>
      </c>
      <c r="C48" t="s">
        <v>21</v>
      </c>
    </row>
    <row r="49" spans="1:13" hidden="1" x14ac:dyDescent="0.2">
      <c r="C49" t="s">
        <v>22</v>
      </c>
    </row>
    <row r="50" spans="1:13" hidden="1" x14ac:dyDescent="0.2">
      <c r="C50" t="s">
        <v>23</v>
      </c>
    </row>
    <row r="51" spans="1:13" hidden="1" x14ac:dyDescent="0.2"/>
    <row r="52" spans="1:13" x14ac:dyDescent="0.2">
      <c r="D52" s="44" t="s">
        <v>7</v>
      </c>
      <c r="E52" s="44"/>
      <c r="F52" s="44"/>
      <c r="G52" s="44"/>
      <c r="H52" s="44"/>
      <c r="I52" s="1"/>
      <c r="J52" s="44" t="s">
        <v>8</v>
      </c>
      <c r="K52" s="44"/>
      <c r="L52" s="44"/>
      <c r="M52" s="44"/>
    </row>
    <row r="53" spans="1:13" x14ac:dyDescent="0.2">
      <c r="D53" s="1" t="s">
        <v>0</v>
      </c>
      <c r="E53" s="1" t="s">
        <v>1</v>
      </c>
      <c r="F53" s="1" t="s">
        <v>2</v>
      </c>
      <c r="G53" s="1" t="s">
        <v>5</v>
      </c>
      <c r="H53" s="1" t="s">
        <v>24</v>
      </c>
      <c r="I53" s="1"/>
      <c r="J53" s="1" t="s">
        <v>3</v>
      </c>
      <c r="K53" s="1" t="s">
        <v>4</v>
      </c>
      <c r="L53" s="1" t="s">
        <v>6</v>
      </c>
      <c r="M53" s="1" t="s">
        <v>24</v>
      </c>
    </row>
    <row r="54" spans="1:13" x14ac:dyDescent="0.2">
      <c r="A54">
        <v>2006</v>
      </c>
      <c r="D54" s="1"/>
      <c r="E54" s="1"/>
      <c r="F54" s="1"/>
      <c r="G54" s="1"/>
      <c r="H54" s="1"/>
      <c r="I54" s="1"/>
      <c r="J54" s="1"/>
      <c r="K54" s="1"/>
      <c r="L54" s="1"/>
    </row>
    <row r="55" spans="1:13" x14ac:dyDescent="0.2">
      <c r="A55" t="s">
        <v>9</v>
      </c>
      <c r="C55" t="s">
        <v>21</v>
      </c>
      <c r="D55" s="2">
        <v>1421283.8329621013</v>
      </c>
      <c r="E55" s="2">
        <v>434428.91138150019</v>
      </c>
      <c r="F55" s="2">
        <v>87819.113620099888</v>
      </c>
      <c r="G55" s="2">
        <v>681887.24093250372</v>
      </c>
      <c r="H55" s="2">
        <f>SUM(D55:G55)</f>
        <v>2625419.0988962054</v>
      </c>
      <c r="J55" s="2">
        <v>1930167.5709471474</v>
      </c>
      <c r="K55" s="2">
        <v>290581.77657739999</v>
      </c>
      <c r="L55" s="2">
        <v>94619.390779200083</v>
      </c>
      <c r="M55" s="2">
        <f>SUM(J55:L55)</f>
        <v>2315368.7383037475</v>
      </c>
    </row>
    <row r="56" spans="1:13" x14ac:dyDescent="0.2">
      <c r="C56" t="s">
        <v>22</v>
      </c>
      <c r="H56" s="2">
        <f>SUM(D56:G56)</f>
        <v>0</v>
      </c>
      <c r="M56" s="2">
        <f>SUM(J56:L56)</f>
        <v>0</v>
      </c>
    </row>
    <row r="57" spans="1:13" s="3" customFormat="1" x14ac:dyDescent="0.2">
      <c r="C57" s="3" t="s">
        <v>23</v>
      </c>
    </row>
    <row r="59" spans="1:13" x14ac:dyDescent="0.2">
      <c r="A59" t="s">
        <v>10</v>
      </c>
      <c r="C59" t="s">
        <v>21</v>
      </c>
      <c r="D59" s="2">
        <v>1281272.2498914003</v>
      </c>
      <c r="E59" s="2">
        <v>393053.70058220014</v>
      </c>
      <c r="F59" s="2">
        <v>74663.745100999935</v>
      </c>
      <c r="G59" s="2">
        <v>610945.96926944004</v>
      </c>
      <c r="H59" s="2">
        <f>SUM(D59:G59)</f>
        <v>2359935.6648440408</v>
      </c>
      <c r="J59" s="2">
        <v>1734164.4506834613</v>
      </c>
      <c r="K59" s="2">
        <v>264602.87703969999</v>
      </c>
      <c r="L59" s="2">
        <v>89047.677202599982</v>
      </c>
      <c r="M59" s="2">
        <f>SUM(J59:L59)</f>
        <v>2087815.0049257614</v>
      </c>
    </row>
    <row r="60" spans="1:13" x14ac:dyDescent="0.2">
      <c r="C60" t="s">
        <v>22</v>
      </c>
      <c r="H60" s="2">
        <f>SUM(D60:G60)</f>
        <v>0</v>
      </c>
      <c r="M60" s="2">
        <f>SUM(J60:L60)</f>
        <v>0</v>
      </c>
    </row>
    <row r="61" spans="1:13" s="3" customFormat="1" x14ac:dyDescent="0.2">
      <c r="C61" s="3" t="s">
        <v>23</v>
      </c>
    </row>
    <row r="63" spans="1:13" x14ac:dyDescent="0.2">
      <c r="A63" t="s">
        <v>11</v>
      </c>
      <c r="C63" t="s">
        <v>21</v>
      </c>
      <c r="D63" s="2">
        <v>1374586.2633422001</v>
      </c>
      <c r="E63" s="2">
        <v>380868.45788320003</v>
      </c>
      <c r="F63" s="2">
        <v>83851.584260600037</v>
      </c>
      <c r="G63" s="2">
        <v>653830.30655721156</v>
      </c>
      <c r="H63" s="2">
        <f>SUM(D63:G63)</f>
        <v>2493136.6120432117</v>
      </c>
      <c r="J63" s="2">
        <v>1777492.302303215</v>
      </c>
      <c r="K63" s="2">
        <v>273089.0615875998</v>
      </c>
      <c r="L63" s="2">
        <v>94032.062131300103</v>
      </c>
      <c r="M63" s="2">
        <f>SUM(J63:L63)</f>
        <v>2144613.4260221152</v>
      </c>
    </row>
    <row r="64" spans="1:13" x14ac:dyDescent="0.2">
      <c r="C64" t="s">
        <v>22</v>
      </c>
      <c r="H64" s="2">
        <f>SUM(D64:G64)</f>
        <v>0</v>
      </c>
      <c r="M64" s="2">
        <f>SUM(J64:L64)</f>
        <v>0</v>
      </c>
    </row>
    <row r="65" spans="1:13" s="3" customFormat="1" x14ac:dyDescent="0.2">
      <c r="C65" s="3" t="s">
        <v>23</v>
      </c>
    </row>
    <row r="67" spans="1:13" x14ac:dyDescent="0.2">
      <c r="A67" t="s">
        <v>12</v>
      </c>
      <c r="C67" t="s">
        <v>21</v>
      </c>
      <c r="D67" s="2">
        <v>1138459.290584744</v>
      </c>
      <c r="E67" s="2">
        <v>329004.95919899992</v>
      </c>
      <c r="F67" s="2">
        <v>76888.188168299981</v>
      </c>
      <c r="G67" s="2">
        <v>616481.86325163208</v>
      </c>
      <c r="H67" s="2">
        <f>SUM(D67:G67)</f>
        <v>2160834.301203676</v>
      </c>
      <c r="J67" s="2">
        <v>1629719.94399886</v>
      </c>
      <c r="K67" s="2">
        <v>248772.72364249983</v>
      </c>
      <c r="L67" s="2">
        <v>81743.066519000044</v>
      </c>
      <c r="M67" s="2">
        <f>SUM(J67:L67)</f>
        <v>1960235.7341603599</v>
      </c>
    </row>
    <row r="68" spans="1:13" x14ac:dyDescent="0.2">
      <c r="C68" t="s">
        <v>22</v>
      </c>
      <c r="H68" s="2">
        <f>SUM(D68:G68)</f>
        <v>0</v>
      </c>
      <c r="M68" s="2">
        <f>SUM(J68:L68)</f>
        <v>0</v>
      </c>
    </row>
    <row r="69" spans="1:13" s="3" customFormat="1" x14ac:dyDescent="0.2">
      <c r="C69" s="3" t="s">
        <v>23</v>
      </c>
    </row>
    <row r="71" spans="1:13" x14ac:dyDescent="0.2">
      <c r="A71" t="s">
        <v>13</v>
      </c>
      <c r="C71" t="s">
        <v>21</v>
      </c>
      <c r="D71" s="2">
        <v>1151017.8257674484</v>
      </c>
      <c r="E71" s="2">
        <v>338908.9780730994</v>
      </c>
      <c r="F71" s="2">
        <v>86426.961722199921</v>
      </c>
      <c r="G71" s="2">
        <v>613705.1201230766</v>
      </c>
      <c r="H71" s="2">
        <f>SUM(D71:G71)</f>
        <v>2190058.8856858243</v>
      </c>
      <c r="J71" s="2">
        <v>1823956.3235547389</v>
      </c>
      <c r="K71" s="2">
        <v>311230.15851850022</v>
      </c>
      <c r="L71" s="2">
        <v>88036.812407100093</v>
      </c>
      <c r="M71" s="2">
        <f>SUM(J71:L71)</f>
        <v>2223223.2944803392</v>
      </c>
    </row>
    <row r="72" spans="1:13" x14ac:dyDescent="0.2">
      <c r="C72" t="s">
        <v>22</v>
      </c>
      <c r="H72" s="2">
        <f>SUM(D72:G72)</f>
        <v>0</v>
      </c>
      <c r="M72" s="2">
        <f>SUM(J72:L72)</f>
        <v>0</v>
      </c>
    </row>
    <row r="73" spans="1:13" s="3" customFormat="1" x14ac:dyDescent="0.2">
      <c r="C73" s="3" t="s">
        <v>23</v>
      </c>
    </row>
    <row r="75" spans="1:13" x14ac:dyDescent="0.2">
      <c r="A75" t="s">
        <v>14</v>
      </c>
      <c r="C75" t="s">
        <v>21</v>
      </c>
      <c r="D75" s="2">
        <v>1155906.0567414011</v>
      </c>
      <c r="E75" s="2">
        <v>350401.52836619964</v>
      </c>
      <c r="F75" s="2">
        <v>92700.005194300087</v>
      </c>
      <c r="G75" s="2">
        <v>609371.86357766809</v>
      </c>
      <c r="H75" s="2">
        <f>SUM(D75:G75)</f>
        <v>2208379.4538795687</v>
      </c>
      <c r="J75" s="2">
        <v>1999409.9848197238</v>
      </c>
      <c r="K75" s="2">
        <v>386311.55624090013</v>
      </c>
      <c r="L75" s="2">
        <v>86618.824905000074</v>
      </c>
      <c r="M75" s="2">
        <f>SUM(J75:L75)</f>
        <v>2472340.3659656239</v>
      </c>
    </row>
    <row r="76" spans="1:13" x14ac:dyDescent="0.2">
      <c r="C76" t="s">
        <v>22</v>
      </c>
      <c r="H76" s="2">
        <f>SUM(D76:G76)</f>
        <v>0</v>
      </c>
      <c r="M76" s="2">
        <f>SUM(J76:L76)</f>
        <v>0</v>
      </c>
    </row>
    <row r="77" spans="1:13" s="3" customFormat="1" x14ac:dyDescent="0.2">
      <c r="C77" s="3" t="s">
        <v>23</v>
      </c>
    </row>
    <row r="79" spans="1:13" x14ac:dyDescent="0.2">
      <c r="A79" t="s">
        <v>15</v>
      </c>
      <c r="C79" t="s">
        <v>21</v>
      </c>
      <c r="D79" s="2">
        <v>1330745.4924914585</v>
      </c>
      <c r="E79" s="2">
        <v>413215.74455649994</v>
      </c>
      <c r="F79" s="2">
        <v>92227.950450300006</v>
      </c>
      <c r="G79" s="2">
        <v>663306.57330460066</v>
      </c>
      <c r="H79" s="2">
        <f>SUM(D79:G79)</f>
        <v>2499495.760802859</v>
      </c>
      <c r="J79" s="2">
        <v>2325592.1947676186</v>
      </c>
      <c r="K79" s="2">
        <v>451549.00322369993</v>
      </c>
      <c r="L79" s="2">
        <v>88578.885016899934</v>
      </c>
      <c r="M79" s="2">
        <f>SUM(J79:L79)</f>
        <v>2865720.0830082186</v>
      </c>
    </row>
    <row r="80" spans="1:13" x14ac:dyDescent="0.2">
      <c r="C80" t="s">
        <v>22</v>
      </c>
      <c r="H80" s="2">
        <f>SUM(D80:G80)</f>
        <v>0</v>
      </c>
      <c r="M80" s="2">
        <f>SUM(J80:L80)</f>
        <v>0</v>
      </c>
    </row>
    <row r="81" spans="1:13" s="3" customFormat="1" x14ac:dyDescent="0.2">
      <c r="C81" s="3" t="s">
        <v>23</v>
      </c>
    </row>
    <row r="83" spans="1:13" x14ac:dyDescent="0.2">
      <c r="A83" t="s">
        <v>16</v>
      </c>
      <c r="C83" t="s">
        <v>21</v>
      </c>
      <c r="D83" s="2">
        <v>1302141.0590983003</v>
      </c>
      <c r="E83" s="2">
        <v>392338.05398749956</v>
      </c>
      <c r="F83" s="2">
        <v>82536.07905719991</v>
      </c>
      <c r="G83" s="2">
        <v>660340.19764906005</v>
      </c>
      <c r="H83" s="2">
        <f>SUM(D83:G83)</f>
        <v>2437355.3897920595</v>
      </c>
      <c r="J83" s="2">
        <v>2191124.1191443871</v>
      </c>
      <c r="K83" s="2">
        <v>373430.26973340032</v>
      </c>
      <c r="L83" s="2">
        <v>89674.205611499987</v>
      </c>
      <c r="M83" s="2">
        <f>SUM(J83:L83)</f>
        <v>2654228.5944892876</v>
      </c>
    </row>
    <row r="84" spans="1:13" x14ac:dyDescent="0.2">
      <c r="C84" t="s">
        <v>22</v>
      </c>
      <c r="H84" s="2">
        <f>SUM(D84:G84)</f>
        <v>0</v>
      </c>
      <c r="M84" s="2">
        <f>SUM(J84:L84)</f>
        <v>0</v>
      </c>
    </row>
    <row r="85" spans="1:13" s="3" customFormat="1" x14ac:dyDescent="0.2">
      <c r="C85" s="3" t="s">
        <v>23</v>
      </c>
    </row>
    <row r="87" spans="1:13" x14ac:dyDescent="0.2">
      <c r="A87" t="s">
        <v>17</v>
      </c>
      <c r="C87" t="s">
        <v>21</v>
      </c>
      <c r="D87" s="2">
        <v>1197335.5619001014</v>
      </c>
      <c r="E87" s="2">
        <v>360833.69025609957</v>
      </c>
      <c r="F87" s="2">
        <v>70077.873257400002</v>
      </c>
      <c r="G87" s="2">
        <v>598622.95627712354</v>
      </c>
      <c r="H87" s="2">
        <f>SUM(D87:G87)</f>
        <v>2226870.0816907245</v>
      </c>
      <c r="J87" s="2">
        <v>1817284.1498722937</v>
      </c>
      <c r="K87" s="2">
        <v>286305.63561409991</v>
      </c>
      <c r="L87" s="2">
        <v>87149.403058000084</v>
      </c>
      <c r="M87" s="2">
        <f>SUM(J87:L87)</f>
        <v>2190739.1885443935</v>
      </c>
    </row>
    <row r="88" spans="1:13" x14ac:dyDescent="0.2">
      <c r="C88" t="s">
        <v>22</v>
      </c>
      <c r="H88" s="2">
        <f>SUM(D88:G88)</f>
        <v>0</v>
      </c>
      <c r="M88" s="2">
        <f>SUM(J88:L88)</f>
        <v>0</v>
      </c>
    </row>
    <row r="89" spans="1:13" s="3" customFormat="1" x14ac:dyDescent="0.2">
      <c r="C89" s="3" t="s">
        <v>23</v>
      </c>
    </row>
    <row r="91" spans="1:13" x14ac:dyDescent="0.2">
      <c r="A91" t="s">
        <v>18</v>
      </c>
      <c r="C91" t="s">
        <v>21</v>
      </c>
      <c r="D91" s="2">
        <v>1233242.1468720015</v>
      </c>
      <c r="E91" s="2">
        <v>375092.26105749968</v>
      </c>
      <c r="F91" s="2">
        <v>74519.716020200096</v>
      </c>
      <c r="G91" s="2">
        <v>670286.24577154079</v>
      </c>
      <c r="H91" s="2">
        <f>SUM(D91:G91)</f>
        <v>2353140.3697212422</v>
      </c>
      <c r="J91" s="2">
        <v>1759336.3312617075</v>
      </c>
      <c r="K91" s="2">
        <v>258105.90314059993</v>
      </c>
      <c r="L91" s="2">
        <v>89501.11215120001</v>
      </c>
      <c r="M91" s="2">
        <f>SUM(J91:L91)</f>
        <v>2106943.3465535073</v>
      </c>
    </row>
    <row r="92" spans="1:13" x14ac:dyDescent="0.2">
      <c r="C92" t="s">
        <v>22</v>
      </c>
      <c r="H92" s="2">
        <f>SUM(D92:G92)</f>
        <v>0</v>
      </c>
      <c r="M92" s="2">
        <f>SUM(J92:L92)</f>
        <v>0</v>
      </c>
    </row>
    <row r="93" spans="1:13" s="3" customFormat="1" x14ac:dyDescent="0.2">
      <c r="C93" s="3" t="s">
        <v>23</v>
      </c>
    </row>
    <row r="95" spans="1:13" x14ac:dyDescent="0.2">
      <c r="A95" t="s">
        <v>19</v>
      </c>
      <c r="C95" t="s">
        <v>21</v>
      </c>
      <c r="D95" s="2">
        <v>1324952.3268379997</v>
      </c>
      <c r="E95" s="2">
        <v>403362.26972120034</v>
      </c>
      <c r="F95" s="2">
        <v>79344.251174899982</v>
      </c>
      <c r="G95" s="2">
        <v>653763.40037233231</v>
      </c>
      <c r="H95" s="2">
        <f>SUM(D95:G95)</f>
        <v>2461422.2481064321</v>
      </c>
      <c r="J95" s="2">
        <v>1878664.6403719196</v>
      </c>
      <c r="K95" s="2">
        <v>237261.47704909989</v>
      </c>
      <c r="L95" s="2">
        <v>87542.112033399899</v>
      </c>
      <c r="M95" s="2">
        <f>SUM(J95:L95)</f>
        <v>2203468.2294544191</v>
      </c>
    </row>
    <row r="96" spans="1:13" x14ac:dyDescent="0.2">
      <c r="C96" t="s">
        <v>22</v>
      </c>
      <c r="H96" s="2">
        <f>SUM(D96:G96)</f>
        <v>0</v>
      </c>
      <c r="M96" s="2">
        <f>SUM(J96:L96)</f>
        <v>0</v>
      </c>
    </row>
    <row r="97" spans="1:13" s="3" customFormat="1" x14ac:dyDescent="0.2">
      <c r="C97" s="3" t="s">
        <v>23</v>
      </c>
    </row>
    <row r="99" spans="1:13" x14ac:dyDescent="0.2">
      <c r="A99" t="s">
        <v>20</v>
      </c>
      <c r="C99" t="s">
        <v>21</v>
      </c>
      <c r="D99" s="2">
        <v>1477569.6474829994</v>
      </c>
      <c r="E99" s="2">
        <v>465709.7524509005</v>
      </c>
      <c r="F99" s="2">
        <v>90290.793495999955</v>
      </c>
      <c r="G99" s="2">
        <v>707915.16890404036</v>
      </c>
      <c r="H99" s="2">
        <f>SUM(D99:G99)</f>
        <v>2741485.3623339399</v>
      </c>
      <c r="J99" s="2">
        <v>2091210.7881142714</v>
      </c>
      <c r="K99" s="2">
        <v>296754.70140980021</v>
      </c>
      <c r="L99" s="2">
        <v>101395.61118829992</v>
      </c>
      <c r="M99" s="2">
        <f>SUM(J99:L99)</f>
        <v>2489361.1007123715</v>
      </c>
    </row>
    <row r="100" spans="1:13" x14ac:dyDescent="0.2">
      <c r="C100" t="s">
        <v>22</v>
      </c>
      <c r="H100" s="2">
        <f>SUM(D100:G100)</f>
        <v>0</v>
      </c>
      <c r="M100" s="2">
        <f>SUM(J100:L100)</f>
        <v>0</v>
      </c>
    </row>
    <row r="101" spans="1:13" s="3" customFormat="1" x14ac:dyDescent="0.2">
      <c r="C101" s="3" t="s">
        <v>23</v>
      </c>
    </row>
    <row r="103" spans="1:13" x14ac:dyDescent="0.2">
      <c r="D103" s="44" t="s">
        <v>7</v>
      </c>
      <c r="E103" s="44"/>
      <c r="F103" s="44"/>
      <c r="G103" s="44"/>
      <c r="H103" s="44"/>
      <c r="I103" s="1"/>
      <c r="J103" s="44" t="s">
        <v>8</v>
      </c>
      <c r="K103" s="44"/>
      <c r="L103" s="44"/>
      <c r="M103" s="44"/>
    </row>
    <row r="104" spans="1:13" x14ac:dyDescent="0.2">
      <c r="D104" s="1" t="s">
        <v>0</v>
      </c>
      <c r="E104" s="1" t="s">
        <v>1</v>
      </c>
      <c r="F104" s="1" t="s">
        <v>2</v>
      </c>
      <c r="G104" s="1" t="s">
        <v>5</v>
      </c>
      <c r="H104" s="1" t="s">
        <v>24</v>
      </c>
      <c r="I104" s="1"/>
      <c r="J104" s="1" t="s">
        <v>3</v>
      </c>
      <c r="K104" s="1" t="s">
        <v>4</v>
      </c>
      <c r="L104" s="1" t="s">
        <v>6</v>
      </c>
      <c r="M104" s="1" t="s">
        <v>24</v>
      </c>
    </row>
    <row r="105" spans="1:13" x14ac:dyDescent="0.2">
      <c r="A105">
        <v>2005</v>
      </c>
    </row>
    <row r="106" spans="1:13" x14ac:dyDescent="0.2">
      <c r="A106" t="s">
        <v>9</v>
      </c>
      <c r="C106" t="s">
        <v>21</v>
      </c>
      <c r="D106" s="2">
        <v>1368206.5942479009</v>
      </c>
      <c r="E106" s="2">
        <v>442586.23097129987</v>
      </c>
      <c r="F106" s="2">
        <v>88372.842168300063</v>
      </c>
      <c r="G106" s="2">
        <v>640434.2616427968</v>
      </c>
      <c r="H106" s="2">
        <f>SUM(D106:G106)</f>
        <v>2539599.9290302978</v>
      </c>
      <c r="J106" s="2">
        <v>1887851.2373804427</v>
      </c>
      <c r="K106" s="2">
        <v>282026.16632760008</v>
      </c>
      <c r="L106" s="2">
        <v>101389.83366320001</v>
      </c>
      <c r="M106" s="2">
        <f>SUM(J106:L106)</f>
        <v>2271267.2373712426</v>
      </c>
    </row>
    <row r="107" spans="1:13" x14ac:dyDescent="0.2">
      <c r="C107" t="s">
        <v>22</v>
      </c>
      <c r="H107" s="2">
        <f>SUM(D107:G107)</f>
        <v>0</v>
      </c>
      <c r="M107" s="2">
        <f>SUM(J107:L107)</f>
        <v>0</v>
      </c>
    </row>
    <row r="108" spans="1:13" s="3" customFormat="1" x14ac:dyDescent="0.2">
      <c r="C108" s="3" t="s">
        <v>23</v>
      </c>
    </row>
    <row r="110" spans="1:13" x14ac:dyDescent="0.2">
      <c r="A110" t="s">
        <v>10</v>
      </c>
      <c r="C110" t="s">
        <v>21</v>
      </c>
      <c r="D110" s="2">
        <v>1172982.8992942993</v>
      </c>
      <c r="E110" s="2">
        <v>368360.87133830012</v>
      </c>
      <c r="F110" s="2">
        <v>69599.847748699947</v>
      </c>
      <c r="G110" s="2">
        <v>593580.46317892452</v>
      </c>
      <c r="H110" s="2">
        <f>SUM(D110:G110)</f>
        <v>2204524.0815602243</v>
      </c>
      <c r="J110" s="2">
        <v>1686613.5502222239</v>
      </c>
      <c r="K110" s="2">
        <v>251888.55461779973</v>
      </c>
      <c r="L110" s="2">
        <v>91685.438073099984</v>
      </c>
      <c r="M110" s="2">
        <f>SUM(J110:L110)</f>
        <v>2030187.5429131237</v>
      </c>
    </row>
    <row r="111" spans="1:13" x14ac:dyDescent="0.2">
      <c r="C111" t="s">
        <v>22</v>
      </c>
      <c r="H111" s="2">
        <f>SUM(D111:G111)</f>
        <v>0</v>
      </c>
      <c r="M111" s="2">
        <f>SUM(J111:L111)</f>
        <v>0</v>
      </c>
    </row>
    <row r="112" spans="1:13" s="3" customFormat="1" x14ac:dyDescent="0.2">
      <c r="C112" s="3" t="s">
        <v>23</v>
      </c>
    </row>
    <row r="114" spans="1:13" x14ac:dyDescent="0.2">
      <c r="A114" t="s">
        <v>11</v>
      </c>
      <c r="C114" t="s">
        <v>21</v>
      </c>
      <c r="D114" s="2">
        <v>1195726.5891082</v>
      </c>
      <c r="E114" s="2">
        <v>360237.14354339993</v>
      </c>
      <c r="F114" s="2">
        <v>69870.278709599996</v>
      </c>
      <c r="G114" s="2">
        <v>645248.93228355015</v>
      </c>
      <c r="H114" s="2">
        <f>SUM(D114:G114)</f>
        <v>2271082.9436447499</v>
      </c>
      <c r="J114" s="2">
        <v>1688564.385722247</v>
      </c>
      <c r="K114" s="2">
        <v>265524.22178639978</v>
      </c>
      <c r="L114" s="2">
        <v>95583.983330800009</v>
      </c>
      <c r="M114" s="2">
        <f>SUM(J114:L114)</f>
        <v>2049672.5908394468</v>
      </c>
    </row>
    <row r="115" spans="1:13" x14ac:dyDescent="0.2">
      <c r="C115" t="s">
        <v>22</v>
      </c>
      <c r="H115" s="2">
        <f>SUM(D115:G115)</f>
        <v>0</v>
      </c>
      <c r="M115" s="2">
        <f>SUM(J115:L115)</f>
        <v>0</v>
      </c>
    </row>
    <row r="116" spans="1:13" s="3" customFormat="1" x14ac:dyDescent="0.2">
      <c r="C116" s="3" t="s">
        <v>23</v>
      </c>
    </row>
    <row r="118" spans="1:13" x14ac:dyDescent="0.2">
      <c r="A118" t="s">
        <v>12</v>
      </c>
      <c r="C118" t="s">
        <v>21</v>
      </c>
      <c r="D118" s="2">
        <v>1114620.2492172008</v>
      </c>
      <c r="E118" s="2">
        <v>336257.76518009993</v>
      </c>
      <c r="F118" s="2">
        <v>68486.976105900001</v>
      </c>
      <c r="G118" s="2">
        <v>606110.76500742964</v>
      </c>
      <c r="H118" s="2">
        <f>SUM(D118:G118)</f>
        <v>2125475.7555106306</v>
      </c>
      <c r="J118" s="2">
        <v>1628442.8032477812</v>
      </c>
      <c r="K118" s="2">
        <v>224777.58092869993</v>
      </c>
      <c r="L118" s="2">
        <v>84449.048699900013</v>
      </c>
      <c r="M118" s="2">
        <f>SUM(J118:L118)</f>
        <v>1937669.4328763811</v>
      </c>
    </row>
    <row r="119" spans="1:13" x14ac:dyDescent="0.2">
      <c r="C119" t="s">
        <v>22</v>
      </c>
      <c r="H119" s="2">
        <f>SUM(D119:G119)</f>
        <v>0</v>
      </c>
      <c r="M119" s="2">
        <f>SUM(J119:L119)</f>
        <v>0</v>
      </c>
    </row>
    <row r="120" spans="1:13" s="3" customFormat="1" x14ac:dyDescent="0.2">
      <c r="C120" s="3" t="s">
        <v>23</v>
      </c>
    </row>
    <row r="122" spans="1:13" x14ac:dyDescent="0.2">
      <c r="A122" t="s">
        <v>13</v>
      </c>
      <c r="C122" t="s">
        <v>21</v>
      </c>
      <c r="D122" s="2">
        <v>1079502.2250167001</v>
      </c>
      <c r="E122" s="2">
        <v>336753.02678899973</v>
      </c>
      <c r="F122" s="2">
        <v>66493.100822000066</v>
      </c>
      <c r="G122" s="2">
        <v>604774.96420736879</v>
      </c>
      <c r="H122" s="2">
        <f>SUM(D122:G122)</f>
        <v>2087523.3168350686</v>
      </c>
      <c r="J122" s="2">
        <v>1719555.6493207938</v>
      </c>
      <c r="K122" s="2">
        <v>275274.1157509</v>
      </c>
      <c r="L122" s="2">
        <v>90559.139234800052</v>
      </c>
      <c r="M122" s="2">
        <f>SUM(J122:L122)</f>
        <v>2085388.9043064939</v>
      </c>
    </row>
    <row r="123" spans="1:13" x14ac:dyDescent="0.2">
      <c r="C123" t="s">
        <v>22</v>
      </c>
      <c r="H123" s="2">
        <f>SUM(D123:G123)</f>
        <v>0</v>
      </c>
      <c r="M123" s="2">
        <f>SUM(J123:L123)</f>
        <v>0</v>
      </c>
    </row>
    <row r="124" spans="1:13" s="3" customFormat="1" x14ac:dyDescent="0.2">
      <c r="C124" s="3" t="s">
        <v>23</v>
      </c>
    </row>
    <row r="126" spans="1:13" x14ac:dyDescent="0.2">
      <c r="A126" t="s">
        <v>14</v>
      </c>
      <c r="C126" t="s">
        <v>21</v>
      </c>
      <c r="D126" s="2">
        <v>1110676.8072167991</v>
      </c>
      <c r="E126" s="2">
        <v>351784.09680800018</v>
      </c>
      <c r="F126" s="2">
        <v>75396.154196800024</v>
      </c>
      <c r="G126" s="2">
        <v>612418.77662710065</v>
      </c>
      <c r="H126" s="2">
        <f>SUM(D126:G126)</f>
        <v>2150275.8348487001</v>
      </c>
      <c r="J126" s="2">
        <v>1785756.7595122524</v>
      </c>
      <c r="K126" s="2">
        <v>335368.3375231002</v>
      </c>
      <c r="L126" s="2">
        <v>87528.174383300109</v>
      </c>
      <c r="M126" s="2">
        <f>SUM(J126:L126)</f>
        <v>2208653.2714186525</v>
      </c>
    </row>
    <row r="127" spans="1:13" x14ac:dyDescent="0.2">
      <c r="C127" t="s">
        <v>22</v>
      </c>
      <c r="H127" s="2">
        <f>SUM(D127:G127)</f>
        <v>0</v>
      </c>
      <c r="M127" s="2">
        <f>SUM(J127:L127)</f>
        <v>0</v>
      </c>
    </row>
    <row r="128" spans="1:13" s="3" customFormat="1" x14ac:dyDescent="0.2">
      <c r="C128" s="3" t="s">
        <v>23</v>
      </c>
    </row>
    <row r="130" spans="1:13" x14ac:dyDescent="0.2">
      <c r="A130" t="s">
        <v>15</v>
      </c>
      <c r="C130" t="s">
        <v>21</v>
      </c>
      <c r="D130" s="2">
        <v>1240979.5038222002</v>
      </c>
      <c r="E130" s="2">
        <v>397101.35070279997</v>
      </c>
      <c r="F130" s="2">
        <v>97510.740552300078</v>
      </c>
      <c r="G130" s="2">
        <v>648253.83219970495</v>
      </c>
      <c r="H130" s="2">
        <f>SUM(D130:G130)</f>
        <v>2383845.4272770053</v>
      </c>
      <c r="J130" s="2">
        <v>2191104.4595214147</v>
      </c>
      <c r="K130" s="2">
        <v>469576.52463230013</v>
      </c>
      <c r="L130" s="2">
        <v>92497.226047999982</v>
      </c>
      <c r="M130" s="2">
        <f>SUM(J130:L130)</f>
        <v>2753178.2102017151</v>
      </c>
    </row>
    <row r="131" spans="1:13" x14ac:dyDescent="0.2">
      <c r="C131" t="s">
        <v>22</v>
      </c>
      <c r="H131" s="2">
        <f>SUM(D131:G131)</f>
        <v>0</v>
      </c>
      <c r="M131" s="2">
        <f>SUM(J131:L131)</f>
        <v>0</v>
      </c>
    </row>
    <row r="132" spans="1:13" s="3" customFormat="1" x14ac:dyDescent="0.2">
      <c r="C132" s="3" t="s">
        <v>23</v>
      </c>
    </row>
    <row r="134" spans="1:13" x14ac:dyDescent="0.2">
      <c r="A134" t="s">
        <v>16</v>
      </c>
      <c r="C134" t="s">
        <v>21</v>
      </c>
      <c r="D134" s="2">
        <v>1266095.8847190982</v>
      </c>
      <c r="E134" s="2">
        <v>421840.7703965003</v>
      </c>
      <c r="F134" s="2">
        <v>95319.275594099992</v>
      </c>
      <c r="G134" s="2">
        <v>643347.9235301856</v>
      </c>
      <c r="H134" s="2">
        <f>SUM(D134:G134)</f>
        <v>2426603.8542398838</v>
      </c>
      <c r="J134" s="2">
        <v>2099546.2989793522</v>
      </c>
      <c r="K134" s="2">
        <v>359597.66596279992</v>
      </c>
      <c r="L134" s="2">
        <v>90792.736326600017</v>
      </c>
      <c r="M134" s="2">
        <f>SUM(J134:L134)</f>
        <v>2549936.7012687521</v>
      </c>
    </row>
    <row r="135" spans="1:13" x14ac:dyDescent="0.2">
      <c r="C135" t="s">
        <v>22</v>
      </c>
      <c r="H135" s="2">
        <f>SUM(D135:G135)</f>
        <v>0</v>
      </c>
      <c r="M135" s="2">
        <f>SUM(J135:L135)</f>
        <v>0</v>
      </c>
    </row>
    <row r="136" spans="1:13" s="3" customFormat="1" x14ac:dyDescent="0.2">
      <c r="C136" s="3" t="s">
        <v>23</v>
      </c>
    </row>
    <row r="138" spans="1:13" x14ac:dyDescent="0.2">
      <c r="A138" t="s">
        <v>17</v>
      </c>
      <c r="C138" t="s">
        <v>21</v>
      </c>
      <c r="D138" s="2">
        <v>1097035.8303415</v>
      </c>
      <c r="E138" s="2">
        <v>372014.09035060013</v>
      </c>
      <c r="F138" s="2">
        <v>77430.545544799999</v>
      </c>
      <c r="G138" s="2">
        <v>614313.4151096195</v>
      </c>
      <c r="H138" s="2">
        <f>SUM(D138:G138)</f>
        <v>2160793.8813465196</v>
      </c>
      <c r="J138" s="2">
        <v>1746874.6448407895</v>
      </c>
      <c r="K138" s="2">
        <v>269790.35436109989</v>
      </c>
      <c r="L138" s="2">
        <v>85956.444900099974</v>
      </c>
      <c r="M138" s="2">
        <f>SUM(J138:L138)</f>
        <v>2102621.4441019893</v>
      </c>
    </row>
    <row r="139" spans="1:13" x14ac:dyDescent="0.2">
      <c r="C139" t="s">
        <v>22</v>
      </c>
      <c r="H139" s="2">
        <f>SUM(D139:G139)</f>
        <v>0</v>
      </c>
      <c r="M139" s="2">
        <f>SUM(J139:L139)</f>
        <v>0</v>
      </c>
    </row>
    <row r="140" spans="1:13" s="3" customFormat="1" x14ac:dyDescent="0.2">
      <c r="C140" s="3" t="s">
        <v>23</v>
      </c>
    </row>
    <row r="142" spans="1:13" x14ac:dyDescent="0.2">
      <c r="A142" t="s">
        <v>18</v>
      </c>
      <c r="C142" t="s">
        <v>21</v>
      </c>
      <c r="D142" s="2">
        <v>1130323.0157343003</v>
      </c>
      <c r="E142" s="2">
        <v>368071.33282069996</v>
      </c>
      <c r="F142" s="2">
        <v>69834.725662299883</v>
      </c>
      <c r="G142" s="2">
        <v>649696.79423294042</v>
      </c>
      <c r="H142" s="2">
        <f>SUM(D142:G142)</f>
        <v>2217925.8684502407</v>
      </c>
      <c r="J142" s="2">
        <v>1694042.2007999318</v>
      </c>
      <c r="K142" s="2">
        <v>260451.84396370011</v>
      </c>
      <c r="L142" s="2">
        <v>87083.841885600064</v>
      </c>
      <c r="M142" s="2">
        <f>SUM(J142:L142)</f>
        <v>2041577.8866492319</v>
      </c>
    </row>
    <row r="143" spans="1:13" x14ac:dyDescent="0.2">
      <c r="C143" t="s">
        <v>22</v>
      </c>
      <c r="H143" s="2">
        <f>SUM(D143:G143)</f>
        <v>0</v>
      </c>
      <c r="M143" s="2">
        <f>SUM(J143:L143)</f>
        <v>0</v>
      </c>
    </row>
    <row r="144" spans="1:13" s="3" customFormat="1" x14ac:dyDescent="0.2">
      <c r="C144" s="3" t="s">
        <v>23</v>
      </c>
    </row>
    <row r="146" spans="1:13" x14ac:dyDescent="0.2">
      <c r="A146" t="s">
        <v>19</v>
      </c>
      <c r="C146" t="s">
        <v>21</v>
      </c>
      <c r="D146" s="2">
        <v>1287010.1931780002</v>
      </c>
      <c r="E146" s="2">
        <v>409723.40129570023</v>
      </c>
      <c r="F146" s="2">
        <v>76257.846508100076</v>
      </c>
      <c r="G146" s="2">
        <v>652055.43020245247</v>
      </c>
      <c r="H146" s="2">
        <f>SUM(D146:G146)</f>
        <v>2425046.8711842531</v>
      </c>
      <c r="J146" s="2">
        <v>1787058.1753911816</v>
      </c>
      <c r="K146" s="2">
        <v>244689.49816029976</v>
      </c>
      <c r="L146" s="2">
        <v>91318.731123100093</v>
      </c>
      <c r="M146" s="2">
        <f>SUM(J146:L146)</f>
        <v>2123066.4046745817</v>
      </c>
    </row>
    <row r="147" spans="1:13" x14ac:dyDescent="0.2">
      <c r="C147" t="s">
        <v>22</v>
      </c>
      <c r="H147" s="2">
        <f>SUM(D147:G147)</f>
        <v>0</v>
      </c>
      <c r="M147" s="2">
        <f>SUM(J147:L147)</f>
        <v>0</v>
      </c>
    </row>
    <row r="148" spans="1:13" s="3" customFormat="1" x14ac:dyDescent="0.2">
      <c r="C148" s="3" t="s">
        <v>23</v>
      </c>
    </row>
    <row r="150" spans="1:13" x14ac:dyDescent="0.2">
      <c r="A150" t="s">
        <v>20</v>
      </c>
      <c r="C150" t="s">
        <v>21</v>
      </c>
      <c r="D150" s="2">
        <v>1440562.4572498016</v>
      </c>
      <c r="E150" s="2">
        <v>483222.33214250003</v>
      </c>
      <c r="F150" s="2">
        <v>90535.437333400012</v>
      </c>
      <c r="G150" s="2">
        <v>707287.61353388778</v>
      </c>
      <c r="H150" s="2">
        <f>SUM(D150:G150)</f>
        <v>2721607.8402595893</v>
      </c>
      <c r="J150" s="2">
        <v>1986765.3973225304</v>
      </c>
      <c r="K150" s="2">
        <v>280755.14490190014</v>
      </c>
      <c r="L150" s="2">
        <v>98733.007928300169</v>
      </c>
      <c r="M150" s="2">
        <f>SUM(J150:L150)</f>
        <v>2366253.5501527307</v>
      </c>
    </row>
    <row r="151" spans="1:13" x14ac:dyDescent="0.2">
      <c r="C151" t="s">
        <v>22</v>
      </c>
      <c r="H151" s="2">
        <f>SUM(D151:G151)</f>
        <v>0</v>
      </c>
      <c r="M151" s="2">
        <f>SUM(J151:L151)</f>
        <v>0</v>
      </c>
    </row>
    <row r="152" spans="1:13" s="3" customFormat="1" x14ac:dyDescent="0.2">
      <c r="C152" s="3" t="s">
        <v>23</v>
      </c>
    </row>
    <row r="154" spans="1:13" x14ac:dyDescent="0.2">
      <c r="D154" s="44" t="s">
        <v>7</v>
      </c>
      <c r="E154" s="44"/>
      <c r="F154" s="44"/>
      <c r="G154" s="44"/>
      <c r="H154" s="44"/>
      <c r="I154" s="1"/>
      <c r="J154" s="44" t="s">
        <v>8</v>
      </c>
      <c r="K154" s="44"/>
      <c r="L154" s="44"/>
      <c r="M154" s="44"/>
    </row>
    <row r="155" spans="1:13" x14ac:dyDescent="0.2">
      <c r="D155" s="1" t="s">
        <v>0</v>
      </c>
      <c r="E155" s="1" t="s">
        <v>1</v>
      </c>
      <c r="F155" s="1" t="s">
        <v>2</v>
      </c>
      <c r="G155" s="1" t="s">
        <v>5</v>
      </c>
      <c r="H155" s="1" t="s">
        <v>24</v>
      </c>
      <c r="I155" s="1"/>
      <c r="J155" s="1" t="s">
        <v>3</v>
      </c>
      <c r="K155" s="1" t="s">
        <v>4</v>
      </c>
      <c r="L155" s="1" t="s">
        <v>6</v>
      </c>
      <c r="M155" s="1" t="s">
        <v>24</v>
      </c>
    </row>
    <row r="156" spans="1:13" x14ac:dyDescent="0.2">
      <c r="A156">
        <v>2004</v>
      </c>
    </row>
    <row r="157" spans="1:13" x14ac:dyDescent="0.2">
      <c r="A157" t="s">
        <v>9</v>
      </c>
      <c r="C157" t="s">
        <v>21</v>
      </c>
      <c r="D157" s="2">
        <v>1366898</v>
      </c>
      <c r="E157" s="2">
        <v>454880</v>
      </c>
      <c r="F157" s="2">
        <v>78376</v>
      </c>
      <c r="G157" s="2">
        <v>636828</v>
      </c>
      <c r="H157" s="2">
        <f>SUM(D157:G157)</f>
        <v>2536982</v>
      </c>
      <c r="J157" s="2">
        <v>1889190</v>
      </c>
      <c r="K157" s="2">
        <v>283133</v>
      </c>
      <c r="L157" s="2">
        <v>108017</v>
      </c>
      <c r="M157" s="2">
        <f>SUM(J157:L157)</f>
        <v>2280340</v>
      </c>
    </row>
    <row r="158" spans="1:13" x14ac:dyDescent="0.2">
      <c r="C158" t="s">
        <v>22</v>
      </c>
      <c r="H158" s="2">
        <f>SUM(D158:G158)</f>
        <v>0</v>
      </c>
      <c r="M158" s="2">
        <f>SUM(J158:L158)</f>
        <v>0</v>
      </c>
    </row>
    <row r="159" spans="1:13" s="3" customFormat="1" x14ac:dyDescent="0.2">
      <c r="C159" s="3" t="s">
        <v>23</v>
      </c>
    </row>
    <row r="161" spans="1:13" x14ac:dyDescent="0.2">
      <c r="A161" t="s">
        <v>10</v>
      </c>
      <c r="C161" t="s">
        <v>21</v>
      </c>
      <c r="D161" s="2">
        <v>1218112</v>
      </c>
      <c r="E161" s="2">
        <v>375434</v>
      </c>
      <c r="F161" s="2">
        <v>70821</v>
      </c>
      <c r="G161" s="2">
        <v>603546</v>
      </c>
      <c r="H161" s="2">
        <f>SUM(D161:G161)</f>
        <v>2267913</v>
      </c>
      <c r="J161" s="2">
        <v>1718916</v>
      </c>
      <c r="K161" s="2">
        <v>257192</v>
      </c>
      <c r="L161" s="2">
        <v>99037</v>
      </c>
      <c r="M161" s="2">
        <f>SUM(J161:L161)</f>
        <v>2075145</v>
      </c>
    </row>
    <row r="162" spans="1:13" x14ac:dyDescent="0.2">
      <c r="C162" t="s">
        <v>22</v>
      </c>
      <c r="H162" s="2">
        <f>SUM(D162:G162)</f>
        <v>0</v>
      </c>
      <c r="M162" s="2">
        <f>SUM(J162:L162)</f>
        <v>0</v>
      </c>
    </row>
    <row r="163" spans="1:13" s="3" customFormat="1" x14ac:dyDescent="0.2">
      <c r="C163" s="3" t="s">
        <v>23</v>
      </c>
    </row>
    <row r="165" spans="1:13" x14ac:dyDescent="0.2">
      <c r="A165" t="s">
        <v>11</v>
      </c>
      <c r="C165" t="s">
        <v>21</v>
      </c>
      <c r="D165" s="2">
        <v>1178547</v>
      </c>
      <c r="E165" s="2">
        <v>344338</v>
      </c>
      <c r="F165" s="2">
        <v>68112</v>
      </c>
      <c r="G165" s="2">
        <v>615621</v>
      </c>
      <c r="H165" s="2">
        <f>SUM(D165:G165)</f>
        <v>2206618</v>
      </c>
      <c r="J165" s="2">
        <v>1652169</v>
      </c>
      <c r="K165" s="2">
        <v>258796</v>
      </c>
      <c r="L165" s="2">
        <v>101435</v>
      </c>
      <c r="M165" s="2">
        <f>SUM(J165:L165)</f>
        <v>2012400</v>
      </c>
    </row>
    <row r="166" spans="1:13" x14ac:dyDescent="0.2">
      <c r="C166" t="s">
        <v>22</v>
      </c>
      <c r="H166" s="2">
        <f>SUM(D166:G166)</f>
        <v>0</v>
      </c>
      <c r="M166" s="2">
        <f>SUM(J166:L166)</f>
        <v>0</v>
      </c>
    </row>
    <row r="167" spans="1:13" s="3" customFormat="1" x14ac:dyDescent="0.2">
      <c r="C167" s="3" t="s">
        <v>23</v>
      </c>
    </row>
    <row r="169" spans="1:13" x14ac:dyDescent="0.2">
      <c r="A169" t="s">
        <v>12</v>
      </c>
      <c r="C169" t="s">
        <v>21</v>
      </c>
      <c r="D169" s="2">
        <v>1086378</v>
      </c>
      <c r="E169" s="2">
        <v>316112</v>
      </c>
      <c r="F169" s="2">
        <v>67305</v>
      </c>
      <c r="G169" s="2">
        <v>576898</v>
      </c>
      <c r="H169" s="2">
        <f>SUM(D169:G169)</f>
        <v>2046693</v>
      </c>
      <c r="J169" s="2">
        <v>1550376</v>
      </c>
      <c r="K169" s="2">
        <v>259553</v>
      </c>
      <c r="L169" s="2">
        <v>94911</v>
      </c>
      <c r="M169" s="2">
        <f>SUM(J169:L169)</f>
        <v>1904840</v>
      </c>
    </row>
    <row r="170" spans="1:13" x14ac:dyDescent="0.2">
      <c r="C170" t="s">
        <v>22</v>
      </c>
      <c r="H170" s="2">
        <f>SUM(D170:G170)</f>
        <v>0</v>
      </c>
      <c r="M170" s="2">
        <f>SUM(J170:L170)</f>
        <v>0</v>
      </c>
    </row>
    <row r="171" spans="1:13" s="3" customFormat="1" x14ac:dyDescent="0.2">
      <c r="C171" s="3" t="s">
        <v>23</v>
      </c>
    </row>
    <row r="173" spans="1:13" x14ac:dyDescent="0.2">
      <c r="A173" t="s">
        <v>13</v>
      </c>
      <c r="C173" t="s">
        <v>21</v>
      </c>
      <c r="D173" s="2">
        <v>1059450</v>
      </c>
      <c r="E173" s="2">
        <v>313236</v>
      </c>
      <c r="F173" s="2">
        <v>88314</v>
      </c>
      <c r="G173" s="2">
        <v>588958</v>
      </c>
      <c r="H173" s="2">
        <f>SUM(D173:G173)</f>
        <v>2049958</v>
      </c>
      <c r="J173" s="2">
        <v>1693481</v>
      </c>
      <c r="K173" s="2">
        <v>316259</v>
      </c>
      <c r="L173" s="2">
        <v>96376</v>
      </c>
      <c r="M173" s="2">
        <f>SUM(J173:L173)</f>
        <v>2106116</v>
      </c>
    </row>
    <row r="174" spans="1:13" x14ac:dyDescent="0.2">
      <c r="C174" t="s">
        <v>22</v>
      </c>
      <c r="H174" s="2">
        <f>SUM(D174:G174)</f>
        <v>0</v>
      </c>
      <c r="M174" s="2">
        <f>SUM(J174:L174)</f>
        <v>0</v>
      </c>
    </row>
    <row r="175" spans="1:13" s="3" customFormat="1" x14ac:dyDescent="0.2">
      <c r="C175" s="3" t="s">
        <v>23</v>
      </c>
    </row>
    <row r="177" spans="1:13" x14ac:dyDescent="0.2">
      <c r="A177" t="s">
        <v>14</v>
      </c>
      <c r="C177" t="s">
        <v>21</v>
      </c>
      <c r="D177" s="2">
        <v>1107384</v>
      </c>
      <c r="E177" s="2">
        <v>357830</v>
      </c>
      <c r="F177" s="2">
        <v>88850</v>
      </c>
      <c r="G177" s="2">
        <v>592730</v>
      </c>
      <c r="H177" s="2">
        <f>SUM(D177:G177)</f>
        <v>2146794</v>
      </c>
      <c r="J177" s="2">
        <v>1845652</v>
      </c>
      <c r="K177" s="2">
        <v>391259</v>
      </c>
      <c r="L177" s="2">
        <v>93871</v>
      </c>
      <c r="M177" s="2">
        <f>SUM(J177:L177)</f>
        <v>2330782</v>
      </c>
    </row>
    <row r="178" spans="1:13" x14ac:dyDescent="0.2">
      <c r="C178" t="s">
        <v>22</v>
      </c>
      <c r="H178" s="2">
        <f>SUM(D178:G178)</f>
        <v>0</v>
      </c>
      <c r="M178" s="2">
        <f>SUM(J178:L178)</f>
        <v>0</v>
      </c>
    </row>
    <row r="179" spans="1:13" s="3" customFormat="1" x14ac:dyDescent="0.2">
      <c r="C179" s="3" t="s">
        <v>23</v>
      </c>
    </row>
    <row r="181" spans="1:13" x14ac:dyDescent="0.2">
      <c r="A181" t="s">
        <v>15</v>
      </c>
      <c r="C181" t="s">
        <v>21</v>
      </c>
      <c r="D181" s="2">
        <v>1245159</v>
      </c>
      <c r="E181" s="2">
        <v>402880</v>
      </c>
      <c r="F181" s="2">
        <v>91606</v>
      </c>
      <c r="G181" s="2">
        <v>630436</v>
      </c>
      <c r="H181" s="2">
        <f>SUM(D181:G181)</f>
        <v>2370081</v>
      </c>
      <c r="J181" s="2">
        <v>2111123</v>
      </c>
      <c r="K181" s="2">
        <v>425870</v>
      </c>
      <c r="L181" s="2">
        <v>96943</v>
      </c>
      <c r="M181" s="2">
        <f>SUM(J181:L181)</f>
        <v>2633936</v>
      </c>
    </row>
    <row r="182" spans="1:13" x14ac:dyDescent="0.2">
      <c r="C182" t="s">
        <v>22</v>
      </c>
      <c r="H182" s="2">
        <f>SUM(D182:G182)</f>
        <v>0</v>
      </c>
      <c r="M182" s="2">
        <f>SUM(J182:L182)</f>
        <v>0</v>
      </c>
    </row>
    <row r="183" spans="1:13" s="3" customFormat="1" x14ac:dyDescent="0.2">
      <c r="C183" s="3" t="s">
        <v>23</v>
      </c>
    </row>
    <row r="185" spans="1:13" x14ac:dyDescent="0.2">
      <c r="A185" t="s">
        <v>16</v>
      </c>
      <c r="C185" t="s">
        <v>21</v>
      </c>
      <c r="D185" s="2">
        <v>1228153</v>
      </c>
      <c r="E185" s="2">
        <v>402209</v>
      </c>
      <c r="F185" s="2">
        <v>90174</v>
      </c>
      <c r="G185" s="2">
        <v>610865</v>
      </c>
      <c r="H185" s="2">
        <f>SUM(D185:G185)</f>
        <v>2331401</v>
      </c>
      <c r="J185" s="2">
        <v>1990804</v>
      </c>
      <c r="K185" s="2">
        <v>317840</v>
      </c>
      <c r="L185" s="2">
        <v>93936</v>
      </c>
      <c r="M185" s="2">
        <f>SUM(J185:L185)</f>
        <v>2402580</v>
      </c>
    </row>
    <row r="186" spans="1:13" x14ac:dyDescent="0.2">
      <c r="C186" t="s">
        <v>22</v>
      </c>
      <c r="H186" s="2">
        <f>SUM(D186:G186)</f>
        <v>0</v>
      </c>
      <c r="M186" s="2">
        <f>SUM(J186:L186)</f>
        <v>0</v>
      </c>
    </row>
    <row r="187" spans="1:13" s="3" customFormat="1" x14ac:dyDescent="0.2">
      <c r="C187" s="3" t="s">
        <v>23</v>
      </c>
    </row>
    <row r="189" spans="1:13" x14ac:dyDescent="0.2">
      <c r="A189" t="s">
        <v>17</v>
      </c>
      <c r="C189" t="s">
        <v>21</v>
      </c>
      <c r="D189" s="2">
        <v>1077332</v>
      </c>
      <c r="E189" s="2">
        <v>356308</v>
      </c>
      <c r="F189" s="2">
        <v>74386</v>
      </c>
      <c r="G189" s="2">
        <v>564375</v>
      </c>
      <c r="H189" s="2">
        <f>SUM(D189:G189)</f>
        <v>2072401</v>
      </c>
      <c r="J189" s="2">
        <v>1684069</v>
      </c>
      <c r="K189" s="2">
        <v>265290</v>
      </c>
      <c r="L189" s="2">
        <v>89690</v>
      </c>
      <c r="M189" s="2">
        <f>SUM(J189:L189)</f>
        <v>2039049</v>
      </c>
    </row>
    <row r="190" spans="1:13" x14ac:dyDescent="0.2">
      <c r="C190" t="s">
        <v>22</v>
      </c>
      <c r="H190" s="2">
        <f>SUM(D190:G190)</f>
        <v>0</v>
      </c>
      <c r="M190" s="2">
        <f>SUM(J190:L190)</f>
        <v>0</v>
      </c>
    </row>
    <row r="191" spans="1:13" s="3" customFormat="1" x14ac:dyDescent="0.2">
      <c r="C191" s="3" t="s">
        <v>23</v>
      </c>
    </row>
    <row r="193" spans="1:13" x14ac:dyDescent="0.2">
      <c r="A193" t="s">
        <v>18</v>
      </c>
      <c r="C193" t="s">
        <v>21</v>
      </c>
      <c r="D193" s="2">
        <v>1141816</v>
      </c>
      <c r="E193" s="2">
        <v>372159</v>
      </c>
      <c r="F193" s="2">
        <v>69578</v>
      </c>
      <c r="G193" s="2">
        <v>615239</v>
      </c>
      <c r="H193" s="2">
        <f>SUM(D193:G193)</f>
        <v>2198792</v>
      </c>
      <c r="J193" s="2">
        <v>1662192</v>
      </c>
      <c r="K193" s="2">
        <v>268914</v>
      </c>
      <c r="L193" s="2">
        <v>94990</v>
      </c>
      <c r="M193" s="2">
        <f>SUM(J193:L193)</f>
        <v>2026096</v>
      </c>
    </row>
    <row r="194" spans="1:13" x14ac:dyDescent="0.2">
      <c r="C194" t="s">
        <v>22</v>
      </c>
      <c r="H194" s="2">
        <f>SUM(D194:G194)</f>
        <v>0</v>
      </c>
      <c r="M194" s="2">
        <f>SUM(J194:L194)</f>
        <v>0</v>
      </c>
    </row>
    <row r="195" spans="1:13" s="3" customFormat="1" x14ac:dyDescent="0.2">
      <c r="C195" s="3" t="s">
        <v>23</v>
      </c>
    </row>
    <row r="197" spans="1:13" x14ac:dyDescent="0.2">
      <c r="A197" t="s">
        <v>19</v>
      </c>
      <c r="C197" t="s">
        <v>21</v>
      </c>
      <c r="D197" s="2">
        <v>1254339</v>
      </c>
      <c r="E197" s="2">
        <v>397005</v>
      </c>
      <c r="F197" s="2">
        <v>82305</v>
      </c>
      <c r="G197" s="2">
        <v>608630</v>
      </c>
      <c r="H197" s="2">
        <f>SUM(D197:G197)</f>
        <v>2342279</v>
      </c>
      <c r="J197" s="2">
        <v>1756834</v>
      </c>
      <c r="K197" s="2">
        <v>255115</v>
      </c>
      <c r="L197" s="2">
        <v>94522</v>
      </c>
      <c r="M197" s="2">
        <f>SUM(J197:L197)</f>
        <v>2106471</v>
      </c>
    </row>
    <row r="198" spans="1:13" x14ac:dyDescent="0.2">
      <c r="C198" t="s">
        <v>22</v>
      </c>
      <c r="H198" s="2">
        <f>SUM(D198:G198)</f>
        <v>0</v>
      </c>
      <c r="M198" s="2">
        <f>SUM(J198:L198)</f>
        <v>0</v>
      </c>
    </row>
    <row r="199" spans="1:13" s="3" customFormat="1" x14ac:dyDescent="0.2">
      <c r="C199" s="3" t="s">
        <v>23</v>
      </c>
    </row>
    <row r="201" spans="1:13" x14ac:dyDescent="0.2">
      <c r="A201" t="s">
        <v>20</v>
      </c>
      <c r="C201" t="s">
        <v>21</v>
      </c>
      <c r="D201" s="2">
        <v>1360296</v>
      </c>
      <c r="E201" s="2">
        <v>433868</v>
      </c>
      <c r="F201" s="2">
        <v>94085</v>
      </c>
      <c r="G201" s="2">
        <v>636121</v>
      </c>
      <c r="H201" s="2">
        <f>SUM(D201:G201)</f>
        <v>2524370</v>
      </c>
      <c r="J201" s="2">
        <v>1929232</v>
      </c>
      <c r="K201" s="2">
        <v>278368</v>
      </c>
      <c r="L201" s="2">
        <v>101674</v>
      </c>
      <c r="M201" s="2">
        <f>SUM(J201:L201)</f>
        <v>2309274</v>
      </c>
    </row>
    <row r="202" spans="1:13" x14ac:dyDescent="0.2">
      <c r="C202" t="s">
        <v>22</v>
      </c>
      <c r="H202" s="2">
        <f>SUM(D202:G202)</f>
        <v>0</v>
      </c>
      <c r="M202" s="2">
        <f>SUM(J202:L202)</f>
        <v>0</v>
      </c>
    </row>
    <row r="203" spans="1:13" s="3" customFormat="1" x14ac:dyDescent="0.2">
      <c r="C203" s="3" t="s">
        <v>23</v>
      </c>
    </row>
    <row r="205" spans="1:13" x14ac:dyDescent="0.2">
      <c r="D205" s="44" t="s">
        <v>7</v>
      </c>
      <c r="E205" s="44"/>
      <c r="F205" s="44"/>
      <c r="G205" s="44"/>
      <c r="H205" s="44"/>
      <c r="I205" s="1"/>
      <c r="J205" s="44" t="s">
        <v>8</v>
      </c>
      <c r="K205" s="44"/>
      <c r="L205" s="44"/>
      <c r="M205" s="44"/>
    </row>
    <row r="206" spans="1:13" x14ac:dyDescent="0.2">
      <c r="D206" s="1" t="s">
        <v>0</v>
      </c>
      <c r="E206" s="1" t="s">
        <v>1</v>
      </c>
      <c r="F206" s="1" t="s">
        <v>2</v>
      </c>
      <c r="G206" s="1" t="s">
        <v>5</v>
      </c>
      <c r="H206" s="1" t="s">
        <v>24</v>
      </c>
      <c r="I206" s="1"/>
      <c r="J206" s="1" t="s">
        <v>3</v>
      </c>
      <c r="K206" s="1" t="s">
        <v>4</v>
      </c>
      <c r="L206" s="1" t="s">
        <v>6</v>
      </c>
      <c r="M206" s="1" t="s">
        <v>24</v>
      </c>
    </row>
    <row r="207" spans="1:13" x14ac:dyDescent="0.2">
      <c r="A207">
        <v>2003</v>
      </c>
    </row>
    <row r="208" spans="1:13" x14ac:dyDescent="0.2">
      <c r="A208" t="s">
        <v>9</v>
      </c>
      <c r="C208" t="s">
        <v>21</v>
      </c>
      <c r="D208" s="2">
        <v>1277408.1189999999</v>
      </c>
      <c r="E208" s="2">
        <v>409814.75099999999</v>
      </c>
      <c r="F208" s="2">
        <v>72765.597999999998</v>
      </c>
      <c r="G208" s="2">
        <v>633648.93200000003</v>
      </c>
      <c r="H208" s="2">
        <f>SUM(D208:G208)</f>
        <v>2393637.4</v>
      </c>
      <c r="J208" s="2">
        <v>1757177.2339999999</v>
      </c>
      <c r="K208" s="2">
        <v>268300.72200000001</v>
      </c>
      <c r="L208" s="2">
        <v>90660.459000000003</v>
      </c>
      <c r="M208" s="2">
        <f>SUM(J208:L208)</f>
        <v>2116138.415</v>
      </c>
    </row>
    <row r="209" spans="1:13" x14ac:dyDescent="0.2">
      <c r="C209" t="s">
        <v>22</v>
      </c>
      <c r="H209" s="2">
        <f>SUM(D209:G209)</f>
        <v>0</v>
      </c>
      <c r="M209" s="2">
        <f>SUM(J209:L209)</f>
        <v>0</v>
      </c>
    </row>
    <row r="210" spans="1:13" x14ac:dyDescent="0.2">
      <c r="A210" s="3"/>
      <c r="B210" s="3"/>
      <c r="C210" s="3" t="s">
        <v>23</v>
      </c>
      <c r="D210" s="3"/>
      <c r="E210" s="3"/>
      <c r="F210" s="3"/>
      <c r="G210" s="3"/>
      <c r="H210" s="3"/>
      <c r="I210" s="3"/>
      <c r="J210" s="3"/>
      <c r="K210" s="3"/>
      <c r="L210" s="3"/>
      <c r="M210" s="3"/>
    </row>
    <row r="212" spans="1:13" x14ac:dyDescent="0.2">
      <c r="A212" t="s">
        <v>10</v>
      </c>
      <c r="C212" t="s">
        <v>21</v>
      </c>
      <c r="D212" s="2">
        <v>1178813.5220000001</v>
      </c>
      <c r="E212" s="2">
        <v>356924.49599999998</v>
      </c>
      <c r="F212" s="2">
        <v>67934.679999999993</v>
      </c>
      <c r="G212" s="2">
        <v>583046.31900000002</v>
      </c>
      <c r="H212" s="2">
        <f>SUM(D212:G212)</f>
        <v>2186719.017</v>
      </c>
      <c r="J212" s="2">
        <v>1594347.024</v>
      </c>
      <c r="K212" s="2">
        <v>219904.48699999999</v>
      </c>
      <c r="L212" s="2">
        <v>81078.467999999993</v>
      </c>
      <c r="M212" s="2">
        <f>SUM(J212:L212)</f>
        <v>1895329.9789999998</v>
      </c>
    </row>
    <row r="213" spans="1:13" x14ac:dyDescent="0.2">
      <c r="C213" t="s">
        <v>22</v>
      </c>
      <c r="H213" s="2">
        <f>SUM(D213:G213)</f>
        <v>0</v>
      </c>
      <c r="M213" s="2">
        <f>SUM(J213:L213)</f>
        <v>0</v>
      </c>
    </row>
    <row r="214" spans="1:13" x14ac:dyDescent="0.2">
      <c r="A214" s="3"/>
      <c r="B214" s="3"/>
      <c r="C214" s="3" t="s">
        <v>23</v>
      </c>
      <c r="D214" s="3"/>
      <c r="E214" s="3"/>
      <c r="F214" s="3"/>
      <c r="G214" s="3"/>
      <c r="H214" s="3"/>
      <c r="I214" s="3"/>
      <c r="J214" s="3"/>
      <c r="K214" s="3"/>
      <c r="L214" s="3"/>
      <c r="M214" s="3"/>
    </row>
    <row r="216" spans="1:13" x14ac:dyDescent="0.2">
      <c r="A216" t="s">
        <v>11</v>
      </c>
      <c r="C216" t="s">
        <v>21</v>
      </c>
      <c r="D216" s="2">
        <v>1196646.0819999999</v>
      </c>
      <c r="E216" s="2">
        <v>351575.27799999999</v>
      </c>
      <c r="F216" s="2">
        <v>70636.269</v>
      </c>
      <c r="G216" s="2">
        <v>618995.69400000002</v>
      </c>
      <c r="H216" s="2">
        <f>SUM(D216:G216)</f>
        <v>2237853.3229999999</v>
      </c>
      <c r="J216" s="2">
        <v>1598314.047</v>
      </c>
      <c r="K216" s="2">
        <v>259378.53899999999</v>
      </c>
      <c r="L216" s="2">
        <v>86161.782000000007</v>
      </c>
      <c r="M216" s="2">
        <f>SUM(J216:L216)</f>
        <v>1943854.3680000002</v>
      </c>
    </row>
    <row r="217" spans="1:13" x14ac:dyDescent="0.2">
      <c r="C217" t="s">
        <v>22</v>
      </c>
      <c r="H217" s="2">
        <f>SUM(D217:G217)</f>
        <v>0</v>
      </c>
      <c r="M217" s="2">
        <f>SUM(J217:L217)</f>
        <v>0</v>
      </c>
    </row>
    <row r="218" spans="1:13" x14ac:dyDescent="0.2">
      <c r="A218" s="3"/>
      <c r="B218" s="3"/>
      <c r="C218" s="3" t="s">
        <v>23</v>
      </c>
      <c r="D218" s="3"/>
      <c r="E218" s="3"/>
      <c r="F218" s="3"/>
      <c r="G218" s="3"/>
      <c r="H218" s="3"/>
      <c r="I218" s="3"/>
      <c r="J218" s="3"/>
      <c r="K218" s="3"/>
      <c r="L218" s="3"/>
      <c r="M218" s="3"/>
    </row>
    <row r="220" spans="1:13" x14ac:dyDescent="0.2">
      <c r="A220" t="s">
        <v>12</v>
      </c>
      <c r="C220" t="s">
        <v>21</v>
      </c>
      <c r="D220" s="2">
        <v>1134694.054</v>
      </c>
      <c r="E220" s="2">
        <v>307566.42800000001</v>
      </c>
      <c r="F220" s="2">
        <v>72075.42</v>
      </c>
      <c r="G220" s="2">
        <v>564689.89899999998</v>
      </c>
      <c r="H220" s="2">
        <f>SUM(D220:G220)</f>
        <v>2079025.801</v>
      </c>
      <c r="J220" s="2">
        <v>1549501.757</v>
      </c>
      <c r="K220" s="2">
        <v>246604.31099999999</v>
      </c>
      <c r="L220" s="2">
        <v>80963.387000000002</v>
      </c>
      <c r="M220" s="2">
        <f>SUM(J220:L220)</f>
        <v>1877069.4550000001</v>
      </c>
    </row>
    <row r="221" spans="1:13" x14ac:dyDescent="0.2">
      <c r="C221" t="s">
        <v>22</v>
      </c>
      <c r="H221" s="2">
        <f>SUM(D221:G221)</f>
        <v>0</v>
      </c>
      <c r="M221" s="2">
        <f>SUM(J221:L221)</f>
        <v>0</v>
      </c>
    </row>
    <row r="222" spans="1:13" x14ac:dyDescent="0.2">
      <c r="A222" s="3"/>
      <c r="B222" s="3"/>
      <c r="C222" s="3" t="s">
        <v>23</v>
      </c>
      <c r="D222" s="3"/>
      <c r="E222" s="3"/>
      <c r="F222" s="3"/>
      <c r="G222" s="3"/>
      <c r="H222" s="3"/>
      <c r="I222" s="3"/>
      <c r="J222" s="3"/>
      <c r="K222" s="3"/>
      <c r="L222" s="3"/>
      <c r="M222" s="3"/>
    </row>
    <row r="224" spans="1:13" x14ac:dyDescent="0.2">
      <c r="A224" t="s">
        <v>13</v>
      </c>
      <c r="C224" t="s">
        <v>21</v>
      </c>
      <c r="D224" s="2">
        <v>1094739.314</v>
      </c>
      <c r="E224" s="2">
        <v>326127.40700000001</v>
      </c>
      <c r="F224" s="2">
        <v>71859.845000000001</v>
      </c>
      <c r="G224" s="2">
        <v>554972.52099999995</v>
      </c>
      <c r="H224" s="2">
        <f>SUM(D224:G224)</f>
        <v>2047699.0869999998</v>
      </c>
      <c r="J224" s="2">
        <v>1723652.8359999999</v>
      </c>
      <c r="K224" s="2">
        <v>319725.37699999998</v>
      </c>
      <c r="L224" s="2">
        <v>82344.923999999999</v>
      </c>
      <c r="M224" s="2">
        <f>SUM(J224:L224)</f>
        <v>2125723.1370000001</v>
      </c>
    </row>
    <row r="225" spans="1:13" x14ac:dyDescent="0.2">
      <c r="C225" t="s">
        <v>22</v>
      </c>
      <c r="H225" s="2">
        <f>SUM(D225:G225)</f>
        <v>0</v>
      </c>
      <c r="M225" s="2">
        <f>SUM(J225:L225)</f>
        <v>0</v>
      </c>
    </row>
    <row r="226" spans="1:13" x14ac:dyDescent="0.2">
      <c r="A226" s="3"/>
      <c r="B226" s="3"/>
      <c r="C226" s="3" t="s">
        <v>23</v>
      </c>
      <c r="D226" s="3"/>
      <c r="E226" s="3"/>
      <c r="F226" s="3"/>
      <c r="G226" s="3"/>
      <c r="H226" s="3"/>
      <c r="I226" s="3"/>
      <c r="J226" s="3"/>
      <c r="K226" s="3"/>
      <c r="L226" s="3"/>
      <c r="M226" s="3"/>
    </row>
    <row r="228" spans="1:13" x14ac:dyDescent="0.2">
      <c r="A228" t="s">
        <v>14</v>
      </c>
      <c r="C228" t="s">
        <v>21</v>
      </c>
      <c r="D228" s="2">
        <v>1133675.5079999999</v>
      </c>
      <c r="E228" s="2">
        <v>362436.99599999998</v>
      </c>
      <c r="F228" s="2">
        <v>84565.998999999996</v>
      </c>
      <c r="G228" s="2">
        <v>550738.65099999995</v>
      </c>
      <c r="H228" s="2">
        <f>SUM(D228:G228)</f>
        <v>2131417.1540000001</v>
      </c>
      <c r="J228" s="2">
        <v>1786027.1769999999</v>
      </c>
      <c r="K228" s="2">
        <v>420470.511</v>
      </c>
      <c r="L228" s="2">
        <v>77938.785999999993</v>
      </c>
      <c r="M228" s="2">
        <f>SUM(J228:L228)</f>
        <v>2284436.4739999999</v>
      </c>
    </row>
    <row r="229" spans="1:13" x14ac:dyDescent="0.2">
      <c r="C229" t="s">
        <v>22</v>
      </c>
      <c r="H229" s="2">
        <f>SUM(D229:G229)</f>
        <v>0</v>
      </c>
      <c r="M229" s="2">
        <f>SUM(J229:L229)</f>
        <v>0</v>
      </c>
    </row>
    <row r="230" spans="1:13" x14ac:dyDescent="0.2">
      <c r="A230" s="3"/>
      <c r="B230" s="3"/>
      <c r="C230" s="3" t="s">
        <v>23</v>
      </c>
      <c r="D230" s="3"/>
      <c r="E230" s="3"/>
      <c r="F230" s="3"/>
      <c r="G230" s="3"/>
      <c r="H230" s="3"/>
      <c r="I230" s="3"/>
      <c r="J230" s="3"/>
      <c r="K230" s="3"/>
      <c r="L230" s="3"/>
      <c r="M230" s="3"/>
    </row>
    <row r="232" spans="1:13" x14ac:dyDescent="0.2">
      <c r="A232" t="s">
        <v>15</v>
      </c>
      <c r="C232" t="s">
        <v>21</v>
      </c>
      <c r="D232" s="2">
        <v>1261904.645</v>
      </c>
      <c r="E232" s="2">
        <v>407480.55200000003</v>
      </c>
      <c r="F232" s="2">
        <v>91770.751000000004</v>
      </c>
      <c r="G232" s="2">
        <v>616214.11699999997</v>
      </c>
      <c r="H232" s="2">
        <f>SUM(D232:G232)</f>
        <v>2377370.0649999999</v>
      </c>
      <c r="J232" s="2">
        <v>2162288.702</v>
      </c>
      <c r="K232" s="2">
        <v>452907.196</v>
      </c>
      <c r="L232" s="2">
        <v>81811.652000000002</v>
      </c>
      <c r="M232" s="2">
        <f>SUM(J232:L232)</f>
        <v>2697007.55</v>
      </c>
    </row>
    <row r="233" spans="1:13" x14ac:dyDescent="0.2">
      <c r="C233" t="s">
        <v>22</v>
      </c>
      <c r="H233" s="2">
        <f>SUM(D233:G233)</f>
        <v>0</v>
      </c>
      <c r="M233" s="2">
        <f>SUM(J233:L233)</f>
        <v>0</v>
      </c>
    </row>
    <row r="234" spans="1:13" x14ac:dyDescent="0.2">
      <c r="A234" s="3"/>
      <c r="B234" s="3"/>
      <c r="C234" s="3" t="s">
        <v>23</v>
      </c>
      <c r="D234" s="3"/>
      <c r="E234" s="3"/>
      <c r="F234" s="3"/>
      <c r="G234" s="3"/>
      <c r="H234" s="3"/>
      <c r="I234" s="3"/>
      <c r="J234" s="3"/>
      <c r="K234" s="3"/>
      <c r="L234" s="3"/>
      <c r="M234" s="3"/>
    </row>
    <row r="236" spans="1:13" x14ac:dyDescent="0.2">
      <c r="A236" t="s">
        <v>16</v>
      </c>
      <c r="C236" t="s">
        <v>21</v>
      </c>
      <c r="D236" s="2">
        <v>1200766.6270000001</v>
      </c>
      <c r="E236" s="2">
        <v>389806.375</v>
      </c>
      <c r="F236" s="2">
        <v>83327.236000000004</v>
      </c>
      <c r="G236" s="2">
        <v>607871.68700000003</v>
      </c>
      <c r="H236" s="2">
        <f>SUM(D236:G236)</f>
        <v>2281771.9250000003</v>
      </c>
      <c r="J236" s="2">
        <v>2058106.179</v>
      </c>
      <c r="K236" s="2">
        <v>365517.45500000002</v>
      </c>
      <c r="L236" s="2">
        <v>85657.546000000002</v>
      </c>
      <c r="M236" s="2">
        <f>SUM(J236:L236)</f>
        <v>2509281.1800000002</v>
      </c>
    </row>
    <row r="237" spans="1:13" x14ac:dyDescent="0.2">
      <c r="C237" t="s">
        <v>22</v>
      </c>
      <c r="H237" s="2">
        <f>SUM(D237:G237)</f>
        <v>0</v>
      </c>
      <c r="M237" s="2">
        <f>SUM(J237:L237)</f>
        <v>0</v>
      </c>
    </row>
    <row r="238" spans="1:13" x14ac:dyDescent="0.2">
      <c r="A238" s="3"/>
      <c r="B238" s="3"/>
      <c r="C238" s="3" t="s">
        <v>23</v>
      </c>
      <c r="D238" s="3"/>
      <c r="E238" s="3"/>
      <c r="F238" s="3"/>
      <c r="G238" s="3"/>
      <c r="H238" s="3"/>
      <c r="I238" s="3"/>
      <c r="J238" s="3"/>
      <c r="K238" s="3"/>
      <c r="L238" s="3"/>
      <c r="M238" s="3"/>
    </row>
    <row r="240" spans="1:13" x14ac:dyDescent="0.2">
      <c r="A240" t="s">
        <v>17</v>
      </c>
      <c r="C240" t="s">
        <v>21</v>
      </c>
      <c r="D240" s="2">
        <v>1106068.544</v>
      </c>
      <c r="E240" s="2">
        <v>365278.495</v>
      </c>
      <c r="F240" s="2">
        <v>67037.241999999998</v>
      </c>
      <c r="G240" s="2">
        <v>563826.58299999998</v>
      </c>
      <c r="H240" s="2">
        <f>SUM(D240:G240)</f>
        <v>2102210.8640000001</v>
      </c>
      <c r="J240" s="2">
        <v>1671456.0349999999</v>
      </c>
      <c r="K240" s="2">
        <v>271008.11700000003</v>
      </c>
      <c r="L240" s="2">
        <v>81470.021999999997</v>
      </c>
      <c r="M240" s="2">
        <f>SUM(J240:L240)</f>
        <v>2023934.1740000001</v>
      </c>
    </row>
    <row r="241" spans="1:13" x14ac:dyDescent="0.2">
      <c r="C241" t="s">
        <v>22</v>
      </c>
      <c r="H241" s="2">
        <f>SUM(D241:G241)</f>
        <v>0</v>
      </c>
      <c r="M241" s="2">
        <f>SUM(J241:L241)</f>
        <v>0</v>
      </c>
    </row>
    <row r="242" spans="1:13" x14ac:dyDescent="0.2">
      <c r="A242" s="3"/>
      <c r="B242" s="3"/>
      <c r="C242" s="3" t="s">
        <v>23</v>
      </c>
      <c r="D242" s="3"/>
      <c r="E242" s="3"/>
      <c r="F242" s="3"/>
      <c r="G242" s="3"/>
      <c r="H242" s="3"/>
      <c r="I242" s="3"/>
      <c r="J242" s="3"/>
      <c r="K242" s="3"/>
      <c r="L242" s="3"/>
      <c r="M242" s="3"/>
    </row>
    <row r="244" spans="1:13" x14ac:dyDescent="0.2">
      <c r="A244" t="s">
        <v>18</v>
      </c>
      <c r="C244" t="s">
        <v>21</v>
      </c>
      <c r="D244" s="2">
        <v>1120859.5430000001</v>
      </c>
      <c r="E244" s="2">
        <v>361434.27899999998</v>
      </c>
      <c r="F244" s="2">
        <v>63368.082999999999</v>
      </c>
      <c r="G244" s="2">
        <v>587997.35900000005</v>
      </c>
      <c r="H244" s="2">
        <f>SUM(D244:G244)</f>
        <v>2133659.2640000004</v>
      </c>
      <c r="J244" s="2">
        <v>1638259.879</v>
      </c>
      <c r="K244" s="2">
        <v>274702.783</v>
      </c>
      <c r="L244" s="2">
        <v>84946.179000000004</v>
      </c>
      <c r="M244" s="2">
        <f>SUM(J244:L244)</f>
        <v>1997908.841</v>
      </c>
    </row>
    <row r="245" spans="1:13" x14ac:dyDescent="0.2">
      <c r="C245" t="s">
        <v>22</v>
      </c>
      <c r="H245" s="2">
        <f>SUM(D245:G245)</f>
        <v>0</v>
      </c>
      <c r="M245" s="2">
        <f>SUM(J245:L245)</f>
        <v>0</v>
      </c>
    </row>
    <row r="246" spans="1:13" x14ac:dyDescent="0.2">
      <c r="A246" s="3"/>
      <c r="B246" s="3"/>
      <c r="C246" s="3" t="s">
        <v>23</v>
      </c>
      <c r="D246" s="3"/>
      <c r="E246" s="3"/>
      <c r="F246" s="3"/>
      <c r="G246" s="3"/>
      <c r="H246" s="3"/>
      <c r="I246" s="3"/>
      <c r="J246" s="3"/>
      <c r="K246" s="3"/>
      <c r="L246" s="3"/>
      <c r="M246" s="3"/>
    </row>
    <row r="248" spans="1:13" x14ac:dyDescent="0.2">
      <c r="A248" t="s">
        <v>19</v>
      </c>
      <c r="C248" t="s">
        <v>21</v>
      </c>
      <c r="D248" s="2">
        <v>1237461.0900000001</v>
      </c>
      <c r="E248" s="2">
        <v>393441.49800000002</v>
      </c>
      <c r="F248" s="2">
        <v>67981.562999999995</v>
      </c>
      <c r="G248" s="2">
        <v>614323.42700000003</v>
      </c>
      <c r="H248" s="2">
        <f>SUM(D248:G248)</f>
        <v>2313207.5780000002</v>
      </c>
      <c r="J248" s="2">
        <v>1729551.5460000001</v>
      </c>
      <c r="K248" s="2">
        <v>261256.891</v>
      </c>
      <c r="L248" s="2">
        <v>100227.76300000001</v>
      </c>
      <c r="M248" s="2">
        <f>SUM(J248:L248)</f>
        <v>2091036.2000000002</v>
      </c>
    </row>
    <row r="249" spans="1:13" x14ac:dyDescent="0.2">
      <c r="C249" t="s">
        <v>22</v>
      </c>
      <c r="H249" s="2">
        <f>SUM(D249:G249)</f>
        <v>0</v>
      </c>
      <c r="M249" s="2">
        <f>SUM(J249:L249)</f>
        <v>0</v>
      </c>
    </row>
    <row r="250" spans="1:13" x14ac:dyDescent="0.2">
      <c r="A250" s="3"/>
      <c r="B250" s="3"/>
      <c r="C250" s="3" t="s">
        <v>23</v>
      </c>
      <c r="D250" s="3"/>
      <c r="E250" s="3"/>
      <c r="F250" s="3"/>
      <c r="G250" s="3"/>
      <c r="H250" s="3"/>
      <c r="I250" s="3"/>
      <c r="J250" s="3"/>
      <c r="K250" s="3"/>
      <c r="L250" s="3"/>
      <c r="M250" s="3"/>
    </row>
    <row r="252" spans="1:13" x14ac:dyDescent="0.2">
      <c r="A252" t="s">
        <v>20</v>
      </c>
      <c r="C252" t="s">
        <v>21</v>
      </c>
      <c r="D252" s="2">
        <v>1328679.5109999999</v>
      </c>
      <c r="E252" s="2">
        <v>437754.73499999999</v>
      </c>
      <c r="F252" s="2">
        <v>79364.710000000006</v>
      </c>
      <c r="G252" s="2">
        <v>647056.13</v>
      </c>
      <c r="H252" s="2">
        <f>SUM(D252:G252)</f>
        <v>2492855.0859999997</v>
      </c>
      <c r="J252" s="2">
        <v>1857446.9879999999</v>
      </c>
      <c r="K252" s="2">
        <v>277023.67</v>
      </c>
      <c r="L252" s="2">
        <v>105217.82799999999</v>
      </c>
      <c r="M252" s="2">
        <f>SUM(J252:L252)</f>
        <v>2239688.486</v>
      </c>
    </row>
    <row r="253" spans="1:13" x14ac:dyDescent="0.2">
      <c r="C253" t="s">
        <v>22</v>
      </c>
      <c r="H253" s="2">
        <f>SUM(D253:G253)</f>
        <v>0</v>
      </c>
      <c r="M253" s="2">
        <f>SUM(J253:L253)</f>
        <v>0</v>
      </c>
    </row>
    <row r="254" spans="1:13" x14ac:dyDescent="0.2">
      <c r="A254" s="3"/>
      <c r="B254" s="3"/>
      <c r="C254" s="3" t="s">
        <v>23</v>
      </c>
      <c r="D254" s="3"/>
      <c r="E254" s="3"/>
      <c r="F254" s="3"/>
      <c r="G254" s="3"/>
      <c r="H254" s="3"/>
      <c r="I254" s="3"/>
      <c r="J254" s="3"/>
      <c r="K254" s="3"/>
      <c r="L254" s="3"/>
      <c r="M254" s="3"/>
    </row>
    <row r="256" spans="1:13" x14ac:dyDescent="0.2">
      <c r="D256" s="44" t="s">
        <v>7</v>
      </c>
      <c r="E256" s="44"/>
      <c r="F256" s="44"/>
      <c r="G256" s="44"/>
      <c r="H256" s="44"/>
      <c r="I256" s="1"/>
      <c r="J256" s="44" t="s">
        <v>8</v>
      </c>
      <c r="K256" s="44"/>
      <c r="L256" s="44"/>
      <c r="M256" s="44"/>
    </row>
    <row r="257" spans="1:13" x14ac:dyDescent="0.2">
      <c r="D257" s="1" t="s">
        <v>0</v>
      </c>
      <c r="E257" s="1" t="s">
        <v>1</v>
      </c>
      <c r="F257" s="1" t="s">
        <v>2</v>
      </c>
      <c r="G257" s="1" t="s">
        <v>5</v>
      </c>
      <c r="H257" s="1" t="s">
        <v>24</v>
      </c>
      <c r="I257" s="1"/>
      <c r="J257" s="1" t="s">
        <v>3</v>
      </c>
      <c r="K257" s="1" t="s">
        <v>4</v>
      </c>
      <c r="L257" s="1" t="s">
        <v>6</v>
      </c>
      <c r="M257" s="1" t="s">
        <v>24</v>
      </c>
    </row>
    <row r="258" spans="1:13" x14ac:dyDescent="0.2">
      <c r="A258">
        <v>2003</v>
      </c>
    </row>
    <row r="259" spans="1:13" x14ac:dyDescent="0.2">
      <c r="A259" t="s">
        <v>9</v>
      </c>
      <c r="C259" t="s">
        <v>21</v>
      </c>
      <c r="D259" s="2">
        <v>1409715.7720000001</v>
      </c>
      <c r="E259" s="2">
        <v>408084.09600000002</v>
      </c>
      <c r="F259" s="2">
        <v>82136.198999999993</v>
      </c>
      <c r="G259" s="2">
        <v>561416.99800000002</v>
      </c>
      <c r="H259" s="2">
        <f>SUM(D259:G259)</f>
        <v>2461353.0650000004</v>
      </c>
      <c r="J259" s="2">
        <v>1760110.0319999999</v>
      </c>
      <c r="K259" s="2">
        <v>274117.02100000001</v>
      </c>
      <c r="L259" s="2">
        <v>98061.263000000006</v>
      </c>
      <c r="M259" s="2">
        <f>SUM(J259:L259)</f>
        <v>2132288.3159999996</v>
      </c>
    </row>
    <row r="260" spans="1:13" x14ac:dyDescent="0.2">
      <c r="C260" t="s">
        <v>22</v>
      </c>
      <c r="H260" s="2">
        <f>SUM(D260:G260)</f>
        <v>0</v>
      </c>
      <c r="M260" s="2">
        <f>SUM(J260:L260)</f>
        <v>0</v>
      </c>
    </row>
    <row r="261" spans="1:13" x14ac:dyDescent="0.2">
      <c r="A261" s="3"/>
      <c r="B261" s="3"/>
      <c r="C261" s="3" t="s">
        <v>23</v>
      </c>
      <c r="D261" s="3"/>
      <c r="E261" s="3"/>
      <c r="F261" s="3"/>
      <c r="G261" s="3"/>
      <c r="H261" s="3"/>
      <c r="I261" s="3"/>
      <c r="J261" s="3"/>
      <c r="K261" s="3"/>
      <c r="L261" s="3"/>
      <c r="M261" s="3"/>
    </row>
    <row r="263" spans="1:13" x14ac:dyDescent="0.2">
      <c r="A263" t="s">
        <v>10</v>
      </c>
      <c r="C263" t="s">
        <v>21</v>
      </c>
      <c r="D263" s="2">
        <v>1188634.6000000001</v>
      </c>
      <c r="E263" s="2">
        <v>350852.788</v>
      </c>
      <c r="F263" s="2">
        <v>63630.665000000001</v>
      </c>
      <c r="G263" s="2">
        <v>505022.10399999999</v>
      </c>
      <c r="H263" s="2">
        <f>SUM(D263:G263)</f>
        <v>2108140.1570000001</v>
      </c>
      <c r="J263" s="2">
        <v>1610957.5349999999</v>
      </c>
      <c r="K263" s="2">
        <v>248918.022</v>
      </c>
      <c r="L263" s="2">
        <v>85994.811000000002</v>
      </c>
      <c r="M263" s="2">
        <f>SUM(J263:L263)</f>
        <v>1945870.368</v>
      </c>
    </row>
    <row r="264" spans="1:13" x14ac:dyDescent="0.2">
      <c r="C264" t="s">
        <v>22</v>
      </c>
      <c r="H264" s="2">
        <f>SUM(D264:G264)</f>
        <v>0</v>
      </c>
      <c r="M264" s="2">
        <f>SUM(J264:L264)</f>
        <v>0</v>
      </c>
    </row>
    <row r="265" spans="1:13" x14ac:dyDescent="0.2">
      <c r="A265" s="3"/>
      <c r="B265" s="3"/>
      <c r="C265" s="3" t="s">
        <v>23</v>
      </c>
      <c r="D265" s="3"/>
      <c r="E265" s="3"/>
      <c r="F265" s="3"/>
      <c r="G265" s="3"/>
      <c r="H265" s="3"/>
      <c r="I265" s="3"/>
      <c r="J265" s="3"/>
      <c r="K265" s="3"/>
      <c r="L265" s="3"/>
      <c r="M265" s="3"/>
    </row>
    <row r="267" spans="1:13" x14ac:dyDescent="0.2">
      <c r="A267" t="s">
        <v>11</v>
      </c>
      <c r="C267" t="s">
        <v>21</v>
      </c>
      <c r="D267" s="2">
        <v>1302679.669</v>
      </c>
      <c r="E267" s="2">
        <v>369252.28899999999</v>
      </c>
      <c r="F267" s="2">
        <v>69064.922000000006</v>
      </c>
      <c r="G267" s="2">
        <v>559577.18799999997</v>
      </c>
      <c r="H267" s="2">
        <f>SUM(D267:G267)</f>
        <v>2300574.068</v>
      </c>
      <c r="J267" s="2">
        <v>1592825.7749999999</v>
      </c>
      <c r="K267" s="2">
        <v>257393.82500000001</v>
      </c>
      <c r="L267" s="2">
        <v>102410.735</v>
      </c>
      <c r="M267" s="2">
        <f>SUM(J267:L267)</f>
        <v>1952630.335</v>
      </c>
    </row>
    <row r="268" spans="1:13" x14ac:dyDescent="0.2">
      <c r="C268" t="s">
        <v>22</v>
      </c>
      <c r="H268" s="2">
        <f>SUM(D268:G268)</f>
        <v>0</v>
      </c>
      <c r="M268" s="2">
        <f>SUM(J268:L268)</f>
        <v>0</v>
      </c>
    </row>
    <row r="269" spans="1:13" x14ac:dyDescent="0.2">
      <c r="A269" s="3"/>
      <c r="B269" s="3"/>
      <c r="C269" s="3" t="s">
        <v>23</v>
      </c>
      <c r="D269" s="3"/>
      <c r="E269" s="3"/>
      <c r="F269" s="3"/>
      <c r="G269" s="3"/>
      <c r="H269" s="3"/>
      <c r="I269" s="3"/>
      <c r="J269" s="3"/>
      <c r="K269" s="3"/>
      <c r="L269" s="3"/>
      <c r="M269" s="3"/>
    </row>
    <row r="271" spans="1:13" x14ac:dyDescent="0.2">
      <c r="A271" t="s">
        <v>12</v>
      </c>
      <c r="C271" t="s">
        <v>21</v>
      </c>
      <c r="D271" s="2">
        <v>1126378.875</v>
      </c>
      <c r="E271" s="2">
        <v>315574.45699999999</v>
      </c>
      <c r="F271" s="2">
        <v>72308.775999999998</v>
      </c>
      <c r="G271" s="2">
        <v>557138.06900000002</v>
      </c>
      <c r="H271" s="2">
        <f>SUM(D271:G271)</f>
        <v>2071400.1770000001</v>
      </c>
      <c r="J271" s="2">
        <v>1480270.3970000001</v>
      </c>
      <c r="K271" s="2">
        <v>225828.03099999999</v>
      </c>
      <c r="L271" s="2">
        <v>87513.585000000006</v>
      </c>
      <c r="M271" s="2">
        <f>SUM(J271:L271)</f>
        <v>1793612.013</v>
      </c>
    </row>
    <row r="272" spans="1:13" x14ac:dyDescent="0.2">
      <c r="C272" t="s">
        <v>22</v>
      </c>
      <c r="H272" s="2">
        <f>SUM(D272:G272)</f>
        <v>0</v>
      </c>
      <c r="M272" s="2">
        <f>SUM(J272:L272)</f>
        <v>0</v>
      </c>
    </row>
    <row r="273" spans="1:13" x14ac:dyDescent="0.2">
      <c r="A273" s="3"/>
      <c r="B273" s="3"/>
      <c r="C273" s="3" t="s">
        <v>23</v>
      </c>
      <c r="D273" s="3"/>
      <c r="E273" s="3"/>
      <c r="F273" s="3"/>
      <c r="G273" s="3"/>
      <c r="H273" s="3"/>
      <c r="I273" s="3"/>
      <c r="J273" s="3"/>
      <c r="K273" s="3"/>
      <c r="L273" s="3"/>
      <c r="M273" s="3"/>
    </row>
    <row r="275" spans="1:13" x14ac:dyDescent="0.2">
      <c r="A275" t="s">
        <v>13</v>
      </c>
      <c r="C275" t="s">
        <v>21</v>
      </c>
      <c r="D275" s="2">
        <v>1147955.003</v>
      </c>
      <c r="E275" s="2">
        <v>320972.15999999997</v>
      </c>
      <c r="F275" s="2">
        <v>77912.914000000004</v>
      </c>
      <c r="G275" s="2">
        <v>579552.28200000001</v>
      </c>
      <c r="H275" s="2">
        <f>SUM(D275:G275)</f>
        <v>2126392.3590000002</v>
      </c>
      <c r="J275" s="2">
        <v>1591661.15</v>
      </c>
      <c r="K275" s="2">
        <v>306639.28200000001</v>
      </c>
      <c r="L275" s="2">
        <v>88155.773000000001</v>
      </c>
      <c r="M275" s="2">
        <f>SUM(J275:L275)</f>
        <v>1986456.2050000001</v>
      </c>
    </row>
    <row r="276" spans="1:13" x14ac:dyDescent="0.2">
      <c r="C276" t="s">
        <v>22</v>
      </c>
      <c r="H276" s="2">
        <f>SUM(D276:G276)</f>
        <v>0</v>
      </c>
      <c r="M276" s="2">
        <f>SUM(J276:L276)</f>
        <v>0</v>
      </c>
    </row>
    <row r="277" spans="1:13" x14ac:dyDescent="0.2">
      <c r="A277" s="3"/>
      <c r="B277" s="3"/>
      <c r="C277" s="3" t="s">
        <v>23</v>
      </c>
      <c r="D277" s="3"/>
      <c r="E277" s="3"/>
      <c r="F277" s="3"/>
      <c r="G277" s="3"/>
      <c r="H277" s="3"/>
      <c r="I277" s="3"/>
      <c r="J277" s="3"/>
      <c r="K277" s="3"/>
      <c r="L277" s="3"/>
      <c r="M277" s="3"/>
    </row>
    <row r="279" spans="1:13" x14ac:dyDescent="0.2">
      <c r="A279" t="s">
        <v>14</v>
      </c>
      <c r="C279" t="s">
        <v>21</v>
      </c>
      <c r="D279" s="2">
        <v>1077978.277</v>
      </c>
      <c r="E279" s="2">
        <v>334519.12099999998</v>
      </c>
      <c r="F279" s="2">
        <v>86951.513000000006</v>
      </c>
      <c r="G279" s="2">
        <v>564270.28500000003</v>
      </c>
      <c r="H279" s="2">
        <f>SUM(D279:G279)</f>
        <v>2063719.196</v>
      </c>
      <c r="J279" s="2">
        <v>1745940.8929999999</v>
      </c>
      <c r="K279" s="2">
        <v>383211.14199999999</v>
      </c>
      <c r="L279" s="2">
        <v>84662.293999999994</v>
      </c>
      <c r="M279" s="2">
        <f>SUM(J279:L279)</f>
        <v>2213814.3289999999</v>
      </c>
    </row>
    <row r="280" spans="1:13" x14ac:dyDescent="0.2">
      <c r="C280" t="s">
        <v>22</v>
      </c>
      <c r="H280" s="2">
        <f>SUM(D280:G280)</f>
        <v>0</v>
      </c>
      <c r="M280" s="2">
        <f>SUM(J280:L280)</f>
        <v>0</v>
      </c>
    </row>
    <row r="281" spans="1:13" x14ac:dyDescent="0.2">
      <c r="A281" s="3"/>
      <c r="B281" s="3"/>
      <c r="C281" s="3" t="s">
        <v>23</v>
      </c>
      <c r="D281" s="3"/>
      <c r="E281" s="3"/>
      <c r="F281" s="3"/>
      <c r="G281" s="3"/>
      <c r="H281" s="3"/>
      <c r="I281" s="3"/>
      <c r="J281" s="3"/>
      <c r="K281" s="3"/>
      <c r="L281" s="3"/>
      <c r="M281" s="3"/>
    </row>
    <row r="283" spans="1:13" x14ac:dyDescent="0.2">
      <c r="A283" t="s">
        <v>15</v>
      </c>
      <c r="C283" t="s">
        <v>21</v>
      </c>
      <c r="D283" s="2">
        <v>1195783.523</v>
      </c>
      <c r="E283" s="2">
        <v>387050.00799999997</v>
      </c>
      <c r="F283" s="2">
        <v>90989.175000000003</v>
      </c>
      <c r="G283" s="2">
        <v>593899.29399999999</v>
      </c>
      <c r="H283" s="2">
        <f>SUM(D283:G283)</f>
        <v>2267722</v>
      </c>
      <c r="J283" s="2">
        <v>2053657.308</v>
      </c>
      <c r="K283" s="2">
        <v>426952.223</v>
      </c>
      <c r="L283" s="2">
        <v>90546.307000000001</v>
      </c>
      <c r="M283" s="2">
        <f>SUM(J283:L283)</f>
        <v>2571155.838</v>
      </c>
    </row>
    <row r="284" spans="1:13" x14ac:dyDescent="0.2">
      <c r="C284" t="s">
        <v>22</v>
      </c>
      <c r="H284" s="2">
        <f>SUM(D284:G284)</f>
        <v>0</v>
      </c>
      <c r="M284" s="2">
        <f>SUM(J284:L284)</f>
        <v>0</v>
      </c>
    </row>
    <row r="285" spans="1:13" x14ac:dyDescent="0.2">
      <c r="A285" s="3"/>
      <c r="B285" s="3"/>
      <c r="C285" s="3" t="s">
        <v>23</v>
      </c>
      <c r="D285" s="3"/>
      <c r="E285" s="3"/>
      <c r="F285" s="3"/>
      <c r="G285" s="3"/>
      <c r="H285" s="3"/>
      <c r="I285" s="3"/>
      <c r="J285" s="3"/>
      <c r="K285" s="3"/>
      <c r="L285" s="3"/>
      <c r="M285" s="3"/>
    </row>
    <row r="287" spans="1:13" x14ac:dyDescent="0.2">
      <c r="A287" t="s">
        <v>16</v>
      </c>
      <c r="C287" t="s">
        <v>21</v>
      </c>
      <c r="D287" s="2">
        <v>1176602.9469999999</v>
      </c>
      <c r="E287" s="2">
        <v>375756.47</v>
      </c>
      <c r="F287" s="2">
        <v>89870.290999999997</v>
      </c>
      <c r="G287" s="2">
        <v>571456.27</v>
      </c>
      <c r="H287" s="2">
        <f>SUM(D287:G287)</f>
        <v>2213685.9780000001</v>
      </c>
      <c r="J287" s="2">
        <v>1904589.59</v>
      </c>
      <c r="K287" s="2">
        <v>356421.87699999998</v>
      </c>
      <c r="L287" s="2">
        <v>87521.748999999996</v>
      </c>
      <c r="M287" s="2">
        <f>SUM(J287:L287)</f>
        <v>2348533.216</v>
      </c>
    </row>
    <row r="288" spans="1:13" x14ac:dyDescent="0.2">
      <c r="C288" t="s">
        <v>22</v>
      </c>
      <c r="H288" s="2">
        <f>SUM(D288:G288)</f>
        <v>0</v>
      </c>
      <c r="M288" s="2">
        <f>SUM(J288:L288)</f>
        <v>0</v>
      </c>
    </row>
    <row r="289" spans="1:13" x14ac:dyDescent="0.2">
      <c r="A289" s="3"/>
      <c r="B289" s="3"/>
      <c r="C289" s="3" t="s">
        <v>23</v>
      </c>
      <c r="D289" s="3"/>
      <c r="E289" s="3"/>
      <c r="F289" s="3"/>
      <c r="G289" s="3"/>
      <c r="H289" s="3"/>
      <c r="I289" s="3"/>
      <c r="J289" s="3"/>
      <c r="K289" s="3"/>
      <c r="L289" s="3"/>
      <c r="M289" s="3"/>
    </row>
    <row r="291" spans="1:13" x14ac:dyDescent="0.2">
      <c r="A291" t="s">
        <v>17</v>
      </c>
      <c r="C291" t="s">
        <v>21</v>
      </c>
      <c r="D291" s="2">
        <v>1096994.5919999999</v>
      </c>
      <c r="E291" s="2">
        <v>348440.39899999998</v>
      </c>
      <c r="F291" s="2">
        <v>70027.955000000002</v>
      </c>
      <c r="G291" s="2">
        <v>579822.24</v>
      </c>
      <c r="H291" s="2">
        <f>SUM(D291:G291)</f>
        <v>2095285.186</v>
      </c>
      <c r="J291" s="2">
        <v>1603414.861</v>
      </c>
      <c r="K291" s="2">
        <v>279653.99300000002</v>
      </c>
      <c r="L291" s="2">
        <v>82762.164000000004</v>
      </c>
      <c r="M291" s="2">
        <f>SUM(J291:L291)</f>
        <v>1965831.0180000002</v>
      </c>
    </row>
    <row r="292" spans="1:13" x14ac:dyDescent="0.2">
      <c r="C292" t="s">
        <v>22</v>
      </c>
      <c r="H292" s="2">
        <f>SUM(D292:G292)</f>
        <v>0</v>
      </c>
      <c r="M292" s="2">
        <f>SUM(J292:L292)</f>
        <v>0</v>
      </c>
    </row>
    <row r="293" spans="1:13" x14ac:dyDescent="0.2">
      <c r="A293" s="3"/>
      <c r="B293" s="3"/>
      <c r="C293" s="3" t="s">
        <v>23</v>
      </c>
      <c r="D293" s="3"/>
      <c r="E293" s="3"/>
      <c r="F293" s="3"/>
      <c r="G293" s="3"/>
      <c r="H293" s="3"/>
      <c r="I293" s="3"/>
      <c r="J293" s="3"/>
      <c r="K293" s="3"/>
      <c r="L293" s="3"/>
      <c r="M293" s="3"/>
    </row>
    <row r="295" spans="1:13" x14ac:dyDescent="0.2">
      <c r="A295" t="s">
        <v>18</v>
      </c>
      <c r="C295" t="s">
        <v>21</v>
      </c>
      <c r="D295" s="2">
        <v>1152534.2009999999</v>
      </c>
      <c r="E295" s="2">
        <v>373352.81</v>
      </c>
      <c r="F295" s="2">
        <v>66633.047000000006</v>
      </c>
      <c r="G295" s="2">
        <v>602859.57499999995</v>
      </c>
      <c r="H295" s="2">
        <f>SUM(D295:G295)</f>
        <v>2195379.6329999999</v>
      </c>
      <c r="J295" s="2">
        <v>1567049.4439999999</v>
      </c>
      <c r="K295" s="2">
        <v>263810.19300000003</v>
      </c>
      <c r="L295" s="2">
        <v>87652.524000000005</v>
      </c>
      <c r="M295" s="2">
        <f>SUM(J295:L295)</f>
        <v>1918512.1609999998</v>
      </c>
    </row>
    <row r="296" spans="1:13" x14ac:dyDescent="0.2">
      <c r="C296" t="s">
        <v>22</v>
      </c>
      <c r="H296" s="2">
        <f>SUM(D296:G296)</f>
        <v>0</v>
      </c>
      <c r="M296" s="2">
        <f>SUM(J296:L296)</f>
        <v>0</v>
      </c>
    </row>
    <row r="297" spans="1:13" x14ac:dyDescent="0.2">
      <c r="A297" s="3"/>
      <c r="B297" s="3"/>
      <c r="C297" s="3" t="s">
        <v>23</v>
      </c>
      <c r="D297" s="3"/>
      <c r="E297" s="3"/>
      <c r="F297" s="3"/>
      <c r="G297" s="3"/>
      <c r="H297" s="3"/>
      <c r="I297" s="3"/>
      <c r="J297" s="3"/>
      <c r="K297" s="3"/>
      <c r="L297" s="3"/>
      <c r="M297" s="3"/>
    </row>
    <row r="299" spans="1:13" x14ac:dyDescent="0.2">
      <c r="A299" t="s">
        <v>19</v>
      </c>
      <c r="C299" t="s">
        <v>21</v>
      </c>
      <c r="D299" s="2">
        <v>1162644.4739999999</v>
      </c>
      <c r="E299" s="2">
        <v>383624.788</v>
      </c>
      <c r="F299" s="2">
        <v>65655.771999999997</v>
      </c>
      <c r="G299" s="2">
        <v>613531.44700000004</v>
      </c>
      <c r="H299" s="2">
        <f>SUM(D299:G299)</f>
        <v>2225456.4810000001</v>
      </c>
      <c r="J299" s="2">
        <v>1665198.6810000001</v>
      </c>
      <c r="K299" s="2">
        <v>256437.41099999999</v>
      </c>
      <c r="L299" s="2">
        <v>88485.232999999993</v>
      </c>
      <c r="M299" s="2">
        <f>SUM(J299:L299)</f>
        <v>2010121.3250000002</v>
      </c>
    </row>
    <row r="300" spans="1:13" x14ac:dyDescent="0.2">
      <c r="C300" t="s">
        <v>22</v>
      </c>
      <c r="H300" s="2">
        <f>SUM(D300:G300)</f>
        <v>0</v>
      </c>
      <c r="M300" s="2">
        <f>SUM(J300:L300)</f>
        <v>0</v>
      </c>
    </row>
    <row r="301" spans="1:13" x14ac:dyDescent="0.2">
      <c r="A301" s="3"/>
      <c r="B301" s="3"/>
      <c r="C301" s="3" t="s">
        <v>23</v>
      </c>
      <c r="D301" s="3"/>
      <c r="E301" s="3"/>
      <c r="F301" s="3"/>
      <c r="G301" s="3"/>
      <c r="H301" s="3"/>
      <c r="I301" s="3"/>
      <c r="J301" s="3"/>
      <c r="K301" s="3"/>
      <c r="L301" s="3"/>
      <c r="M301" s="3"/>
    </row>
    <row r="303" spans="1:13" x14ac:dyDescent="0.2">
      <c r="A303" t="s">
        <v>20</v>
      </c>
      <c r="C303" t="s">
        <v>21</v>
      </c>
      <c r="D303" s="2">
        <v>1274933.3940000001</v>
      </c>
      <c r="E303" s="2">
        <v>417449.90500000003</v>
      </c>
      <c r="F303" s="2">
        <v>76376.099000000002</v>
      </c>
      <c r="G303" s="2">
        <v>651722.87399999995</v>
      </c>
      <c r="H303" s="2">
        <f>SUM(D303:G303)</f>
        <v>2420482.2719999999</v>
      </c>
      <c r="J303" s="2">
        <v>1793618.28</v>
      </c>
      <c r="K303" s="2">
        <v>273034.81699999998</v>
      </c>
      <c r="L303" s="2">
        <v>91919.790999999997</v>
      </c>
      <c r="M303" s="2">
        <f>SUM(J303:L303)</f>
        <v>2158572.8880000003</v>
      </c>
    </row>
    <row r="304" spans="1:13" x14ac:dyDescent="0.2">
      <c r="C304" t="s">
        <v>22</v>
      </c>
      <c r="H304" s="2">
        <f>SUM(D304:G304)</f>
        <v>0</v>
      </c>
      <c r="M304" s="2">
        <f>SUM(J304:L304)</f>
        <v>0</v>
      </c>
    </row>
    <row r="305" spans="1:13" x14ac:dyDescent="0.2">
      <c r="A305" s="3"/>
      <c r="B305" s="3"/>
      <c r="C305" s="3" t="s">
        <v>23</v>
      </c>
      <c r="D305" s="3"/>
      <c r="E305" s="3"/>
      <c r="F305" s="3"/>
      <c r="G305" s="3"/>
      <c r="H305" s="3"/>
      <c r="I305" s="3"/>
      <c r="J305" s="3"/>
      <c r="K305" s="3"/>
      <c r="L305" s="3"/>
      <c r="M305" s="3"/>
    </row>
  </sheetData>
  <mergeCells count="12">
    <mergeCell ref="D256:H256"/>
    <mergeCell ref="J256:M256"/>
    <mergeCell ref="D205:H205"/>
    <mergeCell ref="J205:M205"/>
    <mergeCell ref="D1:G1"/>
    <mergeCell ref="J1:L1"/>
    <mergeCell ref="D154:H154"/>
    <mergeCell ref="J154:M154"/>
    <mergeCell ref="D52:H52"/>
    <mergeCell ref="J52:M52"/>
    <mergeCell ref="D103:H103"/>
    <mergeCell ref="J103:M103"/>
  </mergeCells>
  <phoneticPr fontId="1" type="noConversion"/>
  <printOptions horizontalCentered="1"/>
  <pageMargins left="0.25" right="0.25" top="0.75" bottom="0.5" header="0.5" footer="0.5"/>
  <pageSetup scale="65" fitToHeight="4" orientation="landscape" r:id="rId1"/>
  <headerFooter alignWithMargins="0"/>
  <rowBreaks count="3" manualBreakCount="3">
    <brk id="51" max="16383" man="1"/>
    <brk id="102" max="16383" man="1"/>
    <brk id="1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Annual</vt:lpstr>
      <vt:lpstr>Line Losses</vt:lpstr>
      <vt:lpstr>Quarter</vt:lpstr>
      <vt:lpstr>Line Losses_Alt</vt:lpstr>
      <vt:lpstr>Sheet1</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McCoy</dc:creator>
  <cp:lastModifiedBy>Elder, Lee</cp:lastModifiedBy>
  <cp:lastPrinted>2008-06-24T21:37:29Z</cp:lastPrinted>
  <dcterms:created xsi:type="dcterms:W3CDTF">2007-12-10T19:42:38Z</dcterms:created>
  <dcterms:modified xsi:type="dcterms:W3CDTF">2017-04-04T21:24:10Z</dcterms:modified>
</cp:coreProperties>
</file>