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37\"/>
    </mc:Choice>
  </mc:AlternateContent>
  <bookViews>
    <workbookView xWindow="0" yWindow="0" windowWidth="19200" windowHeight="11595" activeTab="1"/>
  </bookViews>
  <sheets>
    <sheet name="Incremental" sheetId="6" r:id="rId1"/>
    <sheet name="Total" sheetId="5" r:id="rId2"/>
    <sheet name="Energy" sheetId="12" r:id="rId3"/>
    <sheet name="Capacity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_Order2" hidden="1">0</definedName>
    <definedName name="Discount_Rate">Total!$B$36</definedName>
    <definedName name="_xlnm.Print_Area" localSheetId="3">Capacity!$A$1:$N$33</definedName>
    <definedName name="_xlnm.Print_Area" localSheetId="2">Energy!$A$1:$H$32</definedName>
    <definedName name="_xlnm.Print_Area" localSheetId="0">Incremental!$A$1:$H$32</definedName>
    <definedName name="_xlnm.Print_Area" localSheetId="1">Total!$A$1:$H$32</definedName>
    <definedName name="Study_CF">#REF!</definedName>
    <definedName name="Study_MW">#REF!</definedName>
    <definedName name="Study_Name">#REF!</definedName>
  </definedNames>
  <calcPr calcId="152511" calcOnSave="0"/>
</workbook>
</file>

<file path=xl/calcChain.xml><?xml version="1.0" encoding="utf-8"?>
<calcChain xmlns="http://schemas.openxmlformats.org/spreadsheetml/2006/main">
  <c r="G20" i="12" l="1"/>
  <c r="G20" i="5" s="1"/>
  <c r="G21" i="12"/>
  <c r="G22" i="12"/>
  <c r="G23" i="12"/>
  <c r="G23" i="5" s="1"/>
  <c r="G24" i="12"/>
  <c r="G19" i="12"/>
  <c r="G18" i="12"/>
  <c r="G17" i="12"/>
  <c r="G17" i="5" s="1"/>
  <c r="G16" i="12"/>
  <c r="G15" i="12"/>
  <c r="G14" i="12"/>
  <c r="G13" i="12"/>
  <c r="G12" i="12"/>
  <c r="G12" i="5" s="1"/>
  <c r="G11" i="12"/>
  <c r="G14" i="5"/>
  <c r="G18" i="5"/>
  <c r="G21" i="5"/>
  <c r="G22" i="5"/>
  <c r="G19" i="5"/>
  <c r="G15" i="5"/>
  <c r="G13" i="5"/>
  <c r="G11" i="5"/>
  <c r="G10" i="12"/>
  <c r="G24" i="5"/>
  <c r="G16" i="5"/>
  <c r="G10" i="5"/>
  <c r="B39" i="5" l="1"/>
  <c r="B30" i="5" l="1"/>
  <c r="F7" i="6" l="1"/>
  <c r="B33" i="10" l="1"/>
  <c r="B32" i="10" l="1"/>
  <c r="B31" i="10"/>
  <c r="G8" i="10" l="1"/>
  <c r="C8" i="6" l="1"/>
  <c r="G38" i="12" l="1"/>
  <c r="G7" i="5"/>
  <c r="D8" i="6" l="1"/>
  <c r="D7" i="6"/>
  <c r="C7" i="6"/>
  <c r="B38" i="10" l="1"/>
  <c r="B30" i="10"/>
  <c r="B10" i="10"/>
  <c r="G10" i="10" s="1"/>
  <c r="B3" i="10"/>
  <c r="B1" i="10"/>
  <c r="E10" i="10" l="1"/>
  <c r="K10" i="10" s="1"/>
  <c r="F10" i="10"/>
  <c r="L10" i="10" s="1"/>
  <c r="C10" i="10"/>
  <c r="D10" i="10"/>
  <c r="B39" i="10"/>
  <c r="J8" i="10"/>
  <c r="M8" i="10"/>
  <c r="B4" i="10"/>
  <c r="B26" i="10" l="1"/>
  <c r="B11" i="10"/>
  <c r="G11" i="10" s="1"/>
  <c r="J10" i="10"/>
  <c r="E11" i="10" l="1"/>
  <c r="K11" i="10" s="1"/>
  <c r="F11" i="10"/>
  <c r="L11" i="10" s="1"/>
  <c r="C11" i="10"/>
  <c r="I11" i="10" s="1"/>
  <c r="D11" i="10"/>
  <c r="B12" i="10"/>
  <c r="G12" i="10" s="1"/>
  <c r="I10" i="10"/>
  <c r="E12" i="10" l="1"/>
  <c r="K12" i="10" s="1"/>
  <c r="F12" i="10"/>
  <c r="L12" i="10" s="1"/>
  <c r="C12" i="10"/>
  <c r="D12" i="10"/>
  <c r="J12" i="10" s="1"/>
  <c r="J11" i="10"/>
  <c r="B13" i="10"/>
  <c r="G13" i="10" s="1"/>
  <c r="E13" i="10" l="1"/>
  <c r="K13" i="10" s="1"/>
  <c r="F13" i="10"/>
  <c r="L13" i="10" s="1"/>
  <c r="C13" i="10"/>
  <c r="I13" i="10" s="1"/>
  <c r="D13" i="10"/>
  <c r="J13" i="10" s="1"/>
  <c r="I12" i="10"/>
  <c r="B14" i="10"/>
  <c r="G14" i="10" s="1"/>
  <c r="E14" i="10" l="1"/>
  <c r="K14" i="10" s="1"/>
  <c r="F14" i="10"/>
  <c r="L14" i="10" s="1"/>
  <c r="C14" i="10"/>
  <c r="I14" i="10" s="1"/>
  <c r="D14" i="10"/>
  <c r="B15" i="10"/>
  <c r="G15" i="10" s="1"/>
  <c r="E15" i="10" l="1"/>
  <c r="K15" i="10" s="1"/>
  <c r="F15" i="10"/>
  <c r="L15" i="10" s="1"/>
  <c r="C15" i="10"/>
  <c r="D15" i="10"/>
  <c r="J15" i="10" s="1"/>
  <c r="B16" i="10"/>
  <c r="G16" i="10" s="1"/>
  <c r="J14" i="10"/>
  <c r="E16" i="10" l="1"/>
  <c r="K16" i="10" s="1"/>
  <c r="F16" i="10"/>
  <c r="L16" i="10" s="1"/>
  <c r="C16" i="10"/>
  <c r="I16" i="10" s="1"/>
  <c r="D16" i="10"/>
  <c r="B17" i="10"/>
  <c r="G17" i="10" s="1"/>
  <c r="I15" i="10"/>
  <c r="E17" i="10" l="1"/>
  <c r="K17" i="10" s="1"/>
  <c r="F17" i="10"/>
  <c r="L17" i="10" s="1"/>
  <c r="C17" i="10"/>
  <c r="D17" i="10"/>
  <c r="J17" i="10" s="1"/>
  <c r="B18" i="10"/>
  <c r="G18" i="10" s="1"/>
  <c r="J16" i="10"/>
  <c r="E18" i="10" l="1"/>
  <c r="K18" i="10" s="1"/>
  <c r="F18" i="10"/>
  <c r="L18" i="10" s="1"/>
  <c r="C18" i="10"/>
  <c r="I18" i="10" s="1"/>
  <c r="D18" i="10"/>
  <c r="J18" i="10" s="1"/>
  <c r="B19" i="10"/>
  <c r="G19" i="10" s="1"/>
  <c r="I17" i="10"/>
  <c r="E19" i="10" l="1"/>
  <c r="K19" i="10" s="1"/>
  <c r="F19" i="10"/>
  <c r="L19" i="10" s="1"/>
  <c r="C19" i="10"/>
  <c r="I19" i="10" s="1"/>
  <c r="D19" i="10"/>
  <c r="J19" i="10" s="1"/>
  <c r="B20" i="10"/>
  <c r="G20" i="10" s="1"/>
  <c r="E20" i="10" l="1"/>
  <c r="K20" i="10" s="1"/>
  <c r="F20" i="10"/>
  <c r="L20" i="10" s="1"/>
  <c r="C20" i="10"/>
  <c r="I20" i="10" s="1"/>
  <c r="D20" i="10"/>
  <c r="J20" i="10" s="1"/>
  <c r="B21" i="10"/>
  <c r="G21" i="10" s="1"/>
  <c r="E21" i="10" l="1"/>
  <c r="K21" i="10" s="1"/>
  <c r="F21" i="10"/>
  <c r="L21" i="10" s="1"/>
  <c r="C21" i="10"/>
  <c r="I21" i="10" s="1"/>
  <c r="D21" i="10"/>
  <c r="J21" i="10" s="1"/>
  <c r="B22" i="10"/>
  <c r="G22" i="10" s="1"/>
  <c r="E22" i="10" l="1"/>
  <c r="K22" i="10" s="1"/>
  <c r="F22" i="10"/>
  <c r="L22" i="10" s="1"/>
  <c r="C22" i="10"/>
  <c r="I22" i="10" s="1"/>
  <c r="D22" i="10"/>
  <c r="J22" i="10" s="1"/>
  <c r="B23" i="10"/>
  <c r="G23" i="10" s="1"/>
  <c r="E23" i="10" l="1"/>
  <c r="K23" i="10" s="1"/>
  <c r="F23" i="10"/>
  <c r="L23" i="10" s="1"/>
  <c r="C23" i="10"/>
  <c r="I23" i="10" s="1"/>
  <c r="D23" i="10"/>
  <c r="J23" i="10" s="1"/>
  <c r="B24" i="10"/>
  <c r="G24" i="10" s="1"/>
  <c r="E24" i="10" l="1"/>
  <c r="F24" i="10"/>
  <c r="C24" i="10"/>
  <c r="D24" i="10"/>
  <c r="B27" i="10"/>
  <c r="F27" i="10" l="1"/>
  <c r="L24" i="10"/>
  <c r="E27" i="10"/>
  <c r="K24" i="10"/>
  <c r="I24" i="10"/>
  <c r="C27" i="10"/>
  <c r="J24" i="10"/>
  <c r="D27" i="10"/>
  <c r="L27" i="10" l="1"/>
  <c r="K27" i="10"/>
  <c r="J27" i="10"/>
  <c r="I27" i="10"/>
  <c r="D38" i="12" l="1"/>
  <c r="E38" i="12"/>
  <c r="B38" i="12"/>
  <c r="F38" i="12"/>
  <c r="C7" i="12" l="1"/>
  <c r="C38" i="12" s="1"/>
  <c r="E8" i="5" l="1"/>
  <c r="C8" i="5"/>
  <c r="E7" i="5"/>
  <c r="C7" i="5"/>
  <c r="E8" i="6" l="1"/>
  <c r="E7" i="6"/>
  <c r="F8" i="5" l="1"/>
  <c r="F7" i="5"/>
  <c r="B1" i="12" l="1"/>
  <c r="B3" i="12"/>
  <c r="B10" i="12"/>
  <c r="B29" i="12"/>
  <c r="B35" i="12"/>
  <c r="F10" i="12" l="1"/>
  <c r="F10" i="5" s="1"/>
  <c r="D10" i="12"/>
  <c r="D10" i="5" s="1"/>
  <c r="E10" i="12"/>
  <c r="E10" i="5" s="1"/>
  <c r="C10" i="12"/>
  <c r="C10" i="5" s="1"/>
  <c r="B26" i="12"/>
  <c r="B11" i="12"/>
  <c r="F11" i="12" l="1"/>
  <c r="F11" i="5" s="1"/>
  <c r="D11" i="12"/>
  <c r="D11" i="5" s="1"/>
  <c r="E11" i="12"/>
  <c r="E11" i="5" s="1"/>
  <c r="C11" i="12"/>
  <c r="C11" i="5" s="1"/>
  <c r="D10" i="6"/>
  <c r="E10" i="6"/>
  <c r="C10" i="6"/>
  <c r="B12" i="12"/>
  <c r="F12" i="12" l="1"/>
  <c r="F12" i="5" s="1"/>
  <c r="D12" i="12"/>
  <c r="D12" i="5" s="1"/>
  <c r="E12" i="12"/>
  <c r="E12" i="5" s="1"/>
  <c r="C12" i="12"/>
  <c r="C12" i="5" s="1"/>
  <c r="D11" i="6"/>
  <c r="E11" i="6"/>
  <c r="C11" i="6"/>
  <c r="B13" i="12"/>
  <c r="F13" i="12" l="1"/>
  <c r="F13" i="5" s="1"/>
  <c r="D13" i="12"/>
  <c r="D13" i="5" s="1"/>
  <c r="E13" i="12"/>
  <c r="E13" i="5" s="1"/>
  <c r="C13" i="12"/>
  <c r="C13" i="5" s="1"/>
  <c r="D12" i="6"/>
  <c r="E12" i="6"/>
  <c r="C12" i="6"/>
  <c r="B14" i="12"/>
  <c r="F14" i="12" l="1"/>
  <c r="F14" i="5" s="1"/>
  <c r="D14" i="12"/>
  <c r="D14" i="5" s="1"/>
  <c r="E14" i="12"/>
  <c r="E14" i="5" s="1"/>
  <c r="C14" i="12"/>
  <c r="C14" i="5" s="1"/>
  <c r="D13" i="6"/>
  <c r="E13" i="6"/>
  <c r="C13" i="6"/>
  <c r="B15" i="12"/>
  <c r="F15" i="12" l="1"/>
  <c r="F15" i="5" s="1"/>
  <c r="D15" i="12"/>
  <c r="D15" i="5" s="1"/>
  <c r="E15" i="12"/>
  <c r="E15" i="5" s="1"/>
  <c r="C15" i="12"/>
  <c r="C15" i="5" s="1"/>
  <c r="D14" i="6"/>
  <c r="E14" i="6"/>
  <c r="C14" i="6"/>
  <c r="B16" i="12"/>
  <c r="F16" i="12" l="1"/>
  <c r="F16" i="5" s="1"/>
  <c r="D16" i="12"/>
  <c r="D16" i="5" s="1"/>
  <c r="E16" i="12"/>
  <c r="E16" i="5" s="1"/>
  <c r="C16" i="12"/>
  <c r="D15" i="6"/>
  <c r="E15" i="6"/>
  <c r="C15" i="6"/>
  <c r="B17" i="12"/>
  <c r="F17" i="12" l="1"/>
  <c r="F17" i="5" s="1"/>
  <c r="D17" i="12"/>
  <c r="D17" i="5" s="1"/>
  <c r="E17" i="12"/>
  <c r="E17" i="5" s="1"/>
  <c r="C17" i="12"/>
  <c r="C17" i="5" s="1"/>
  <c r="D16" i="6"/>
  <c r="E16" i="6"/>
  <c r="C16" i="5"/>
  <c r="C16" i="6" s="1"/>
  <c r="B18" i="12"/>
  <c r="F18" i="12" l="1"/>
  <c r="F18" i="5" s="1"/>
  <c r="D18" i="12"/>
  <c r="D18" i="5" s="1"/>
  <c r="E18" i="12"/>
  <c r="E18" i="5" s="1"/>
  <c r="C18" i="12"/>
  <c r="C18" i="5" s="1"/>
  <c r="D17" i="6"/>
  <c r="E17" i="6"/>
  <c r="C17" i="6"/>
  <c r="B19" i="12"/>
  <c r="F19" i="12" l="1"/>
  <c r="F19" i="5" s="1"/>
  <c r="D19" i="12"/>
  <c r="D19" i="5" s="1"/>
  <c r="E19" i="12"/>
  <c r="E19" i="5" s="1"/>
  <c r="C19" i="12"/>
  <c r="C19" i="5" s="1"/>
  <c r="D18" i="6"/>
  <c r="E18" i="6"/>
  <c r="C18" i="6"/>
  <c r="B20" i="12"/>
  <c r="B31" i="5"/>
  <c r="F20" i="12" l="1"/>
  <c r="F20" i="5" s="1"/>
  <c r="D20" i="12"/>
  <c r="D20" i="5" s="1"/>
  <c r="E20" i="12"/>
  <c r="E20" i="5" s="1"/>
  <c r="C20" i="12"/>
  <c r="C20" i="5" s="1"/>
  <c r="D19" i="6"/>
  <c r="E19" i="6"/>
  <c r="C19" i="6"/>
  <c r="B31" i="12"/>
  <c r="B21" i="12"/>
  <c r="F21" i="12" l="1"/>
  <c r="F21" i="5" s="1"/>
  <c r="D21" i="12"/>
  <c r="D21" i="5" s="1"/>
  <c r="E21" i="12"/>
  <c r="E21" i="5" s="1"/>
  <c r="C21" i="12"/>
  <c r="C21" i="5" s="1"/>
  <c r="D20" i="6"/>
  <c r="E20" i="6"/>
  <c r="C20" i="6"/>
  <c r="B22" i="12"/>
  <c r="F22" i="12" l="1"/>
  <c r="F22" i="5" s="1"/>
  <c r="D22" i="12"/>
  <c r="D22" i="5" s="1"/>
  <c r="E22" i="12"/>
  <c r="E22" i="5" s="1"/>
  <c r="C22" i="12"/>
  <c r="C22" i="5" s="1"/>
  <c r="D21" i="6"/>
  <c r="E21" i="6"/>
  <c r="C21" i="6"/>
  <c r="B23" i="12"/>
  <c r="F23" i="12" l="1"/>
  <c r="F23" i="5" s="1"/>
  <c r="D23" i="12"/>
  <c r="D23" i="5" s="1"/>
  <c r="E23" i="12"/>
  <c r="E23" i="5" s="1"/>
  <c r="C23" i="12"/>
  <c r="C23" i="5" s="1"/>
  <c r="D22" i="6"/>
  <c r="E22" i="6"/>
  <c r="C22" i="6"/>
  <c r="B24" i="12"/>
  <c r="E24" i="12" l="1"/>
  <c r="E24" i="5" s="1"/>
  <c r="F24" i="12"/>
  <c r="F24" i="5" s="1"/>
  <c r="C24" i="12"/>
  <c r="C27" i="12" s="1"/>
  <c r="D24" i="12"/>
  <c r="D24" i="5" s="1"/>
  <c r="D23" i="6"/>
  <c r="E23" i="6"/>
  <c r="C23" i="6"/>
  <c r="B27" i="12"/>
  <c r="D24" i="6" l="1"/>
  <c r="G27" i="12"/>
  <c r="E24" i="6"/>
  <c r="C24" i="5"/>
  <c r="C27" i="5" s="1"/>
  <c r="D27" i="5"/>
  <c r="E27" i="5"/>
  <c r="B26" i="5"/>
  <c r="D27" i="6" l="1"/>
  <c r="C27" i="6"/>
  <c r="C24" i="6"/>
  <c r="B31" i="6"/>
  <c r="B32" i="6"/>
  <c r="B29" i="6"/>
  <c r="D8" i="5" l="1"/>
  <c r="D7" i="5"/>
  <c r="B36" i="6" l="1"/>
  <c r="B26" i="6" l="1"/>
  <c r="B10" i="6" l="1"/>
  <c r="B11" i="5"/>
  <c r="B3" i="6"/>
  <c r="B1" i="6"/>
  <c r="B11" i="6" l="1"/>
  <c r="B12" i="5"/>
  <c r="B13" i="5" l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7" i="6" l="1"/>
  <c r="B14" i="5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B23" i="5" l="1"/>
  <c r="B24" i="5" l="1"/>
  <c r="B27" i="5" s="1"/>
  <c r="B30" i="6" l="1"/>
  <c r="B30" i="12"/>
  <c r="E27" i="12" l="1"/>
  <c r="D27" i="12" l="1"/>
  <c r="F27" i="12" l="1"/>
  <c r="F27" i="5" l="1"/>
  <c r="E27" i="6" s="1"/>
  <c r="M22" i="10" l="1"/>
  <c r="F22" i="6" s="1"/>
  <c r="M20" i="10"/>
  <c r="F20" i="6" s="1"/>
  <c r="M21" i="10" l="1"/>
  <c r="F21" i="6" s="1"/>
  <c r="M24" i="10"/>
  <c r="F24" i="6" s="1"/>
  <c r="M23" i="10"/>
  <c r="F23" i="6" s="1"/>
  <c r="M18" i="10" l="1"/>
  <c r="F18" i="6" s="1"/>
  <c r="M19" i="10"/>
  <c r="F19" i="6" s="1"/>
  <c r="M17" i="10"/>
  <c r="F17" i="6" s="1"/>
  <c r="M14" i="10"/>
  <c r="F14" i="6" s="1"/>
  <c r="M16" i="10"/>
  <c r="F16" i="6" s="1"/>
  <c r="M15" i="10"/>
  <c r="F15" i="6" s="1"/>
  <c r="M13" i="10" l="1"/>
  <c r="F13" i="6" s="1"/>
  <c r="M11" i="10" l="1"/>
  <c r="F11" i="6" s="1"/>
  <c r="M12" i="10" l="1"/>
  <c r="F12" i="6" s="1"/>
  <c r="G20" i="6" l="1"/>
  <c r="G23" i="6"/>
  <c r="G21" i="6"/>
  <c r="G22" i="6"/>
  <c r="G24" i="6"/>
  <c r="G27" i="10"/>
  <c r="M10" i="10"/>
  <c r="F10" i="6" l="1"/>
  <c r="M27" i="10"/>
  <c r="G19" i="6" l="1"/>
  <c r="G11" i="6"/>
  <c r="G13" i="6"/>
  <c r="G12" i="6"/>
  <c r="G17" i="6" l="1"/>
  <c r="G15" i="6"/>
  <c r="G14" i="6"/>
  <c r="G18" i="6"/>
  <c r="G16" i="6"/>
  <c r="G10" i="6" l="1"/>
  <c r="B34" i="10" l="1"/>
  <c r="C8" i="10" l="1"/>
  <c r="I8" i="10" s="1"/>
  <c r="G27" i="5" l="1"/>
  <c r="F27" i="6" s="1"/>
  <c r="G27" i="6" s="1"/>
</calcChain>
</file>

<file path=xl/sharedStrings.xml><?xml version="1.0" encoding="utf-8"?>
<sst xmlns="http://schemas.openxmlformats.org/spreadsheetml/2006/main" count="38" uniqueCount="32">
  <si>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</si>
  <si>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</si>
  <si>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</si>
  <si>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</si>
  <si>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</si>
  <si>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</si>
  <si>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</si>
  <si>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</si>
  <si>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</si>
  <si>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</si>
  <si>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</si>
  <si>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</si>
  <si>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</si>
  <si>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</si>
  <si>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Update</t>
  </si>
  <si>
    <t>Discount Rate - 2015 IRP Page 141</t>
  </si>
  <si>
    <t>Impact</t>
  </si>
  <si>
    <t>(1)   Studies are sequential.  The order of the studies would affect the price impact.</t>
  </si>
  <si>
    <t>(4)  15-Year Nominal Levelized Payment (2018-2032)</t>
  </si>
  <si>
    <t>(x)   Escalated by 2.2% from prior year</t>
  </si>
  <si>
    <t>OFPC</t>
  </si>
  <si>
    <t>2016.Q4</t>
  </si>
  <si>
    <t>1703 OFPC (4)</t>
  </si>
  <si>
    <t>QF Queue (4)</t>
  </si>
  <si>
    <t>Queue Capacity Contribution (5)</t>
  </si>
  <si>
    <t>2017.Q1</t>
  </si>
  <si>
    <t>Discount Rate - 2017 IRP</t>
  </si>
  <si>
    <t>1703</t>
  </si>
  <si>
    <t>QF Queue</t>
  </si>
  <si>
    <t>2017 IRP</t>
  </si>
  <si>
    <t>Contribution</t>
  </si>
  <si>
    <t>Queue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</si>
</sst>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&quot;$&quot;#,##0.0000_);[Red]\(&quot;$&quot;#,##0.0000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70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3" fillId="0" borderId="5" xfId="0" quotePrefix="1" applyFont="1" applyFill="1" applyBorder="1" applyAlignment="1">
      <alignment horizontal="center"/>
    </xf>
    <xf numFmtId="165" fontId="3" fillId="0" borderId="9" xfId="4" applyFont="1" applyBorder="1" applyAlignment="1">
      <alignment horizontal="centerContinuous"/>
    </xf>
    <xf numFmtId="0" fontId="4" fillId="0" borderId="2" xfId="4" applyNumberFormat="1" applyFont="1" applyBorder="1" applyAlignment="1">
      <alignment horizontal="center"/>
    </xf>
    <xf numFmtId="165" fontId="3" fillId="0" borderId="2" xfId="4" quotePrefix="1" applyFont="1" applyBorder="1" applyAlignment="1">
      <alignment horizontal="center" wrapText="1"/>
    </xf>
    <xf numFmtId="165" fontId="4" fillId="0" borderId="0" xfId="4" applyFont="1" applyAlignment="1"/>
    <xf numFmtId="165" fontId="0" fillId="0" borderId="0" xfId="0" applyAlignment="1"/>
    <xf numFmtId="165" fontId="3" fillId="0" borderId="0" xfId="4" applyFont="1" applyBorder="1" applyAlignment="1">
      <alignment horizontal="centerContinuous"/>
    </xf>
    <xf numFmtId="172" fontId="3" fillId="0" borderId="1" xfId="0" applyNumberFormat="1" applyFont="1" applyFill="1" applyBorder="1" applyAlignment="1">
      <alignment horizontal="center"/>
    </xf>
    <xf numFmtId="173" fontId="4" fillId="0" borderId="0" xfId="17" applyNumberFormat="1" applyFont="1"/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03%20Dockets\UT%2003-035-14%20Application%20IRP-Based%20Avoided%20Cost\03-035-14%20Quarterly%20Compliance%20Filings\2017\2017%20Q1%20(6-21-17)\Working%20Docs\4_Appendix%20B.1%20-%20UT%202017.Q1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3b%20-%20GRID%20AC%20Study%20CONF%20_2017%2005%2031%20(GOLD)_1703%20OFPC_Queu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4b%20-%20GRID%20AC%20Study%20CONF%20_2017%2005%2031%20(GOLD)_1703%20OFPC_Queue_CC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Scenario\101.1%20-%20UT%202017.Q1%20-%201b%20-%20GRID%20AC%20Study%20CONF%20_2017%2005%2030%20Therm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_UT%202017.Q1%20-%20Step%20Study%20_2017%2006%2001%20(Detailed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2---%20Avoided%20Cost%20Study%20_2017%2005%2031%20(GOLD)%201703%20OFPC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3---%20Avoided%20Cost%20Study%20_2017%2005%2031%20(GOLD)%201703%20OFPC_Queu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4---%20Avoided%20Cost%20Study%20_2017%2005%2031%20(GOLD)%201703%20OFPC_Queue_CC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Scenario\101.1%20-%20UT%202017.Q1%20-%201---%20Avoided%20Cost%20Study%20_2017%2005%2030%20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Source%20Files\_All%20Data%20Series%20Files_2017%2001%2009%20(1703%20OFPC)%20(2017%20IRP)\_GNw_Market%20Price%20Index%20(1703)%20CONF%20_2017%2004%20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a%20-%20GRID%20AC%20Study%20CONF%20_2017%2003%2009%20(GOLD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2a%20-%20GRID%20AC%20Study%20CONF%20_2017%2005%2031%20(GOLD)_1703%20OFPC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3a%20-%20GRID%20AC%20Study%20CONF%20_2017%2005%2031%20(GOLD)_1703%20OFPC_Queu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4a%20-%20GRID%20AC%20Study%20CONF%20_2017%2005%2031%20(GOLD)_1703%20OFPC_Queue_CC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Scenario\101.1%20-%20UT%202017.Q1%20-%201a%20-%20GRID%20AC%20Study%20CONF%20_2017%2005%2030%20Thermal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b%20-%20GRID%20AC%20Study%20CONF%20_2017%2003%2009%20(GOL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01%20-%20UT%20Compliance%20Filing%202017.Q1%20-%202017%20Jun\x%20Step%20Study%202017.Q1\Scenario\45%20-%20UT%202016.Q4%20-%202b%20-%20GRID%20AC%20Study%20CONF%20_2017%2005%2031%20(GOLD)_1703%20OF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"/>
      <sheetName val="Table 1"/>
      <sheetName val="Table 4"/>
      <sheetName val="Table 5"/>
      <sheetName val="Table 3 DJ Wind 2031"/>
      <sheetName val="Table 3 ID Wind 2036"/>
      <sheetName val="Table 3 WY Wind 202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</sheetNames>
    <sheetDataSet>
      <sheetData sheetId="0" refreshError="1"/>
      <sheetData sheetId="1">
        <row r="43">
          <cell r="G43">
            <v>23.681000675361894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1">
          <cell r="N1" t="str">
            <v>45 - UT 2016.Q4 - 3b - GRID AC Study CONF _2017 05 31 (GOLD)_1703 OFPC_Queue</v>
          </cell>
        </row>
      </sheetData>
      <sheetData sheetId="1">
        <row r="1">
          <cell r="K1" t="str">
            <v>45 - UT 2016.Q4 - 3b - GRID AC Study CONF _2017 05 31 (GOLD)_1703 OFPC_Queue</v>
          </cell>
        </row>
      </sheetData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2675522.1678780317</v>
          </cell>
          <cell r="D7">
            <v>2141320.0781599879</v>
          </cell>
          <cell r="E7">
            <v>122214.32435202599</v>
          </cell>
          <cell r="F7">
            <v>56913.797683954239</v>
          </cell>
          <cell r="G7">
            <v>197777.28991395235</v>
          </cell>
          <cell r="H7">
            <v>85161.958559930325</v>
          </cell>
          <cell r="I7">
            <v>152143.61771994829</v>
          </cell>
          <cell r="J7">
            <v>74086.760479986668</v>
          </cell>
          <cell r="K7">
            <v>102944.07473003864</v>
          </cell>
          <cell r="L7">
            <v>268353.66668003798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-6695037.3999999966</v>
          </cell>
          <cell r="D9">
            <v>-6853722.599999994</v>
          </cell>
          <cell r="E9">
            <v>-20816250.944559991</v>
          </cell>
          <cell r="F9">
            <v>-21249342.906199999</v>
          </cell>
          <cell r="G9">
            <v>-22548983.795119993</v>
          </cell>
          <cell r="H9">
            <v>-25160151.165079996</v>
          </cell>
          <cell r="I9">
            <v>-26838309.084250003</v>
          </cell>
          <cell r="J9">
            <v>-29393170.791320004</v>
          </cell>
          <cell r="K9">
            <v>-31816589.876510017</v>
          </cell>
          <cell r="L9">
            <v>-32865473.793230012</v>
          </cell>
        </row>
        <row r="10">
          <cell r="C10">
            <v>48566.540805550292</v>
          </cell>
          <cell r="D10">
            <v>202355.99587915093</v>
          </cell>
          <cell r="E10">
            <v>550752.03768431395</v>
          </cell>
          <cell r="F10">
            <v>536300.38668190502</v>
          </cell>
          <cell r="G10">
            <v>547558.38884994946</v>
          </cell>
          <cell r="H10">
            <v>133100.37505411357</v>
          </cell>
          <cell r="I10">
            <v>83691.160559471697</v>
          </cell>
          <cell r="J10">
            <v>29477.733895244077</v>
          </cell>
          <cell r="K10">
            <v>27789.169959293678</v>
          </cell>
          <cell r="L10">
            <v>22788.558186007198</v>
          </cell>
        </row>
        <row r="11">
          <cell r="C11">
            <v>-7376116.4660600424</v>
          </cell>
          <cell r="D11">
            <v>-6677168.0231100321</v>
          </cell>
          <cell r="E11">
            <v>233823.27599954605</v>
          </cell>
          <cell r="F11">
            <v>553871.79300022125</v>
          </cell>
          <cell r="G11">
            <v>271260.83659982681</v>
          </cell>
          <cell r="H11">
            <v>477308.70499968529</v>
          </cell>
          <cell r="I11">
            <v>144831.81859993935</v>
          </cell>
          <cell r="J11">
            <v>-64819.485400080681</v>
          </cell>
          <cell r="K11">
            <v>-311660.8789999485</v>
          </cell>
          <cell r="L11">
            <v>-264001.11599993706</v>
          </cell>
        </row>
        <row r="12">
          <cell r="C12">
            <v>-6889.9359999895096</v>
          </cell>
          <cell r="D12">
            <v>9188.3420000076294</v>
          </cell>
          <cell r="E12">
            <v>-2195.2489999830723</v>
          </cell>
          <cell r="F12">
            <v>-2766.3865000009537</v>
          </cell>
          <cell r="G12">
            <v>-1898.0013000071049</v>
          </cell>
          <cell r="H12">
            <v>-3500.7129999995232</v>
          </cell>
          <cell r="I12">
            <v>-1529.0109999775887</v>
          </cell>
          <cell r="J12">
            <v>-110.78099998831749</v>
          </cell>
          <cell r="K12">
            <v>0</v>
          </cell>
          <cell r="L12">
            <v>0</v>
          </cell>
        </row>
        <row r="13">
          <cell r="C13">
            <v>-6871849.6307741404</v>
          </cell>
          <cell r="D13">
            <v>-6237371.8413929939</v>
          </cell>
          <cell r="E13">
            <v>-2483470.3995691538</v>
          </cell>
          <cell r="F13">
            <v>-2512683.6580510139</v>
          </cell>
          <cell r="G13">
            <v>-2403316.6008019447</v>
          </cell>
          <cell r="H13">
            <v>-1739977.3617401123</v>
          </cell>
          <cell r="I13">
            <v>-1424105.6450381279</v>
          </cell>
          <cell r="J13">
            <v>-519571.81455504894</v>
          </cell>
          <cell r="K13">
            <v>-354260.75122594833</v>
          </cell>
          <cell r="L13">
            <v>-308230.31006610394</v>
          </cell>
        </row>
        <row r="14">
          <cell r="C14">
            <v>-2324880.7351700068</v>
          </cell>
          <cell r="D14">
            <v>-5284190.1333701015</v>
          </cell>
          <cell r="E14">
            <v>-496265.50908005238</v>
          </cell>
          <cell r="F14">
            <v>-1417714.0087900162</v>
          </cell>
          <cell r="G14">
            <v>-1191274.8543999195</v>
          </cell>
          <cell r="H14">
            <v>-759170.51082003117</v>
          </cell>
          <cell r="I14">
            <v>-339732.17552995682</v>
          </cell>
          <cell r="J14">
            <v>-349620.34706020355</v>
          </cell>
          <cell r="K14">
            <v>-352206.0583999157</v>
          </cell>
          <cell r="L14">
            <v>-355086.62150013447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-96347.112860046327</v>
          </cell>
          <cell r="G15">
            <v>-56231.625679977238</v>
          </cell>
          <cell r="H15">
            <v>-247933.031009987</v>
          </cell>
          <cell r="I15">
            <v>-224925.99996998906</v>
          </cell>
          <cell r="J15">
            <v>-129691.56329997629</v>
          </cell>
          <cell r="K15">
            <v>-120000.54552996904</v>
          </cell>
          <cell r="L15">
            <v>-139578.85214994848</v>
          </cell>
        </row>
        <row r="16">
          <cell r="C16">
            <v>-85009.774599999917</v>
          </cell>
          <cell r="D16">
            <v>-293989.33435000037</v>
          </cell>
          <cell r="E16">
            <v>-197401.56414999906</v>
          </cell>
          <cell r="F16">
            <v>-86969.036950000562</v>
          </cell>
          <cell r="G16">
            <v>-31406.984599999152</v>
          </cell>
          <cell r="H16">
            <v>-16692.585549999028</v>
          </cell>
          <cell r="I16">
            <v>-250487.85790000018</v>
          </cell>
          <cell r="J16">
            <v>-291516.25609999895</v>
          </cell>
          <cell r="K16">
            <v>-287368.98579999991</v>
          </cell>
          <cell r="L16">
            <v>-89113.712000004947</v>
          </cell>
        </row>
        <row r="17">
          <cell r="C17">
            <v>-25986739.569676656</v>
          </cell>
          <cell r="D17">
            <v>-27276217.672503952</v>
          </cell>
          <cell r="E17">
            <v>-23333222.677027345</v>
          </cell>
          <cell r="F17">
            <v>-24332564.727352902</v>
          </cell>
          <cell r="G17">
            <v>-25612069.926366016</v>
          </cell>
          <cell r="H17">
            <v>-27402178.245706256</v>
          </cell>
          <cell r="I17">
            <v>-29002710.412248593</v>
          </cell>
          <cell r="J17">
            <v>-30793110.065320045</v>
          </cell>
          <cell r="K17">
            <v>-33317242.001236543</v>
          </cell>
          <cell r="L17">
            <v>-34267049.513440169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78516.318647000007</v>
          </cell>
          <cell r="D20">
            <v>58718.346037499607</v>
          </cell>
          <cell r="E20">
            <v>7399.7982601011172</v>
          </cell>
          <cell r="F20">
            <v>4676.8728800006211</v>
          </cell>
          <cell r="G20">
            <v>8250.7113150004297</v>
          </cell>
          <cell r="H20">
            <v>4997.1793289994821</v>
          </cell>
          <cell r="I20">
            <v>5233.0028459997848</v>
          </cell>
          <cell r="J20">
            <v>4964.8760000001639</v>
          </cell>
          <cell r="K20">
            <v>4858.686999999918</v>
          </cell>
          <cell r="L20">
            <v>6996.9041999997571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-123200.00000000004</v>
          </cell>
          <cell r="D22">
            <v>-121600.00000000003</v>
          </cell>
          <cell r="E22">
            <v>-613449.41603400023</v>
          </cell>
          <cell r="F22">
            <v>-599159.18468830013</v>
          </cell>
          <cell r="G22">
            <v>-608609.49029169988</v>
          </cell>
          <cell r="H22">
            <v>-647813.0412250997</v>
          </cell>
          <cell r="I22">
            <v>-663109.37357940013</v>
          </cell>
          <cell r="J22">
            <v>-692936.85689739976</v>
          </cell>
          <cell r="K22">
            <v>-698538.66027229978</v>
          </cell>
          <cell r="L22">
            <v>-700251.94236290036</v>
          </cell>
        </row>
        <row r="23">
          <cell r="C23">
            <v>-185226.45718099549</v>
          </cell>
          <cell r="D23">
            <v>-157393.25028100237</v>
          </cell>
          <cell r="E23">
            <v>-2558.6654959954321</v>
          </cell>
          <cell r="F23">
            <v>7490.3049700036645</v>
          </cell>
          <cell r="G23">
            <v>761.44044899940491</v>
          </cell>
          <cell r="H23">
            <v>3892.7079699970782</v>
          </cell>
          <cell r="I23">
            <v>-2979.8366150036454</v>
          </cell>
          <cell r="J23">
            <v>-7439.5850590001792</v>
          </cell>
          <cell r="K23">
            <v>-10812.335129996762</v>
          </cell>
          <cell r="L23">
            <v>-9602.5349300019443</v>
          </cell>
        </row>
        <row r="24">
          <cell r="C24">
            <v>-275117.95132799447</v>
          </cell>
          <cell r="D24">
            <v>-225295.20372700319</v>
          </cell>
          <cell r="E24">
            <v>-98775.892655000091</v>
          </cell>
          <cell r="F24">
            <v>-98919.210054002702</v>
          </cell>
          <cell r="G24">
            <v>-92091.366712000221</v>
          </cell>
          <cell r="H24">
            <v>-64827.875584002584</v>
          </cell>
          <cell r="I24">
            <v>-49072.663710001856</v>
          </cell>
          <cell r="J24">
            <v>-16973.889614999294</v>
          </cell>
          <cell r="K24">
            <v>-11142.017604995519</v>
          </cell>
          <cell r="L24">
            <v>-9587.1981700062752</v>
          </cell>
        </row>
        <row r="25">
          <cell r="C25">
            <v>-82460.350138999522</v>
          </cell>
          <cell r="D25">
            <v>-173014.60013999976</v>
          </cell>
          <cell r="E25">
            <v>-15039.192723000422</v>
          </cell>
          <cell r="F25">
            <v>-42195.051656000316</v>
          </cell>
          <cell r="G25">
            <v>-34260.714422501624</v>
          </cell>
          <cell r="H25">
            <v>-21165.939230002463</v>
          </cell>
          <cell r="I25">
            <v>-9906.4382430035621</v>
          </cell>
          <cell r="J25">
            <v>-9594.8598690014333</v>
          </cell>
          <cell r="K25">
            <v>-8907.4960449989885</v>
          </cell>
          <cell r="L25">
            <v>-8793.6079950015992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-3474.2221499995794</v>
          </cell>
          <cell r="G26">
            <v>-1903.3060800003586</v>
          </cell>
          <cell r="H26">
            <v>-7946.3072267996613</v>
          </cell>
          <cell r="I26">
            <v>-6791.2939570997842</v>
          </cell>
          <cell r="J26">
            <v>-3662.1443624002859</v>
          </cell>
          <cell r="K26">
            <v>-3130.2275325977243</v>
          </cell>
          <cell r="L26">
            <v>-3536.0159670975991</v>
          </cell>
        </row>
        <row r="27">
          <cell r="C27">
            <v>-2119.4024499999996</v>
          </cell>
          <cell r="D27">
            <v>-8578.7431930000021</v>
          </cell>
          <cell r="E27">
            <v>-7376.9758929999953</v>
          </cell>
          <cell r="F27">
            <v>-3665.7145700000256</v>
          </cell>
          <cell r="G27">
            <v>-2285.6547460000147</v>
          </cell>
          <cell r="H27">
            <v>-1742.1011881000013</v>
          </cell>
          <cell r="I27">
            <v>-7507.4515720000054</v>
          </cell>
          <cell r="J27">
            <v>-9027.4302550000139</v>
          </cell>
          <cell r="K27">
            <v>-9249.9139140000334</v>
          </cell>
          <cell r="L27">
            <v>-5832.1298099999549</v>
          </cell>
        </row>
        <row r="28">
          <cell r="C28">
            <v>-746640.47974498954</v>
          </cell>
          <cell r="D28">
            <v>-744600.1433785049</v>
          </cell>
          <cell r="E28">
            <v>-744599.94106109731</v>
          </cell>
          <cell r="F28">
            <v>-744599.95102829975</v>
          </cell>
          <cell r="G28">
            <v>-746639.80311820307</v>
          </cell>
          <cell r="H28">
            <v>-744599.73581300676</v>
          </cell>
          <cell r="I28">
            <v>-744600.06052250881</v>
          </cell>
          <cell r="J28">
            <v>-744599.64205780113</v>
          </cell>
          <cell r="K28">
            <v>-746639.33749888872</v>
          </cell>
          <cell r="L28">
            <v>-744600.33343500749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34.076001192909466</v>
          </cell>
          <cell r="D31">
            <v>36.467649766436971</v>
          </cell>
          <cell r="E31">
            <v>16.515899495664893</v>
          </cell>
          <cell r="F31">
            <v>12.169199194472585</v>
          </cell>
          <cell r="G31">
            <v>23.970938063773723</v>
          </cell>
          <cell r="H31">
            <v>17.042005690234287</v>
          </cell>
          <cell r="I31">
            <v>29.073864891216331</v>
          </cell>
          <cell r="J31">
            <v>14.922177407851519</v>
          </cell>
          <cell r="K31">
            <v>21.187632529125747</v>
          </cell>
          <cell r="L31">
            <v>38.353200073833698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54.342836038960989</v>
          </cell>
          <cell r="D33">
            <v>56.362850328947303</v>
          </cell>
          <cell r="E33">
            <v>33.933117222832692</v>
          </cell>
          <cell r="F33">
            <v>35.465271081932123</v>
          </cell>
          <cell r="G33">
            <v>37.050003581627543</v>
          </cell>
          <cell r="H33">
            <v>38.838599354991125</v>
          </cell>
          <cell r="I33">
            <v>40.473427391592146</v>
          </cell>
          <cell r="J33">
            <v>42.418252830318316</v>
          </cell>
          <cell r="K33">
            <v>45.547357198680288</v>
          </cell>
          <cell r="L33">
            <v>46.933784549501077</v>
          </cell>
        </row>
        <row r="34">
          <cell r="C34">
            <v>6.5046755598006017E-2</v>
          </cell>
          <cell r="D34">
            <v>0.27176464801764977</v>
          </cell>
          <cell r="E34">
            <v>0.73966167241359293</v>
          </cell>
          <cell r="F34">
            <v>0.72025305124082939</v>
          </cell>
          <cell r="G34">
            <v>0.73336351285207824</v>
          </cell>
          <cell r="H34">
            <v>0.17875426037961878</v>
          </cell>
          <cell r="I34">
            <v>0.11239746676993691</v>
          </cell>
          <cell r="J34">
            <v>3.958870274739644E-2</v>
          </cell>
          <cell r="K34">
            <v>3.7219000611972225E-2</v>
          </cell>
          <cell r="L34">
            <v>3.0605087269943185E-2</v>
          </cell>
        </row>
        <row r="35">
          <cell r="C35">
            <v>39.822153801993913</v>
          </cell>
          <cell r="D35">
            <v>42.423471217405677</v>
          </cell>
          <cell r="E35">
            <v>-91.384855255797561</v>
          </cell>
          <cell r="F35">
            <v>73.945159138153258</v>
          </cell>
          <cell r="G35">
            <v>356.24694873549964</v>
          </cell>
          <cell r="H35">
            <v>122.61610906302934</v>
          </cell>
          <cell r="I35">
            <v>-48.603946226683362</v>
          </cell>
          <cell r="J35">
            <v>8.7127823509006159</v>
          </cell>
          <cell r="K35">
            <v>28.824567057240468</v>
          </cell>
          <cell r="L35">
            <v>27.492856618005931</v>
          </cell>
        </row>
        <row r="36">
          <cell r="C36">
            <v>24.977830772596697</v>
          </cell>
          <cell r="D36">
            <v>27.685329018149009</v>
          </cell>
          <cell r="E36">
            <v>25.142474877380309</v>
          </cell>
          <cell r="F36">
            <v>25.401372055834972</v>
          </cell>
          <cell r="G36">
            <v>26.097089082388152</v>
          </cell>
          <cell r="H36">
            <v>26.839956516629741</v>
          </cell>
          <cell r="I36">
            <v>29.020345287428743</v>
          </cell>
          <cell r="J36">
            <v>30.610062062376063</v>
          </cell>
          <cell r="K36">
            <v>31.795027057497709</v>
          </cell>
          <cell r="L36">
            <v>32.150197023193712</v>
          </cell>
        </row>
        <row r="37">
          <cell r="C37">
            <v>28.193922670120429</v>
          </cell>
          <cell r="D37">
            <v>30.541874090939412</v>
          </cell>
          <cell r="E37">
            <v>32.99814812008367</v>
          </cell>
          <cell r="F37">
            <v>33.599058495012201</v>
          </cell>
          <cell r="G37">
            <v>34.770870207467667</v>
          </cell>
          <cell r="H37">
            <v>35.867556009228082</v>
          </cell>
          <cell r="I37">
            <v>34.294078981403153</v>
          </cell>
          <cell r="J37">
            <v>36.438296320484945</v>
          </cell>
          <cell r="K37">
            <v>39.540411426582416</v>
          </cell>
          <cell r="L37">
            <v>40.380083090122994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27.73199545114235</v>
          </cell>
          <cell r="G38">
            <v>29.544184338425822</v>
          </cell>
          <cell r="H38">
            <v>31.201037656058624</v>
          </cell>
          <cell r="I38">
            <v>33.119756174719242</v>
          </cell>
          <cell r="J38">
            <v>35.414104542556132</v>
          </cell>
          <cell r="K38">
            <v>38.336045632562232</v>
          </cell>
          <cell r="L38">
            <v>39.473479036497771</v>
          </cell>
        </row>
        <row r="39">
          <cell r="C39">
            <v>40.110255888399081</v>
          </cell>
          <cell r="D39">
            <v>34.269511015306634</v>
          </cell>
          <cell r="E39">
            <v>26.759144534729089</v>
          </cell>
          <cell r="F39">
            <v>23.724988754375374</v>
          </cell>
          <cell r="G39">
            <v>13.740913694407524</v>
          </cell>
          <cell r="H39">
            <v>9.5818691038289039</v>
          </cell>
          <cell r="I39">
            <v>33.365231263592356</v>
          </cell>
          <cell r="J39">
            <v>32.292274530566118</v>
          </cell>
          <cell r="K39">
            <v>31.067206513679871</v>
          </cell>
          <cell r="L39">
            <v>15.279788842698212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34.804889735622517</v>
          </cell>
          <cell r="D41">
            <v>36.632033870880612</v>
          </cell>
          <cell r="E41">
            <v>31.336589476190628</v>
          </cell>
          <cell r="F41">
            <v>32.678708471239347</v>
          </cell>
          <cell r="G41">
            <v>34.30311352194451</v>
          </cell>
          <cell r="H41">
            <v>36.801219403854091</v>
          </cell>
          <cell r="I41">
            <v>38.950722609257511</v>
          </cell>
          <cell r="J41">
            <v>41.355257679441195</v>
          </cell>
          <cell r="K41">
            <v>44.622939521032308</v>
          </cell>
          <cell r="L41">
            <v>46.020728133922027</v>
          </cell>
        </row>
      </sheetData>
      <sheetData sheetId="3">
        <row r="7">
          <cell r="B7">
            <v>2028</v>
          </cell>
        </row>
      </sheetData>
      <sheetData sheetId="4"/>
      <sheetData sheetId="5"/>
      <sheetData sheetId="6">
        <row r="3">
          <cell r="F3">
            <v>46753</v>
          </cell>
        </row>
      </sheetData>
      <sheetData sheetId="7"/>
      <sheetData sheetId="8"/>
      <sheetData sheetId="9"/>
      <sheetData sheetId="10"/>
      <sheetData sheetId="11"/>
      <sheetData sheetId="12">
        <row r="25">
          <cell r="B25">
            <v>2028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1">
          <cell r="N1" t="str">
            <v>45 - UT 2016.Q4 - 4b - GRID AC Study CONF _2017 05 31 (GOLD)_1703 OFPC_Queue_CC</v>
          </cell>
        </row>
      </sheetData>
      <sheetData sheetId="1">
        <row r="1">
          <cell r="K1" t="str">
            <v>45 - UT 2016.Q4 - 4b - GRID AC Study CONF _2017 05 31 (GOLD)_1703 OFPC_Queue_CC</v>
          </cell>
        </row>
      </sheetData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3498445.5329780877</v>
          </cell>
          <cell r="D7">
            <v>2932509.94551</v>
          </cell>
          <cell r="E7">
            <v>3134850.5960980058</v>
          </cell>
          <cell r="F7">
            <v>1240665.5980599821</v>
          </cell>
          <cell r="G7">
            <v>1269570.1395400763</v>
          </cell>
          <cell r="H7">
            <v>6222559.1972299814</v>
          </cell>
          <cell r="I7">
            <v>8656943.2242000699</v>
          </cell>
          <cell r="J7">
            <v>10869746.581129998</v>
          </cell>
          <cell r="K7">
            <v>10901200.234120041</v>
          </cell>
          <cell r="L7">
            <v>9844557.4635599852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-2819492.5</v>
          </cell>
          <cell r="D9">
            <v>-6430191.5440000007</v>
          </cell>
          <cell r="E9">
            <v>-7265191</v>
          </cell>
          <cell r="F9">
            <v>-7760304</v>
          </cell>
          <cell r="G9">
            <v>-8048699.5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49024.889094173908</v>
          </cell>
          <cell r="D10">
            <v>195608.78289197758</v>
          </cell>
          <cell r="E10">
            <v>184972.36075229384</v>
          </cell>
          <cell r="F10">
            <v>114194.93445059285</v>
          </cell>
          <cell r="G10">
            <v>181677.78621745296</v>
          </cell>
          <cell r="H10">
            <v>149240.13358586468</v>
          </cell>
          <cell r="I10">
            <v>51829.589108521119</v>
          </cell>
          <cell r="J10">
            <v>24922.319270560518</v>
          </cell>
          <cell r="K10">
            <v>22470.084904272109</v>
          </cell>
          <cell r="L10">
            <v>18715.530307349749</v>
          </cell>
        </row>
        <row r="11">
          <cell r="C11">
            <v>-7900955.6679599285</v>
          </cell>
          <cell r="D11">
            <v>-6212727.2805101871</v>
          </cell>
          <cell r="E11">
            <v>-11628152.5479002</v>
          </cell>
          <cell r="F11">
            <v>-12592813.270600319</v>
          </cell>
          <cell r="G11">
            <v>-12927259.143299818</v>
          </cell>
          <cell r="H11">
            <v>-12506835.262999773</v>
          </cell>
          <cell r="I11">
            <v>-15453567.228999615</v>
          </cell>
          <cell r="J11">
            <v>-20787082.905000091</v>
          </cell>
          <cell r="K11">
            <v>-23015491.232000232</v>
          </cell>
          <cell r="L11">
            <v>-24099417.804000139</v>
          </cell>
        </row>
        <row r="12">
          <cell r="C12">
            <v>-8444.2470000088215</v>
          </cell>
          <cell r="D12">
            <v>-7603.5290000140667</v>
          </cell>
          <cell r="E12">
            <v>43506.307000011206</v>
          </cell>
          <cell r="F12">
            <v>-6721.7241999804974</v>
          </cell>
          <cell r="G12">
            <v>-5684.7899999916553</v>
          </cell>
          <cell r="H12">
            <v>-2817.6480000019073</v>
          </cell>
          <cell r="I12">
            <v>-2194.4924000203609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-7662737.3298280239</v>
          </cell>
          <cell r="D13">
            <v>-6243374.0022912025</v>
          </cell>
          <cell r="E13">
            <v>-4501640.3750691414</v>
          </cell>
          <cell r="F13">
            <v>-5869824.9773310423</v>
          </cell>
          <cell r="G13">
            <v>-5673249.6694419384</v>
          </cell>
          <cell r="H13">
            <v>-4842729.5630199909</v>
          </cell>
          <cell r="I13">
            <v>-4109237.308858037</v>
          </cell>
          <cell r="J13">
            <v>-1105853.7433979511</v>
          </cell>
          <cell r="K13">
            <v>-445635.25646603107</v>
          </cell>
          <cell r="L13">
            <v>-241611.84115755558</v>
          </cell>
        </row>
        <row r="14">
          <cell r="C14">
            <v>-2518068.8152600527</v>
          </cell>
          <cell r="D14">
            <v>-5222792.693359971</v>
          </cell>
          <cell r="E14">
            <v>-3230724.2929999828</v>
          </cell>
          <cell r="F14">
            <v>-2222899.2668099403</v>
          </cell>
          <cell r="G14">
            <v>-3051215.5317800641</v>
          </cell>
          <cell r="H14">
            <v>-4338420.2739499807</v>
          </cell>
          <cell r="I14">
            <v>-2125834.9441601038</v>
          </cell>
          <cell r="J14">
            <v>-952657.33929991722</v>
          </cell>
          <cell r="K14">
            <v>-1127375.7936998606</v>
          </cell>
          <cell r="L14">
            <v>-777087.97140002251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-3186525.1702700257</v>
          </cell>
          <cell r="I15">
            <v>-3083013.0850799978</v>
          </cell>
          <cell r="J15">
            <v>-2946360.2209099829</v>
          </cell>
          <cell r="K15">
            <v>-3198682.4404799938</v>
          </cell>
          <cell r="L15">
            <v>-3282855.7278399467</v>
          </cell>
        </row>
        <row r="16">
          <cell r="C16">
            <v>-85009.778099999909</v>
          </cell>
          <cell r="D16">
            <v>-281702.18085000035</v>
          </cell>
          <cell r="E16">
            <v>-1675308.6164669991</v>
          </cell>
          <cell r="F16">
            <v>-1574135.9210110009</v>
          </cell>
          <cell r="G16">
            <v>-1764869.0411999989</v>
          </cell>
          <cell r="H16">
            <v>-1734430.2411400005</v>
          </cell>
          <cell r="I16">
            <v>-2222125.1464699991</v>
          </cell>
          <cell r="J16">
            <v>-3546847.5074400008</v>
          </cell>
          <cell r="K16">
            <v>-4820558.3050399981</v>
          </cell>
          <cell r="L16">
            <v>-7284875.4017499983</v>
          </cell>
        </row>
        <row r="17">
          <cell r="C17">
            <v>-24444128.982031927</v>
          </cell>
          <cell r="D17">
            <v>-27135292.392629396</v>
          </cell>
          <cell r="E17">
            <v>-31207388.760782026</v>
          </cell>
          <cell r="F17">
            <v>-31153169.823561672</v>
          </cell>
          <cell r="G17">
            <v>-32558870.029044434</v>
          </cell>
          <cell r="H17">
            <v>-32685077.223023891</v>
          </cell>
          <cell r="I17">
            <v>-35601085.841059327</v>
          </cell>
          <cell r="J17">
            <v>-40183625.977907382</v>
          </cell>
          <cell r="K17">
            <v>-43486473.176901892</v>
          </cell>
          <cell r="L17">
            <v>-45511690.679400295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95553.064156999812</v>
          </cell>
          <cell r="D20">
            <v>72289.374737499282</v>
          </cell>
          <cell r="E20">
            <v>73593.040080299601</v>
          </cell>
          <cell r="F20">
            <v>47338.839308700524</v>
          </cell>
          <cell r="G20">
            <v>44953.373638999648</v>
          </cell>
          <cell r="H20">
            <v>118076.5183329992</v>
          </cell>
          <cell r="I20">
            <v>159859.28695999924</v>
          </cell>
          <cell r="J20">
            <v>191946.60700000077</v>
          </cell>
          <cell r="K20">
            <v>178143.304</v>
          </cell>
          <cell r="L20">
            <v>157058.12760000024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-55633.111072000007</v>
          </cell>
          <cell r="D22">
            <v>-121599.995136</v>
          </cell>
          <cell r="E22">
            <v>-123200</v>
          </cell>
          <cell r="F22">
            <v>-123200</v>
          </cell>
          <cell r="G22">
            <v>-122823.62400000007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-195057.07654100284</v>
          </cell>
          <cell r="D23">
            <v>-148475.95217700675</v>
          </cell>
          <cell r="E23">
            <v>-254469.29045499861</v>
          </cell>
          <cell r="F23">
            <v>-267270.4415760003</v>
          </cell>
          <cell r="G23">
            <v>-262573.91833000258</v>
          </cell>
          <cell r="H23">
            <v>-235262.75254999846</v>
          </cell>
          <cell r="I23">
            <v>-281324.53245000169</v>
          </cell>
          <cell r="J23">
            <v>-363603.99100000039</v>
          </cell>
          <cell r="K23">
            <v>-379228.11719999835</v>
          </cell>
          <cell r="L23">
            <v>-380169.89443000033</v>
          </cell>
        </row>
        <row r="24">
          <cell r="C24">
            <v>-308282.88012599573</v>
          </cell>
          <cell r="D24">
            <v>-224373.86960399896</v>
          </cell>
          <cell r="E24">
            <v>-154360.94050201029</v>
          </cell>
          <cell r="F24">
            <v>-202491.72297499701</v>
          </cell>
          <cell r="G24">
            <v>-189428.56607600302</v>
          </cell>
          <cell r="H24">
            <v>-157933.3964759931</v>
          </cell>
          <cell r="I24">
            <v>-123011.50155099854</v>
          </cell>
          <cell r="J24">
            <v>-30795.000532001257</v>
          </cell>
          <cell r="K24">
            <v>-12497.285555001348</v>
          </cell>
          <cell r="L24">
            <v>-6913.6110169999301</v>
          </cell>
        </row>
        <row r="25">
          <cell r="C25">
            <v>-89994.356796998531</v>
          </cell>
          <cell r="D25">
            <v>-169517.24384899996</v>
          </cell>
          <cell r="E25">
            <v>-96621.621636003256</v>
          </cell>
          <cell r="F25">
            <v>-68621.436391999945</v>
          </cell>
          <cell r="G25">
            <v>-89840.330584999174</v>
          </cell>
          <cell r="H25">
            <v>-112187.1313719973</v>
          </cell>
          <cell r="I25">
            <v>-58067.341270001605</v>
          </cell>
          <cell r="J25">
            <v>-24848.870802000165</v>
          </cell>
          <cell r="K25">
            <v>-27232.730353001505</v>
          </cell>
          <cell r="L25">
            <v>-18478.677312999964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-87463.173938299529</v>
          </cell>
          <cell r="I26">
            <v>-79714.443224401213</v>
          </cell>
          <cell r="J26">
            <v>-71103.385955998674</v>
          </cell>
          <cell r="K26">
            <v>-72201.964204399846</v>
          </cell>
          <cell r="L26">
            <v>-71972.609421199188</v>
          </cell>
        </row>
        <row r="27">
          <cell r="C27">
            <v>-2119.4025499999989</v>
          </cell>
          <cell r="D27">
            <v>-8343.7239530000006</v>
          </cell>
          <cell r="E27">
            <v>-42354.709123769979</v>
          </cell>
          <cell r="F27">
            <v>-35677.305171970002</v>
          </cell>
          <cell r="G27">
            <v>-37019.210780600028</v>
          </cell>
          <cell r="H27">
            <v>-33676.935259400023</v>
          </cell>
          <cell r="I27">
            <v>-42622.890320300008</v>
          </cell>
          <cell r="J27">
            <v>-62301.586712799908</v>
          </cell>
          <cell r="K27">
            <v>-77335.87023499998</v>
          </cell>
          <cell r="L27">
            <v>-110006.11615999998</v>
          </cell>
        </row>
        <row r="28">
          <cell r="C28">
            <v>-746639.89124299691</v>
          </cell>
          <cell r="D28">
            <v>-744600.15945650497</v>
          </cell>
          <cell r="E28">
            <v>-744599.60179708176</v>
          </cell>
          <cell r="F28">
            <v>-744599.74542366783</v>
          </cell>
          <cell r="G28">
            <v>-746639.02341060457</v>
          </cell>
          <cell r="H28">
            <v>-744599.90792868764</v>
          </cell>
          <cell r="I28">
            <v>-744599.99577570229</v>
          </cell>
          <cell r="J28">
            <v>-744599.44200280122</v>
          </cell>
          <cell r="K28">
            <v>-746639.27154740109</v>
          </cell>
          <cell r="L28">
            <v>-744599.03594119963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36.612593890551928</v>
          </cell>
          <cell r="D31">
            <v>40.566265182935581</v>
          </cell>
          <cell r="E31">
            <v>42.597106909532137</v>
          </cell>
          <cell r="F31">
            <v>26.208196402313501</v>
          </cell>
          <cell r="G31">
            <v>28.241932401679655</v>
          </cell>
          <cell r="H31">
            <v>52.699379055885863</v>
          </cell>
          <cell r="I31">
            <v>54.153520817131202</v>
          </cell>
          <cell r="J31">
            <v>56.62901132255989</v>
          </cell>
          <cell r="K31">
            <v>61.193432418431179</v>
          </cell>
          <cell r="L31">
            <v>62.680980691635156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50.680115594309136</v>
          </cell>
          <cell r="D33">
            <v>52.879866786247312</v>
          </cell>
          <cell r="E33">
            <v>58.970706168831171</v>
          </cell>
          <cell r="F33">
            <v>62.989480519480523</v>
          </cell>
          <cell r="G33">
            <v>65.530548911339693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6.5660688196766279E-2</v>
          </cell>
          <cell r="D34">
            <v>0.26270311711288835</v>
          </cell>
          <cell r="E34">
            <v>0.24841855986205927</v>
          </cell>
          <cell r="F34">
            <v>0.15336418680296132</v>
          </cell>
          <cell r="G34">
            <v>0.24332747220679568</v>
          </cell>
          <cell r="H34">
            <v>0.20042996513526001</v>
          </cell>
          <cell r="I34">
            <v>6.9607291703683918E-2</v>
          </cell>
          <cell r="J34">
            <v>3.3470773498735389E-2</v>
          </cell>
          <cell r="K34">
            <v>3.0094967892196619E-2</v>
          </cell>
          <cell r="L34">
            <v>2.5135045042991029E-2</v>
          </cell>
        </row>
        <row r="35">
          <cell r="C35">
            <v>40.505865298863291</v>
          </cell>
          <cell r="D35">
            <v>41.84332337605511</v>
          </cell>
          <cell r="E35">
            <v>45.695700754730439</v>
          </cell>
          <cell r="F35">
            <v>47.116370954995638</v>
          </cell>
          <cell r="G35">
            <v>49.232837844362194</v>
          </cell>
          <cell r="H35">
            <v>53.16113633560331</v>
          </cell>
          <cell r="I35">
            <v>54.931459743014393</v>
          </cell>
          <cell r="J35">
            <v>57.169567495204056</v>
          </cell>
          <cell r="K35">
            <v>60.690360730457812</v>
          </cell>
          <cell r="L35">
            <v>63.391178936283445</v>
          </cell>
        </row>
        <row r="36">
          <cell r="C36">
            <v>24.856188338114173</v>
          </cell>
          <cell r="D36">
            <v>27.825762479874477</v>
          </cell>
          <cell r="E36">
            <v>29.163079470939834</v>
          </cell>
          <cell r="F36">
            <v>28.987974871722674</v>
          </cell>
          <cell r="G36">
            <v>29.949282660808944</v>
          </cell>
          <cell r="H36">
            <v>30.663112875914862</v>
          </cell>
          <cell r="I36">
            <v>33.405309723452284</v>
          </cell>
          <cell r="J36">
            <v>35.910171271105533</v>
          </cell>
          <cell r="K36">
            <v>35.658563974133578</v>
          </cell>
          <cell r="L36">
            <v>34.947271485690244</v>
          </cell>
        </row>
        <row r="37">
          <cell r="C37">
            <v>27.980296819500516</v>
          </cell>
          <cell r="D37">
            <v>30.809801851263298</v>
          </cell>
          <cell r="E37">
            <v>33.436866803694244</v>
          </cell>
          <cell r="F37">
            <v>32.393656904988532</v>
          </cell>
          <cell r="G37">
            <v>33.962648088135282</v>
          </cell>
          <cell r="H37">
            <v>38.671282712135387</v>
          </cell>
          <cell r="I37">
            <v>36.609820557745074</v>
          </cell>
          <cell r="J37">
            <v>38.338053543392192</v>
          </cell>
          <cell r="K37">
            <v>41.397824569419448</v>
          </cell>
          <cell r="L37">
            <v>42.053224818928577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36.432763948378373</v>
          </cell>
          <cell r="I38">
            <v>38.675714969257456</v>
          </cell>
          <cell r="J38">
            <v>41.437692189979479</v>
          </cell>
          <cell r="K38">
            <v>44.301875658461277</v>
          </cell>
          <cell r="L38">
            <v>45.612570590958697</v>
          </cell>
        </row>
        <row r="39">
          <cell r="C39">
            <v>40.110255647281328</v>
          </cell>
          <cell r="D39">
            <v>33.76216452471607</v>
          </cell>
          <cell r="E39">
            <v>39.554246767965537</v>
          </cell>
          <cell r="F39">
            <v>44.121491615564231</v>
          </cell>
          <cell r="G39">
            <v>47.674410231481247</v>
          </cell>
          <cell r="H39">
            <v>51.502021421497382</v>
          </cell>
          <cell r="I39">
            <v>52.134548590471056</v>
          </cell>
          <cell r="J39">
            <v>56.930291740247092</v>
          </cell>
          <cell r="K39">
            <v>62.332760857177924</v>
          </cell>
          <cell r="L39">
            <v>66.222457950923442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32.738846756952192</v>
          </cell>
          <cell r="D41">
            <v>36.442770053173049</v>
          </cell>
          <cell r="E41">
            <v>41.911637725112108</v>
          </cell>
          <cell r="F41">
            <v>41.838813422956399</v>
          </cell>
          <cell r="G41">
            <v>43.607243940073438</v>
          </cell>
          <cell r="H41">
            <v>43.896160709912728</v>
          </cell>
          <cell r="I41">
            <v>47.812363742993533</v>
          </cell>
          <cell r="J41">
            <v>53.966768857390853</v>
          </cell>
          <cell r="K41">
            <v>58.242949218002806</v>
          </cell>
          <cell r="L41">
            <v>61.122414188828358</v>
          </cell>
        </row>
      </sheetData>
      <sheetData sheetId="3">
        <row r="7">
          <cell r="B7">
            <v>2028</v>
          </cell>
        </row>
      </sheetData>
      <sheetData sheetId="4"/>
      <sheetData sheetId="5"/>
      <sheetData sheetId="6">
        <row r="3">
          <cell r="E3">
            <v>2028</v>
          </cell>
        </row>
      </sheetData>
      <sheetData sheetId="7"/>
      <sheetData sheetId="8"/>
      <sheetData sheetId="9"/>
      <sheetData sheetId="10"/>
      <sheetData sheetId="11"/>
      <sheetData sheetId="12">
        <row r="25">
          <cell r="B25">
            <v>2028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101.1 - UT 2017"/>
    </sheetNames>
    <sheetDataSet>
      <sheetData sheetId="0">
        <row r="1">
          <cell r="N1" t="str">
            <v>101.1 - UT 2017.Q1 - 1b - GRID AC Study CONF _2017 05 30 Thermal</v>
          </cell>
        </row>
      </sheetData>
      <sheetData sheetId="1"/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5330653.7528899908</v>
          </cell>
          <cell r="D7">
            <v>5642674.5540040433</v>
          </cell>
          <cell r="E7">
            <v>4854348.8049060106</v>
          </cell>
          <cell r="F7">
            <v>4415387.812541008</v>
          </cell>
          <cell r="G7">
            <v>4699202.0710459948</v>
          </cell>
          <cell r="H7">
            <v>7540087.0983799696</v>
          </cell>
          <cell r="I7">
            <v>7597428.7099300325</v>
          </cell>
          <cell r="J7">
            <v>8741128.0100300014</v>
          </cell>
          <cell r="K7">
            <v>9132371.6097600162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-2.376092999999968E-3</v>
          </cell>
          <cell r="E9">
            <v>-2328354.3020251067</v>
          </cell>
          <cell r="F9">
            <v>-2402001.0018993099</v>
          </cell>
          <cell r="G9">
            <v>-2491438.0019815201</v>
          </cell>
          <cell r="H9">
            <v>-1.3822359999999811E-3</v>
          </cell>
          <cell r="I9">
            <v>-9.4543199999999605E-4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48.190510479733348</v>
          </cell>
          <cell r="D10">
            <v>19.225502918474376</v>
          </cell>
          <cell r="E10">
            <v>642.2997157080099</v>
          </cell>
          <cell r="F10">
            <v>368.07759280223399</v>
          </cell>
          <cell r="G10">
            <v>255.92303986288607</v>
          </cell>
          <cell r="H10">
            <v>949.41612992342561</v>
          </cell>
          <cell r="I10">
            <v>466.3097393270582</v>
          </cell>
          <cell r="J10">
            <v>-33.419594414532185</v>
          </cell>
          <cell r="K10">
            <v>253.37339624529704</v>
          </cell>
          <cell r="L10">
            <v>0</v>
          </cell>
        </row>
        <row r="11">
          <cell r="C11">
            <v>-5383651.6188098192</v>
          </cell>
          <cell r="D11">
            <v>-7424297.9306401014</v>
          </cell>
          <cell r="E11">
            <v>-10354939.536800385</v>
          </cell>
          <cell r="F11">
            <v>-11987910.729899883</v>
          </cell>
          <cell r="G11">
            <v>-13146863.768100023</v>
          </cell>
          <cell r="H11">
            <v>-16229475.400000095</v>
          </cell>
          <cell r="I11">
            <v>-18804148.915999889</v>
          </cell>
          <cell r="J11">
            <v>-24178840.777999997</v>
          </cell>
          <cell r="K11">
            <v>-26548345.301000118</v>
          </cell>
          <cell r="L11">
            <v>0</v>
          </cell>
        </row>
        <row r="12">
          <cell r="C12">
            <v>-8424.5515999794006</v>
          </cell>
          <cell r="D12">
            <v>-10138.192499995232</v>
          </cell>
          <cell r="E12">
            <v>-11144.131000012159</v>
          </cell>
          <cell r="F12">
            <v>810.15323001146317</v>
          </cell>
          <cell r="G12">
            <v>1151.7805100083351</v>
          </cell>
          <cell r="H12">
            <v>904.91275000572205</v>
          </cell>
          <cell r="I12">
            <v>1314.3940599858761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-8228239.7831740379</v>
          </cell>
          <cell r="D13">
            <v>-7762806.9433211088</v>
          </cell>
          <cell r="E13">
            <v>-7115808.6948690414</v>
          </cell>
          <cell r="F13">
            <v>-7062145.0571469069</v>
          </cell>
          <cell r="G13">
            <v>-7248472.8527622223</v>
          </cell>
          <cell r="H13">
            <v>-5281122.1219902039</v>
          </cell>
          <cell r="I13">
            <v>-5094499.9547078609</v>
          </cell>
          <cell r="J13">
            <v>-2312602.3362001181</v>
          </cell>
          <cell r="K13">
            <v>-2043859.7713361979</v>
          </cell>
          <cell r="L13">
            <v>0</v>
          </cell>
        </row>
        <row r="14">
          <cell r="C14">
            <v>-2472961.619320035</v>
          </cell>
          <cell r="D14">
            <v>-2757480.0983999372</v>
          </cell>
          <cell r="E14">
            <v>-1412323.5336299539</v>
          </cell>
          <cell r="F14">
            <v>-1784996.5213800073</v>
          </cell>
          <cell r="G14">
            <v>-1275183.8715799451</v>
          </cell>
          <cell r="H14">
            <v>-1685395.6891899705</v>
          </cell>
          <cell r="I14">
            <v>-1501776.948300004</v>
          </cell>
          <cell r="J14">
            <v>-1287090.125</v>
          </cell>
          <cell r="K14">
            <v>-1177900.5185000896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5.6236837409073814E-10</v>
          </cell>
          <cell r="I15">
            <v>-1.974266056192775E-9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-27398.53069</v>
          </cell>
          <cell r="D16">
            <v>-159984.53480000002</v>
          </cell>
          <cell r="E16">
            <v>-429527.93953999993</v>
          </cell>
          <cell r="F16">
            <v>-421999.63348000008</v>
          </cell>
          <cell r="G16">
            <v>-568202.36629999988</v>
          </cell>
          <cell r="H16">
            <v>-2011805.8160700006</v>
          </cell>
          <cell r="I16">
            <v>-2341827.6510000024</v>
          </cell>
          <cell r="J16">
            <v>-3716107.4611199964</v>
          </cell>
          <cell r="K16">
            <v>-4381919.8007000014</v>
          </cell>
          <cell r="L16">
            <v>0</v>
          </cell>
        </row>
        <row r="17">
          <cell r="C17">
            <v>-21451281.66597338</v>
          </cell>
          <cell r="D17">
            <v>-23757363.030538362</v>
          </cell>
          <cell r="E17">
            <v>-26505804.643054798</v>
          </cell>
          <cell r="F17">
            <v>-28073262.525524303</v>
          </cell>
          <cell r="G17">
            <v>-29427955.228219837</v>
          </cell>
          <cell r="H17">
            <v>-32746031.79813255</v>
          </cell>
          <cell r="I17">
            <v>-35337901.477083914</v>
          </cell>
          <cell r="J17">
            <v>-40235802.129944526</v>
          </cell>
          <cell r="K17">
            <v>-43284143.627900176</v>
          </cell>
          <cell r="L17">
            <v>0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171428.4889570009</v>
          </cell>
          <cell r="D20">
            <v>166201.4681210015</v>
          </cell>
          <cell r="E20">
            <v>141755.09981200099</v>
          </cell>
          <cell r="F20">
            <v>121326.14720445964</v>
          </cell>
          <cell r="G20">
            <v>123004.90215700027</v>
          </cell>
          <cell r="H20">
            <v>159445.91356929997</v>
          </cell>
          <cell r="I20">
            <v>144139.80414100038</v>
          </cell>
          <cell r="J20">
            <v>154072.24189999932</v>
          </cell>
          <cell r="K20">
            <v>150186.50130000012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-2376.0881252999534</v>
          </cell>
          <cell r="E22">
            <v>-43625.112386999979</v>
          </cell>
          <cell r="F22">
            <v>-43499.315244500052</v>
          </cell>
          <cell r="G22">
            <v>-43581.521270699974</v>
          </cell>
          <cell r="H22">
            <v>-1382.2368207000545</v>
          </cell>
          <cell r="I22">
            <v>-945.43258999998216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-134329.60588000342</v>
          </cell>
          <cell r="D23">
            <v>-172851.86875900254</v>
          </cell>
          <cell r="E23">
            <v>-229825.40124399588</v>
          </cell>
          <cell r="F23">
            <v>-252818.65398899838</v>
          </cell>
          <cell r="G23">
            <v>-264710.83888700232</v>
          </cell>
          <cell r="H23">
            <v>-306615.21105999872</v>
          </cell>
          <cell r="I23">
            <v>-340635.10085000098</v>
          </cell>
          <cell r="J23">
            <v>-423145.20769000053</v>
          </cell>
          <cell r="K23">
            <v>-437788.36873999983</v>
          </cell>
          <cell r="L23">
            <v>0</v>
          </cell>
        </row>
        <row r="24">
          <cell r="C24">
            <v>-346593.67184600234</v>
          </cell>
          <cell r="D24">
            <v>-304760.84907700121</v>
          </cell>
          <cell r="E24">
            <v>-270890.27715099603</v>
          </cell>
          <cell r="F24">
            <v>-261655.55912399292</v>
          </cell>
          <cell r="G24">
            <v>-262918.36480299756</v>
          </cell>
          <cell r="H24">
            <v>-192099.4539189972</v>
          </cell>
          <cell r="I24">
            <v>-175620.79131799936</v>
          </cell>
          <cell r="J24">
            <v>-69969.796395994723</v>
          </cell>
          <cell r="K24">
            <v>-60000.073848001659</v>
          </cell>
          <cell r="L24">
            <v>0</v>
          </cell>
        </row>
        <row r="25">
          <cell r="C25">
            <v>-93867.902142999694</v>
          </cell>
          <cell r="D25">
            <v>-93873.545997498557</v>
          </cell>
          <cell r="E25">
            <v>-48122.354104500264</v>
          </cell>
          <cell r="F25">
            <v>-55357.836863499135</v>
          </cell>
          <cell r="G25">
            <v>-39809.550913501531</v>
          </cell>
          <cell r="H25">
            <v>-47092.634517999366</v>
          </cell>
          <cell r="I25">
            <v>-41474.205204002559</v>
          </cell>
          <cell r="J25">
            <v>-34463.677346000448</v>
          </cell>
          <cell r="K25">
            <v>-28876.84183899872</v>
          </cell>
          <cell r="L25">
            <v>0</v>
          </cell>
        </row>
        <row r="26">
          <cell r="C26">
            <v>0</v>
          </cell>
          <cell r="D26">
            <v>-1.7462298274040222E-10</v>
          </cell>
          <cell r="E26">
            <v>3.2741809263825417E-10</v>
          </cell>
          <cell r="F26">
            <v>4.5838532969355583E-10</v>
          </cell>
          <cell r="G26">
            <v>1.7462298274040222E-10</v>
          </cell>
          <cell r="H26">
            <v>4.0745362639427185E-10</v>
          </cell>
          <cell r="I26">
            <v>-3.4924596548080444E-10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-420.33837900000071</v>
          </cell>
          <cell r="D27">
            <v>-4536.1097410000002</v>
          </cell>
          <cell r="E27">
            <v>-10381.513840899996</v>
          </cell>
          <cell r="F27">
            <v>-9942.5425973999991</v>
          </cell>
          <cell r="G27">
            <v>-12615.168705499997</v>
          </cell>
          <cell r="H27">
            <v>-37964.468740399985</v>
          </cell>
          <cell r="I27">
            <v>-41784.526237999991</v>
          </cell>
          <cell r="J27">
            <v>-62948.646062999964</v>
          </cell>
          <cell r="K27">
            <v>-69788.525752000045</v>
          </cell>
          <cell r="L27">
            <v>0</v>
          </cell>
        </row>
        <row r="28">
          <cell r="C28">
            <v>-746640.00720500632</v>
          </cell>
          <cell r="D28">
            <v>-744599.92982080393</v>
          </cell>
          <cell r="E28">
            <v>-744599.75853939285</v>
          </cell>
          <cell r="F28">
            <v>-744600.0550228497</v>
          </cell>
          <cell r="G28">
            <v>-746640.34673670144</v>
          </cell>
          <cell r="H28">
            <v>-744599.91862739483</v>
          </cell>
          <cell r="I28">
            <v>-744599.86034100363</v>
          </cell>
          <cell r="J28">
            <v>-744599.56939499499</v>
          </cell>
          <cell r="K28">
            <v>-746640.31147900037</v>
          </cell>
          <cell r="L28">
            <v>0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31.095495184741839</v>
          </cell>
          <cell r="D31">
            <v>33.950810530120854</v>
          </cell>
          <cell r="E31">
            <v>34.244614912225131</v>
          </cell>
          <cell r="F31">
            <v>36.392714301725633</v>
          </cell>
          <cell r="G31">
            <v>38.203372293634729</v>
          </cell>
          <cell r="H31">
            <v>47.289309143083315</v>
          </cell>
          <cell r="I31">
            <v>52.708748670825713</v>
          </cell>
          <cell r="J31">
            <v>56.733957410079327</v>
          </cell>
          <cell r="K31">
            <v>60.80687365849176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1.0000020515653283E-6</v>
          </cell>
          <cell r="E33">
            <v>53.371880887553708</v>
          </cell>
          <cell r="F33">
            <v>55.219283071427498</v>
          </cell>
          <cell r="G33">
            <v>57.167302318483394</v>
          </cell>
          <cell r="H33">
            <v>9.9999940625219847E-7</v>
          </cell>
          <cell r="I33">
            <v>9.9999937594706131E-7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6.4543166739927443E-5</v>
          </cell>
          <cell r="D34">
            <v>2.5819909656855868E-5</v>
          </cell>
          <cell r="E34">
            <v>8.6261069566816032E-4</v>
          </cell>
          <cell r="F34">
            <v>4.9432925812896791E-4</v>
          </cell>
          <cell r="G34">
            <v>3.4276615371970503E-4</v>
          </cell>
          <cell r="H34">
            <v>1.2750688069824016E-3</v>
          </cell>
          <cell r="I34">
            <v>6.2625547514003402E-4</v>
          </cell>
          <cell r="J34">
            <v>-4.4882639996268609E-5</v>
          </cell>
          <cell r="K34">
            <v>3.3935134809878704E-4</v>
          </cell>
          <cell r="L34">
            <v>0</v>
          </cell>
        </row>
        <row r="35">
          <cell r="C35">
            <v>40.077923131993948</v>
          </cell>
          <cell r="D35">
            <v>42.951794411846222</v>
          </cell>
          <cell r="E35">
            <v>45.055679140561949</v>
          </cell>
          <cell r="F35">
            <v>47.417034070680351</v>
          </cell>
          <cell r="G35">
            <v>49.664999829160955</v>
          </cell>
          <cell r="H35">
            <v>52.931083698989411</v>
          </cell>
          <cell r="I35">
            <v>55.203203865594332</v>
          </cell>
          <cell r="J35">
            <v>57.140764774331565</v>
          </cell>
          <cell r="K35">
            <v>60.641961268658186</v>
          </cell>
          <cell r="L35">
            <v>0</v>
          </cell>
        </row>
        <row r="36">
          <cell r="C36">
            <v>23.74030587272231</v>
          </cell>
          <cell r="D36">
            <v>25.471798516218694</v>
          </cell>
          <cell r="E36">
            <v>26.268232177645277</v>
          </cell>
          <cell r="F36">
            <v>26.990235104465366</v>
          </cell>
          <cell r="G36">
            <v>27.569290788011099</v>
          </cell>
          <cell r="H36">
            <v>27.491604032446133</v>
          </cell>
          <cell r="I36">
            <v>29.008524084618028</v>
          </cell>
          <cell r="J36">
            <v>33.051437267473574</v>
          </cell>
          <cell r="K36">
            <v>34.064287595943853</v>
          </cell>
          <cell r="L36">
            <v>0</v>
          </cell>
        </row>
        <row r="37">
          <cell r="C37">
            <v>26.345125041280781</v>
          </cell>
          <cell r="D37">
            <v>29.374410746914958</v>
          </cell>
          <cell r="E37">
            <v>29.348596092431759</v>
          </cell>
          <cell r="F37">
            <v>32.24469420258302</v>
          </cell>
          <cell r="G37">
            <v>32.032108936638686</v>
          </cell>
          <cell r="H37">
            <v>35.788944628820715</v>
          </cell>
          <cell r="I37">
            <v>36.209903020759313</v>
          </cell>
          <cell r="J37">
            <v>37.34627944888674</v>
          </cell>
          <cell r="K37">
            <v>40.790489661833888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1.3802021571568079</v>
          </cell>
          <cell r="I38">
            <v>5.6529387633005781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65.182082005412013</v>
          </cell>
          <cell r="D39">
            <v>35.269105893529577</v>
          </cell>
          <cell r="E39">
            <v>41.374306880735539</v>
          </cell>
          <cell r="F39">
            <v>42.443834597234122</v>
          </cell>
          <cell r="G39">
            <v>45.041202346526958</v>
          </cell>
          <cell r="H39">
            <v>52.991807414102766</v>
          </cell>
          <cell r="I39">
            <v>56.045332132311707</v>
          </cell>
          <cell r="J39">
            <v>59.033953762895223</v>
          </cell>
          <cell r="K39">
            <v>62.788542292346982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28.730420897581855</v>
          </cell>
          <cell r="D41">
            <v>31.906211750860397</v>
          </cell>
          <cell r="E41">
            <v>35.597385493447639</v>
          </cell>
          <cell r="F41">
            <v>37.702471731166895</v>
          </cell>
          <cell r="G41">
            <v>39.413829371582892</v>
          </cell>
          <cell r="H41">
            <v>43.978022262609173</v>
          </cell>
          <cell r="I41">
            <v>47.458914994827225</v>
          </cell>
          <cell r="J41">
            <v>54.036832391183196</v>
          </cell>
          <cell r="K41">
            <v>57.971881456761615</v>
          </cell>
          <cell r="L41">
            <v>0</v>
          </cell>
        </row>
      </sheetData>
      <sheetData sheetId="3"/>
      <sheetData sheetId="4"/>
      <sheetData sheetId="5"/>
      <sheetData sheetId="6"/>
      <sheetData sheetId="7">
        <row r="3">
          <cell r="E3">
            <v>2028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ncremental"/>
      <sheetName val="Total"/>
      <sheetName val="Energy"/>
      <sheetName val="Capacity"/>
    </sheetNames>
    <sheetDataSet>
      <sheetData sheetId="0">
        <row r="32">
          <cell r="G32" t="str">
            <v>69 - Utah 2016.Q2 Compliance</v>
          </cell>
        </row>
      </sheetData>
      <sheetData sheetId="1" refreshError="1"/>
      <sheetData sheetId="2">
        <row r="1">
          <cell r="B1" t="str">
            <v>Appendix C</v>
          </cell>
        </row>
        <row r="3">
          <cell r="B3" t="str">
            <v>Utah Quarterly Compliance Filing</v>
          </cell>
        </row>
        <row r="10">
          <cell r="B10">
            <v>2018</v>
          </cell>
        </row>
        <row r="35">
          <cell r="B35" t="str">
            <v>Discount Rate - 2017 IRP</v>
          </cell>
        </row>
      </sheetData>
      <sheetData sheetId="3">
        <row r="7">
          <cell r="C7" t="str">
            <v>2016.Q4</v>
          </cell>
        </row>
      </sheetData>
      <sheetData sheetId="4">
        <row r="34">
          <cell r="B34" t="str">
            <v xml:space="preserve">(5)  No Capacity costs-All of the 2017 IRP Thermal resources are deferred due to the size of the Queue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146.88</v>
          </cell>
        </row>
        <row r="26">
          <cell r="B26">
            <v>2031</v>
          </cell>
          <cell r="C26">
            <v>150.27000000000001</v>
          </cell>
        </row>
        <row r="27">
          <cell r="B27">
            <v>2032</v>
          </cell>
          <cell r="C27">
            <v>153.72</v>
          </cell>
        </row>
        <row r="28">
          <cell r="B28">
            <v>2033</v>
          </cell>
          <cell r="C28">
            <v>0</v>
          </cell>
        </row>
        <row r="29">
          <cell r="B29">
            <v>2034</v>
          </cell>
          <cell r="C29">
            <v>0</v>
          </cell>
        </row>
        <row r="30">
          <cell r="B30">
            <v>2035</v>
          </cell>
          <cell r="C30">
            <v>0</v>
          </cell>
        </row>
        <row r="31">
          <cell r="B31">
            <v>2036</v>
          </cell>
          <cell r="C31">
            <v>0</v>
          </cell>
        </row>
        <row r="32">
          <cell r="B32">
            <v>2037</v>
          </cell>
          <cell r="C32">
            <v>0</v>
          </cell>
        </row>
        <row r="33">
          <cell r="B33">
            <v>2038</v>
          </cell>
          <cell r="C33">
            <v>0</v>
          </cell>
        </row>
        <row r="45">
          <cell r="B45" t="str">
            <v xml:space="preserve">       2030 - Utah - 635 MW - CCCT Dry "F" 2x1 - East Side Resource (5,050')   ( 100.0%)</v>
          </cell>
        </row>
        <row r="46">
          <cell r="B46" t="str">
            <v xml:space="preserve">       2030 - WYNE  DJohns - 665 MW - CCCT Dry "JF, 2x1 - East Side Resource (5,050')   ( 100.0%)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/>
      <sheetData sheetId="1"/>
      <sheetData sheetId="2">
        <row r="12">
          <cell r="B12">
            <v>0</v>
          </cell>
          <cell r="C12">
            <v>0</v>
          </cell>
        </row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145.08000000000001</v>
          </cell>
        </row>
        <row r="26">
          <cell r="B26">
            <v>2031</v>
          </cell>
          <cell r="C26">
            <v>148.55000000000001</v>
          </cell>
        </row>
        <row r="27">
          <cell r="B27">
            <v>2032</v>
          </cell>
          <cell r="C27">
            <v>152.12</v>
          </cell>
        </row>
        <row r="28">
          <cell r="B28">
            <v>2033</v>
          </cell>
          <cell r="C28">
            <v>155.77000000000001</v>
          </cell>
        </row>
        <row r="29">
          <cell r="B29">
            <v>2034</v>
          </cell>
          <cell r="C29">
            <v>159.52000000000001</v>
          </cell>
        </row>
        <row r="30">
          <cell r="B30">
            <v>2035</v>
          </cell>
          <cell r="C30">
            <v>163.38999999999999</v>
          </cell>
        </row>
        <row r="31">
          <cell r="B31">
            <v>2036</v>
          </cell>
          <cell r="C31">
            <v>167.38</v>
          </cell>
        </row>
        <row r="32">
          <cell r="B32">
            <v>2037</v>
          </cell>
          <cell r="C32">
            <v>171.44</v>
          </cell>
        </row>
        <row r="33">
          <cell r="B33">
            <v>2038</v>
          </cell>
          <cell r="C33">
            <v>0</v>
          </cell>
        </row>
        <row r="45">
          <cell r="B45" t="str">
            <v xml:space="preserve">       2030 - Utah - 635 MW - CCCT Dry "F" 2x1 - East Side Resource (5,050')   ( 100.0%)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/>
      <sheetData sheetId="1"/>
      <sheetData sheetId="2"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145.08000000000001</v>
          </cell>
        </row>
        <row r="26">
          <cell r="B26">
            <v>2031</v>
          </cell>
          <cell r="C26">
            <v>148.55000000000001</v>
          </cell>
        </row>
        <row r="27">
          <cell r="B27">
            <v>2032</v>
          </cell>
          <cell r="C27">
            <v>152.12</v>
          </cell>
        </row>
        <row r="28">
          <cell r="B28">
            <v>2033</v>
          </cell>
          <cell r="C28">
            <v>155.77000000000001</v>
          </cell>
        </row>
        <row r="29">
          <cell r="B29">
            <v>2034</v>
          </cell>
          <cell r="C29">
            <v>159.52000000000001</v>
          </cell>
        </row>
        <row r="30">
          <cell r="B30">
            <v>2035</v>
          </cell>
          <cell r="C30">
            <v>163.38999999999999</v>
          </cell>
        </row>
        <row r="31">
          <cell r="B31">
            <v>2036</v>
          </cell>
          <cell r="C31">
            <v>167.38</v>
          </cell>
        </row>
        <row r="32">
          <cell r="B32">
            <v>2037</v>
          </cell>
          <cell r="C32">
            <v>171.44</v>
          </cell>
        </row>
        <row r="33">
          <cell r="B33">
            <v>0</v>
          </cell>
          <cell r="C33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5"/>
      <sheetName val="Table 3 635 (Wyo)"/>
      <sheetName val="Table 3 477 (WM)"/>
      <sheetName val="Table 3 635 (Ut S)"/>
      <sheetName val="Table 3 423 (Ut N)"/>
      <sheetName val="Table 4"/>
    </sheetNames>
    <sheetDataSet>
      <sheetData sheetId="0"/>
      <sheetData sheetId="1"/>
      <sheetData sheetId="2"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0</v>
          </cell>
        </row>
        <row r="26">
          <cell r="B26">
            <v>2031</v>
          </cell>
          <cell r="C26">
            <v>0</v>
          </cell>
        </row>
        <row r="27">
          <cell r="B27">
            <v>2032</v>
          </cell>
          <cell r="C27">
            <v>0</v>
          </cell>
        </row>
        <row r="28">
          <cell r="B28">
            <v>2033</v>
          </cell>
          <cell r="C28">
            <v>165.15</v>
          </cell>
        </row>
        <row r="29">
          <cell r="B29">
            <v>2034</v>
          </cell>
          <cell r="C29">
            <v>169.18</v>
          </cell>
        </row>
        <row r="30">
          <cell r="B30">
            <v>2035</v>
          </cell>
          <cell r="C30">
            <v>173.28</v>
          </cell>
        </row>
        <row r="31">
          <cell r="B31">
            <v>2036</v>
          </cell>
          <cell r="C31">
            <v>177.48</v>
          </cell>
        </row>
        <row r="32">
          <cell r="B32">
            <v>2037</v>
          </cell>
          <cell r="C32">
            <v>181.77</v>
          </cell>
        </row>
        <row r="33">
          <cell r="B33">
            <v>0</v>
          </cell>
          <cell r="C3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/>
      <sheetData sheetId="2">
        <row r="12">
          <cell r="B12">
            <v>0</v>
          </cell>
          <cell r="C12">
            <v>0</v>
          </cell>
        </row>
        <row r="13">
          <cell r="B13">
            <v>2018</v>
          </cell>
          <cell r="C13">
            <v>0</v>
          </cell>
        </row>
        <row r="14">
          <cell r="B14">
            <v>2019</v>
          </cell>
          <cell r="C14">
            <v>0</v>
          </cell>
        </row>
        <row r="15">
          <cell r="B15">
            <v>2020</v>
          </cell>
          <cell r="C15">
            <v>0</v>
          </cell>
        </row>
        <row r="16">
          <cell r="B16">
            <v>2021</v>
          </cell>
          <cell r="C16">
            <v>0</v>
          </cell>
        </row>
        <row r="17">
          <cell r="B17">
            <v>2022</v>
          </cell>
          <cell r="C17">
            <v>0</v>
          </cell>
        </row>
        <row r="18">
          <cell r="B18">
            <v>2023</v>
          </cell>
          <cell r="C18">
            <v>0</v>
          </cell>
        </row>
        <row r="19">
          <cell r="B19">
            <v>2024</v>
          </cell>
          <cell r="C19">
            <v>0</v>
          </cell>
        </row>
        <row r="20">
          <cell r="B20">
            <v>2025</v>
          </cell>
          <cell r="C20">
            <v>0</v>
          </cell>
        </row>
        <row r="21">
          <cell r="B21">
            <v>2026</v>
          </cell>
          <cell r="C21">
            <v>0</v>
          </cell>
        </row>
        <row r="22">
          <cell r="B22">
            <v>2027</v>
          </cell>
          <cell r="C22">
            <v>0</v>
          </cell>
        </row>
        <row r="23">
          <cell r="B23">
            <v>2028</v>
          </cell>
          <cell r="C23">
            <v>0</v>
          </cell>
        </row>
        <row r="24">
          <cell r="B24">
            <v>2029</v>
          </cell>
          <cell r="C24">
            <v>0</v>
          </cell>
        </row>
        <row r="25">
          <cell r="B25">
            <v>2030</v>
          </cell>
          <cell r="C25">
            <v>0</v>
          </cell>
        </row>
        <row r="26">
          <cell r="B26">
            <v>2031</v>
          </cell>
          <cell r="C26">
            <v>0</v>
          </cell>
        </row>
        <row r="27">
          <cell r="B27">
            <v>2032</v>
          </cell>
          <cell r="C27">
            <v>0</v>
          </cell>
        </row>
        <row r="28">
          <cell r="B28">
            <v>2033</v>
          </cell>
          <cell r="C28">
            <v>0</v>
          </cell>
        </row>
        <row r="29">
          <cell r="B29">
            <v>2034</v>
          </cell>
          <cell r="C29">
            <v>0</v>
          </cell>
        </row>
        <row r="30">
          <cell r="B30">
            <v>2035</v>
          </cell>
          <cell r="C30">
            <v>0</v>
          </cell>
        </row>
        <row r="31">
          <cell r="B31">
            <v>2036</v>
          </cell>
          <cell r="C31">
            <v>0</v>
          </cell>
        </row>
        <row r="32">
          <cell r="B32">
            <v>2037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B36">
            <v>0</v>
          </cell>
          <cell r="C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  <sheetName val="_GNw_Market Price Index (1703) "/>
    </sheetNames>
    <sheetDataSet>
      <sheetData sheetId="0"/>
      <sheetData sheetId="1">
        <row r="1">
          <cell r="N1" t="str">
            <v>_GNw_Market Price Index (1703) CONF _2017 04 05</v>
          </cell>
        </row>
      </sheetData>
      <sheetData sheetId="2">
        <row r="1">
          <cell r="A1">
            <v>0</v>
          </cell>
        </row>
        <row r="2">
          <cell r="G2">
            <v>42825</v>
          </cell>
        </row>
      </sheetData>
      <sheetData sheetId="3">
        <row r="2">
          <cell r="B2" t="str">
            <v>Inflation Forecast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VDOC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1">
          <cell r="K1" t="str">
            <v>45 - UT 2016.Q4 - 1a - GRID AC Study CONF _2017 03 09 (GOLD)</v>
          </cell>
        </row>
      </sheetData>
      <sheetData sheetId="1">
        <row r="1">
          <cell r="N1" t="str">
            <v>45 - UT 2016.Q4 - 1a - GRID AC Study CONF _2017 03 09 (GOLD)</v>
          </cell>
        </row>
      </sheetData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2207588.575039953</v>
          </cell>
          <cell r="D7">
            <v>-1687536.1512200236</v>
          </cell>
          <cell r="E7">
            <v>1196609.9208202362</v>
          </cell>
          <cell r="F7">
            <v>1165197.3499779701</v>
          </cell>
          <cell r="G7">
            <v>1363748.4782650471</v>
          </cell>
          <cell r="H7">
            <v>988601.44841003418</v>
          </cell>
          <cell r="I7">
            <v>1985278.6794700027</v>
          </cell>
          <cell r="J7">
            <v>-2710555.8210799694</v>
          </cell>
          <cell r="K7">
            <v>1147788.8761448264</v>
          </cell>
          <cell r="L7">
            <v>1727485.4878360033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-4490674.900000006</v>
          </cell>
          <cell r="D9">
            <v>-4404389.4999999963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-6423591.1000000015</v>
          </cell>
          <cell r="K9">
            <v>-6508694</v>
          </cell>
          <cell r="L9">
            <v>-6774824.8999999985</v>
          </cell>
        </row>
        <row r="10">
          <cell r="C10">
            <v>2180.9386998862028</v>
          </cell>
          <cell r="D10">
            <v>1986.6021327506751</v>
          </cell>
          <cell r="E10">
            <v>-12356.077811446041</v>
          </cell>
          <cell r="F10">
            <v>-10880.683014018461</v>
          </cell>
          <cell r="G10">
            <v>-14257.786800663918</v>
          </cell>
          <cell r="H10">
            <v>51098.100489005446</v>
          </cell>
          <cell r="I10">
            <v>62466.203555766493</v>
          </cell>
          <cell r="J10">
            <v>147959.13000487164</v>
          </cell>
          <cell r="K10">
            <v>55057.251286536455</v>
          </cell>
          <cell r="L10">
            <v>25854.614903800189</v>
          </cell>
        </row>
        <row r="11">
          <cell r="C11">
            <v>-5667479.2308501005</v>
          </cell>
          <cell r="D11">
            <v>-3096409.7260100842</v>
          </cell>
          <cell r="E11">
            <v>-2946148.907777071</v>
          </cell>
          <cell r="F11">
            <v>-3487135.5505799055</v>
          </cell>
          <cell r="G11">
            <v>-3876303.3755700588</v>
          </cell>
          <cell r="H11">
            <v>-3680984.8704100847</v>
          </cell>
          <cell r="I11">
            <v>-5925429.0509699583</v>
          </cell>
          <cell r="J11">
            <v>-5659274.8979400396</v>
          </cell>
          <cell r="K11">
            <v>-4905061.7730997801</v>
          </cell>
          <cell r="L11">
            <v>-6866631.6885528564</v>
          </cell>
        </row>
        <row r="12">
          <cell r="C12">
            <v>-355.36343601346016</v>
          </cell>
          <cell r="D12">
            <v>-103.56576499342918</v>
          </cell>
          <cell r="E12">
            <v>-112.77539348602295</v>
          </cell>
          <cell r="F12">
            <v>0</v>
          </cell>
          <cell r="G12">
            <v>-72.772000014781952</v>
          </cell>
          <cell r="H12">
            <v>-2085.6209999918938</v>
          </cell>
          <cell r="I12">
            <v>-2311.7210000157356</v>
          </cell>
          <cell r="J12">
            <v>-2234.0629999935627</v>
          </cell>
          <cell r="K12">
            <v>-1759.9819999933243</v>
          </cell>
          <cell r="L12">
            <v>-2321.1890000104904</v>
          </cell>
        </row>
        <row r="13">
          <cell r="C13">
            <v>-3845557.856580019</v>
          </cell>
          <cell r="D13">
            <v>-5806544.4525790215</v>
          </cell>
          <cell r="E13">
            <v>-5603695.2563453913</v>
          </cell>
          <cell r="F13">
            <v>-5576555.7870750427</v>
          </cell>
          <cell r="G13">
            <v>-7143841.5970898867</v>
          </cell>
          <cell r="H13">
            <v>-6074909.7086129189</v>
          </cell>
          <cell r="I13">
            <v>-6641149.2071959972</v>
          </cell>
          <cell r="J13">
            <v>-6710522.2150748968</v>
          </cell>
          <cell r="K13">
            <v>-5858207.7670600414</v>
          </cell>
          <cell r="L13">
            <v>-6183091.1469310522</v>
          </cell>
        </row>
        <row r="14">
          <cell r="C14">
            <v>-1112943.5818756819</v>
          </cell>
          <cell r="D14">
            <v>-3112881.1493181586</v>
          </cell>
          <cell r="E14">
            <v>-4193886.7359933257</v>
          </cell>
          <cell r="F14">
            <v>-4135154.9310401678</v>
          </cell>
          <cell r="G14">
            <v>-3190958.2368483543</v>
          </cell>
          <cell r="H14">
            <v>-6582015.7242435813</v>
          </cell>
          <cell r="I14">
            <v>-4787277.5796999931</v>
          </cell>
          <cell r="J14">
            <v>-5329011.0569500327</v>
          </cell>
          <cell r="K14">
            <v>-6007802.0132700205</v>
          </cell>
          <cell r="L14">
            <v>-4894081.6532099843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-15873.182069999864</v>
          </cell>
          <cell r="D16">
            <v>-16700.923219999881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-8670.2309999999707</v>
          </cell>
          <cell r="J16">
            <v>-11447.330300000016</v>
          </cell>
          <cell r="K16">
            <v>0</v>
          </cell>
          <cell r="L16">
            <v>-2716.5417000000016</v>
          </cell>
        </row>
        <row r="17">
          <cell r="C17">
            <v>-17338291.751151886</v>
          </cell>
          <cell r="D17">
            <v>-14747506.563539479</v>
          </cell>
          <cell r="E17">
            <v>-13952809.674140956</v>
          </cell>
          <cell r="F17">
            <v>-14374924.301687105</v>
          </cell>
          <cell r="G17">
            <v>-15589182.246574026</v>
          </cell>
          <cell r="H17">
            <v>-17277499.272187606</v>
          </cell>
          <cell r="I17">
            <v>-19287650.265780199</v>
          </cell>
          <cell r="J17">
            <v>-21277565.712180123</v>
          </cell>
          <cell r="K17">
            <v>-24374257.160288125</v>
          </cell>
          <cell r="L17">
            <v>-26425297.992326107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93168.257749998942</v>
          </cell>
          <cell r="D20">
            <v>-39848.437622999772</v>
          </cell>
          <cell r="E20">
            <v>52630.1463879738</v>
          </cell>
          <cell r="F20">
            <v>49123.289846803993</v>
          </cell>
          <cell r="G20">
            <v>49835.407074999064</v>
          </cell>
          <cell r="H20">
            <v>31629.832480400801</v>
          </cell>
          <cell r="I20">
            <v>53149.207436099648</v>
          </cell>
          <cell r="J20">
            <v>-39754.525196501054</v>
          </cell>
          <cell r="K20">
            <v>31367.070586980321</v>
          </cell>
          <cell r="L20">
            <v>43524.936362199485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-121600</v>
          </cell>
          <cell r="D22">
            <v>-123199.98768000002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-123199.99999999994</v>
          </cell>
          <cell r="K22">
            <v>-123200.00000000003</v>
          </cell>
          <cell r="L22">
            <v>-123199.97535999998</v>
          </cell>
        </row>
        <row r="23">
          <cell r="C23">
            <v>-228552.85366500169</v>
          </cell>
          <cell r="D23">
            <v>-139973.19484770112</v>
          </cell>
          <cell r="E23">
            <v>-110805.82201820239</v>
          </cell>
          <cell r="F23">
            <v>-121362.89888840169</v>
          </cell>
          <cell r="G23">
            <v>-123015.17069000006</v>
          </cell>
          <cell r="H23">
            <v>-107960.47197750211</v>
          </cell>
          <cell r="I23">
            <v>-154350.15678599849</v>
          </cell>
          <cell r="J23">
            <v>-145765.44666200131</v>
          </cell>
          <cell r="K23">
            <v>-125412.13703400269</v>
          </cell>
          <cell r="L23">
            <v>-161881.6389827989</v>
          </cell>
        </row>
        <row r="24">
          <cell r="C24">
            <v>-246864.570667997</v>
          </cell>
          <cell r="D24">
            <v>-368169.68565500528</v>
          </cell>
          <cell r="E24">
            <v>-374857.56205699593</v>
          </cell>
          <cell r="F24">
            <v>-369037.38475900143</v>
          </cell>
          <cell r="G24">
            <v>-409293.04870499298</v>
          </cell>
          <cell r="H24">
            <v>-340582.44057699293</v>
          </cell>
          <cell r="I24">
            <v>-368588.41632200032</v>
          </cell>
          <cell r="J24">
            <v>-331232.31849900633</v>
          </cell>
          <cell r="K24">
            <v>-266463.69636500627</v>
          </cell>
          <cell r="L24">
            <v>-259215.02088199928</v>
          </cell>
        </row>
        <row r="25">
          <cell r="C25">
            <v>-53327.122650999576</v>
          </cell>
          <cell r="D25">
            <v>-152074.47780300118</v>
          </cell>
          <cell r="E25">
            <v>-208346.12155600265</v>
          </cell>
          <cell r="F25">
            <v>-205077.15457499959</v>
          </cell>
          <cell r="G25">
            <v>-162456.54814599827</v>
          </cell>
          <cell r="H25">
            <v>-264427.22657599859</v>
          </cell>
          <cell r="I25">
            <v>-170304.17411800101</v>
          </cell>
          <cell r="J25">
            <v>-183825.22889100015</v>
          </cell>
          <cell r="K25">
            <v>-198157.38929500058</v>
          </cell>
          <cell r="L25">
            <v>-156702.49511699937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-1086.5635150000016</v>
          </cell>
          <cell r="D27">
            <v>-1030.8086449999973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-247.57960000000094</v>
          </cell>
          <cell r="J27">
            <v>-331.7497429999994</v>
          </cell>
          <cell r="K27">
            <v>0</v>
          </cell>
          <cell r="L27">
            <v>-75.965909999999894</v>
          </cell>
        </row>
        <row r="28">
          <cell r="C28">
            <v>-744599.36824899726</v>
          </cell>
          <cell r="D28">
            <v>-744599.7170077078</v>
          </cell>
          <cell r="E28">
            <v>-746639.65201917477</v>
          </cell>
          <cell r="F28">
            <v>-744600.7280692067</v>
          </cell>
          <cell r="G28">
            <v>-744600.17461599037</v>
          </cell>
          <cell r="H28">
            <v>-744599.97161089443</v>
          </cell>
          <cell r="I28">
            <v>-746639.53426209954</v>
          </cell>
          <cell r="J28">
            <v>-744600.21859850676</v>
          </cell>
          <cell r="K28">
            <v>-744600.29328098986</v>
          </cell>
          <cell r="L28">
            <v>-744600.03261399711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23.694642664282064</v>
          </cell>
          <cell r="D31">
            <v>42.348866150928067</v>
          </cell>
          <cell r="E31">
            <v>22.736207343965631</v>
          </cell>
          <cell r="F31">
            <v>23.719855767228893</v>
          </cell>
          <cell r="G31">
            <v>27.365051442495368</v>
          </cell>
          <cell r="H31">
            <v>31.255348855312906</v>
          </cell>
          <cell r="I31">
            <v>37.352931026429097</v>
          </cell>
          <cell r="J31">
            <v>68.182321576778278</v>
          </cell>
          <cell r="K31">
            <v>36.592160334578537</v>
          </cell>
          <cell r="L31">
            <v>39.689558037729583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36.929892269736889</v>
          </cell>
          <cell r="D33">
            <v>35.749918347719074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52.139538149350685</v>
          </cell>
          <cell r="K33">
            <v>52.830308441558429</v>
          </cell>
          <cell r="L33">
            <v>54.990472848743913</v>
          </cell>
        </row>
        <row r="34">
          <cell r="C34">
            <v>2.9290096028618809E-3</v>
          </cell>
          <cell r="D34">
            <v>2.6680135479155852E-3</v>
          </cell>
          <cell r="E34">
            <v>-1.6548917242783564E-2</v>
          </cell>
          <cell r="F34">
            <v>-1.4612775147605226E-2</v>
          </cell>
          <cell r="G34">
            <v>-1.9148245308990196E-2</v>
          </cell>
          <cell r="H34">
            <v>6.8624902547951991E-2</v>
          </cell>
          <cell r="I34">
            <v>8.3663134202371911E-2</v>
          </cell>
          <cell r="J34">
            <v>0.19870949042072758</v>
          </cell>
          <cell r="K34">
            <v>7.3942022026251733E-2</v>
          </cell>
          <cell r="L34">
            <v>3.4722822685133159E-2</v>
          </cell>
        </row>
        <row r="35">
          <cell r="C35">
            <v>24.797236787763467</v>
          </cell>
          <cell r="D35">
            <v>22.121447819914064</v>
          </cell>
          <cell r="E35">
            <v>26.588394491519576</v>
          </cell>
          <cell r="F35">
            <v>28.733126701154973</v>
          </cell>
          <cell r="G35">
            <v>31.510775084305635</v>
          </cell>
          <cell r="H35">
            <v>34.095672267690396</v>
          </cell>
          <cell r="I35">
            <v>38.389524017039868</v>
          </cell>
          <cell r="J35">
            <v>38.824529595567867</v>
          </cell>
          <cell r="K35">
            <v>39.111539673148876</v>
          </cell>
          <cell r="L35">
            <v>42.41760666435114</v>
          </cell>
        </row>
        <row r="36">
          <cell r="C36">
            <v>15.577601298453756</v>
          </cell>
          <cell r="D36">
            <v>15.771381183240775</v>
          </cell>
          <cell r="E36">
            <v>14.948865445305774</v>
          </cell>
          <cell r="F36">
            <v>15.111086348925848</v>
          </cell>
          <cell r="G36">
            <v>17.454099500817492</v>
          </cell>
          <cell r="H36">
            <v>17.836825933601265</v>
          </cell>
          <cell r="I36">
            <v>18.01779142563792</v>
          </cell>
          <cell r="J36">
            <v>20.259261673148082</v>
          </cell>
          <cell r="K36">
            <v>21.985012769001649</v>
          </cell>
          <cell r="L36">
            <v>23.853136002275651</v>
          </cell>
        </row>
        <row r="37">
          <cell r="C37">
            <v>20.870122492064002</v>
          </cell>
          <cell r="D37">
            <v>20.469451510138448</v>
          </cell>
          <cell r="E37">
            <v>20.129420719099034</v>
          </cell>
          <cell r="F37">
            <v>20.163898507417041</v>
          </cell>
          <cell r="G37">
            <v>19.641918243767364</v>
          </cell>
          <cell r="H37">
            <v>24.891596109343357</v>
          </cell>
          <cell r="I37">
            <v>28.110159979889662</v>
          </cell>
          <cell r="J37">
            <v>28.989552136556238</v>
          </cell>
          <cell r="K37">
            <v>30.318334504932814</v>
          </cell>
          <cell r="L37">
            <v>31.231676621076758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14.608609483818201</v>
          </cell>
          <cell r="D39">
            <v>16.201768680354757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35.019973374219596</v>
          </cell>
          <cell r="J39">
            <v>34.505920627043366</v>
          </cell>
          <cell r="K39">
            <v>0</v>
          </cell>
          <cell r="L39">
            <v>35.760009983425533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23.285396805969203</v>
          </cell>
          <cell r="D41">
            <v>19.805952415352341</v>
          </cell>
          <cell r="E41">
            <v>18.687474789756582</v>
          </cell>
          <cell r="F41">
            <v>19.305546932464228</v>
          </cell>
          <cell r="G41">
            <v>20.936312907277749</v>
          </cell>
          <cell r="H41">
            <v>23.203733455440297</v>
          </cell>
          <cell r="I41">
            <v>25.832613169676446</v>
          </cell>
          <cell r="J41">
            <v>28.575825229045659</v>
          </cell>
          <cell r="K41">
            <v>32.73468648915776</v>
          </cell>
          <cell r="L41">
            <v>35.489251725597306</v>
          </cell>
        </row>
      </sheetData>
      <sheetData sheetId="3">
        <row r="7">
          <cell r="B7">
            <v>2018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1">
          <cell r="A1" t="str">
            <v>PacifiCorp</v>
          </cell>
        </row>
      </sheetData>
      <sheetData sheetId="9">
        <row r="779">
          <cell r="C779" t="str">
            <v>Curtailed Wyoming Northeast</v>
          </cell>
        </row>
      </sheetData>
      <sheetData sheetId="10">
        <row r="264">
          <cell r="M264" t="str">
            <v>APS Exchange</v>
          </cell>
        </row>
      </sheetData>
      <sheetData sheetId="11"/>
      <sheetData sheetId="12"/>
      <sheetData sheetId="13"/>
      <sheetData sheetId="14">
        <row r="89">
          <cell r="H89">
            <v>2.2800612406577598</v>
          </cell>
        </row>
      </sheetData>
      <sheetData sheetId="15">
        <row r="8">
          <cell r="C8" t="str">
            <v>Inter-hour Wind Integration Costs</v>
          </cell>
        </row>
      </sheetData>
      <sheetData sheetId="16">
        <row r="3">
          <cell r="A3" t="str">
            <v>Avoided Cost Study</v>
          </cell>
        </row>
      </sheetData>
      <sheetData sheetId="17">
        <row r="35">
          <cell r="A35">
            <v>40483</v>
          </cell>
        </row>
      </sheetData>
      <sheetData sheetId="18"/>
      <sheetData sheetId="19">
        <row r="1">
          <cell r="A1" t="str">
            <v>Contract</v>
          </cell>
        </row>
      </sheetData>
      <sheetData sheetId="20">
        <row r="1">
          <cell r="A1" t="str">
            <v>Transmission Area</v>
          </cell>
        </row>
      </sheetData>
      <sheetData sheetId="21">
        <row r="1">
          <cell r="A1" t="str">
            <v>Transmission Area</v>
          </cell>
        </row>
      </sheetData>
      <sheetData sheetId="22"/>
      <sheetData sheetId="23"/>
      <sheetData sheetId="24">
        <row r="1">
          <cell r="A1" t="str">
            <v>Facility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B58" t="str">
            <v>2013 11 04</v>
          </cell>
        </row>
      </sheetData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VDOC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1">
          <cell r="K1" t="str">
            <v>45 - UT 2016.Q4 - 2a - GRID AC Study CONF _2017 05 31 (GOLD)_1703 OFPC</v>
          </cell>
        </row>
      </sheetData>
      <sheetData sheetId="1">
        <row r="1">
          <cell r="N1" t="str">
            <v>45 - UT 2016.Q4 - 2a - GRID AC Study CONF _2017 05 31 (GOLD)_1703 OFPC</v>
          </cell>
        </row>
      </sheetData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1976499.3157300055</v>
          </cell>
          <cell r="D7">
            <v>-945661.29045000672</v>
          </cell>
          <cell r="E7">
            <v>1221501.5030669272</v>
          </cell>
          <cell r="F7">
            <v>1289774.5341220498</v>
          </cell>
          <cell r="G7">
            <v>1424886.7506750226</v>
          </cell>
          <cell r="H7">
            <v>1575814.1866499484</v>
          </cell>
          <cell r="I7">
            <v>1741616.1277019978</v>
          </cell>
          <cell r="J7">
            <v>-2096479.1190259755</v>
          </cell>
          <cell r="K7">
            <v>1302316.1922499537</v>
          </cell>
          <cell r="L7">
            <v>1625391.8743149638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-3808512.9800000042</v>
          </cell>
          <cell r="D9">
            <v>-3808159.1000000015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-5693071.1000000006</v>
          </cell>
          <cell r="K9">
            <v>-5848342</v>
          </cell>
          <cell r="L9">
            <v>-6006024.5</v>
          </cell>
        </row>
        <row r="10">
          <cell r="C10">
            <v>-197.33289746940136</v>
          </cell>
          <cell r="D10">
            <v>-2025.8132644761354</v>
          </cell>
          <cell r="E10">
            <v>-13677.968560684472</v>
          </cell>
          <cell r="F10">
            <v>-14918.303720138967</v>
          </cell>
          <cell r="G10">
            <v>-5573.334126342088</v>
          </cell>
          <cell r="H10">
            <v>-4749.6942843068391</v>
          </cell>
          <cell r="I10">
            <v>37706.396427730098</v>
          </cell>
          <cell r="J10">
            <v>40377.441172301769</v>
          </cell>
          <cell r="K10">
            <v>69054.031544320285</v>
          </cell>
          <cell r="L10">
            <v>60486.067370429635</v>
          </cell>
        </row>
        <row r="11">
          <cell r="C11">
            <v>-6175633.1622200012</v>
          </cell>
          <cell r="D11">
            <v>-3233212.4194799662</v>
          </cell>
          <cell r="E11">
            <v>-2889425.7244598866</v>
          </cell>
          <cell r="F11">
            <v>-3492544.791134119</v>
          </cell>
          <cell r="G11">
            <v>-3426417.5936001539</v>
          </cell>
          <cell r="H11">
            <v>-4059712.288400054</v>
          </cell>
          <cell r="I11">
            <v>-5137404.3794300556</v>
          </cell>
          <cell r="J11">
            <v>-5474841.5195199251</v>
          </cell>
          <cell r="K11">
            <v>-4208916.6715601683</v>
          </cell>
          <cell r="L11">
            <v>-5296457.2789900303</v>
          </cell>
        </row>
        <row r="12">
          <cell r="C12">
            <v>-90.323879987001419</v>
          </cell>
          <cell r="D12">
            <v>-285.75754898786545</v>
          </cell>
          <cell r="E12">
            <v>23.655834883451462</v>
          </cell>
          <cell r="F12">
            <v>0</v>
          </cell>
          <cell r="G12">
            <v>-34.322997987270355</v>
          </cell>
          <cell r="H12">
            <v>-2553.0270000100136</v>
          </cell>
          <cell r="I12">
            <v>-1091.8079999983311</v>
          </cell>
          <cell r="J12">
            <v>-810.67400002479553</v>
          </cell>
          <cell r="K12">
            <v>-1124.0230000019073</v>
          </cell>
          <cell r="L12">
            <v>-1395.3939999938011</v>
          </cell>
        </row>
        <row r="13">
          <cell r="C13">
            <v>-3856486.0320800543</v>
          </cell>
          <cell r="D13">
            <v>-6056125.3931288719</v>
          </cell>
          <cell r="E13">
            <v>-6225287.8060679436</v>
          </cell>
          <cell r="F13">
            <v>-6249037.0192101002</v>
          </cell>
          <cell r="G13">
            <v>-7157283.9247100353</v>
          </cell>
          <cell r="H13">
            <v>-7323454.7988078594</v>
          </cell>
          <cell r="I13">
            <v>-6458798.9002560377</v>
          </cell>
          <cell r="J13">
            <v>-6560094.7477049828</v>
          </cell>
          <cell r="K13">
            <v>-5660988.597900033</v>
          </cell>
          <cell r="L13">
            <v>-6605572.3182729483</v>
          </cell>
        </row>
        <row r="14">
          <cell r="C14">
            <v>-398157.30798384547</v>
          </cell>
          <cell r="D14">
            <v>-1902643.3635818362</v>
          </cell>
          <cell r="E14">
            <v>-2697753.5056524873</v>
          </cell>
          <cell r="F14">
            <v>-2478202.4260430932</v>
          </cell>
          <cell r="G14">
            <v>-2760020.2137200236</v>
          </cell>
          <cell r="H14">
            <v>-2996196.8126170635</v>
          </cell>
          <cell r="I14">
            <v>-4564467.7141100168</v>
          </cell>
          <cell r="J14">
            <v>-4222568.2525800467</v>
          </cell>
          <cell r="K14">
            <v>-5420935.2664199471</v>
          </cell>
          <cell r="L14">
            <v>-4282426.5057399273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-30254.468110000016</v>
          </cell>
          <cell r="D16">
            <v>-16177.070479999995</v>
          </cell>
          <cell r="E16">
            <v>0</v>
          </cell>
          <cell r="F16">
            <v>-552.52844000002369</v>
          </cell>
          <cell r="G16">
            <v>0</v>
          </cell>
          <cell r="H16">
            <v>0</v>
          </cell>
          <cell r="I16">
            <v>-46548.862599999993</v>
          </cell>
          <cell r="J16">
            <v>-12591.769600000029</v>
          </cell>
          <cell r="K16">
            <v>-3854.8119000000006</v>
          </cell>
          <cell r="L16">
            <v>-2376.5968500000017</v>
          </cell>
        </row>
        <row r="17">
          <cell r="C17">
            <v>-16245830.922901368</v>
          </cell>
          <cell r="D17">
            <v>-14072967.627034133</v>
          </cell>
          <cell r="E17">
            <v>-13047622.851973046</v>
          </cell>
          <cell r="F17">
            <v>-13525029.602669502</v>
          </cell>
          <cell r="G17">
            <v>-14774216.139829565</v>
          </cell>
          <cell r="H17">
            <v>-15962480.807759242</v>
          </cell>
          <cell r="I17">
            <v>-17912221.395670377</v>
          </cell>
          <cell r="J17">
            <v>-19827121.503206704</v>
          </cell>
          <cell r="K17">
            <v>-22377423.531485785</v>
          </cell>
          <cell r="L17">
            <v>-23759158.400797434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88660.265803001821</v>
          </cell>
          <cell r="D20">
            <v>-21825.085537999868</v>
          </cell>
          <cell r="E20">
            <v>57684.776524297893</v>
          </cell>
          <cell r="F20">
            <v>59674.587374197319</v>
          </cell>
          <cell r="G20">
            <v>59306.007645001635</v>
          </cell>
          <cell r="H20">
            <v>53663.050613000989</v>
          </cell>
          <cell r="I20">
            <v>54140.018419699743</v>
          </cell>
          <cell r="J20">
            <v>-27243.225875199772</v>
          </cell>
          <cell r="K20">
            <v>38317.907335698605</v>
          </cell>
          <cell r="L20">
            <v>46379.448381600901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-121600</v>
          </cell>
          <cell r="D22">
            <v>-123199.98768000002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-123199.99999999994</v>
          </cell>
          <cell r="K22">
            <v>-123200.00000000003</v>
          </cell>
          <cell r="L22">
            <v>-123199.97535999998</v>
          </cell>
        </row>
        <row r="23">
          <cell r="C23">
            <v>-261282.88982200064</v>
          </cell>
          <cell r="D23">
            <v>-157274.23234120011</v>
          </cell>
          <cell r="E23">
            <v>-125944.02345399931</v>
          </cell>
          <cell r="F23">
            <v>-141236.2212383002</v>
          </cell>
          <cell r="G23">
            <v>-126475.16587000713</v>
          </cell>
          <cell r="H23">
            <v>-133112.08783899993</v>
          </cell>
          <cell r="I23">
            <v>-149643.31016399711</v>
          </cell>
          <cell r="J23">
            <v>-159841.57609399781</v>
          </cell>
          <cell r="K23">
            <v>-119127.89317150041</v>
          </cell>
          <cell r="L23">
            <v>-138247.34692500159</v>
          </cell>
        </row>
        <row r="24">
          <cell r="C24">
            <v>-246322.54353100061</v>
          </cell>
          <cell r="D24">
            <v>-385419.88589899614</v>
          </cell>
          <cell r="E24">
            <v>-416660.09897499904</v>
          </cell>
          <cell r="F24">
            <v>-411462.14898399264</v>
          </cell>
          <cell r="G24">
            <v>-411946.03450199962</v>
          </cell>
          <cell r="H24">
            <v>-413607.328329999</v>
          </cell>
          <cell r="I24">
            <v>-355360.17079199851</v>
          </cell>
          <cell r="J24">
            <v>-326829.53226000071</v>
          </cell>
          <cell r="K24">
            <v>-256363.67047899961</v>
          </cell>
          <cell r="L24">
            <v>-276757.77005000785</v>
          </cell>
        </row>
        <row r="25">
          <cell r="C25">
            <v>-25179.446592001244</v>
          </cell>
          <cell r="D25">
            <v>-99214.405907999724</v>
          </cell>
          <cell r="E25">
            <v>-146350.92146800086</v>
          </cell>
          <cell r="F25">
            <v>-132194.97065600008</v>
          </cell>
          <cell r="G25">
            <v>-146872.85678599402</v>
          </cell>
          <cell r="H25">
            <v>-144217.53030500002</v>
          </cell>
          <cell r="I25">
            <v>-185688.33668900095</v>
          </cell>
          <cell r="J25">
            <v>-161528.48098100163</v>
          </cell>
          <cell r="K25">
            <v>-207507.95169500075</v>
          </cell>
          <cell r="L25">
            <v>-159930.33858200163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-1554.4369229999938</v>
          </cell>
          <cell r="D27">
            <v>-1316.456124999997</v>
          </cell>
          <cell r="E27">
            <v>0</v>
          </cell>
          <cell r="F27">
            <v>-32.578284999995958</v>
          </cell>
          <cell r="G27">
            <v>0</v>
          </cell>
          <cell r="H27">
            <v>0</v>
          </cell>
          <cell r="I27">
            <v>-1808.2728299999999</v>
          </cell>
          <cell r="J27">
            <v>-443.74388500000077</v>
          </cell>
          <cell r="K27">
            <v>-82.526550000000043</v>
          </cell>
          <cell r="L27">
            <v>-85.000002999999651</v>
          </cell>
        </row>
        <row r="28">
          <cell r="C28">
            <v>-744599.58267100435</v>
          </cell>
          <cell r="D28">
            <v>-744599.88241519616</v>
          </cell>
          <cell r="E28">
            <v>-746639.8204212971</v>
          </cell>
          <cell r="F28">
            <v>-744600.50653749029</v>
          </cell>
          <cell r="G28">
            <v>-744600.0648030024</v>
          </cell>
          <cell r="H28">
            <v>-744599.99708699994</v>
          </cell>
          <cell r="I28">
            <v>-746640.10889469634</v>
          </cell>
          <cell r="J28">
            <v>-744600.10734480037</v>
          </cell>
          <cell r="K28">
            <v>-744599.94923119934</v>
          </cell>
          <cell r="L28">
            <v>-744599.87930161203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22.292954998823003</v>
          </cell>
          <cell r="D31">
            <v>43.329098930838398</v>
          </cell>
          <cell r="E31">
            <v>21.175456969178136</v>
          </cell>
          <cell r="F31">
            <v>21.613463802176788</v>
          </cell>
          <cell r="G31">
            <v>24.026010302433725</v>
          </cell>
          <cell r="H31">
            <v>29.364975875377734</v>
          </cell>
          <cell r="I31">
            <v>32.168739105346923</v>
          </cell>
          <cell r="J31">
            <v>76.954143706397701</v>
          </cell>
          <cell r="K31">
            <v>33.987142900068037</v>
          </cell>
          <cell r="L31">
            <v>35.04551975136836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31.320008059210561</v>
          </cell>
          <cell r="D33">
            <v>30.910385396233352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46.209992694805223</v>
          </cell>
          <cell r="K33">
            <v>47.47030844155843</v>
          </cell>
          <cell r="L33">
            <v>48.75020861367809</v>
          </cell>
        </row>
        <row r="34">
          <cell r="C34">
            <v>-2.6501881287864135E-4</v>
          </cell>
          <cell r="D34">
            <v>-2.7206736293123963E-3</v>
          </cell>
          <cell r="E34">
            <v>-1.8319366562804775E-2</v>
          </cell>
          <cell r="F34">
            <v>-2.0035312344214525E-2</v>
          </cell>
          <cell r="G34">
            <v>-7.4850035472621345E-3</v>
          </cell>
          <cell r="H34">
            <v>-6.3788534822568355E-3</v>
          </cell>
          <cell r="I34">
            <v>5.0501434330322163E-2</v>
          </cell>
          <cell r="J34">
            <v>5.4227014976247212E-2</v>
          </cell>
          <cell r="K34">
            <v>9.273977471475614E-2</v>
          </cell>
          <cell r="L34">
            <v>8.1232980358742157E-2</v>
          </cell>
        </row>
        <row r="35">
          <cell r="C35">
            <v>23.635811615629176</v>
          </cell>
          <cell r="D35">
            <v>20.557801308898728</v>
          </cell>
          <cell r="E35">
            <v>22.942142431357539</v>
          </cell>
          <cell r="F35">
            <v>24.728393046153069</v>
          </cell>
          <cell r="G35">
            <v>27.091623640342736</v>
          </cell>
          <cell r="H35">
            <v>30.498449497015677</v>
          </cell>
          <cell r="I35">
            <v>34.330999319647972</v>
          </cell>
          <cell r="J35">
            <v>34.251673771662155</v>
          </cell>
          <cell r="K35">
            <v>35.33107620312628</v>
          </cell>
          <cell r="L35">
            <v>38.311456941472656</v>
          </cell>
        </row>
        <row r="36">
          <cell r="C36">
            <v>15.656244762650809</v>
          </cell>
          <cell r="D36">
            <v>15.713058964258922</v>
          </cell>
          <cell r="E36">
            <v>14.940926240315324</v>
          </cell>
          <cell r="F36">
            <v>15.187392168734359</v>
          </cell>
          <cell r="G36">
            <v>17.374324123213022</v>
          </cell>
          <cell r="H36">
            <v>17.706298455536064</v>
          </cell>
          <cell r="I36">
            <v>18.17535962418405</v>
          </cell>
          <cell r="J36">
            <v>20.071915479431862</v>
          </cell>
          <cell r="K36">
            <v>22.081867478815649</v>
          </cell>
          <cell r="L36">
            <v>23.867703215990559</v>
          </cell>
        </row>
        <row r="37">
          <cell r="C37">
            <v>15.812790266420237</v>
          </cell>
          <cell r="D37">
            <v>19.177087703837419</v>
          </cell>
          <cell r="E37">
            <v>18.433457600349595</v>
          </cell>
          <cell r="F37">
            <v>18.746571172453393</v>
          </cell>
          <cell r="G37">
            <v>18.791901200244254</v>
          </cell>
          <cell r="H37">
            <v>20.775538218415779</v>
          </cell>
          <cell r="I37">
            <v>24.581337716190486</v>
          </cell>
          <cell r="J37">
            <v>26.141323356323081</v>
          </cell>
          <cell r="K37">
            <v>26.123988127393517</v>
          </cell>
          <cell r="L37">
            <v>26.776823857870994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19.46329739235108</v>
          </cell>
          <cell r="D39">
            <v>12.288347612040646</v>
          </cell>
          <cell r="E39">
            <v>0</v>
          </cell>
          <cell r="F39">
            <v>16.960022297063588</v>
          </cell>
          <cell r="G39">
            <v>0</v>
          </cell>
          <cell r="H39">
            <v>0</v>
          </cell>
          <cell r="I39">
            <v>25.742167790023142</v>
          </cell>
          <cell r="J39">
            <v>28.376209849066441</v>
          </cell>
          <cell r="K39">
            <v>46.709960612675538</v>
          </cell>
          <cell r="L39">
            <v>27.959961954354419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21.818211158035883</v>
          </cell>
          <cell r="D41">
            <v>18.900040087821164</v>
          </cell>
          <cell r="E41">
            <v>17.475123205471181</v>
          </cell>
          <cell r="F41">
            <v>18.164142360798305</v>
          </cell>
          <cell r="G41">
            <v>19.841814200940682</v>
          </cell>
          <cell r="H41">
            <v>21.437658971537932</v>
          </cell>
          <cell r="I41">
            <v>23.990435528821365</v>
          </cell>
          <cell r="J41">
            <v>26.627878921356913</v>
          </cell>
          <cell r="K41">
            <v>30.052947968356044</v>
          </cell>
          <cell r="L41">
            <v>31.908625103568422</v>
          </cell>
        </row>
      </sheetData>
      <sheetData sheetId="3">
        <row r="7">
          <cell r="B7">
            <v>2018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1">
          <cell r="A1" t="str">
            <v>PacifiCorp</v>
          </cell>
        </row>
      </sheetData>
      <sheetData sheetId="9">
        <row r="779">
          <cell r="C779" t="str">
            <v>Curtailed Wyoming Northeast</v>
          </cell>
        </row>
      </sheetData>
      <sheetData sheetId="10">
        <row r="264">
          <cell r="M264" t="str">
            <v>APS Exchange</v>
          </cell>
        </row>
      </sheetData>
      <sheetData sheetId="11"/>
      <sheetData sheetId="12"/>
      <sheetData sheetId="13"/>
      <sheetData sheetId="14">
        <row r="89">
          <cell r="H89">
            <v>2.2800612406577598</v>
          </cell>
        </row>
      </sheetData>
      <sheetData sheetId="15">
        <row r="8">
          <cell r="C8" t="str">
            <v>Inter-hour Wind Integration Costs</v>
          </cell>
        </row>
      </sheetData>
      <sheetData sheetId="16">
        <row r="3">
          <cell r="A3" t="str">
            <v>Avoided Cost Study</v>
          </cell>
        </row>
      </sheetData>
      <sheetData sheetId="17">
        <row r="35">
          <cell r="A35">
            <v>40483</v>
          </cell>
        </row>
      </sheetData>
      <sheetData sheetId="18"/>
      <sheetData sheetId="19">
        <row r="1">
          <cell r="A1" t="str">
            <v>Contract</v>
          </cell>
        </row>
      </sheetData>
      <sheetData sheetId="20">
        <row r="1">
          <cell r="A1" t="str">
            <v>Transmission Area</v>
          </cell>
        </row>
      </sheetData>
      <sheetData sheetId="21">
        <row r="1">
          <cell r="A1" t="str">
            <v>Transmission Area</v>
          </cell>
        </row>
      </sheetData>
      <sheetData sheetId="22"/>
      <sheetData sheetId="23"/>
      <sheetData sheetId="24">
        <row r="1">
          <cell r="A1" t="str">
            <v>Facility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B58" t="str">
            <v>2013 11 04</v>
          </cell>
        </row>
      </sheetData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VDOC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43">
          <cell r="F43" t="str">
            <v>No Integration</v>
          </cell>
        </row>
      </sheetData>
      <sheetData sheetId="1">
        <row r="1">
          <cell r="N1" t="str">
            <v>45 - UT 2016.Q4 - 3a - GRID AC Study CONF _2017 05 31 (GOLD)_1703 OFPC_Queue</v>
          </cell>
        </row>
      </sheetData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2053240.9201499224</v>
          </cell>
          <cell r="D7">
            <v>-976238.02050992846</v>
          </cell>
          <cell r="E7">
            <v>1746940.7057729959</v>
          </cell>
          <cell r="F7">
            <v>2272904.3705119789</v>
          </cell>
          <cell r="G7">
            <v>2414523.3560900688</v>
          </cell>
          <cell r="H7">
            <v>2029408.9245360196</v>
          </cell>
          <cell r="I7">
            <v>1996442.7657999992</v>
          </cell>
          <cell r="J7">
            <v>2784985.937934041</v>
          </cell>
          <cell r="K7">
            <v>2598438.1195700169</v>
          </cell>
          <cell r="L7">
            <v>2984122.1402640343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-3808517.6599999964</v>
          </cell>
          <cell r="D9">
            <v>-3808111.9999999963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-449.24189026653767</v>
          </cell>
          <cell r="D10">
            <v>-3338.1200544545427</v>
          </cell>
          <cell r="E10">
            <v>-15401.831096101552</v>
          </cell>
          <cell r="F10">
            <v>-15920.502555564046</v>
          </cell>
          <cell r="G10">
            <v>-24713.57675258629</v>
          </cell>
          <cell r="H10">
            <v>-2284.8171986304224</v>
          </cell>
          <cell r="I10">
            <v>55390.984699618071</v>
          </cell>
          <cell r="J10">
            <v>9887.6385262235999</v>
          </cell>
          <cell r="K10">
            <v>14028.749712221324</v>
          </cell>
          <cell r="L10">
            <v>-30386.889574389905</v>
          </cell>
        </row>
        <row r="11">
          <cell r="C11">
            <v>-6250935.5225199461</v>
          </cell>
          <cell r="D11">
            <v>-3274715.2900499105</v>
          </cell>
          <cell r="E11">
            <v>-2775289.7087597847</v>
          </cell>
          <cell r="F11">
            <v>-2980722.5928449631</v>
          </cell>
          <cell r="G11">
            <v>-3726085.6069998741</v>
          </cell>
          <cell r="H11">
            <v>-3378499.7510000467</v>
          </cell>
          <cell r="I11">
            <v>-4495445.9509150982</v>
          </cell>
          <cell r="J11">
            <v>-6863067.2734999657</v>
          </cell>
          <cell r="K11">
            <v>-5927671.9277300835</v>
          </cell>
          <cell r="L11">
            <v>-7658732.8515400887</v>
          </cell>
        </row>
        <row r="12">
          <cell r="C12">
            <v>-73.21445631980896</v>
          </cell>
          <cell r="D12">
            <v>-297.07637900114059</v>
          </cell>
          <cell r="E12">
            <v>26.749032884836197</v>
          </cell>
          <cell r="F12">
            <v>0</v>
          </cell>
          <cell r="G12">
            <v>-477.8451209962368</v>
          </cell>
          <cell r="H12">
            <v>-5049.7380000054836</v>
          </cell>
          <cell r="I12">
            <v>-4326.4749999940395</v>
          </cell>
          <cell r="J12">
            <v>-4295.4959999918938</v>
          </cell>
          <cell r="K12">
            <v>-5615.2969999909401</v>
          </cell>
          <cell r="L12">
            <v>-4991.3210000097752</v>
          </cell>
        </row>
        <row r="13">
          <cell r="C13">
            <v>-3897819.9353780746</v>
          </cell>
          <cell r="D13">
            <v>-5974855.4473189116</v>
          </cell>
          <cell r="E13">
            <v>-6019825.8953477144</v>
          </cell>
          <cell r="F13">
            <v>-5546394.8207101822</v>
          </cell>
          <cell r="G13">
            <v>-6799910.1945400238</v>
          </cell>
          <cell r="H13">
            <v>-6366275.6667429209</v>
          </cell>
          <cell r="I13">
            <v>-6051864.3069911003</v>
          </cell>
          <cell r="J13">
            <v>-7028145.3057869673</v>
          </cell>
          <cell r="K13">
            <v>-8011123.296990037</v>
          </cell>
          <cell r="L13">
            <v>-8864552.1675208807</v>
          </cell>
        </row>
        <row r="14">
          <cell r="C14">
            <v>-220573.38554802537</v>
          </cell>
          <cell r="D14">
            <v>-1936031.7944724858</v>
          </cell>
          <cell r="E14">
            <v>-2343273.2662620246</v>
          </cell>
          <cell r="F14">
            <v>-2489156.3681488037</v>
          </cell>
          <cell r="G14">
            <v>-1785877.3833335638</v>
          </cell>
          <cell r="H14">
            <v>-4257425.3311758041</v>
          </cell>
          <cell r="I14">
            <v>-5234271.065079987</v>
          </cell>
          <cell r="J14">
            <v>-2940316.6765900254</v>
          </cell>
          <cell r="K14">
            <v>-3536138.3209300041</v>
          </cell>
          <cell r="L14">
            <v>-1755386.3746400476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-29780.464909999981</v>
          </cell>
          <cell r="D16">
            <v>-15893.358999999939</v>
          </cell>
          <cell r="E16">
            <v>-14.372612999984995</v>
          </cell>
          <cell r="F16">
            <v>-563.66049999999814</v>
          </cell>
          <cell r="G16">
            <v>0</v>
          </cell>
          <cell r="H16">
            <v>0</v>
          </cell>
          <cell r="I16">
            <v>-110959.24119999999</v>
          </cell>
          <cell r="J16">
            <v>-18175.352500000008</v>
          </cell>
          <cell r="K16">
            <v>-2445.143799999998</v>
          </cell>
          <cell r="L16">
            <v>-914.43112900000415</v>
          </cell>
        </row>
        <row r="17">
          <cell r="C17">
            <v>-16261390.344852552</v>
          </cell>
          <cell r="D17">
            <v>-14037005.06676483</v>
          </cell>
          <cell r="E17">
            <v>-12900719.030818736</v>
          </cell>
          <cell r="F17">
            <v>-13305662.315271491</v>
          </cell>
          <cell r="G17">
            <v>-14751587.962837113</v>
          </cell>
          <cell r="H17">
            <v>-16038944.228653427</v>
          </cell>
          <cell r="I17">
            <v>-17837918.820286561</v>
          </cell>
          <cell r="J17">
            <v>-19629098.403784767</v>
          </cell>
          <cell r="K17">
            <v>-20067403.356307913</v>
          </cell>
          <cell r="L17">
            <v>-21299086.175668452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91799.274803001434</v>
          </cell>
          <cell r="D20">
            <v>-23351.596100000665</v>
          </cell>
          <cell r="E20">
            <v>89961.636754399166</v>
          </cell>
          <cell r="F20">
            <v>114201.02786900103</v>
          </cell>
          <cell r="G20">
            <v>110502.2624035012</v>
          </cell>
          <cell r="H20">
            <v>79344.770965902135</v>
          </cell>
          <cell r="I20">
            <v>70949.484400998801</v>
          </cell>
          <cell r="J20">
            <v>85695.514427999966</v>
          </cell>
          <cell r="K20">
            <v>76852.095452000387</v>
          </cell>
          <cell r="L20">
            <v>86989.75741700083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-121600</v>
          </cell>
          <cell r="D22">
            <v>-123200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-264184.81834600493</v>
          </cell>
          <cell r="D23">
            <v>-157977.31344899908</v>
          </cell>
          <cell r="E23">
            <v>-124511.90156079456</v>
          </cell>
          <cell r="F23">
            <v>-122434.95659039915</v>
          </cell>
          <cell r="G23">
            <v>-135282.17937000468</v>
          </cell>
          <cell r="H23">
            <v>-110010.33959199861</v>
          </cell>
          <cell r="I23">
            <v>-131442.90781139955</v>
          </cell>
          <cell r="J23">
            <v>-184978.45064400136</v>
          </cell>
          <cell r="K23">
            <v>-158446.15497500449</v>
          </cell>
          <cell r="L23">
            <v>-195289.50293900073</v>
          </cell>
        </row>
        <row r="24">
          <cell r="C24">
            <v>-248709.34246899188</v>
          </cell>
          <cell r="D24">
            <v>-383129.87127299607</v>
          </cell>
          <cell r="E24">
            <v>-406028.1285790056</v>
          </cell>
          <cell r="F24">
            <v>-375245.49900199845</v>
          </cell>
          <cell r="G24">
            <v>-398212.10630200431</v>
          </cell>
          <cell r="H24">
            <v>-361910.15919100121</v>
          </cell>
          <cell r="I24">
            <v>-334603.04776399955</v>
          </cell>
          <cell r="J24">
            <v>-356796.39558299631</v>
          </cell>
          <cell r="K24">
            <v>-375180.71559600905</v>
          </cell>
          <cell r="L24">
            <v>-388341.08837099373</v>
          </cell>
        </row>
        <row r="25">
          <cell r="C25">
            <v>-16771.496600000188</v>
          </cell>
          <cell r="D25">
            <v>-102353.35655300133</v>
          </cell>
          <cell r="E25">
            <v>-126137.17360249907</v>
          </cell>
          <cell r="F25">
            <v>-132685.65161599964</v>
          </cell>
          <cell r="G25">
            <v>-100603.34204999916</v>
          </cell>
          <cell r="H25">
            <v>-193334.60895900056</v>
          </cell>
          <cell r="I25">
            <v>-205853.19609699864</v>
          </cell>
          <cell r="J25">
            <v>-116495.08336600102</v>
          </cell>
          <cell r="K25">
            <v>-134068.6141360011</v>
          </cell>
          <cell r="L25">
            <v>-73950.789235999808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-1534.4367930000008</v>
          </cell>
          <cell r="D27">
            <v>-1291.2915300000022</v>
          </cell>
          <cell r="E27">
            <v>-0.91312720000132686</v>
          </cell>
          <cell r="F27">
            <v>-33.23465700000088</v>
          </cell>
          <cell r="G27">
            <v>0</v>
          </cell>
          <cell r="H27">
            <v>0</v>
          </cell>
          <cell r="I27">
            <v>-3791.7207700000008</v>
          </cell>
          <cell r="J27">
            <v>-634.62814400000025</v>
          </cell>
          <cell r="K27">
            <v>-52.347373999999945</v>
          </cell>
          <cell r="L27">
            <v>-28.732867939999778</v>
          </cell>
        </row>
        <row r="28">
          <cell r="C28">
            <v>-744599.3690109984</v>
          </cell>
          <cell r="D28">
            <v>-744600.23670499586</v>
          </cell>
          <cell r="E28">
            <v>-746639.75362389837</v>
          </cell>
          <cell r="F28">
            <v>-744600.36973439832</v>
          </cell>
          <cell r="G28">
            <v>-744599.89012550935</v>
          </cell>
          <cell r="H28">
            <v>-744599.87870790251</v>
          </cell>
          <cell r="I28">
            <v>-746640.35684339656</v>
          </cell>
          <cell r="J28">
            <v>-744600.07216499862</v>
          </cell>
          <cell r="K28">
            <v>-744599.92753301503</v>
          </cell>
          <cell r="L28">
            <v>-744599.87083093508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22.366635515978938</v>
          </cell>
          <cell r="D31">
            <v>41.806051129408694</v>
          </cell>
          <cell r="E31">
            <v>19.418729680766617</v>
          </cell>
          <cell r="F31">
            <v>19.902661236282452</v>
          </cell>
          <cell r="G31">
            <v>21.850442729157788</v>
          </cell>
          <cell r="H31">
            <v>25.577097265907341</v>
          </cell>
          <cell r="I31">
            <v>28.138932687887074</v>
          </cell>
          <cell r="J31">
            <v>32.49861975300869</v>
          </cell>
          <cell r="K31">
            <v>33.810894866138383</v>
          </cell>
          <cell r="L31">
            <v>34.30429315901084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31.320046546052602</v>
          </cell>
          <cell r="D33">
            <v>30.909999999999968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-6.0333369723806725E-4</v>
          </cell>
          <cell r="D34">
            <v>-4.4831036708051393E-3</v>
          </cell>
          <cell r="E34">
            <v>-2.0628195888776436E-2</v>
          </cell>
          <cell r="F34">
            <v>-2.1381271353978708E-2</v>
          </cell>
          <cell r="G34">
            <v>-3.3190411495253626E-2</v>
          </cell>
          <cell r="H34">
            <v>-3.0685167483444197E-3</v>
          </cell>
          <cell r="I34">
            <v>7.4186968587924867E-2</v>
          </cell>
          <cell r="J34">
            <v>1.3279126467815547E-2</v>
          </cell>
          <cell r="K34">
            <v>1.8840654146584375E-2</v>
          </cell>
          <cell r="L34">
            <v>-4.080968955914497E-2</v>
          </cell>
        </row>
        <row r="35">
          <cell r="C35">
            <v>23.661221570775677</v>
          </cell>
          <cell r="D35">
            <v>20.729022532131552</v>
          </cell>
          <cell r="E35">
            <v>22.289352856800708</v>
          </cell>
          <cell r="F35">
            <v>24.345355900413651</v>
          </cell>
          <cell r="G35">
            <v>27.543063131832106</v>
          </cell>
          <cell r="H35">
            <v>30.710747403653823</v>
          </cell>
          <cell r="I35">
            <v>34.200749403424453</v>
          </cell>
          <cell r="J35">
            <v>37.101982688287407</v>
          </cell>
          <cell r="K35">
            <v>37.411270274530786</v>
          </cell>
          <cell r="L35">
            <v>39.217329842517536</v>
          </cell>
        </row>
        <row r="36">
          <cell r="C36">
            <v>15.672189458922476</v>
          </cell>
          <cell r="D36">
            <v>15.594856719124301</v>
          </cell>
          <cell r="E36">
            <v>14.826130190574634</v>
          </cell>
          <cell r="F36">
            <v>14.78070978988783</v>
          </cell>
          <cell r="G36">
            <v>17.076101120298357</v>
          </cell>
          <cell r="H36">
            <v>17.590762527843449</v>
          </cell>
          <cell r="I36">
            <v>18.086698096245581</v>
          </cell>
          <cell r="J36">
            <v>19.697915653837129</v>
          </cell>
          <cell r="K36">
            <v>21.352705413612828</v>
          </cell>
          <cell r="L36">
            <v>22.826717112798303</v>
          </cell>
        </row>
        <row r="37">
          <cell r="C37">
            <v>13.151681737694352</v>
          </cell>
          <cell r="D37">
            <v>18.915176401371422</v>
          </cell>
          <cell r="E37">
            <v>18.577182279717729</v>
          </cell>
          <cell r="F37">
            <v>18.759800610186353</v>
          </cell>
          <cell r="G37">
            <v>17.751670540388162</v>
          </cell>
          <cell r="H37">
            <v>22.021020209985547</v>
          </cell>
          <cell r="I37">
            <v>25.427203290123234</v>
          </cell>
          <cell r="J37">
            <v>25.23983494953362</v>
          </cell>
          <cell r="K37">
            <v>26.375586439216082</v>
          </cell>
          <cell r="L37">
            <v>23.737222993497305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19.408075357588199</v>
          </cell>
          <cell r="D39">
            <v>12.308110624716877</v>
          </cell>
          <cell r="E39">
            <v>15.739990003543985</v>
          </cell>
          <cell r="F39">
            <v>16.960021582289333</v>
          </cell>
          <cell r="G39">
            <v>0</v>
          </cell>
          <cell r="H39">
            <v>0</v>
          </cell>
          <cell r="I39">
            <v>29.263558139066227</v>
          </cell>
          <cell r="J39">
            <v>28.639373579372808</v>
          </cell>
          <cell r="K39">
            <v>46.709961038351238</v>
          </cell>
          <cell r="L39">
            <v>31.825264742438073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21.839113786050437</v>
          </cell>
          <cell r="D41">
            <v>18.851733285610234</v>
          </cell>
          <cell r="E41">
            <v>17.278371487994946</v>
          </cell>
          <cell r="F41">
            <v>17.869534929209973</v>
          </cell>
          <cell r="G41">
            <v>19.811429142637387</v>
          </cell>
          <cell r="H41">
            <v>21.540352996680127</v>
          </cell>
          <cell r="I41">
            <v>23.890911677612358</v>
          </cell>
          <cell r="J41">
            <v>26.361934597603806</v>
          </cell>
          <cell r="K41">
            <v>26.950584621723777</v>
          </cell>
          <cell r="L41">
            <v>28.604740626532436</v>
          </cell>
        </row>
      </sheetData>
      <sheetData sheetId="3">
        <row r="7">
          <cell r="B7">
            <v>2018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43101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VDOC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43">
          <cell r="F43" t="str">
            <v>No Integration</v>
          </cell>
        </row>
      </sheetData>
      <sheetData sheetId="1">
        <row r="1">
          <cell r="N1" t="str">
            <v>45 - UT 2016.Q4 - 4a - GRID AC Study CONF _2017 05 31 (GOLD)_1703 OFPC_Queue_CC</v>
          </cell>
        </row>
      </sheetData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2052753.2868499458</v>
          </cell>
          <cell r="D7">
            <v>-947362.04710996151</v>
          </cell>
          <cell r="E7">
            <v>1746940.7057729959</v>
          </cell>
          <cell r="F7">
            <v>2272904.3705119789</v>
          </cell>
          <cell r="G7">
            <v>2414523.3560900688</v>
          </cell>
          <cell r="H7">
            <v>2029408.9245360196</v>
          </cell>
          <cell r="I7">
            <v>1996442.7657999992</v>
          </cell>
          <cell r="J7">
            <v>2784985.937934041</v>
          </cell>
          <cell r="K7">
            <v>2598438.1195700169</v>
          </cell>
          <cell r="L7">
            <v>2984122.1402640343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-3806674.5</v>
          </cell>
          <cell r="D9">
            <v>-3602818.2000000011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-442.65897333621979</v>
          </cell>
          <cell r="D10">
            <v>-3334.4279180523008</v>
          </cell>
          <cell r="E10">
            <v>-15401.831096101552</v>
          </cell>
          <cell r="F10">
            <v>-15920.502555564046</v>
          </cell>
          <cell r="G10">
            <v>-24713.57675258629</v>
          </cell>
          <cell r="H10">
            <v>-2284.8171986304224</v>
          </cell>
          <cell r="I10">
            <v>55390.984699618071</v>
          </cell>
          <cell r="J10">
            <v>9887.6385262235999</v>
          </cell>
          <cell r="K10">
            <v>14028.749712221324</v>
          </cell>
          <cell r="L10">
            <v>-30386.889574389905</v>
          </cell>
        </row>
        <row r="11">
          <cell r="C11">
            <v>-6249595.357820034</v>
          </cell>
          <cell r="D11">
            <v>-3201706.277749896</v>
          </cell>
          <cell r="E11">
            <v>-2775289.7087597847</v>
          </cell>
          <cell r="F11">
            <v>-2980722.5928449631</v>
          </cell>
          <cell r="G11">
            <v>-3726085.6069998741</v>
          </cell>
          <cell r="H11">
            <v>-3378499.7510000467</v>
          </cell>
          <cell r="I11">
            <v>-4495445.9509150982</v>
          </cell>
          <cell r="J11">
            <v>-6863067.2734999657</v>
          </cell>
          <cell r="K11">
            <v>-5927671.9277300835</v>
          </cell>
          <cell r="L11">
            <v>-7658732.8515400887</v>
          </cell>
        </row>
        <row r="12">
          <cell r="C12">
            <v>-73.529841005802155</v>
          </cell>
          <cell r="D12">
            <v>-295.98105001449585</v>
          </cell>
          <cell r="E12">
            <v>26.749032884836197</v>
          </cell>
          <cell r="F12">
            <v>0</v>
          </cell>
          <cell r="G12">
            <v>-477.8451209962368</v>
          </cell>
          <cell r="H12">
            <v>-5049.7380000054836</v>
          </cell>
          <cell r="I12">
            <v>-4326.4749999940395</v>
          </cell>
          <cell r="J12">
            <v>-4295.4959999918938</v>
          </cell>
          <cell r="K12">
            <v>-5615.2969999909401</v>
          </cell>
          <cell r="L12">
            <v>-4991.3210000097752</v>
          </cell>
        </row>
        <row r="13">
          <cell r="C13">
            <v>-3902394.4811182022</v>
          </cell>
          <cell r="D13">
            <v>-6019709.2378189564</v>
          </cell>
          <cell r="E13">
            <v>-6019825.8953477144</v>
          </cell>
          <cell r="F13">
            <v>-5546394.8207101822</v>
          </cell>
          <cell r="G13">
            <v>-6799910.1945400238</v>
          </cell>
          <cell r="H13">
            <v>-6366275.6667429209</v>
          </cell>
          <cell r="I13">
            <v>-6051864.3069911003</v>
          </cell>
          <cell r="J13">
            <v>-7028145.3057869673</v>
          </cell>
          <cell r="K13">
            <v>-8011123.296990037</v>
          </cell>
          <cell r="L13">
            <v>-8864552.1675208807</v>
          </cell>
        </row>
        <row r="14">
          <cell r="C14">
            <v>-213351.93001872301</v>
          </cell>
          <cell r="D14">
            <v>-1945921.1645305455</v>
          </cell>
          <cell r="E14">
            <v>-2343273.2662620246</v>
          </cell>
          <cell r="F14">
            <v>-2489156.3681488037</v>
          </cell>
          <cell r="G14">
            <v>-1785877.3833335638</v>
          </cell>
          <cell r="H14">
            <v>-4257425.3311758041</v>
          </cell>
          <cell r="I14">
            <v>-5234271.065079987</v>
          </cell>
          <cell r="J14">
            <v>-2940316.6765900254</v>
          </cell>
          <cell r="K14">
            <v>-3536138.3209300041</v>
          </cell>
          <cell r="L14">
            <v>-1755386.3746400476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-29780.464909999981</v>
          </cell>
          <cell r="D16">
            <v>-15893.358999999939</v>
          </cell>
          <cell r="E16">
            <v>-14.372612999984995</v>
          </cell>
          <cell r="F16">
            <v>-563.66049999999814</v>
          </cell>
          <cell r="G16">
            <v>0</v>
          </cell>
          <cell r="H16">
            <v>0</v>
          </cell>
          <cell r="I16">
            <v>-110959.24119999999</v>
          </cell>
          <cell r="J16">
            <v>-18175.352500000008</v>
          </cell>
          <cell r="K16">
            <v>-2445.143799999998</v>
          </cell>
          <cell r="L16">
            <v>-914.43112900000415</v>
          </cell>
        </row>
        <row r="17">
          <cell r="C17">
            <v>-16255066.209531248</v>
          </cell>
          <cell r="D17">
            <v>-13842316.600957504</v>
          </cell>
          <cell r="E17">
            <v>-12900719.030818736</v>
          </cell>
          <cell r="F17">
            <v>-13305662.315271491</v>
          </cell>
          <cell r="G17">
            <v>-14751587.962837113</v>
          </cell>
          <cell r="H17">
            <v>-16038944.228653427</v>
          </cell>
          <cell r="I17">
            <v>-17837918.820286561</v>
          </cell>
          <cell r="J17">
            <v>-19629098.403784767</v>
          </cell>
          <cell r="K17">
            <v>-20067403.356307913</v>
          </cell>
          <cell r="L17">
            <v>-21299086.175668452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91776.604803000577</v>
          </cell>
          <cell r="D20">
            <v>-22670.796099998057</v>
          </cell>
          <cell r="E20">
            <v>89961.636754399166</v>
          </cell>
          <cell r="F20">
            <v>114201.02786900103</v>
          </cell>
          <cell r="G20">
            <v>110502.2624035012</v>
          </cell>
          <cell r="H20">
            <v>79344.770965902135</v>
          </cell>
          <cell r="I20">
            <v>70949.484400998801</v>
          </cell>
          <cell r="J20">
            <v>85695.514427999966</v>
          </cell>
          <cell r="K20">
            <v>76852.095452000387</v>
          </cell>
          <cell r="L20">
            <v>86989.75741700083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-121600</v>
          </cell>
          <cell r="D22">
            <v>-123200.01232000004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-264205.69455200247</v>
          </cell>
          <cell r="D23">
            <v>-155460.341083996</v>
          </cell>
          <cell r="E23">
            <v>-124511.90156079456</v>
          </cell>
          <cell r="F23">
            <v>-122434.95659039915</v>
          </cell>
          <cell r="G23">
            <v>-135282.17937000468</v>
          </cell>
          <cell r="H23">
            <v>-110010.33959199861</v>
          </cell>
          <cell r="I23">
            <v>-131442.90781139955</v>
          </cell>
          <cell r="J23">
            <v>-184978.45064400136</v>
          </cell>
          <cell r="K23">
            <v>-158446.15497500449</v>
          </cell>
          <cell r="L23">
            <v>-195289.50293900073</v>
          </cell>
        </row>
        <row r="24">
          <cell r="C24">
            <v>-248920.63778100163</v>
          </cell>
          <cell r="D24">
            <v>-384296.70381399244</v>
          </cell>
          <cell r="E24">
            <v>-406028.1285790056</v>
          </cell>
          <cell r="F24">
            <v>-375245.49900199845</v>
          </cell>
          <cell r="G24">
            <v>-398212.10630200431</v>
          </cell>
          <cell r="H24">
            <v>-361910.15919100121</v>
          </cell>
          <cell r="I24">
            <v>-334603.04776399955</v>
          </cell>
          <cell r="J24">
            <v>-356796.39558299631</v>
          </cell>
          <cell r="K24">
            <v>-375180.71559600905</v>
          </cell>
          <cell r="L24">
            <v>-388341.08837099373</v>
          </cell>
        </row>
        <row r="25">
          <cell r="C25">
            <v>-16561.95940999873</v>
          </cell>
          <cell r="D25">
            <v>-103022.45959000103</v>
          </cell>
          <cell r="E25">
            <v>-126137.17360249907</v>
          </cell>
          <cell r="F25">
            <v>-132685.65161599964</v>
          </cell>
          <cell r="G25">
            <v>-100603.34204999916</v>
          </cell>
          <cell r="H25">
            <v>-193334.60895900056</v>
          </cell>
          <cell r="I25">
            <v>-205853.19609699864</v>
          </cell>
          <cell r="J25">
            <v>-116495.08336600102</v>
          </cell>
          <cell r="K25">
            <v>-134068.6141360011</v>
          </cell>
          <cell r="L25">
            <v>-73950.789235999808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-1534.4367930000008</v>
          </cell>
          <cell r="D27">
            <v>-1291.2915300000022</v>
          </cell>
          <cell r="E27">
            <v>-0.91312720000132686</v>
          </cell>
          <cell r="F27">
            <v>-33.23465700000088</v>
          </cell>
          <cell r="G27">
            <v>0</v>
          </cell>
          <cell r="H27">
            <v>0</v>
          </cell>
          <cell r="I27">
            <v>-3791.7207700000008</v>
          </cell>
          <cell r="J27">
            <v>-634.62814400000025</v>
          </cell>
          <cell r="K27">
            <v>-52.347373999999945</v>
          </cell>
          <cell r="L27">
            <v>-28.732867939999778</v>
          </cell>
        </row>
        <row r="28">
          <cell r="C28">
            <v>-744599.33333900338</v>
          </cell>
          <cell r="D28">
            <v>-744600.01223799144</v>
          </cell>
          <cell r="E28">
            <v>-746639.75362389837</v>
          </cell>
          <cell r="F28">
            <v>-744600.36973439832</v>
          </cell>
          <cell r="G28">
            <v>-744599.89012550935</v>
          </cell>
          <cell r="H28">
            <v>-744599.87870790251</v>
          </cell>
          <cell r="I28">
            <v>-746640.35684339656</v>
          </cell>
          <cell r="J28">
            <v>-744600.07216499862</v>
          </cell>
          <cell r="K28">
            <v>-744599.92753301503</v>
          </cell>
          <cell r="L28">
            <v>-744599.87083093508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22.366847098519298</v>
          </cell>
          <cell r="D31">
            <v>41.7877714982423</v>
          </cell>
          <cell r="E31">
            <v>19.418729680766617</v>
          </cell>
          <cell r="F31">
            <v>19.902661236282452</v>
          </cell>
          <cell r="G31">
            <v>21.850442729157788</v>
          </cell>
          <cell r="H31">
            <v>25.577097265907341</v>
          </cell>
          <cell r="I31">
            <v>28.138932687887074</v>
          </cell>
          <cell r="J31">
            <v>32.49861975300869</v>
          </cell>
          <cell r="K31">
            <v>33.810894866138383</v>
          </cell>
          <cell r="L31">
            <v>34.30429315901084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31.304888980263158</v>
          </cell>
          <cell r="D33">
            <v>29.24365129641409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-5.9449284133952437E-4</v>
          </cell>
          <cell r="D34">
            <v>-4.4781464722653541E-3</v>
          </cell>
          <cell r="E34">
            <v>-2.0628195888776436E-2</v>
          </cell>
          <cell r="F34">
            <v>-2.1381271353978708E-2</v>
          </cell>
          <cell r="G34">
            <v>-3.3190411495253626E-2</v>
          </cell>
          <cell r="H34">
            <v>-3.0685167483444197E-3</v>
          </cell>
          <cell r="I34">
            <v>7.4186968587924867E-2</v>
          </cell>
          <cell r="J34">
            <v>1.3279126467815547E-2</v>
          </cell>
          <cell r="K34">
            <v>1.8840654146584375E-2</v>
          </cell>
          <cell r="L34">
            <v>-4.080968955914497E-2</v>
          </cell>
        </row>
        <row r="35">
          <cell r="C35">
            <v>23.654279550700423</v>
          </cell>
          <cell r="D35">
            <v>20.595003557981379</v>
          </cell>
          <cell r="E35">
            <v>22.289352856800708</v>
          </cell>
          <cell r="F35">
            <v>24.345355900413651</v>
          </cell>
          <cell r="G35">
            <v>27.543063131832106</v>
          </cell>
          <cell r="H35">
            <v>30.710747403653823</v>
          </cell>
          <cell r="I35">
            <v>34.200749403424453</v>
          </cell>
          <cell r="J35">
            <v>37.101982688287407</v>
          </cell>
          <cell r="K35">
            <v>37.411270274530786</v>
          </cell>
          <cell r="L35">
            <v>39.217329842517536</v>
          </cell>
        </row>
        <row r="36">
          <cell r="C36">
            <v>15.677263709052109</v>
          </cell>
          <cell r="D36">
            <v>15.664222924827948</v>
          </cell>
          <cell r="E36">
            <v>14.826130190574634</v>
          </cell>
          <cell r="F36">
            <v>14.78070978988783</v>
          </cell>
          <cell r="G36">
            <v>17.076101120298357</v>
          </cell>
          <cell r="H36">
            <v>17.590762527843449</v>
          </cell>
          <cell r="I36">
            <v>18.086698096245581</v>
          </cell>
          <cell r="J36">
            <v>19.697915653837129</v>
          </cell>
          <cell r="K36">
            <v>21.352705413612828</v>
          </cell>
          <cell r="L36">
            <v>22.826717112798303</v>
          </cell>
        </row>
        <row r="37">
          <cell r="C37">
            <v>12.882046425613078</v>
          </cell>
          <cell r="D37">
            <v>18.888319811764706</v>
          </cell>
          <cell r="E37">
            <v>18.577182279717729</v>
          </cell>
          <cell r="F37">
            <v>18.759800610186353</v>
          </cell>
          <cell r="G37">
            <v>17.751670540388162</v>
          </cell>
          <cell r="H37">
            <v>22.021020209985547</v>
          </cell>
          <cell r="I37">
            <v>25.427203290123234</v>
          </cell>
          <cell r="J37">
            <v>25.23983494953362</v>
          </cell>
          <cell r="K37">
            <v>26.375586439216082</v>
          </cell>
          <cell r="L37">
            <v>23.737222993497305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19.408075357588199</v>
          </cell>
          <cell r="D39">
            <v>12.308110624716877</v>
          </cell>
          <cell r="E39">
            <v>15.739990003543985</v>
          </cell>
          <cell r="F39">
            <v>16.960021582289333</v>
          </cell>
          <cell r="G39">
            <v>0</v>
          </cell>
          <cell r="H39">
            <v>0</v>
          </cell>
          <cell r="I39">
            <v>29.263558139066227</v>
          </cell>
          <cell r="J39">
            <v>28.639373579372808</v>
          </cell>
          <cell r="K39">
            <v>46.709961038351238</v>
          </cell>
          <cell r="L39">
            <v>31.825264742438073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21.830621492284621</v>
          </cell>
          <cell r="D41">
            <v>18.590271788141173</v>
          </cell>
          <cell r="E41">
            <v>17.278371487994946</v>
          </cell>
          <cell r="F41">
            <v>17.869534929209973</v>
          </cell>
          <cell r="G41">
            <v>19.811429142637387</v>
          </cell>
          <cell r="H41">
            <v>21.540352996680127</v>
          </cell>
          <cell r="I41">
            <v>23.890911677612358</v>
          </cell>
          <cell r="J41">
            <v>26.361934597603806</v>
          </cell>
          <cell r="K41">
            <v>26.950584621723777</v>
          </cell>
          <cell r="L41">
            <v>28.604740626532436</v>
          </cell>
        </row>
      </sheetData>
      <sheetData sheetId="3">
        <row r="7">
          <cell r="B7">
            <v>2018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43101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101.1 - UT 2017"/>
    </sheetNames>
    <sheetDataSet>
      <sheetData sheetId="0">
        <row r="1">
          <cell r="N1" t="str">
            <v>101.1 - UT 2017.Q1 - 1a - GRID AC Study CONF _2017 05 30 Thermal</v>
          </cell>
        </row>
      </sheetData>
      <sheetData sheetId="1">
        <row r="1">
          <cell r="K1" t="str">
            <v>101.1 - UT 2017.Q1 - 1a - GRID AC Study CONF _2017 05 30 Thermal</v>
          </cell>
        </row>
      </sheetData>
      <sheetData sheetId="2">
        <row r="5">
          <cell r="C5">
            <v>2018</v>
          </cell>
          <cell r="D5">
            <v>2019</v>
          </cell>
          <cell r="E5">
            <v>2020</v>
          </cell>
          <cell r="F5">
            <v>2021</v>
          </cell>
          <cell r="G5">
            <v>2022</v>
          </cell>
          <cell r="H5">
            <v>2023</v>
          </cell>
          <cell r="I5">
            <v>2024</v>
          </cell>
          <cell r="J5">
            <v>2025</v>
          </cell>
          <cell r="K5">
            <v>2026</v>
          </cell>
          <cell r="L5">
            <v>2027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2407061.8343800008</v>
          </cell>
          <cell r="D7">
            <v>461823.62724006176</v>
          </cell>
          <cell r="E7">
            <v>2427825.0299203098</v>
          </cell>
          <cell r="F7">
            <v>4323807.8788200617</v>
          </cell>
          <cell r="G7">
            <v>4414726.3008399606</v>
          </cell>
          <cell r="H7">
            <v>4725345.093539983</v>
          </cell>
          <cell r="I7">
            <v>4316023.4138000309</v>
          </cell>
          <cell r="J7">
            <v>4805607.3429159522</v>
          </cell>
          <cell r="K7">
            <v>4847580.3427500427</v>
          </cell>
          <cell r="L7">
            <v>4597643.398059994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-1166886.7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-3.1621057670563459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-5997854.401250124</v>
          </cell>
          <cell r="D11">
            <v>-2299053.6702200174</v>
          </cell>
          <cell r="E11">
            <v>-1880003.9853000641</v>
          </cell>
          <cell r="F11">
            <v>-2182072.4883998632</v>
          </cell>
          <cell r="G11">
            <v>-1649868.0534199476</v>
          </cell>
          <cell r="H11">
            <v>-2202053.3494051695</v>
          </cell>
          <cell r="I11">
            <v>-2253401.8041701317</v>
          </cell>
          <cell r="J11">
            <v>-3895447.9804801941</v>
          </cell>
          <cell r="K11">
            <v>-2747663.1239100695</v>
          </cell>
          <cell r="L11">
            <v>-2374480.433079958</v>
          </cell>
        </row>
        <row r="12">
          <cell r="C12">
            <v>-52.137554496526718</v>
          </cell>
          <cell r="D12">
            <v>-43.666273206472397</v>
          </cell>
          <cell r="E12">
            <v>-8.9671183228492737</v>
          </cell>
          <cell r="F12">
            <v>-30.796037316322327</v>
          </cell>
          <cell r="G12">
            <v>-1067.8302448093891</v>
          </cell>
          <cell r="H12">
            <v>-7368.3375999927521</v>
          </cell>
          <cell r="I12">
            <v>-6602.0500000119209</v>
          </cell>
          <cell r="J12">
            <v>-6747.2269999980927</v>
          </cell>
          <cell r="K12">
            <v>-6121.7659999728203</v>
          </cell>
          <cell r="L12">
            <v>-3664.5056000053883</v>
          </cell>
        </row>
        <row r="13">
          <cell r="C13">
            <v>-5703356.2263101339</v>
          </cell>
          <cell r="D13">
            <v>-7970752.0058610439</v>
          </cell>
          <cell r="E13">
            <v>-5739412.0876580477</v>
          </cell>
          <cell r="F13">
            <v>-5301064.8648099899</v>
          </cell>
          <cell r="G13">
            <v>-5944994.3059200048</v>
          </cell>
          <cell r="H13">
            <v>-5735923.9782831669</v>
          </cell>
          <cell r="I13">
            <v>-6342935.1838461161</v>
          </cell>
          <cell r="J13">
            <v>-6597734.0155268908</v>
          </cell>
          <cell r="K13">
            <v>-7458105.995279789</v>
          </cell>
          <cell r="L13">
            <v>-6753846.0163770914</v>
          </cell>
        </row>
        <row r="14">
          <cell r="C14">
            <v>-638741.08706995845</v>
          </cell>
          <cell r="D14">
            <v>-1661867.7678099871</v>
          </cell>
          <cell r="E14">
            <v>-2435660.6722000241</v>
          </cell>
          <cell r="F14">
            <v>-1449719.0765500069</v>
          </cell>
          <cell r="G14">
            <v>-1881016.5458101034</v>
          </cell>
          <cell r="H14">
            <v>-3091175.7699100375</v>
          </cell>
          <cell r="I14">
            <v>-3868460.9047000408</v>
          </cell>
          <cell r="J14">
            <v>-2693698.0613999963</v>
          </cell>
          <cell r="K14">
            <v>-2980551.3645499945</v>
          </cell>
          <cell r="L14">
            <v>-5303576.6146200299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-13298.657650000066</v>
          </cell>
          <cell r="D16">
            <v>-14492.021600000095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-11086.720900000015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-14760364.344214713</v>
          </cell>
          <cell r="D17">
            <v>-13574919.459004316</v>
          </cell>
          <cell r="E17">
            <v>-12482910.742196769</v>
          </cell>
          <cell r="F17">
            <v>-13256698.266723005</v>
          </cell>
          <cell r="G17">
            <v>-13891673.036234826</v>
          </cell>
          <cell r="H17">
            <v>-15761866.52873835</v>
          </cell>
          <cell r="I17">
            <v>-16798510.077416331</v>
          </cell>
          <cell r="J17">
            <v>-17999234.627323031</v>
          </cell>
          <cell r="K17">
            <v>-18040022.592489868</v>
          </cell>
          <cell r="L17">
            <v>-19033210.967737079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102531.29369999934</v>
          </cell>
          <cell r="D20">
            <v>26820.267300000414</v>
          </cell>
          <cell r="E20">
            <v>137953.32449754141</v>
          </cell>
          <cell r="F20">
            <v>226252.30802810006</v>
          </cell>
          <cell r="G20">
            <v>217067.95157099888</v>
          </cell>
          <cell r="H20">
            <v>207146.88101119921</v>
          </cell>
          <cell r="I20">
            <v>177373.96547700092</v>
          </cell>
          <cell r="J20">
            <v>177567.8154480001</v>
          </cell>
          <cell r="K20">
            <v>179912.98797599785</v>
          </cell>
          <cell r="L20">
            <v>164673.4639867004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-41599.999999999993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-253919.93890200183</v>
          </cell>
          <cell r="D23">
            <v>-117141.26751000062</v>
          </cell>
          <cell r="E23">
            <v>-85552.29245999828</v>
          </cell>
          <cell r="F23">
            <v>-89803.092742998153</v>
          </cell>
          <cell r="G23">
            <v>-64419.263627000153</v>
          </cell>
          <cell r="H23">
            <v>-67176.865068003535</v>
          </cell>
          <cell r="I23">
            <v>-66778.60898699984</v>
          </cell>
          <cell r="J23">
            <v>-103648.15998100489</v>
          </cell>
          <cell r="K23">
            <v>-73675.485949002206</v>
          </cell>
          <cell r="L23">
            <v>-61059.180687993765</v>
          </cell>
        </row>
        <row r="24">
          <cell r="C24">
            <v>-351157.5856589973</v>
          </cell>
          <cell r="D24">
            <v>-461157.7933200039</v>
          </cell>
          <cell r="E24">
            <v>-376879.12292900309</v>
          </cell>
          <cell r="F24">
            <v>-340224.60197800398</v>
          </cell>
          <cell r="G24">
            <v>-353541.09520500153</v>
          </cell>
          <cell r="H24">
            <v>-320914.09342000633</v>
          </cell>
          <cell r="I24">
            <v>-347935.26629200205</v>
          </cell>
          <cell r="J24">
            <v>-350120.71986100078</v>
          </cell>
          <cell r="K24">
            <v>-373500.94014699757</v>
          </cell>
          <cell r="L24">
            <v>-318276.54697900265</v>
          </cell>
        </row>
        <row r="25">
          <cell r="C25">
            <v>-36385.119178000838</v>
          </cell>
          <cell r="D25">
            <v>-96759.313433498144</v>
          </cell>
          <cell r="E25">
            <v>-146255.36827199906</v>
          </cell>
          <cell r="F25">
            <v>-88320.233578497544</v>
          </cell>
          <cell r="G25">
            <v>-109571.64238050021</v>
          </cell>
          <cell r="H25">
            <v>-149362.09196649864</v>
          </cell>
          <cell r="I25">
            <v>-154063.13701700047</v>
          </cell>
          <cell r="J25">
            <v>-113263.31299999915</v>
          </cell>
          <cell r="K25">
            <v>-117510.62873299979</v>
          </cell>
          <cell r="L25">
            <v>-200590.83891999908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-605.75419800000236</v>
          </cell>
          <cell r="D27">
            <v>-1121.4126199999955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-489.08188199999995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-744599.69163699925</v>
          </cell>
          <cell r="D28">
            <v>-744600.05418350303</v>
          </cell>
          <cell r="E28">
            <v>-746640.10815854184</v>
          </cell>
          <cell r="F28">
            <v>-744600.23632759973</v>
          </cell>
          <cell r="G28">
            <v>-744599.95278350078</v>
          </cell>
          <cell r="H28">
            <v>-744599.93146570772</v>
          </cell>
          <cell r="I28">
            <v>-746640.05965500325</v>
          </cell>
          <cell r="J28">
            <v>-744600.00829000492</v>
          </cell>
          <cell r="K28">
            <v>-744600.04280499741</v>
          </cell>
          <cell r="L28">
            <v>-744600.0305736959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23.476362654926849</v>
          </cell>
          <cell r="D31">
            <v>17.219203003247273</v>
          </cell>
          <cell r="E31">
            <v>17.598887440828424</v>
          </cell>
          <cell r="F31">
            <v>19.110558104375464</v>
          </cell>
          <cell r="G31">
            <v>20.337992176592618</v>
          </cell>
          <cell r="H31">
            <v>22.811567668665557</v>
          </cell>
          <cell r="I31">
            <v>24.332902532754535</v>
          </cell>
          <cell r="J31">
            <v>27.063504333775239</v>
          </cell>
          <cell r="K31">
            <v>26.944026650242488</v>
          </cell>
          <cell r="L31">
            <v>27.919758816947674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28.050161057692311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-4.2467160400753928E-6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23.621045386140171</v>
          </cell>
          <cell r="D35">
            <v>19.626334246586005</v>
          </cell>
          <cell r="E35">
            <v>21.974910680261413</v>
          </cell>
          <cell r="F35">
            <v>24.298411354769261</v>
          </cell>
          <cell r="G35">
            <v>25.611408149167911</v>
          </cell>
          <cell r="H35">
            <v>32.779936175586904</v>
          </cell>
          <cell r="I35">
            <v>33.744365723592921</v>
          </cell>
          <cell r="J35">
            <v>37.583378047368079</v>
          </cell>
          <cell r="K35">
            <v>37.294129635086328</v>
          </cell>
          <cell r="L35">
            <v>38.888180390321857</v>
          </cell>
        </row>
        <row r="36">
          <cell r="C36">
            <v>16.241586282713993</v>
          </cell>
          <cell r="D36">
            <v>17.284218376702196</v>
          </cell>
          <cell r="E36">
            <v>15.228787530210965</v>
          </cell>
          <cell r="F36">
            <v>15.581074484298204</v>
          </cell>
          <cell r="G36">
            <v>16.81556793976889</v>
          </cell>
          <cell r="H36">
            <v>17.873705442958212</v>
          </cell>
          <cell r="I36">
            <v>18.23021636019746</v>
          </cell>
          <cell r="J36">
            <v>18.844169000184323</v>
          </cell>
          <cell r="K36">
            <v>19.968105012920518</v>
          </cell>
          <cell r="L36">
            <v>21.220055578969998</v>
          </cell>
        </row>
        <row r="37">
          <cell r="C37">
            <v>17.555008792060079</v>
          </cell>
          <cell r="D37">
            <v>17.175274491299223</v>
          </cell>
          <cell r="E37">
            <v>16.65347878151244</v>
          </cell>
          <cell r="F37">
            <v>16.414348307418376</v>
          </cell>
          <cell r="G37">
            <v>17.167001469942885</v>
          </cell>
          <cell r="H37">
            <v>20.695852134980651</v>
          </cell>
          <cell r="I37">
            <v>25.109581562480884</v>
          </cell>
          <cell r="J37">
            <v>23.782617601870928</v>
          </cell>
          <cell r="K37">
            <v>25.364100223837749</v>
          </cell>
          <cell r="L37">
            <v>26.439774833063222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21.953884420294212</v>
          </cell>
          <cell r="D39">
            <v>12.923005628383381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22.668435098562934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19.823221134787357</v>
          </cell>
          <cell r="D41">
            <v>18.231155615332312</v>
          </cell>
          <cell r="E41">
            <v>16.718778707165491</v>
          </cell>
          <cell r="F41">
            <v>17.803779289818131</v>
          </cell>
          <cell r="G41">
            <v>18.656559115138645</v>
          </cell>
          <cell r="H41">
            <v>21.16823526657047</v>
          </cell>
          <cell r="I41">
            <v>22.498806299220465</v>
          </cell>
          <cell r="J41">
            <v>24.173025016020059</v>
          </cell>
          <cell r="K41">
            <v>24.227802250092473</v>
          </cell>
          <cell r="L41">
            <v>25.561657515743669</v>
          </cell>
        </row>
      </sheetData>
      <sheetData sheetId="3"/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43101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1">
          <cell r="N1" t="str">
            <v>45 - UT 2016.Q4 - 1b - GRID AC Study CONF _2017 03 09 (GOLD)</v>
          </cell>
        </row>
      </sheetData>
      <sheetData sheetId="1">
        <row r="1">
          <cell r="K1" t="str">
            <v>45 - UT 2016.Q4 - 1b - GRID AC Study CONF _2017 03 09 (GOLD)</v>
          </cell>
        </row>
      </sheetData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-2301857.4153329134</v>
          </cell>
          <cell r="D7">
            <v>-1050467.315449059</v>
          </cell>
          <cell r="E7">
            <v>-65582.201109945774</v>
          </cell>
          <cell r="F7">
            <v>26207.402129948139</v>
          </cell>
          <cell r="G7">
            <v>170797.47070997953</v>
          </cell>
          <cell r="H7">
            <v>127483.89896702766</v>
          </cell>
          <cell r="I7">
            <v>118552.74277001619</v>
          </cell>
          <cell r="J7">
            <v>-54389.265309929848</v>
          </cell>
          <cell r="K7">
            <v>-49817.594720005989</v>
          </cell>
          <cell r="L7">
            <v>35901.925670027733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-7740654.5</v>
          </cell>
          <cell r="D9">
            <v>-7848057.5</v>
          </cell>
          <cell r="E9">
            <v>-24195554.743959978</v>
          </cell>
          <cell r="F9">
            <v>-24150317.828810036</v>
          </cell>
          <cell r="G9">
            <v>-25035331.927379981</v>
          </cell>
          <cell r="H9">
            <v>-26611509.040339991</v>
          </cell>
          <cell r="I9">
            <v>-28040420.669210002</v>
          </cell>
          <cell r="J9">
            <v>-29312135.197940022</v>
          </cell>
          <cell r="K9">
            <v>-30636022.944520026</v>
          </cell>
          <cell r="L9">
            <v>-31459267.109679967</v>
          </cell>
        </row>
        <row r="10">
          <cell r="C10">
            <v>85561.702620442957</v>
          </cell>
          <cell r="D10">
            <v>172714.64911281876</v>
          </cell>
          <cell r="E10">
            <v>176479.96130871773</v>
          </cell>
          <cell r="F10">
            <v>128941.59321476147</v>
          </cell>
          <cell r="G10">
            <v>105203.74893758632</v>
          </cell>
          <cell r="H10">
            <v>6714.3635162208229</v>
          </cell>
          <cell r="I10">
            <v>4541.7894585058093</v>
          </cell>
          <cell r="J10">
            <v>673.70700172241777</v>
          </cell>
          <cell r="K10">
            <v>1369.7535567814484</v>
          </cell>
          <cell r="L10">
            <v>576.00707205059007</v>
          </cell>
        </row>
        <row r="11">
          <cell r="C11">
            <v>-7231236.8229497671</v>
          </cell>
          <cell r="D11">
            <v>-9411494.3800499439</v>
          </cell>
          <cell r="E11">
            <v>360382.31430983543</v>
          </cell>
          <cell r="F11">
            <v>-83396.19420003891</v>
          </cell>
          <cell r="G11">
            <v>51993.123400092125</v>
          </cell>
          <cell r="H11">
            <v>89251.212980151176</v>
          </cell>
          <cell r="I11">
            <v>-14855.43799996376</v>
          </cell>
          <cell r="J11">
            <v>-284853.66700005531</v>
          </cell>
          <cell r="K11">
            <v>-240526.24500000477</v>
          </cell>
          <cell r="L11">
            <v>-232612.24000000954</v>
          </cell>
        </row>
        <row r="12">
          <cell r="C12">
            <v>-10861.17199999094</v>
          </cell>
          <cell r="D12">
            <v>-11963.124000012875</v>
          </cell>
          <cell r="E12">
            <v>-3302.5479999780655</v>
          </cell>
          <cell r="F12">
            <v>-4023.0875999927521</v>
          </cell>
          <cell r="G12">
            <v>-3120.2179999947548</v>
          </cell>
          <cell r="H12">
            <v>-2329.266999989748</v>
          </cell>
          <cell r="I12">
            <v>-997.34499999880791</v>
          </cell>
          <cell r="J12">
            <v>-24.745999991893768</v>
          </cell>
          <cell r="K12">
            <v>0</v>
          </cell>
          <cell r="L12">
            <v>0</v>
          </cell>
        </row>
        <row r="13">
          <cell r="C13">
            <v>-7672281.6346939802</v>
          </cell>
          <cell r="D13">
            <v>-8334274.3649542332</v>
          </cell>
          <cell r="E13">
            <v>-1678494.4260790348</v>
          </cell>
          <cell r="F13">
            <v>-1710756.200296998</v>
          </cell>
          <cell r="G13">
            <v>-1769421.3003920317</v>
          </cell>
          <cell r="H13">
            <v>-1141882.960089922</v>
          </cell>
          <cell r="I13">
            <v>-540417.26191806793</v>
          </cell>
          <cell r="J13">
            <v>-133318.95971608162</v>
          </cell>
          <cell r="K13">
            <v>-112289.87973797321</v>
          </cell>
          <cell r="L13">
            <v>-73396.756745934486</v>
          </cell>
        </row>
        <row r="14">
          <cell r="C14">
            <v>-5913025.4682700038</v>
          </cell>
          <cell r="D14">
            <v>-3743402.8867400289</v>
          </cell>
          <cell r="E14">
            <v>-291291.84969997406</v>
          </cell>
          <cell r="F14">
            <v>-178119.50696003437</v>
          </cell>
          <cell r="G14">
            <v>-192359.21377009153</v>
          </cell>
          <cell r="H14">
            <v>-327798.88674998283</v>
          </cell>
          <cell r="I14">
            <v>-334228.70810997486</v>
          </cell>
          <cell r="J14">
            <v>-324912.5322098732</v>
          </cell>
          <cell r="K14">
            <v>-347344.56516993046</v>
          </cell>
          <cell r="L14">
            <v>-332546.0505900383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-165057.88149005175</v>
          </cell>
          <cell r="G15">
            <v>-131449.37531004846</v>
          </cell>
          <cell r="H15">
            <v>-217808.39568008482</v>
          </cell>
          <cell r="I15">
            <v>-141339.24802000821</v>
          </cell>
          <cell r="J15">
            <v>-95483.679759949446</v>
          </cell>
          <cell r="K15">
            <v>-108803.287910074</v>
          </cell>
          <cell r="L15">
            <v>-118842.89893993735</v>
          </cell>
        </row>
        <row r="16">
          <cell r="C16">
            <v>-82091.926599999948</v>
          </cell>
          <cell r="D16">
            <v>-168391.06896000006</v>
          </cell>
          <cell r="E16">
            <v>7925.2152000002097</v>
          </cell>
          <cell r="F16">
            <v>-194403.12247999921</v>
          </cell>
          <cell r="G16">
            <v>-151284.61893999996</v>
          </cell>
          <cell r="H16">
            <v>-80660.985400000587</v>
          </cell>
          <cell r="I16">
            <v>-202648.44940000027</v>
          </cell>
          <cell r="J16">
            <v>-244184.9441000009</v>
          </cell>
          <cell r="K16">
            <v>-205018.53759999759</v>
          </cell>
          <cell r="L16">
            <v>-104761.01139999926</v>
          </cell>
        </row>
        <row r="17">
          <cell r="C17">
            <v>-26262732.406560387</v>
          </cell>
          <cell r="D17">
            <v>-28294401.360142339</v>
          </cell>
          <cell r="E17">
            <v>-25558273.875810467</v>
          </cell>
          <cell r="F17">
            <v>-26383339.630752336</v>
          </cell>
          <cell r="G17">
            <v>-27296567.25216445</v>
          </cell>
          <cell r="H17">
            <v>-28413507.857730627</v>
          </cell>
          <cell r="I17">
            <v>-29388918.072969526</v>
          </cell>
          <cell r="J17">
            <v>-30339850.75441432</v>
          </cell>
          <cell r="K17">
            <v>-31598818.111661218</v>
          </cell>
          <cell r="L17">
            <v>-32356751.985953864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-24179.226353798993</v>
          </cell>
          <cell r="D20">
            <v>2470.4365202998742</v>
          </cell>
          <cell r="E20">
            <v>784.54095670115203</v>
          </cell>
          <cell r="F20">
            <v>4194.4466094998643</v>
          </cell>
          <cell r="G20">
            <v>5701.8334905980155</v>
          </cell>
          <cell r="H20">
            <v>4522.1990647986531</v>
          </cell>
          <cell r="I20">
            <v>4366.9250350017101</v>
          </cell>
          <cell r="J20">
            <v>2136.332499999553</v>
          </cell>
          <cell r="K20">
            <v>2274.9889000002295</v>
          </cell>
          <cell r="L20">
            <v>2953.5923000006005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-123200.02464000019</v>
          </cell>
          <cell r="D22">
            <v>-121600.02432000032</v>
          </cell>
          <cell r="E22">
            <v>-670921.6478550001</v>
          </cell>
          <cell r="F22">
            <v>-650987.99394699885</v>
          </cell>
          <cell r="G22">
            <v>-656263.01693949988</v>
          </cell>
          <cell r="H22">
            <v>-678729.73648550035</v>
          </cell>
          <cell r="I22">
            <v>-699854.62288649986</v>
          </cell>
          <cell r="J22">
            <v>-711730.2186149992</v>
          </cell>
          <cell r="K22">
            <v>-715259.64960699948</v>
          </cell>
          <cell r="L22">
            <v>-715277.17248400068</v>
          </cell>
        </row>
        <row r="23">
          <cell r="C23">
            <v>-164446.43062300235</v>
          </cell>
          <cell r="D23">
            <v>-204514.7588837035</v>
          </cell>
          <cell r="E23">
            <v>3803.7183260023594</v>
          </cell>
          <cell r="F23">
            <v>-5582.8324059993029</v>
          </cell>
          <cell r="G23">
            <v>-3155.9596969969571</v>
          </cell>
          <cell r="H23">
            <v>-2321.3458672985435</v>
          </cell>
          <cell r="I23">
            <v>-4206.4776249974966</v>
          </cell>
          <cell r="J23">
            <v>-8958.1284099966288</v>
          </cell>
          <cell r="K23">
            <v>-8011.0714400019497</v>
          </cell>
          <cell r="L23">
            <v>-7408.1145399957895</v>
          </cell>
        </row>
        <row r="24">
          <cell r="C24">
            <v>-302978.18610899523</v>
          </cell>
          <cell r="D24">
            <v>-296995.84238100052</v>
          </cell>
          <cell r="E24">
            <v>-65049.612451009452</v>
          </cell>
          <cell r="F24">
            <v>-65392.915592994541</v>
          </cell>
          <cell r="G24">
            <v>-64869.380773998797</v>
          </cell>
          <cell r="H24">
            <v>-40377.044571995735</v>
          </cell>
          <cell r="I24">
            <v>-17506.84552199766</v>
          </cell>
          <cell r="J24">
            <v>-3890.2211269959807</v>
          </cell>
          <cell r="K24">
            <v>-3235.652652002871</v>
          </cell>
          <cell r="L24">
            <v>-2130.4839080013335</v>
          </cell>
        </row>
        <row r="25">
          <cell r="C25">
            <v>-178368.14664100111</v>
          </cell>
          <cell r="D25">
            <v>-114968.89430800267</v>
          </cell>
          <cell r="E25">
            <v>-11628.913677001372</v>
          </cell>
          <cell r="F25">
            <v>-8129.2761640008539</v>
          </cell>
          <cell r="G25">
            <v>-8682.5255285035819</v>
          </cell>
          <cell r="H25">
            <v>-9799.8803780004382</v>
          </cell>
          <cell r="I25">
            <v>-9807.7183379996568</v>
          </cell>
          <cell r="J25">
            <v>-9203.3842840008438</v>
          </cell>
          <cell r="K25">
            <v>-9445.5461459998041</v>
          </cell>
          <cell r="L25">
            <v>-8776.668227000162</v>
          </cell>
        </row>
        <row r="26">
          <cell r="C26">
            <v>0</v>
          </cell>
          <cell r="D26">
            <v>2.3283064365386963E-10</v>
          </cell>
          <cell r="E26">
            <v>0</v>
          </cell>
          <cell r="F26">
            <v>-5497.0113571998663</v>
          </cell>
          <cell r="G26">
            <v>-4301.6326040006243</v>
          </cell>
          <cell r="H26">
            <v>-6800.2203273973428</v>
          </cell>
          <cell r="I26">
            <v>-4212.3522529019974</v>
          </cell>
          <cell r="J26">
            <v>-2746.8950954042375</v>
          </cell>
          <cell r="K26">
            <v>-2966.0706792022102</v>
          </cell>
          <cell r="L26">
            <v>-3221.1623613000847</v>
          </cell>
        </row>
        <row r="27">
          <cell r="C27">
            <v>-1826.3198140000004</v>
          </cell>
          <cell r="D27">
            <v>-4049.8125790000049</v>
          </cell>
          <cell r="E27">
            <v>-18.940372000004572</v>
          </cell>
          <cell r="F27">
            <v>-4815.4588281000033</v>
          </cell>
          <cell r="G27">
            <v>-3665.5898119999983</v>
          </cell>
          <cell r="H27">
            <v>-2049.1890449999919</v>
          </cell>
          <cell r="I27">
            <v>-4645.1486440000008</v>
          </cell>
          <cell r="J27">
            <v>-5934.5916879999859</v>
          </cell>
          <cell r="K27">
            <v>-5446.9825450000062</v>
          </cell>
          <cell r="L27">
            <v>-4832.7400899999193</v>
          </cell>
        </row>
        <row r="28">
          <cell r="C28">
            <v>-746639.88147319993</v>
          </cell>
          <cell r="D28">
            <v>-744599.76899200666</v>
          </cell>
          <cell r="E28">
            <v>-744599.9369857097</v>
          </cell>
          <cell r="F28">
            <v>-744599.93490479328</v>
          </cell>
          <cell r="G28">
            <v>-746639.93884559791</v>
          </cell>
          <cell r="H28">
            <v>-744599.61573999107</v>
          </cell>
          <cell r="I28">
            <v>-744600.09030339844</v>
          </cell>
          <cell r="J28">
            <v>-744599.77171939646</v>
          </cell>
          <cell r="K28">
            <v>-746639.96196920658</v>
          </cell>
          <cell r="L28">
            <v>-744599.93391029863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95.199795959197431</v>
          </cell>
          <cell r="D31">
            <v>-425.21526330154313</v>
          </cell>
          <cell r="E31">
            <v>-83.593087842993768</v>
          </cell>
          <cell r="F31">
            <v>6.2481191370017335</v>
          </cell>
          <cell r="G31">
            <v>29.954833123698617</v>
          </cell>
          <cell r="H31">
            <v>28.190687128166875</v>
          </cell>
          <cell r="I31">
            <v>27.147876782814929</v>
          </cell>
          <cell r="J31">
            <v>-25.459176092645329</v>
          </cell>
          <cell r="K31">
            <v>-21.897950675715808</v>
          </cell>
          <cell r="L31">
            <v>12.155342384262186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62.829975258680172</v>
          </cell>
          <cell r="D33">
            <v>64.539933638065733</v>
          </cell>
          <cell r="E33">
            <v>36.063160014757983</v>
          </cell>
          <cell r="F33">
            <v>37.097946587900161</v>
          </cell>
          <cell r="G33">
            <v>38.148320537904027</v>
          </cell>
          <cell r="H33">
            <v>39.20781366989435</v>
          </cell>
          <cell r="I33">
            <v>40.066064797227902</v>
          </cell>
          <cell r="J33">
            <v>41.184334220036853</v>
          </cell>
          <cell r="K33">
            <v>42.832030244335797</v>
          </cell>
          <cell r="L33">
            <v>43.981925217085895</v>
          </cell>
        </row>
        <row r="34">
          <cell r="C34">
            <v>0.11459567690332938</v>
          </cell>
          <cell r="D34">
            <v>0.23195635602550513</v>
          </cell>
          <cell r="E34">
            <v>0.23701312952448547</v>
          </cell>
          <cell r="F34">
            <v>0.17316895579805325</v>
          </cell>
          <cell r="G34">
            <v>0.14090292182902103</v>
          </cell>
          <cell r="H34">
            <v>9.0174146941346678E-3</v>
          </cell>
          <cell r="I34">
            <v>6.0996359222239543E-3</v>
          </cell>
          <cell r="J34">
            <v>9.0479077124442807E-4</v>
          </cell>
          <cell r="K34">
            <v>1.8345569840232322E-3</v>
          </cell>
          <cell r="L34">
            <v>7.7357926830004422E-4</v>
          </cell>
        </row>
        <row r="35">
          <cell r="C35">
            <v>43.973206323508244</v>
          </cell>
          <cell r="D35">
            <v>46.018656215426255</v>
          </cell>
          <cell r="E35">
            <v>94.744742755069055</v>
          </cell>
          <cell r="F35">
            <v>14.93797200690128</v>
          </cell>
          <cell r="G35">
            <v>-16.474584085964725</v>
          </cell>
          <cell r="H35">
            <v>-38.448046125938525</v>
          </cell>
          <cell r="I35">
            <v>3.5315623484322232</v>
          </cell>
          <cell r="J35">
            <v>31.798346034220614</v>
          </cell>
          <cell r="K35">
            <v>30.024229193485539</v>
          </cell>
          <cell r="L35">
            <v>31.399654897903581</v>
          </cell>
        </row>
        <row r="36">
          <cell r="C36">
            <v>25.322884572072482</v>
          </cell>
          <cell r="D36">
            <v>28.061922679249584</v>
          </cell>
          <cell r="E36">
            <v>25.803296327755255</v>
          </cell>
          <cell r="F36">
            <v>26.161185577727462</v>
          </cell>
          <cell r="G36">
            <v>27.27667937137544</v>
          </cell>
          <cell r="H36">
            <v>28.280498788212363</v>
          </cell>
          <cell r="I36">
            <v>30.868911320376029</v>
          </cell>
          <cell r="J36">
            <v>34.270278054612845</v>
          </cell>
          <cell r="K36">
            <v>34.703935129892791</v>
          </cell>
          <cell r="L36">
            <v>34.450744485927629</v>
          </cell>
        </row>
        <row r="37">
          <cell r="C37">
            <v>33.150680654719487</v>
          </cell>
          <cell r="D37">
            <v>32.560136454921626</v>
          </cell>
          <cell r="E37">
            <v>25.048930432432833</v>
          </cell>
          <cell r="F37">
            <v>21.910869229514795</v>
          </cell>
          <cell r="G37">
            <v>22.154753606954763</v>
          </cell>
          <cell r="H37">
            <v>33.449274287658881</v>
          </cell>
          <cell r="I37">
            <v>34.078130773292862</v>
          </cell>
          <cell r="J37">
            <v>35.303592915782176</v>
          </cell>
          <cell r="K37">
            <v>36.773370200200773</v>
          </cell>
          <cell r="L37">
            <v>37.889782544930661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30.026840179957517</v>
          </cell>
          <cell r="G38">
            <v>30.558020038205331</v>
          </cell>
          <cell r="H38">
            <v>32.029608629379062</v>
          </cell>
          <cell r="I38">
            <v>33.553520582861033</v>
          </cell>
          <cell r="J38">
            <v>34.76058474883181</v>
          </cell>
          <cell r="K38">
            <v>36.68263493280579</v>
          </cell>
          <cell r="L38">
            <v>36.894414379029158</v>
          </cell>
        </row>
        <row r="39">
          <cell r="C39">
            <v>44.949370844420969</v>
          </cell>
          <cell r="D39">
            <v>41.579965905874047</v>
          </cell>
          <cell r="E39">
            <v>-418.42975417791672</v>
          </cell>
          <cell r="F39">
            <v>40.370633291595034</v>
          </cell>
          <cell r="G39">
            <v>41.271562476723737</v>
          </cell>
          <cell r="H39">
            <v>39.362393429153293</v>
          </cell>
          <cell r="I39">
            <v>43.625826627045662</v>
          </cell>
          <cell r="J39">
            <v>41.146039515027454</v>
          </cell>
          <cell r="K39">
            <v>37.638919513004858</v>
          </cell>
          <cell r="L39">
            <v>21.677352692062737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35.174564148302956</v>
          </cell>
          <cell r="D41">
            <v>37.999476414618769</v>
          </cell>
          <cell r="E41">
            <v>34.324840234711139</v>
          </cell>
          <cell r="F41">
            <v>35.432906174140058</v>
          </cell>
          <cell r="G41">
            <v>36.559211250296201</v>
          </cell>
          <cell r="H41">
            <v>38.159444696319078</v>
          </cell>
          <cell r="I41">
            <v>39.469399017927287</v>
          </cell>
          <cell r="J41">
            <v>40.746521697629447</v>
          </cell>
          <cell r="K41">
            <v>42.321359317979336</v>
          </cell>
          <cell r="L41">
            <v>43.455217375632827</v>
          </cell>
        </row>
      </sheetData>
      <sheetData sheetId="3">
        <row r="7">
          <cell r="B7">
            <v>2028</v>
          </cell>
        </row>
      </sheetData>
      <sheetData sheetId="4"/>
      <sheetData sheetId="5"/>
      <sheetData sheetId="6">
        <row r="1">
          <cell r="F1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25">
          <cell r="B25">
            <v>2028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PTC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  <sheetName val="45 - UT 2016"/>
    </sheetNames>
    <sheetDataSet>
      <sheetData sheetId="0">
        <row r="1">
          <cell r="N1" t="str">
            <v>45 - UT 2016.Q4 - 2b - GRID AC Study CONF _2017 05 31 (GOLD)_1703 OFPC</v>
          </cell>
        </row>
      </sheetData>
      <sheetData sheetId="1"/>
      <sheetData sheetId="2">
        <row r="5">
          <cell r="C5">
            <v>2028</v>
          </cell>
          <cell r="D5">
            <v>2029</v>
          </cell>
          <cell r="E5">
            <v>2030</v>
          </cell>
          <cell r="F5">
            <v>2031</v>
          </cell>
          <cell r="G5">
            <v>2032</v>
          </cell>
          <cell r="H5">
            <v>2033</v>
          </cell>
          <cell r="I5">
            <v>2034</v>
          </cell>
          <cell r="J5">
            <v>2035</v>
          </cell>
          <cell r="K5">
            <v>2036</v>
          </cell>
          <cell r="L5">
            <v>2037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-1351398.9566919804</v>
          </cell>
          <cell r="D7">
            <v>-1045314.484899044</v>
          </cell>
          <cell r="E7">
            <v>354039.28548997641</v>
          </cell>
          <cell r="F7">
            <v>-9076.9633499979973</v>
          </cell>
          <cell r="G7">
            <v>15837.782440006733</v>
          </cell>
          <cell r="H7">
            <v>109559.30771994591</v>
          </cell>
          <cell r="I7">
            <v>121040.12269997597</v>
          </cell>
          <cell r="J7">
            <v>-61378.346229970455</v>
          </cell>
          <cell r="K7">
            <v>-25256.594770014286</v>
          </cell>
          <cell r="L7">
            <v>103534.02788001299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-6867166.5</v>
          </cell>
          <cell r="D9">
            <v>-7066114.5</v>
          </cell>
          <cell r="E9">
            <v>-21741791.203789979</v>
          </cell>
          <cell r="F9">
            <v>-22402224.799549982</v>
          </cell>
          <cell r="G9">
            <v>-23722419.98988001</v>
          </cell>
          <cell r="H9">
            <v>-25997483.233529985</v>
          </cell>
          <cell r="I9">
            <v>-27858786.421240002</v>
          </cell>
          <cell r="J9">
            <v>-29750843.216660023</v>
          </cell>
          <cell r="K9">
            <v>-32093538.083279967</v>
          </cell>
          <cell r="L9">
            <v>-33107789.153250039</v>
          </cell>
        </row>
        <row r="10">
          <cell r="C10">
            <v>63478.090901358053</v>
          </cell>
          <cell r="D10">
            <v>63578.609379297122</v>
          </cell>
          <cell r="E10">
            <v>234823.02828637697</v>
          </cell>
          <cell r="F10">
            <v>146573.30309854448</v>
          </cell>
          <cell r="G10">
            <v>175698.72934133001</v>
          </cell>
          <cell r="H10">
            <v>19195.659001801163</v>
          </cell>
          <cell r="I10">
            <v>6697.6930848229676</v>
          </cell>
          <cell r="J10">
            <v>6564.8335923003033</v>
          </cell>
          <cell r="K10">
            <v>5224.8153226207942</v>
          </cell>
          <cell r="L10">
            <v>2977.185681886971</v>
          </cell>
        </row>
        <row r="11">
          <cell r="C11">
            <v>-7005693.5810600519</v>
          </cell>
          <cell r="D11">
            <v>-8621227.4019098282</v>
          </cell>
          <cell r="E11">
            <v>-1094671.5160999298</v>
          </cell>
          <cell r="F11">
            <v>299977.31302988529</v>
          </cell>
          <cell r="G11">
            <v>415540.25249993801</v>
          </cell>
          <cell r="H11">
            <v>161405.07790005207</v>
          </cell>
          <cell r="I11">
            <v>64841.275599956512</v>
          </cell>
          <cell r="J11">
            <v>-75151.408999800682</v>
          </cell>
          <cell r="K11">
            <v>-195983.89699983597</v>
          </cell>
          <cell r="L11">
            <v>-260268.24699985981</v>
          </cell>
        </row>
        <row r="12">
          <cell r="C12">
            <v>-9023.2849999964237</v>
          </cell>
          <cell r="D12">
            <v>-9392.9899999797344</v>
          </cell>
          <cell r="E12">
            <v>-3324.4219999909401</v>
          </cell>
          <cell r="F12">
            <v>-2936.8233000040054</v>
          </cell>
          <cell r="G12">
            <v>-1969.4769999980927</v>
          </cell>
          <cell r="H12">
            <v>-2591.0320000052452</v>
          </cell>
          <cell r="I12">
            <v>-1002.3417000174522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-7946776.7629799843</v>
          </cell>
          <cell r="D13">
            <v>-8181970.8495440483</v>
          </cell>
          <cell r="E13">
            <v>-2114373.256319046</v>
          </cell>
          <cell r="F13">
            <v>-1832299.8238669634</v>
          </cell>
          <cell r="G13">
            <v>-1764225.5315220356</v>
          </cell>
          <cell r="H13">
            <v>-1193813.6820600033</v>
          </cell>
          <cell r="I13">
            <v>-597216.13842320442</v>
          </cell>
          <cell r="J13">
            <v>-235132.1238181591</v>
          </cell>
          <cell r="K13">
            <v>-102062.68636596203</v>
          </cell>
          <cell r="L13">
            <v>-106080.97046601772</v>
          </cell>
        </row>
        <row r="14">
          <cell r="C14">
            <v>-3715837.7606899738</v>
          </cell>
          <cell r="D14">
            <v>-3295334.2257300019</v>
          </cell>
          <cell r="E14">
            <v>1345015.4121600389</v>
          </cell>
          <cell r="F14">
            <v>-542325.12468999624</v>
          </cell>
          <cell r="G14">
            <v>-632249.15193998814</v>
          </cell>
          <cell r="H14">
            <v>-177652.49641996622</v>
          </cell>
          <cell r="I14">
            <v>-251548.75334000587</v>
          </cell>
          <cell r="J14">
            <v>-355822.33736002445</v>
          </cell>
          <cell r="K14">
            <v>-470764.52290010452</v>
          </cell>
          <cell r="L14">
            <v>-361415.77050018311</v>
          </cell>
        </row>
        <row r="15">
          <cell r="C15">
            <v>0</v>
          </cell>
          <cell r="D15">
            <v>0</v>
          </cell>
          <cell r="E15">
            <v>-5.9604644775390625E-8</v>
          </cell>
          <cell r="F15">
            <v>-143691.14498002827</v>
          </cell>
          <cell r="G15">
            <v>-103653.94317008555</v>
          </cell>
          <cell r="H15">
            <v>-213220.14708995819</v>
          </cell>
          <cell r="I15">
            <v>-154713.60339000821</v>
          </cell>
          <cell r="J15">
            <v>-115751.85610997677</v>
          </cell>
          <cell r="K15">
            <v>-110947.66919004917</v>
          </cell>
          <cell r="L15">
            <v>-132989.98839980364</v>
          </cell>
        </row>
        <row r="16">
          <cell r="C16">
            <v>-44554.059699999983</v>
          </cell>
          <cell r="D16">
            <v>-264906.79086000007</v>
          </cell>
          <cell r="E16">
            <v>-178753.47050000075</v>
          </cell>
          <cell r="F16">
            <v>-259068.24425999913</v>
          </cell>
          <cell r="G16">
            <v>-222214.0840400001</v>
          </cell>
          <cell r="H16">
            <v>-177806.78929999936</v>
          </cell>
          <cell r="I16">
            <v>-311379.31100000069</v>
          </cell>
          <cell r="J16">
            <v>-405775.76460000034</v>
          </cell>
          <cell r="K16">
            <v>-421905.46882999875</v>
          </cell>
          <cell r="L16">
            <v>-251953.002194006</v>
          </cell>
        </row>
        <row r="17">
          <cell r="C17">
            <v>-24174174.901836667</v>
          </cell>
          <cell r="D17">
            <v>-26330053.663765516</v>
          </cell>
          <cell r="E17">
            <v>-23907114.713752568</v>
          </cell>
          <cell r="F17">
            <v>-24726918.381168544</v>
          </cell>
          <cell r="G17">
            <v>-25871330.978150859</v>
          </cell>
          <cell r="H17">
            <v>-27691525.951218009</v>
          </cell>
          <cell r="I17">
            <v>-29224147.723108437</v>
          </cell>
          <cell r="J17">
            <v>-30870533.527725715</v>
          </cell>
          <cell r="K17">
            <v>-33364720.917473279</v>
          </cell>
          <cell r="L17">
            <v>-34321053.974008039</v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C20">
            <v>-5296.7559590004385</v>
          </cell>
          <cell r="D20">
            <v>2147.2236652998254</v>
          </cell>
          <cell r="E20">
            <v>11233.472210999578</v>
          </cell>
          <cell r="F20">
            <v>2608.0765570020303</v>
          </cell>
          <cell r="G20">
            <v>2677.206548999995</v>
          </cell>
          <cell r="H20">
            <v>4835.5837610000744</v>
          </cell>
          <cell r="I20">
            <v>5320.2241233000532</v>
          </cell>
          <cell r="J20">
            <v>2340.9495999999344</v>
          </cell>
          <cell r="K20">
            <v>2850.2010000003502</v>
          </cell>
          <cell r="L20">
            <v>4412.7445000000298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-123200.02464000019</v>
          </cell>
          <cell r="D22">
            <v>-121600.02432000032</v>
          </cell>
          <cell r="E22">
            <v>-650039.13301499933</v>
          </cell>
          <cell r="F22">
            <v>-642094.04450850002</v>
          </cell>
          <cell r="G22">
            <v>-650573.54930750001</v>
          </cell>
          <cell r="H22">
            <v>-676308.70758699998</v>
          </cell>
          <cell r="I22">
            <v>-695049.29007100035</v>
          </cell>
          <cell r="J22">
            <v>-704028.94256799994</v>
          </cell>
          <cell r="K22">
            <v>-706515.42013249965</v>
          </cell>
          <cell r="L22">
            <v>-707074.28149999958</v>
          </cell>
        </row>
        <row r="23">
          <cell r="C23">
            <v>-178963.39046199992</v>
          </cell>
          <cell r="D23">
            <v>-208771.69070799276</v>
          </cell>
          <cell r="E23">
            <v>-32469.304411005229</v>
          </cell>
          <cell r="F23">
            <v>1043.2619049996138</v>
          </cell>
          <cell r="G23">
            <v>2512.2740559987724</v>
          </cell>
          <cell r="H23">
            <v>-3237.1707400009036</v>
          </cell>
          <cell r="I23">
            <v>-4322.0287039987743</v>
          </cell>
          <cell r="J23">
            <v>-7181.6213999986649</v>
          </cell>
          <cell r="K23">
            <v>-8637.1121099982411</v>
          </cell>
          <cell r="L23">
            <v>-9260.0580899957567</v>
          </cell>
        </row>
        <row r="24">
          <cell r="C24">
            <v>-314988.18834399804</v>
          </cell>
          <cell r="D24">
            <v>-290436.06723000109</v>
          </cell>
          <cell r="E24">
            <v>-79282.098698001355</v>
          </cell>
          <cell r="F24">
            <v>-69322.494197003543</v>
          </cell>
          <cell r="G24">
            <v>-64625.429668001831</v>
          </cell>
          <cell r="H24">
            <v>-41621.086390994489</v>
          </cell>
          <cell r="I24">
            <v>-18960.998256996274</v>
          </cell>
          <cell r="J24">
            <v>-6953.1542300023139</v>
          </cell>
          <cell r="K24">
            <v>-2996.0568180084229</v>
          </cell>
          <cell r="L24">
            <v>-2942.523199994117</v>
          </cell>
        </row>
        <row r="25">
          <cell r="C25">
            <v>-133857.0460850019</v>
          </cell>
          <cell r="D25">
            <v>-113784.08006999828</v>
          </cell>
          <cell r="E25">
            <v>34886.918455000967</v>
          </cell>
          <cell r="F25">
            <v>-18204.530926998705</v>
          </cell>
          <cell r="G25">
            <v>-20562.433352997527</v>
          </cell>
          <cell r="H25">
            <v>-6107.4210820011795</v>
          </cell>
          <cell r="I25">
            <v>-7703.4934510011226</v>
          </cell>
          <cell r="J25">
            <v>-9701.4091910012066</v>
          </cell>
          <cell r="K25">
            <v>-11320.78821599856</v>
          </cell>
          <cell r="L25">
            <v>-8931.4147989973426</v>
          </cell>
        </row>
        <row r="26">
          <cell r="C26">
            <v>0</v>
          </cell>
          <cell r="D26">
            <v>2.3283064365386963E-10</v>
          </cell>
          <cell r="E26">
            <v>-9.3132257461547852E-10</v>
          </cell>
          <cell r="F26">
            <v>-5279.0397709999233</v>
          </cell>
          <cell r="G26">
            <v>-3653.2423854991794</v>
          </cell>
          <cell r="H26">
            <v>-6766.8807666003704</v>
          </cell>
          <cell r="I26">
            <v>-4621.9691516989842</v>
          </cell>
          <cell r="J26">
            <v>-3290.6304338020273</v>
          </cell>
          <cell r="K26">
            <v>-2907.0283228023909</v>
          </cell>
          <cell r="L26">
            <v>-3374.5199281992391</v>
          </cell>
        </row>
        <row r="27">
          <cell r="C27">
            <v>-927.74293200000102</v>
          </cell>
          <cell r="D27">
            <v>-7860.295057000003</v>
          </cell>
          <cell r="E27">
            <v>-6462.5904830000363</v>
          </cell>
          <cell r="F27">
            <v>-8134.7434780999974</v>
          </cell>
          <cell r="G27">
            <v>-7059.8836950000114</v>
          </cell>
          <cell r="H27">
            <v>-5722.9576959999977</v>
          </cell>
          <cell r="I27">
            <v>-8621.7746929999994</v>
          </cell>
          <cell r="J27">
            <v>-11103.33682799997</v>
          </cell>
          <cell r="K27">
            <v>-11412.850878000027</v>
          </cell>
          <cell r="L27">
            <v>-8604.2874699999811</v>
          </cell>
        </row>
        <row r="28">
          <cell r="C28">
            <v>-746639.63650399959</v>
          </cell>
          <cell r="D28">
            <v>-744599.38105029205</v>
          </cell>
          <cell r="E28">
            <v>-744599.68036300549</v>
          </cell>
          <cell r="F28">
            <v>-744599.66753360466</v>
          </cell>
          <cell r="G28">
            <v>-746639.47090199974</v>
          </cell>
          <cell r="H28">
            <v>-744599.808023597</v>
          </cell>
          <cell r="I28">
            <v>-744599.77845099557</v>
          </cell>
          <cell r="J28">
            <v>-744600.044250804</v>
          </cell>
          <cell r="K28">
            <v>-746639.45747730765</v>
          </cell>
          <cell r="L28">
            <v>-744599.82948718604</v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</row>
        <row r="31">
          <cell r="C31">
            <v>255.13710035963325</v>
          </cell>
          <cell r="D31">
            <v>-486.82142516954917</v>
          </cell>
          <cell r="E31">
            <v>31.516460702445023</v>
          </cell>
          <cell r="F31">
            <v>-3.4803285684343241</v>
          </cell>
          <cell r="G31">
            <v>5.9157865297776704</v>
          </cell>
          <cell r="H31">
            <v>22.656893797097069</v>
          </cell>
          <cell r="I31">
            <v>22.750944301364626</v>
          </cell>
          <cell r="J31">
            <v>-26.219422336120424</v>
          </cell>
          <cell r="K31">
            <v>-8.8613381196663621</v>
          </cell>
          <cell r="L31">
            <v>23.462502277213712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55.739976676679902</v>
          </cell>
          <cell r="D33">
            <v>58.109482621524378</v>
          </cell>
          <cell r="E33">
            <v>33.446895886017835</v>
          </cell>
          <cell r="F33">
            <v>34.889320327987285</v>
          </cell>
          <cell r="G33">
            <v>36.463855647268829</v>
          </cell>
          <cell r="H33">
            <v>38.440260996027</v>
          </cell>
          <cell r="I33">
            <v>40.081742142912177</v>
          </cell>
          <cell r="J33">
            <v>42.257983184812723</v>
          </cell>
          <cell r="K33">
            <v>45.425106329966809</v>
          </cell>
          <cell r="L33">
            <v>46.823636525167629</v>
          </cell>
        </row>
        <row r="34">
          <cell r="C34">
            <v>8.5018378074036269E-2</v>
          </cell>
          <cell r="D34">
            <v>8.5386331223666262E-2</v>
          </cell>
          <cell r="E34">
            <v>0.31536815617741953</v>
          </cell>
          <cell r="F34">
            <v>0.19684846702127953</v>
          </cell>
          <cell r="G34">
            <v>0.23531936923863936</v>
          </cell>
          <cell r="H34">
            <v>2.5779833401720183E-2</v>
          </cell>
          <cell r="I34">
            <v>8.9950242783529959E-3</v>
          </cell>
          <cell r="J34">
            <v>8.8165903869985088E-3</v>
          </cell>
          <cell r="K34">
            <v>6.9977755264556052E-3</v>
          </cell>
          <cell r="L34">
            <v>3.9983700828099718E-3</v>
          </cell>
        </row>
        <row r="35">
          <cell r="C35">
            <v>39.145959198552404</v>
          </cell>
          <cell r="D35">
            <v>41.295002079416349</v>
          </cell>
          <cell r="E35">
            <v>33.714042723037181</v>
          </cell>
          <cell r="F35">
            <v>287.53787672329162</v>
          </cell>
          <cell r="G35">
            <v>165.40402967093374</v>
          </cell>
          <cell r="H35">
            <v>-49.859921166841829</v>
          </cell>
          <cell r="I35">
            <v>-15.002509247558875</v>
          </cell>
          <cell r="J35">
            <v>10.464406965231369</v>
          </cell>
          <cell r="K35">
            <v>22.690905768487919</v>
          </cell>
          <cell r="L35">
            <v>28.106545819733523</v>
          </cell>
        </row>
        <row r="36">
          <cell r="C36">
            <v>25.228808752350179</v>
          </cell>
          <cell r="D36">
            <v>28.171331913348805</v>
          </cell>
          <cell r="E36">
            <v>26.668986959755493</v>
          </cell>
          <cell r="F36">
            <v>26.431533445116063</v>
          </cell>
          <cell r="G36">
            <v>27.299246451208688</v>
          </cell>
          <cell r="H36">
            <v>28.682905363044718</v>
          </cell>
          <cell r="I36">
            <v>31.497083135000143</v>
          </cell>
          <cell r="J36">
            <v>33.816612725715544</v>
          </cell>
          <cell r="K36">
            <v>34.065671169015559</v>
          </cell>
          <cell r="L36">
            <v>36.051022627869109</v>
          </cell>
        </row>
        <row r="37">
          <cell r="C37">
            <v>27.759747203224123</v>
          </cell>
          <cell r="D37">
            <v>28.96129426632233</v>
          </cell>
          <cell r="E37">
            <v>38.553574569645995</v>
          </cell>
          <cell r="F37">
            <v>29.79066732698324</v>
          </cell>
          <cell r="G37">
            <v>30.747778781144152</v>
          </cell>
          <cell r="H37">
            <v>29.087972490306164</v>
          </cell>
          <cell r="I37">
            <v>32.653854376590061</v>
          </cell>
          <cell r="J37">
            <v>36.677386795526232</v>
          </cell>
          <cell r="K37">
            <v>41.584076472238849</v>
          </cell>
          <cell r="L37">
            <v>40.465679697325932</v>
          </cell>
        </row>
        <row r="38">
          <cell r="C38">
            <v>0</v>
          </cell>
          <cell r="D38">
            <v>0</v>
          </cell>
          <cell r="E38">
            <v>64</v>
          </cell>
          <cell r="F38">
            <v>27.219182126527372</v>
          </cell>
          <cell r="G38">
            <v>28.373136034312783</v>
          </cell>
          <cell r="H38">
            <v>31.509369596455645</v>
          </cell>
          <cell r="I38">
            <v>33.473525744570843</v>
          </cell>
          <cell r="J38">
            <v>35.176194482659035</v>
          </cell>
          <cell r="K38">
            <v>38.165321032405707</v>
          </cell>
          <cell r="L38">
            <v>39.410046830208444</v>
          </cell>
        </row>
        <row r="39">
          <cell r="C39">
            <v>48.024143502717557</v>
          </cell>
          <cell r="D39">
            <v>33.70188891625471</v>
          </cell>
          <cell r="E39">
            <v>27.659724218982319</v>
          </cell>
          <cell r="F39">
            <v>31.847131376355186</v>
          </cell>
          <cell r="G39">
            <v>31.475601247847433</v>
          </cell>
          <cell r="H39">
            <v>31.069037855071965</v>
          </cell>
          <cell r="I39">
            <v>36.115454426431356</v>
          </cell>
          <cell r="J39">
            <v>36.545389092108827</v>
          </cell>
          <cell r="K39">
            <v>36.967579208739551</v>
          </cell>
          <cell r="L39">
            <v>29.282262252682099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32.377299194866907</v>
          </cell>
          <cell r="D41">
            <v>35.361369259568484</v>
          </cell>
          <cell r="E41">
            <v>32.107339479513911</v>
          </cell>
          <cell r="F41">
            <v>33.208339271857909</v>
          </cell>
          <cell r="G41">
            <v>34.650366055381774</v>
          </cell>
          <cell r="H41">
            <v>37.189810758506724</v>
          </cell>
          <cell r="I41">
            <v>39.248128415917556</v>
          </cell>
          <cell r="J41">
            <v>41.459215274136589</v>
          </cell>
          <cell r="K41">
            <v>44.686522502043523</v>
          </cell>
          <cell r="L41">
            <v>46.093287447628505</v>
          </cell>
        </row>
      </sheetData>
      <sheetData sheetId="3"/>
      <sheetData sheetId="4"/>
      <sheetData sheetId="5"/>
      <sheetData sheetId="6">
        <row r="3">
          <cell r="F3">
            <v>46753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36"/>
  <sheetViews>
    <sheetView showGridLines="0"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F27" sqref="C27:F27"/>
    </sheetView>
  </sheetViews>
  <sheetFormatPr defaultRowHeight="15" x14ac:dyDescent="0.2"/>
  <cols>
    <col min="1" max="1" width="1.85546875" style="1" customWidth="1"/>
    <col min="2" max="2" width="13.7109375" style="1" customWidth="1"/>
    <col min="3" max="4" width="15.7109375" style="1" customWidth="1"/>
    <col min="5" max="5" width="18.42578125" style="1" customWidth="1"/>
    <col min="6" max="7" width="15.7109375" style="1" customWidth="1"/>
    <col min="8" max="8" width="2.28515625" style="1" customWidth="1"/>
    <col min="9" max="9" width="9.140625" style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2017.Q1 and 2016.Q4 Compliance Filing</v>
      </c>
      <c r="C4" s="6"/>
      <c r="D4" s="6"/>
      <c r="E4" s="6"/>
      <c r="F4" s="6"/>
      <c r="G4" s="6"/>
    </row>
    <row r="5" spans="2:10" ht="15.75" x14ac:dyDescent="0.25">
      <c r="B5" s="6" t="s">
        <v>12</v>
      </c>
      <c r="C5" s="6"/>
      <c r="D5" s="6"/>
      <c r="E5" s="6"/>
      <c r="F5" s="6"/>
      <c r="G5" s="6"/>
    </row>
    <row r="6" spans="2:10" x14ac:dyDescent="0.2">
      <c r="C6" s="9"/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1703</v>
      </c>
      <c r="D7" s="11" t="str">
        <f>Energy!E7</f>
        <v>QF Queue</v>
      </c>
      <c r="E7" s="11" t="str">
        <f>Energy!F7</f>
        <v>Queue Capacity</v>
      </c>
      <c r="F7" s="11" t="str">
        <f>Energy!G7</f>
        <v>2017 IRP</v>
      </c>
      <c r="G7" s="11" t="s">
        <v>5</v>
      </c>
      <c r="H7" s="1"/>
    </row>
    <row r="8" spans="2:10" s="4" customFormat="1" ht="15.75" x14ac:dyDescent="0.25">
      <c r="B8" s="15" t="s">
        <v>0</v>
      </c>
      <c r="C8" s="68" t="str">
        <f>Energy!D8&amp;" (2)"</f>
        <v>OFPC (2)</v>
      </c>
      <c r="D8" s="12" t="str">
        <f>Energy!E8</f>
        <v>Update</v>
      </c>
      <c r="E8" s="12" t="str">
        <f>Energy!F8</f>
        <v>Contribution</v>
      </c>
      <c r="F8" s="12"/>
      <c r="G8" s="12" t="s">
        <v>16</v>
      </c>
      <c r="H8" s="1"/>
    </row>
    <row r="9" spans="2:10" ht="4.5" customHeight="1" x14ac:dyDescent="0.2"/>
    <row r="10" spans="2:10" ht="15.75" x14ac:dyDescent="0.25">
      <c r="B10" s="3">
        <f>Total!B10</f>
        <v>2018</v>
      </c>
      <c r="C10" s="54">
        <f>ROUND(Total!D10-Total!C10,3)</f>
        <v>-1.4670000000000001</v>
      </c>
      <c r="D10" s="54">
        <f>ROUND(Total!E10-Total!D10,3)</f>
        <v>2.1000000000000001E-2</v>
      </c>
      <c r="E10" s="54">
        <f>ROUND(Total!F10-Total!E10,3)</f>
        <v>-8.0000000000000002E-3</v>
      </c>
      <c r="F10" s="54">
        <f>ROUND(Total!G10-Total!F10,3)</f>
        <v>-2.008</v>
      </c>
      <c r="G10" s="54">
        <f t="shared" ref="G10" ca="1" si="0">SUM(OFFSET($C10,0,0,1,COLUMN(G10)-3))</f>
        <v>-3.4620000000000002</v>
      </c>
      <c r="H10" s="55"/>
      <c r="J10" s="22"/>
    </row>
    <row r="11" spans="2:10" ht="15.75" x14ac:dyDescent="0.25">
      <c r="B11" s="3">
        <f t="shared" ref="B11:B24" si="1">B10+1</f>
        <v>2019</v>
      </c>
      <c r="C11" s="54">
        <f>ROUND(Total!D11-Total!C11,3)</f>
        <v>-0.90600000000000003</v>
      </c>
      <c r="D11" s="54">
        <f>ROUND(Total!E11-Total!D11,3)</f>
        <v>-4.8000000000000001E-2</v>
      </c>
      <c r="E11" s="54">
        <f>ROUND(Total!F11-Total!E11,3)</f>
        <v>-0.26200000000000001</v>
      </c>
      <c r="F11" s="54">
        <f>ROUND(Total!G11-Total!F11,3)</f>
        <v>-0.35899999999999999</v>
      </c>
      <c r="G11" s="54">
        <f ca="1">SUM(OFFSET($C11,0,0,1,COLUMN(G11)-3))</f>
        <v>-1.5750000000000002</v>
      </c>
      <c r="H11" s="55"/>
      <c r="J11" s="22"/>
    </row>
    <row r="12" spans="2:10" ht="15.75" x14ac:dyDescent="0.25">
      <c r="B12" s="3">
        <f t="shared" si="1"/>
        <v>2020</v>
      </c>
      <c r="C12" s="54">
        <f>ROUND(Total!D12-Total!C12,3)</f>
        <v>-1.212</v>
      </c>
      <c r="D12" s="54">
        <f>ROUND(Total!E12-Total!D12,3)</f>
        <v>-0.19700000000000001</v>
      </c>
      <c r="E12" s="54">
        <f>ROUND(Total!F12-Total!E12,3)</f>
        <v>0</v>
      </c>
      <c r="F12" s="54">
        <f>ROUND(Total!G12-Total!F12,3)</f>
        <v>-0.55900000000000005</v>
      </c>
      <c r="G12" s="54">
        <f t="shared" ref="G12:G24" ca="1" si="2">SUM(OFFSET($C12,0,0,1,COLUMN(G12)-3))</f>
        <v>-1.968</v>
      </c>
      <c r="H12" s="55"/>
      <c r="J12" s="22"/>
    </row>
    <row r="13" spans="2:10" ht="15.75" x14ac:dyDescent="0.25">
      <c r="B13" s="3">
        <f t="shared" si="1"/>
        <v>2021</v>
      </c>
      <c r="C13" s="54">
        <f>ROUND(Total!D13-Total!C13,3)</f>
        <v>-1.1419999999999999</v>
      </c>
      <c r="D13" s="54">
        <f>ROUND(Total!E13-Total!D13,3)</f>
        <v>-0.29399999999999998</v>
      </c>
      <c r="E13" s="54">
        <f>ROUND(Total!F13-Total!E13,3)</f>
        <v>0</v>
      </c>
      <c r="F13" s="54">
        <f>ROUND(Total!G13-Total!F13,3)</f>
        <v>-6.6000000000000003E-2</v>
      </c>
      <c r="G13" s="54">
        <f t="shared" ca="1" si="2"/>
        <v>-1.502</v>
      </c>
      <c r="H13" s="55"/>
      <c r="J13" s="22"/>
    </row>
    <row r="14" spans="2:10" ht="15.75" x14ac:dyDescent="0.25">
      <c r="B14" s="3">
        <f t="shared" si="1"/>
        <v>2022</v>
      </c>
      <c r="C14" s="54">
        <f>ROUND(Total!D14-Total!C14,3)</f>
        <v>-1.0940000000000001</v>
      </c>
      <c r="D14" s="54">
        <f>ROUND(Total!E14-Total!D14,3)</f>
        <v>-3.1E-2</v>
      </c>
      <c r="E14" s="54">
        <f>ROUND(Total!F14-Total!E14,3)</f>
        <v>0</v>
      </c>
      <c r="F14" s="54">
        <f>ROUND(Total!G14-Total!F14,3)</f>
        <v>-1.1539999999999999</v>
      </c>
      <c r="G14" s="54">
        <f t="shared" ca="1" si="2"/>
        <v>-2.2789999999999999</v>
      </c>
      <c r="H14" s="55"/>
      <c r="J14" s="22"/>
    </row>
    <row r="15" spans="2:10" ht="15.75" x14ac:dyDescent="0.25">
      <c r="B15" s="3">
        <f t="shared" si="1"/>
        <v>2023</v>
      </c>
      <c r="C15" s="54">
        <f>ROUND(Total!D15-Total!C15,3)</f>
        <v>-1.766</v>
      </c>
      <c r="D15" s="54">
        <f>ROUND(Total!E15-Total!D15,3)</f>
        <v>0.10199999999999999</v>
      </c>
      <c r="E15" s="54">
        <f>ROUND(Total!F15-Total!E15,3)</f>
        <v>0</v>
      </c>
      <c r="F15" s="54">
        <f>ROUND(Total!G15-Total!F15,3)</f>
        <v>-0.372</v>
      </c>
      <c r="G15" s="54">
        <f t="shared" ca="1" si="2"/>
        <v>-2.036</v>
      </c>
      <c r="H15" s="55"/>
      <c r="J15" s="22"/>
    </row>
    <row r="16" spans="2:10" ht="15.75" x14ac:dyDescent="0.25">
      <c r="B16" s="3">
        <f t="shared" si="1"/>
        <v>2024</v>
      </c>
      <c r="C16" s="54">
        <f>ROUND(Total!D16-Total!C16,3)</f>
        <v>-1.843</v>
      </c>
      <c r="D16" s="54">
        <f>ROUND(Total!E16-Total!D16,3)</f>
        <v>-9.9000000000000005E-2</v>
      </c>
      <c r="E16" s="54">
        <f>ROUND(Total!F16-Total!E16,3)</f>
        <v>0</v>
      </c>
      <c r="F16" s="54">
        <f>ROUND(Total!G16-Total!F16,3)</f>
        <v>-1.3919999999999999</v>
      </c>
      <c r="G16" s="54">
        <f t="shared" ca="1" si="2"/>
        <v>-3.3339999999999996</v>
      </c>
      <c r="H16" s="55"/>
      <c r="J16" s="22"/>
    </row>
    <row r="17" spans="2:10" ht="15.75" x14ac:dyDescent="0.25">
      <c r="B17" s="3">
        <f t="shared" si="1"/>
        <v>2025</v>
      </c>
      <c r="C17" s="54">
        <f>ROUND(Total!D17-Total!C17,3)</f>
        <v>-1.948</v>
      </c>
      <c r="D17" s="54">
        <f>ROUND(Total!E17-Total!D17,3)</f>
        <v>-0.26600000000000001</v>
      </c>
      <c r="E17" s="54">
        <f>ROUND(Total!F17-Total!E17,3)</f>
        <v>0</v>
      </c>
      <c r="F17" s="54">
        <f>ROUND(Total!G17-Total!F17,3)</f>
        <v>-2.1890000000000001</v>
      </c>
      <c r="G17" s="54">
        <f t="shared" ca="1" si="2"/>
        <v>-4.4030000000000005</v>
      </c>
      <c r="H17" s="55"/>
      <c r="J17" s="22"/>
    </row>
    <row r="18" spans="2:10" ht="15.75" x14ac:dyDescent="0.25">
      <c r="B18" s="3">
        <f t="shared" si="1"/>
        <v>2026</v>
      </c>
      <c r="C18" s="54">
        <f>ROUND(Total!D18-Total!C18,3)</f>
        <v>-2.6819999999999999</v>
      </c>
      <c r="D18" s="54">
        <f>ROUND(Total!E18-Total!D18,3)</f>
        <v>-3.1019999999999999</v>
      </c>
      <c r="E18" s="54">
        <f>ROUND(Total!F18-Total!E18,3)</f>
        <v>0</v>
      </c>
      <c r="F18" s="54">
        <f>ROUND(Total!G18-Total!F18,3)</f>
        <v>-2.7229999999999999</v>
      </c>
      <c r="G18" s="54">
        <f t="shared" ca="1" si="2"/>
        <v>-8.5069999999999997</v>
      </c>
      <c r="H18" s="55"/>
      <c r="J18" s="22"/>
    </row>
    <row r="19" spans="2:10" ht="15.75" x14ac:dyDescent="0.25">
      <c r="B19" s="3">
        <f t="shared" si="1"/>
        <v>2027</v>
      </c>
      <c r="C19" s="54">
        <f>ROUND(Total!D19-Total!C19,3)</f>
        <v>-3.58</v>
      </c>
      <c r="D19" s="54">
        <f>ROUND(Total!E19-Total!D19,3)</f>
        <v>-3.3039999999999998</v>
      </c>
      <c r="E19" s="54">
        <f>ROUND(Total!F19-Total!E19,3)</f>
        <v>0</v>
      </c>
      <c r="F19" s="54">
        <f>ROUND(Total!G19-Total!F19,3)</f>
        <v>-3.0430000000000001</v>
      </c>
      <c r="G19" s="54">
        <f t="shared" ca="1" si="2"/>
        <v>-9.9269999999999996</v>
      </c>
      <c r="H19" s="55"/>
      <c r="J19" s="22"/>
    </row>
    <row r="20" spans="2:10" ht="15.75" x14ac:dyDescent="0.25">
      <c r="B20" s="3">
        <f t="shared" si="1"/>
        <v>2028</v>
      </c>
      <c r="C20" s="54">
        <f>ROUND(Total!D20-Total!C20,3)</f>
        <v>-2.798</v>
      </c>
      <c r="D20" s="54">
        <f>ROUND(Total!E20-Total!D20,3)</f>
        <v>2.4279999999999999</v>
      </c>
      <c r="E20" s="54">
        <f>ROUND(Total!F20-Total!E20,3)</f>
        <v>-2.0659999999999998</v>
      </c>
      <c r="F20" s="54">
        <f>ROUND(Total!G20-Total!F20,3)</f>
        <v>-4.0090000000000003</v>
      </c>
      <c r="G20" s="54">
        <f t="shared" ca="1" si="2"/>
        <v>-6.4450000000000003</v>
      </c>
      <c r="H20" s="55"/>
      <c r="J20" s="22"/>
    </row>
    <row r="21" spans="2:10" ht="15.75" x14ac:dyDescent="0.25">
      <c r="B21" s="3">
        <f t="shared" si="1"/>
        <v>2029</v>
      </c>
      <c r="C21" s="54">
        <f>ROUND(Total!D21-Total!C21,3)</f>
        <v>-2.6379999999999999</v>
      </c>
      <c r="D21" s="54">
        <f>ROUND(Total!E21-Total!D21,3)</f>
        <v>1.2709999999999999</v>
      </c>
      <c r="E21" s="54">
        <f>ROUND(Total!F21-Total!E21,3)</f>
        <v>-0.189</v>
      </c>
      <c r="F21" s="54">
        <f>ROUND(Total!G21-Total!F21,3)</f>
        <v>-4.5369999999999999</v>
      </c>
      <c r="G21" s="54">
        <f t="shared" ca="1" si="2"/>
        <v>-6.093</v>
      </c>
      <c r="H21" s="55"/>
      <c r="J21" s="22"/>
    </row>
    <row r="22" spans="2:10" ht="15.75" x14ac:dyDescent="0.25">
      <c r="B22" s="3">
        <f t="shared" si="1"/>
        <v>2030</v>
      </c>
      <c r="C22" s="54">
        <f>ROUND(Total!D22-Total!C22,3)</f>
        <v>-2.46</v>
      </c>
      <c r="D22" s="54">
        <f>ROUND(Total!E22-Total!D22,3)</f>
        <v>-0.77</v>
      </c>
      <c r="E22" s="54">
        <f>ROUND(Total!F22-Total!E22,3)</f>
        <v>-8.9090000000000007</v>
      </c>
      <c r="F22" s="54">
        <f>ROUND(Total!G22-Total!F22,3)</f>
        <v>-6.3150000000000004</v>
      </c>
      <c r="G22" s="54">
        <f t="shared" ca="1" si="2"/>
        <v>-18.454000000000001</v>
      </c>
      <c r="H22" s="55"/>
      <c r="J22" s="22"/>
    </row>
    <row r="23" spans="2:10" ht="15.75" x14ac:dyDescent="0.25">
      <c r="B23" s="3">
        <f t="shared" si="1"/>
        <v>2031</v>
      </c>
      <c r="C23" s="54">
        <f>ROUND(Total!D23-Total!C23,3)</f>
        <v>-2.456</v>
      </c>
      <c r="D23" s="54">
        <f>ROUND(Total!E23-Total!D23,3)</f>
        <v>-0.52900000000000003</v>
      </c>
      <c r="E23" s="54">
        <f>ROUND(Total!F23-Total!E23,3)</f>
        <v>-10.79</v>
      </c>
      <c r="F23" s="54">
        <f>ROUND(Total!G23-Total!F23,3)</f>
        <v>-4.1369999999999996</v>
      </c>
      <c r="G23" s="54">
        <f t="shared" ca="1" si="2"/>
        <v>-17.911999999999999</v>
      </c>
      <c r="H23" s="55"/>
      <c r="J23" s="22"/>
    </row>
    <row r="24" spans="2:10" ht="15.75" x14ac:dyDescent="0.25">
      <c r="B24" s="3">
        <f t="shared" si="1"/>
        <v>2032</v>
      </c>
      <c r="C24" s="54">
        <f>ROUND(Total!D24-Total!C24,3)</f>
        <v>-2.1230000000000002</v>
      </c>
      <c r="D24" s="54">
        <f>ROUND(Total!E24-Total!D24,3)</f>
        <v>-0.34699999999999998</v>
      </c>
      <c r="E24" s="54">
        <f>ROUND(Total!F24-Total!E24,3)</f>
        <v>-11.07</v>
      </c>
      <c r="F24" s="54">
        <f>ROUND(Total!G24-Total!F24,3)</f>
        <v>-4.1929999999999996</v>
      </c>
      <c r="G24" s="54">
        <f t="shared" ca="1" si="2"/>
        <v>-17.733000000000001</v>
      </c>
      <c r="H24" s="55"/>
      <c r="J24" s="22"/>
    </row>
    <row r="25" spans="2:10" x14ac:dyDescent="0.2">
      <c r="C25" s="55"/>
      <c r="D25" s="55"/>
      <c r="E25" s="55"/>
      <c r="F25" s="55"/>
      <c r="G25" s="55"/>
      <c r="H25" s="55"/>
    </row>
    <row r="26" spans="2:10" x14ac:dyDescent="0.2">
      <c r="B26" s="13" t="str">
        <f>Total!B26</f>
        <v>Nominal Levelized Payment at 6.570% Discount Rate (3)</v>
      </c>
      <c r="C26" s="56"/>
      <c r="D26" s="56"/>
      <c r="E26" s="56"/>
      <c r="F26" s="56"/>
      <c r="G26" s="56"/>
      <c r="H26" s="55"/>
    </row>
    <row r="27" spans="2:10" x14ac:dyDescent="0.2">
      <c r="B27" s="8" t="str">
        <f>B10&amp;" - "&amp;B24</f>
        <v>2018 - 2032</v>
      </c>
      <c r="C27" s="57">
        <f>ROUND(Total!D27-Total!C27,3)</f>
        <v>-1.853</v>
      </c>
      <c r="D27" s="57">
        <f>ROUND(Total!E27-Total!D27,3)</f>
        <v>-0.318</v>
      </c>
      <c r="E27" s="57">
        <f>ROUND(Total!F27-Total!E27,3)</f>
        <v>-1.4890000000000001</v>
      </c>
      <c r="F27" s="57">
        <f>ROUND(Total!G27-Total!F27,3)</f>
        <v>-2.077</v>
      </c>
      <c r="G27" s="57">
        <f ca="1">SUM(OFFSET($C27,0,0,1,COLUMN(G27)-3))</f>
        <v>-5.7370000000000001</v>
      </c>
      <c r="H27" s="55"/>
    </row>
    <row r="28" spans="2:10" x14ac:dyDescent="0.2">
      <c r="C28" s="55"/>
      <c r="D28" s="55"/>
      <c r="E28" s="55"/>
      <c r="F28" s="55"/>
      <c r="G28" s="59"/>
    </row>
    <row r="29" spans="2:10" x14ac:dyDescent="0.2">
      <c r="B29" s="1" t="str">
        <f>Total!B29</f>
        <v>(1)   Studies are sequential.  The order of the studies would affect the price impact.</v>
      </c>
      <c r="C29" s="55"/>
      <c r="D29" s="55"/>
      <c r="E29" s="55"/>
      <c r="F29" s="55"/>
      <c r="G29" s="55"/>
    </row>
    <row r="30" spans="2:10" x14ac:dyDescent="0.2">
      <c r="B30" s="1" t="str">
        <f>Total!B30</f>
        <v>(2)   Official Forward Price Curve Dated March 2017</v>
      </c>
    </row>
    <row r="31" spans="2:10" x14ac:dyDescent="0.2">
      <c r="B31" s="1" t="str">
        <f>Total!B31</f>
        <v>(3)   Discount Rate - 2017 IRP</v>
      </c>
      <c r="C31" s="8"/>
    </row>
    <row r="32" spans="2:10" x14ac:dyDescent="0.2">
      <c r="B32" s="1" t="str">
        <f>Total!B32</f>
        <v xml:space="preserve">(4)   Capacity costs are allocated assuming an 85% capacity factor. </v>
      </c>
    </row>
    <row r="35" spans="2:2" hidden="1" x14ac:dyDescent="0.2">
      <c r="B35" s="24" t="s">
        <v>15</v>
      </c>
    </row>
    <row r="36" spans="2:2" hidden="1" x14ac:dyDescent="0.2">
      <c r="B36" s="40">
        <f>Discount_Rate</f>
        <v>6.5699999999999995E-2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39"/>
  <sheetViews>
    <sheetView tabSelected="1"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C27" sqref="C27"/>
    </sheetView>
  </sheetViews>
  <sheetFormatPr defaultRowHeight="15" x14ac:dyDescent="0.2"/>
  <cols>
    <col min="1" max="1" width="1.85546875" style="1" customWidth="1"/>
    <col min="2" max="2" width="13.7109375" style="1" customWidth="1"/>
    <col min="3" max="7" width="17.7109375" style="1" customWidth="1"/>
    <col min="8" max="8" width="2.42578125" style="1" customWidth="1"/>
    <col min="9" max="9" width="11" style="1" bestFit="1" customWidth="1"/>
    <col min="10" max="10" width="10.28515625" style="1" bestFit="1" customWidth="1"/>
    <col min="11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4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2017.Q1 and 2016.Q4 Compliance Filing</v>
      </c>
      <c r="C4" s="6"/>
      <c r="D4" s="6"/>
      <c r="E4" s="6"/>
      <c r="F4" s="6"/>
      <c r="G4" s="6"/>
    </row>
    <row r="5" spans="2:16" ht="15.75" x14ac:dyDescent="0.25">
      <c r="B5" s="6" t="s">
        <v>11</v>
      </c>
      <c r="C5" s="6"/>
      <c r="D5" s="6"/>
      <c r="E5" s="6"/>
      <c r="F5" s="6"/>
      <c r="G5" s="6"/>
    </row>
    <row r="6" spans="2:16" s="21" customFormat="1" ht="15.75" x14ac:dyDescent="0.25">
      <c r="B6" s="19"/>
      <c r="C6" s="19"/>
      <c r="D6" s="19"/>
      <c r="E6" s="20"/>
      <c r="F6" s="19"/>
      <c r="G6" s="19"/>
    </row>
    <row r="7" spans="2:16" ht="15.75" x14ac:dyDescent="0.25">
      <c r="B7" s="48"/>
      <c r="C7" s="49" t="str">
        <f>Energy!C7</f>
        <v>2016.Q4</v>
      </c>
      <c r="D7" s="49" t="str">
        <f>Energy!D7</f>
        <v>1703</v>
      </c>
      <c r="E7" s="49" t="str">
        <f>Energy!E7</f>
        <v>QF Queue</v>
      </c>
      <c r="F7" s="49" t="str">
        <f>Energy!F7</f>
        <v>Queue Capacity</v>
      </c>
      <c r="G7" s="49" t="str">
        <f>Energy!G7</f>
        <v>2017 IRP</v>
      </c>
    </row>
    <row r="8" spans="2:16" ht="15.75" x14ac:dyDescent="0.25">
      <c r="B8" s="7" t="s">
        <v>0</v>
      </c>
      <c r="C8" s="2" t="str">
        <f>Energy!C8</f>
        <v>As Filed</v>
      </c>
      <c r="D8" s="2" t="str">
        <f>Energy!D8</f>
        <v>OFPC</v>
      </c>
      <c r="E8" s="2" t="str">
        <f>Energy!E8</f>
        <v>Update</v>
      </c>
      <c r="F8" s="2" t="str">
        <f>Energy!F8</f>
        <v>Contribution</v>
      </c>
      <c r="G8" s="2"/>
    </row>
    <row r="9" spans="2:16" ht="4.5" customHeight="1" x14ac:dyDescent="0.2"/>
    <row r="10" spans="2:16" ht="15.75" x14ac:dyDescent="0.25">
      <c r="B10" s="3">
        <v>2018</v>
      </c>
      <c r="C10" s="16">
        <f>ROUND(Capacity!$I10+Energy!C10,3)</f>
        <v>23.285</v>
      </c>
      <c r="D10" s="16">
        <f>ROUND(Capacity!$J10+Energy!D10,3)</f>
        <v>21.818000000000001</v>
      </c>
      <c r="E10" s="16">
        <f>ROUND(Capacity!$K10+Energy!E10,3)</f>
        <v>21.838999999999999</v>
      </c>
      <c r="F10" s="16">
        <f>ROUND(Capacity!$L10+Energy!F10,3)</f>
        <v>21.831</v>
      </c>
      <c r="G10" s="16">
        <f>ROUND(Capacity!$M10+Energy!G10,4)</f>
        <v>19.8232</v>
      </c>
      <c r="I10" s="69"/>
      <c r="J10" s="60"/>
      <c r="K10" s="50"/>
      <c r="L10" s="50"/>
      <c r="M10" s="50"/>
      <c r="N10" s="50"/>
      <c r="O10" s="50"/>
    </row>
    <row r="11" spans="2:16" ht="15.75" x14ac:dyDescent="0.25">
      <c r="B11" s="3">
        <f t="shared" ref="B11:B24" si="0">B10+1</f>
        <v>2019</v>
      </c>
      <c r="C11" s="16">
        <f>ROUND(Capacity!$I11+Energy!C11,3)</f>
        <v>19.806000000000001</v>
      </c>
      <c r="D11" s="16">
        <f>ROUND(Capacity!$J11+Energy!D11,3)</f>
        <v>18.899999999999999</v>
      </c>
      <c r="E11" s="16">
        <f>ROUND(Capacity!$K11+Energy!E11,3)</f>
        <v>18.852</v>
      </c>
      <c r="F11" s="16">
        <f>ROUND(Capacity!$L11+Energy!F11,3)</f>
        <v>18.59</v>
      </c>
      <c r="G11" s="16">
        <f>ROUND(Capacity!$M11+Energy!G11,4)</f>
        <v>18.231200000000001</v>
      </c>
      <c r="I11" s="69"/>
      <c r="J11" s="60"/>
      <c r="K11" s="50"/>
      <c r="L11" s="50"/>
      <c r="M11" s="50"/>
      <c r="N11" s="50"/>
      <c r="O11" s="50"/>
    </row>
    <row r="12" spans="2:16" ht="15.75" x14ac:dyDescent="0.25">
      <c r="B12" s="3">
        <f t="shared" si="0"/>
        <v>2020</v>
      </c>
      <c r="C12" s="16">
        <f>ROUND(Capacity!$I12+Energy!C12,3)</f>
        <v>18.687000000000001</v>
      </c>
      <c r="D12" s="16">
        <f>ROUND(Capacity!$J12+Energy!D12,3)</f>
        <v>17.475000000000001</v>
      </c>
      <c r="E12" s="16">
        <f>ROUND(Capacity!$K12+Energy!E12,3)</f>
        <v>17.277999999999999</v>
      </c>
      <c r="F12" s="16">
        <f>ROUND(Capacity!$L12+Energy!F12,3)</f>
        <v>17.277999999999999</v>
      </c>
      <c r="G12" s="16">
        <f>ROUND(Capacity!$M12+Energy!G12,4)</f>
        <v>16.718800000000002</v>
      </c>
      <c r="I12" s="69"/>
      <c r="J12" s="60"/>
      <c r="K12" s="50"/>
      <c r="L12" s="50"/>
      <c r="M12" s="50"/>
      <c r="N12" s="50"/>
      <c r="O12" s="50"/>
    </row>
    <row r="13" spans="2:16" ht="15.75" x14ac:dyDescent="0.25">
      <c r="B13" s="3">
        <f t="shared" si="0"/>
        <v>2021</v>
      </c>
      <c r="C13" s="16">
        <f>ROUND(Capacity!$I13+Energy!C13,3)</f>
        <v>19.306000000000001</v>
      </c>
      <c r="D13" s="16">
        <f>ROUND(Capacity!$J13+Energy!D13,3)</f>
        <v>18.164000000000001</v>
      </c>
      <c r="E13" s="16">
        <f>ROUND(Capacity!$K13+Energy!E13,3)</f>
        <v>17.87</v>
      </c>
      <c r="F13" s="16">
        <f>ROUND(Capacity!$L13+Energy!F13,3)</f>
        <v>17.87</v>
      </c>
      <c r="G13" s="16">
        <f>ROUND(Capacity!$M13+Energy!G13,4)</f>
        <v>17.803799999999999</v>
      </c>
      <c r="I13" s="69"/>
      <c r="J13" s="60"/>
      <c r="K13" s="50"/>
      <c r="L13" s="50"/>
      <c r="M13" s="50"/>
      <c r="N13" s="50"/>
      <c r="O13" s="50"/>
      <c r="P13" s="5"/>
    </row>
    <row r="14" spans="2:16" ht="15.75" x14ac:dyDescent="0.25">
      <c r="B14" s="3">
        <f t="shared" si="0"/>
        <v>2022</v>
      </c>
      <c r="C14" s="16">
        <f>ROUND(Capacity!$I14+Energy!C14,3)</f>
        <v>20.936</v>
      </c>
      <c r="D14" s="16">
        <f>ROUND(Capacity!$J14+Energy!D14,3)</f>
        <v>19.841999999999999</v>
      </c>
      <c r="E14" s="16">
        <f>ROUND(Capacity!$K14+Energy!E14,3)</f>
        <v>19.811</v>
      </c>
      <c r="F14" s="16">
        <f>ROUND(Capacity!$L14+Energy!F14,3)</f>
        <v>19.811</v>
      </c>
      <c r="G14" s="16">
        <f>ROUND(Capacity!$M14+Energy!G14,4)</f>
        <v>18.656600000000001</v>
      </c>
      <c r="I14" s="69"/>
      <c r="J14" s="60"/>
      <c r="K14" s="50"/>
      <c r="L14" s="50"/>
      <c r="M14" s="50"/>
      <c r="N14" s="50"/>
      <c r="O14" s="50"/>
    </row>
    <row r="15" spans="2:16" ht="15.75" x14ac:dyDescent="0.25">
      <c r="B15" s="3">
        <f t="shared" si="0"/>
        <v>2023</v>
      </c>
      <c r="C15" s="16">
        <f>ROUND(Capacity!$I15+Energy!C15,3)</f>
        <v>23.204000000000001</v>
      </c>
      <c r="D15" s="16">
        <f>ROUND(Capacity!$J15+Energy!D15,3)</f>
        <v>21.437999999999999</v>
      </c>
      <c r="E15" s="16">
        <f>ROUND(Capacity!$K15+Energy!E15,3)</f>
        <v>21.54</v>
      </c>
      <c r="F15" s="16">
        <f>ROUND(Capacity!$L15+Energy!F15,3)</f>
        <v>21.54</v>
      </c>
      <c r="G15" s="16">
        <f>ROUND(Capacity!$M15+Energy!G15,4)</f>
        <v>21.168199999999999</v>
      </c>
      <c r="I15" s="69"/>
      <c r="J15" s="60"/>
      <c r="K15" s="50"/>
      <c r="L15" s="50"/>
      <c r="M15" s="50"/>
      <c r="N15" s="50"/>
      <c r="O15" s="50"/>
    </row>
    <row r="16" spans="2:16" ht="15.75" x14ac:dyDescent="0.25">
      <c r="B16" s="3">
        <f t="shared" si="0"/>
        <v>2024</v>
      </c>
      <c r="C16" s="16">
        <f>ROUND(Capacity!$I16+Energy!C16,3)</f>
        <v>25.832999999999998</v>
      </c>
      <c r="D16" s="16">
        <f>ROUND(Capacity!$J16+Energy!D16,3)</f>
        <v>23.99</v>
      </c>
      <c r="E16" s="16">
        <f>ROUND(Capacity!$K16+Energy!E16,3)</f>
        <v>23.890999999999998</v>
      </c>
      <c r="F16" s="16">
        <f>ROUND(Capacity!$L16+Energy!F16,3)</f>
        <v>23.890999999999998</v>
      </c>
      <c r="G16" s="16">
        <f>ROUND(Capacity!$M16+Energy!G16,4)</f>
        <v>22.498799999999999</v>
      </c>
      <c r="I16" s="69"/>
      <c r="J16" s="60"/>
      <c r="K16" s="50"/>
      <c r="L16" s="50"/>
      <c r="M16" s="50"/>
      <c r="N16" s="50"/>
      <c r="O16" s="50"/>
    </row>
    <row r="17" spans="2:15" ht="15.75" x14ac:dyDescent="0.25">
      <c r="B17" s="3">
        <f t="shared" si="0"/>
        <v>2025</v>
      </c>
      <c r="C17" s="16">
        <f>ROUND(Capacity!$I17+Energy!C17,3)</f>
        <v>28.576000000000001</v>
      </c>
      <c r="D17" s="16">
        <f>ROUND(Capacity!$J17+Energy!D17,3)</f>
        <v>26.628</v>
      </c>
      <c r="E17" s="16">
        <f>ROUND(Capacity!$K17+Energy!E17,3)</f>
        <v>26.361999999999998</v>
      </c>
      <c r="F17" s="16">
        <f>ROUND(Capacity!$L17+Energy!F17,3)</f>
        <v>26.361999999999998</v>
      </c>
      <c r="G17" s="16">
        <f>ROUND(Capacity!$M17+Energy!G17,4)</f>
        <v>24.172999999999998</v>
      </c>
      <c r="I17" s="69"/>
      <c r="J17" s="60"/>
      <c r="K17" s="50"/>
      <c r="L17" s="50"/>
      <c r="M17" s="50"/>
      <c r="N17" s="50"/>
      <c r="O17" s="50"/>
    </row>
    <row r="18" spans="2:15" ht="15.75" x14ac:dyDescent="0.25">
      <c r="B18" s="3">
        <f t="shared" si="0"/>
        <v>2026</v>
      </c>
      <c r="C18" s="16">
        <f>ROUND(Capacity!$I18+Energy!C18,3)</f>
        <v>32.734999999999999</v>
      </c>
      <c r="D18" s="16">
        <f>ROUND(Capacity!$J18+Energy!D18,3)</f>
        <v>30.053000000000001</v>
      </c>
      <c r="E18" s="16">
        <f>ROUND(Capacity!$K18+Energy!E18,3)</f>
        <v>26.951000000000001</v>
      </c>
      <c r="F18" s="16">
        <f>ROUND(Capacity!$L18+Energy!F18,3)</f>
        <v>26.951000000000001</v>
      </c>
      <c r="G18" s="16">
        <f>ROUND(Capacity!$M18+Energy!G18,4)</f>
        <v>24.227799999999998</v>
      </c>
      <c r="I18" s="69"/>
      <c r="J18" s="60"/>
      <c r="K18" s="50"/>
      <c r="L18" s="50"/>
      <c r="M18" s="50"/>
      <c r="N18" s="50"/>
      <c r="O18" s="50"/>
    </row>
    <row r="19" spans="2:15" ht="15.75" x14ac:dyDescent="0.25">
      <c r="B19" s="3">
        <f t="shared" si="0"/>
        <v>2027</v>
      </c>
      <c r="C19" s="16">
        <f>ROUND(Capacity!$I19+Energy!C19,3)</f>
        <v>35.488999999999997</v>
      </c>
      <c r="D19" s="16">
        <f>ROUND(Capacity!$J19+Energy!D19,3)</f>
        <v>31.908999999999999</v>
      </c>
      <c r="E19" s="16">
        <f>ROUND(Capacity!$K19+Energy!E19,3)</f>
        <v>28.605</v>
      </c>
      <c r="F19" s="16">
        <f>ROUND(Capacity!$L19+Energy!F19,3)</f>
        <v>28.605</v>
      </c>
      <c r="G19" s="16">
        <f>ROUND(Capacity!$M19+Energy!G19,4)</f>
        <v>25.561699999999998</v>
      </c>
      <c r="I19" s="69"/>
      <c r="J19" s="60"/>
      <c r="K19" s="50"/>
      <c r="L19" s="50"/>
      <c r="M19" s="50"/>
      <c r="N19" s="50"/>
      <c r="O19" s="50"/>
    </row>
    <row r="20" spans="2:15" ht="15.75" x14ac:dyDescent="0.25">
      <c r="B20" s="3">
        <f t="shared" si="0"/>
        <v>2028</v>
      </c>
      <c r="C20" s="16">
        <f>ROUND(Capacity!$I20+Energy!C20,3)</f>
        <v>35.174999999999997</v>
      </c>
      <c r="D20" s="16">
        <f>ROUND(Capacity!$J20+Energy!D20,3)</f>
        <v>32.377000000000002</v>
      </c>
      <c r="E20" s="16">
        <f>ROUND(Capacity!$K20+Energy!E20,3)</f>
        <v>34.805</v>
      </c>
      <c r="F20" s="16">
        <f>ROUND(Capacity!$L20+Energy!F20,3)</f>
        <v>32.738999999999997</v>
      </c>
      <c r="G20" s="16">
        <f>ROUND(Capacity!$M20+Energy!G20,4)</f>
        <v>28.730399999999999</v>
      </c>
      <c r="I20" s="69"/>
      <c r="J20" s="60"/>
      <c r="K20" s="50"/>
      <c r="L20" s="50"/>
      <c r="M20" s="50"/>
      <c r="N20" s="50"/>
      <c r="O20" s="50"/>
    </row>
    <row r="21" spans="2:15" ht="15.75" x14ac:dyDescent="0.25">
      <c r="B21" s="3">
        <f t="shared" si="0"/>
        <v>2029</v>
      </c>
      <c r="C21" s="16">
        <f>ROUND(Capacity!$I21+Energy!C21,3)</f>
        <v>37.999000000000002</v>
      </c>
      <c r="D21" s="16">
        <f>ROUND(Capacity!$J21+Energy!D21,3)</f>
        <v>35.360999999999997</v>
      </c>
      <c r="E21" s="16">
        <f>ROUND(Capacity!$K21+Energy!E21,3)</f>
        <v>36.631999999999998</v>
      </c>
      <c r="F21" s="16">
        <f>ROUND(Capacity!$L21+Energy!F21,3)</f>
        <v>36.442999999999998</v>
      </c>
      <c r="G21" s="16">
        <f>ROUND(Capacity!$M21+Energy!G21,4)</f>
        <v>31.906199999999998</v>
      </c>
      <c r="I21" s="69"/>
      <c r="J21" s="60"/>
      <c r="K21" s="50"/>
      <c r="L21" s="50"/>
      <c r="M21" s="50"/>
      <c r="N21" s="50"/>
      <c r="O21" s="50"/>
    </row>
    <row r="22" spans="2:15" ht="15.75" x14ac:dyDescent="0.25">
      <c r="B22" s="3">
        <f t="shared" si="0"/>
        <v>2030</v>
      </c>
      <c r="C22" s="16">
        <f>ROUND(Capacity!$I22+Energy!C22,3)</f>
        <v>54.051000000000002</v>
      </c>
      <c r="D22" s="16">
        <f>ROUND(Capacity!$J22+Energy!D22,3)</f>
        <v>51.591000000000001</v>
      </c>
      <c r="E22" s="16">
        <f>ROUND(Capacity!$K22+Energy!E22,3)</f>
        <v>50.820999999999998</v>
      </c>
      <c r="F22" s="16">
        <f>ROUND(Capacity!$L22+Energy!F22,3)</f>
        <v>41.911999999999999</v>
      </c>
      <c r="G22" s="16">
        <f>ROUND(Capacity!$M22+Energy!G22,4)</f>
        <v>35.5974</v>
      </c>
      <c r="I22" s="69"/>
      <c r="J22" s="60"/>
      <c r="K22" s="50"/>
      <c r="L22" s="50"/>
      <c r="M22" s="50"/>
      <c r="N22" s="50"/>
      <c r="O22" s="50"/>
    </row>
    <row r="23" spans="2:15" ht="15.75" x14ac:dyDescent="0.25">
      <c r="B23" s="3">
        <f t="shared" si="0"/>
        <v>2031</v>
      </c>
      <c r="C23" s="16">
        <f>ROUND(Capacity!$I23+Energy!C23,3)</f>
        <v>55.613999999999997</v>
      </c>
      <c r="D23" s="16">
        <f>ROUND(Capacity!$J23+Energy!D23,3)</f>
        <v>53.158000000000001</v>
      </c>
      <c r="E23" s="16">
        <f>ROUND(Capacity!$K23+Energy!E23,3)</f>
        <v>52.628999999999998</v>
      </c>
      <c r="F23" s="16">
        <f>ROUND(Capacity!$L23+Energy!F23,3)</f>
        <v>41.838999999999999</v>
      </c>
      <c r="G23" s="16">
        <f>ROUND(Capacity!$M23+Energy!G23,4)</f>
        <v>37.702500000000001</v>
      </c>
      <c r="I23" s="69"/>
      <c r="J23" s="60"/>
      <c r="K23" s="50"/>
      <c r="L23" s="50"/>
      <c r="M23" s="50"/>
      <c r="N23" s="50"/>
      <c r="O23" s="50"/>
    </row>
    <row r="24" spans="2:15" ht="15.75" x14ac:dyDescent="0.25">
      <c r="B24" s="3">
        <f t="shared" si="0"/>
        <v>2032</v>
      </c>
      <c r="C24" s="16">
        <f>ROUND(Capacity!$I24+Energy!C24,3)</f>
        <v>57.146999999999998</v>
      </c>
      <c r="D24" s="16">
        <f>ROUND(Capacity!$J24+Energy!D24,3)</f>
        <v>55.024000000000001</v>
      </c>
      <c r="E24" s="16">
        <f>ROUND(Capacity!$K24+Energy!E24,3)</f>
        <v>54.677</v>
      </c>
      <c r="F24" s="16">
        <f>ROUND(Capacity!$L24+Energy!F24,3)</f>
        <v>43.606999999999999</v>
      </c>
      <c r="G24" s="16">
        <f>ROUND(Capacity!$M24+Energy!G24,4)</f>
        <v>39.413800000000002</v>
      </c>
      <c r="I24" s="69"/>
      <c r="J24" s="60"/>
      <c r="K24" s="50"/>
      <c r="L24" s="50"/>
      <c r="M24" s="50"/>
      <c r="N24" s="50"/>
      <c r="O24" s="50"/>
    </row>
    <row r="25" spans="2:15" x14ac:dyDescent="0.2">
      <c r="C25" s="17"/>
      <c r="D25" s="17"/>
      <c r="E25" s="17"/>
      <c r="F25" s="17"/>
      <c r="G25" s="17"/>
      <c r="I25" s="50"/>
      <c r="J25" s="50"/>
    </row>
    <row r="26" spans="2:15" x14ac:dyDescent="0.2">
      <c r="B26" s="4" t="str">
        <f>"Nominal Levelized Payment at "&amp;TEXT(Discount_Rate,"0.000%")&amp;" Discount Rate (3)"</f>
        <v>Nominal Levelized Payment at 6.570% Discount Rate (3)</v>
      </c>
      <c r="C26" s="17"/>
      <c r="D26" s="17"/>
      <c r="E26" s="17"/>
      <c r="F26" s="17"/>
      <c r="G26" s="17"/>
      <c r="I26" s="50"/>
      <c r="J26" s="50"/>
    </row>
    <row r="27" spans="2:15" x14ac:dyDescent="0.2">
      <c r="B27" s="8" t="str">
        <f>B10&amp;" - "&amp;B24</f>
        <v>2018 - 2032</v>
      </c>
      <c r="C27" s="18">
        <f>ROUND(PMT(Discount_Rate,COUNT(C10:C24),-NPV(Discount_Rate,C10:C24)),3)</f>
        <v>29.417999999999999</v>
      </c>
      <c r="D27" s="18">
        <f>ROUND(PMT(Discount_Rate,COUNT(D10:D24),-NPV(Discount_Rate,D10:D24)),3)</f>
        <v>27.565000000000001</v>
      </c>
      <c r="E27" s="18">
        <f>ROUND(PMT(Discount_Rate,COUNT(E10:E24),-NPV(Discount_Rate,E10:E24)),3)</f>
        <v>27.247</v>
      </c>
      <c r="F27" s="18">
        <f>ROUND(PMT(Discount_Rate,COUNT(F10:F24),-NPV(Discount_Rate,F10:F24)),3)</f>
        <v>25.757999999999999</v>
      </c>
      <c r="G27" s="18">
        <f>'[1]Table 1'!$G$43</f>
        <v>23.681000675361894</v>
      </c>
      <c r="I27" s="69"/>
      <c r="J27" s="60"/>
    </row>
    <row r="28" spans="2:15" x14ac:dyDescent="0.2">
      <c r="D28" s="10"/>
      <c r="E28" s="10"/>
      <c r="F28" s="10"/>
      <c r="G28" s="10"/>
      <c r="I28" s="50"/>
      <c r="J28" s="50"/>
    </row>
    <row r="29" spans="2:15" x14ac:dyDescent="0.2">
      <c r="B29" s="8" t="s">
        <v>17</v>
      </c>
      <c r="I29" s="50"/>
      <c r="J29" s="50"/>
    </row>
    <row r="30" spans="2:15" x14ac:dyDescent="0.2">
      <c r="B30" s="1" t="str">
        <f>"(2)   Official Forward Price Curve Dated "&amp;TEXT(B39,"MMMM YYYY")</f>
        <v>(2)   Official Forward Price Curve Dated March 2017</v>
      </c>
      <c r="I30" s="50"/>
      <c r="J30" s="50"/>
    </row>
    <row r="31" spans="2:15" x14ac:dyDescent="0.2">
      <c r="B31" s="1" t="str">
        <f>"(3)   "&amp;B35</f>
        <v>(3)   Discount Rate - 2017 IRP</v>
      </c>
    </row>
    <row r="32" spans="2:15" x14ac:dyDescent="0.2">
      <c r="B32" s="1" t="s">
        <v>10</v>
      </c>
    </row>
    <row r="34" spans="2:7" x14ac:dyDescent="0.2">
      <c r="B34" s="24"/>
    </row>
    <row r="35" spans="2:7" x14ac:dyDescent="0.2">
      <c r="B35" s="24" t="s">
        <v>26</v>
      </c>
      <c r="D35" s="22"/>
      <c r="F35" s="22"/>
      <c r="G35" s="22"/>
    </row>
    <row r="36" spans="2:7" x14ac:dyDescent="0.2">
      <c r="B36" s="23">
        <v>6.5699999999999995E-2</v>
      </c>
      <c r="D36" s="22"/>
      <c r="F36" s="22"/>
      <c r="G36" s="22"/>
    </row>
    <row r="37" spans="2:7" x14ac:dyDescent="0.2">
      <c r="D37" s="22"/>
      <c r="E37" s="22"/>
      <c r="F37" s="22"/>
      <c r="G37" s="22"/>
    </row>
    <row r="38" spans="2:7" x14ac:dyDescent="0.2">
      <c r="B38" s="1" t="s">
        <v>13</v>
      </c>
    </row>
    <row r="39" spans="2:7" x14ac:dyDescent="0.2">
      <c r="B39" s="25">
        <f>'[2]Forward Price Curve'!$G$2</f>
        <v>42825</v>
      </c>
    </row>
  </sheetData>
  <phoneticPr fontId="2" type="noConversion"/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G38"/>
  <sheetViews>
    <sheetView zoomScale="70" zoomScaleNormal="7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G19" sqref="G19"/>
    </sheetView>
  </sheetViews>
  <sheetFormatPr defaultRowHeight="15" x14ac:dyDescent="0.2"/>
  <cols>
    <col min="1" max="1" width="1.85546875" style="28" customWidth="1"/>
    <col min="2" max="2" width="13.7109375" style="28" customWidth="1"/>
    <col min="3" max="5" width="17.7109375" style="28" customWidth="1"/>
    <col min="6" max="6" width="25.85546875" style="28" customWidth="1"/>
    <col min="7" max="7" width="17.7109375" style="28" customWidth="1"/>
    <col min="8" max="8" width="2.28515625" style="28" customWidth="1"/>
    <col min="9" max="16384" width="9.140625" style="28"/>
  </cols>
  <sheetData>
    <row r="1" spans="2:7" ht="15.75" x14ac:dyDescent="0.25">
      <c r="B1" s="26" t="str">
        <f>Total!B1</f>
        <v>Appendix C</v>
      </c>
      <c r="C1" s="26"/>
      <c r="D1" s="26"/>
      <c r="E1" s="26"/>
      <c r="F1" s="26"/>
      <c r="G1" s="26"/>
    </row>
    <row r="2" spans="2:7" ht="8.25" customHeight="1" x14ac:dyDescent="0.25">
      <c r="B2" s="26"/>
      <c r="C2" s="26"/>
      <c r="D2" s="26"/>
      <c r="E2" s="26"/>
      <c r="F2" s="26"/>
      <c r="G2" s="26"/>
    </row>
    <row r="3" spans="2:7" ht="15.75" x14ac:dyDescent="0.25">
      <c r="B3" s="26" t="str">
        <f>Total!B3</f>
        <v>Utah Quarterly Compliance Filing</v>
      </c>
      <c r="C3" s="26"/>
      <c r="D3" s="26"/>
      <c r="E3" s="26"/>
      <c r="F3" s="26"/>
      <c r="G3" s="26"/>
    </row>
    <row r="4" spans="2:7" ht="15.75" x14ac:dyDescent="0.25">
      <c r="B4" s="26" t="str">
        <f>Capacity!$B$4</f>
        <v>Step Study between 2017.Q1 and 2016.Q4 Compliance Filing</v>
      </c>
      <c r="C4" s="26"/>
      <c r="D4" s="26"/>
      <c r="E4" s="26"/>
      <c r="F4" s="26"/>
      <c r="G4" s="26"/>
    </row>
    <row r="5" spans="2:7" ht="15.75" x14ac:dyDescent="0.25">
      <c r="B5" s="26" t="s">
        <v>6</v>
      </c>
      <c r="C5" s="26"/>
      <c r="D5" s="26"/>
      <c r="E5" s="26"/>
      <c r="F5" s="26"/>
      <c r="G5" s="26"/>
    </row>
    <row r="6" spans="2:7" ht="15.75" x14ac:dyDescent="0.25">
      <c r="B6" s="26"/>
      <c r="C6" s="53"/>
      <c r="D6" s="53"/>
      <c r="E6" s="53"/>
      <c r="F6" s="53"/>
      <c r="G6" s="53"/>
    </row>
    <row r="7" spans="2:7" ht="15.75" x14ac:dyDescent="0.25">
      <c r="B7" s="29"/>
      <c r="C7" s="46" t="str">
        <f>Capacity!Q7</f>
        <v>2016.Q4</v>
      </c>
      <c r="D7" s="52" t="s">
        <v>27</v>
      </c>
      <c r="E7" s="61" t="s">
        <v>28</v>
      </c>
      <c r="F7" s="52" t="s">
        <v>31</v>
      </c>
      <c r="G7" s="52" t="s">
        <v>29</v>
      </c>
    </row>
    <row r="8" spans="2:7" ht="15.75" x14ac:dyDescent="0.25">
      <c r="B8" s="31" t="s">
        <v>0</v>
      </c>
      <c r="C8" s="45" t="s">
        <v>7</v>
      </c>
      <c r="D8" s="45" t="s">
        <v>20</v>
      </c>
      <c r="E8" s="12" t="s">
        <v>14</v>
      </c>
      <c r="F8" s="51" t="s">
        <v>30</v>
      </c>
      <c r="G8" s="51"/>
    </row>
    <row r="9" spans="2:7" ht="4.5" customHeight="1" x14ac:dyDescent="0.2"/>
    <row r="10" spans="2:7" ht="15.75" x14ac:dyDescent="0.25">
      <c r="B10" s="33">
        <f>Total!B10</f>
        <v>2018</v>
      </c>
      <c r="C10" s="44">
        <f>ROUND(HLOOKUP($B10,[3]Summary!$C$5:$L$41,37,FALSE),3)</f>
        <v>23.285</v>
      </c>
      <c r="D10" s="44">
        <f>ROUND(HLOOKUP($B10,[4]Summary!$C$5:$L$41,37,FALSE),3)</f>
        <v>21.818000000000001</v>
      </c>
      <c r="E10" s="44">
        <f>ROUND(HLOOKUP($B10,[5]Summary!$C$5:$L$41,37,FALSE),3)</f>
        <v>21.838999999999999</v>
      </c>
      <c r="F10" s="44">
        <f>ROUND(HLOOKUP($B10,[6]Summary!$C$5:$L$41,37,FALSE),3)*F$38</f>
        <v>21.831</v>
      </c>
      <c r="G10" s="44">
        <f>ROUND(HLOOKUP($B10,[7]Summary!$C$5:$L$41,37,FALSE),4)*G$38</f>
        <v>19.8232</v>
      </c>
    </row>
    <row r="11" spans="2:7" ht="15.75" x14ac:dyDescent="0.25">
      <c r="B11" s="33">
        <f t="shared" ref="B11:B24" si="0">B10+1</f>
        <v>2019</v>
      </c>
      <c r="C11" s="44">
        <f>ROUND(HLOOKUP($B11,[3]Summary!$C$5:$L$41,37,FALSE),3)</f>
        <v>19.806000000000001</v>
      </c>
      <c r="D11" s="44">
        <f>ROUND(HLOOKUP($B11,[4]Summary!$C$5:$L$41,37,FALSE),3)</f>
        <v>18.899999999999999</v>
      </c>
      <c r="E11" s="44">
        <f>ROUND(HLOOKUP($B11,[5]Summary!$C$5:$L$41,37,FALSE),3)</f>
        <v>18.852</v>
      </c>
      <c r="F11" s="44">
        <f>ROUND(HLOOKUP($B11,[6]Summary!$C$5:$L$41,37,FALSE),3)*F$38</f>
        <v>18.59</v>
      </c>
      <c r="G11" s="44">
        <f>ROUND(HLOOKUP($B11,[7]Summary!$C$5:$L$41,37,FALSE),4)*G$38</f>
        <v>18.231200000000001</v>
      </c>
    </row>
    <row r="12" spans="2:7" ht="15.75" x14ac:dyDescent="0.25">
      <c r="B12" s="33">
        <f t="shared" si="0"/>
        <v>2020</v>
      </c>
      <c r="C12" s="44">
        <f>ROUND(HLOOKUP($B12,[3]Summary!$C$5:$L$41,37,FALSE),3)</f>
        <v>18.687000000000001</v>
      </c>
      <c r="D12" s="44">
        <f>ROUND(HLOOKUP($B12,[4]Summary!$C$5:$L$41,37,FALSE),3)</f>
        <v>17.475000000000001</v>
      </c>
      <c r="E12" s="44">
        <f>ROUND(HLOOKUP($B12,[5]Summary!$C$5:$L$41,37,FALSE),3)</f>
        <v>17.277999999999999</v>
      </c>
      <c r="F12" s="44">
        <f>ROUND(HLOOKUP($B12,[6]Summary!$C$5:$L$41,37,FALSE),3)*F$38</f>
        <v>17.277999999999999</v>
      </c>
      <c r="G12" s="44">
        <f>ROUND(HLOOKUP($B12,[7]Summary!$C$5:$L$41,37,FALSE),4)*G$38</f>
        <v>16.718800000000002</v>
      </c>
    </row>
    <row r="13" spans="2:7" ht="15.75" x14ac:dyDescent="0.25">
      <c r="B13" s="33">
        <f t="shared" si="0"/>
        <v>2021</v>
      </c>
      <c r="C13" s="44">
        <f>ROUND(HLOOKUP($B13,[3]Summary!$C$5:$L$41,37,FALSE),3)</f>
        <v>19.306000000000001</v>
      </c>
      <c r="D13" s="44">
        <f>ROUND(HLOOKUP($B13,[4]Summary!$C$5:$L$41,37,FALSE),3)</f>
        <v>18.164000000000001</v>
      </c>
      <c r="E13" s="44">
        <f>ROUND(HLOOKUP($B13,[5]Summary!$C$5:$L$41,37,FALSE),3)</f>
        <v>17.87</v>
      </c>
      <c r="F13" s="44">
        <f>ROUND(HLOOKUP($B13,[6]Summary!$C$5:$L$41,37,FALSE),3)*F$38</f>
        <v>17.87</v>
      </c>
      <c r="G13" s="44">
        <f>ROUND(HLOOKUP($B13,[7]Summary!$C$5:$L$41,37,FALSE),4)*G$38</f>
        <v>17.803799999999999</v>
      </c>
    </row>
    <row r="14" spans="2:7" ht="15.75" x14ac:dyDescent="0.25">
      <c r="B14" s="33">
        <f t="shared" si="0"/>
        <v>2022</v>
      </c>
      <c r="C14" s="44">
        <f>ROUND(HLOOKUP($B14,[3]Summary!$C$5:$L$41,37,FALSE),3)</f>
        <v>20.936</v>
      </c>
      <c r="D14" s="44">
        <f>ROUND(HLOOKUP($B14,[4]Summary!$C$5:$L$41,37,FALSE),3)</f>
        <v>19.841999999999999</v>
      </c>
      <c r="E14" s="44">
        <f>ROUND(HLOOKUP($B14,[5]Summary!$C$5:$L$41,37,FALSE),3)</f>
        <v>19.811</v>
      </c>
      <c r="F14" s="44">
        <f>ROUND(HLOOKUP($B14,[6]Summary!$C$5:$L$41,37,FALSE),3)*F$38</f>
        <v>19.811</v>
      </c>
      <c r="G14" s="44">
        <f>ROUND(HLOOKUP($B14,[7]Summary!$C$5:$L$41,37,FALSE),4)*G$38</f>
        <v>18.656600000000001</v>
      </c>
    </row>
    <row r="15" spans="2:7" ht="15.75" x14ac:dyDescent="0.25">
      <c r="B15" s="33">
        <f t="shared" si="0"/>
        <v>2023</v>
      </c>
      <c r="C15" s="44">
        <f>ROUND(HLOOKUP($B15,[3]Summary!$C$5:$L$41,37,FALSE),3)</f>
        <v>23.204000000000001</v>
      </c>
      <c r="D15" s="44">
        <f>ROUND(HLOOKUP($B15,[4]Summary!$C$5:$L$41,37,FALSE),3)</f>
        <v>21.437999999999999</v>
      </c>
      <c r="E15" s="44">
        <f>ROUND(HLOOKUP($B15,[5]Summary!$C$5:$L$41,37,FALSE),3)</f>
        <v>21.54</v>
      </c>
      <c r="F15" s="44">
        <f>ROUND(HLOOKUP($B15,[6]Summary!$C$5:$L$41,37,FALSE),3)*F$38</f>
        <v>21.54</v>
      </c>
      <c r="G15" s="44">
        <f>ROUND(HLOOKUP($B15,[7]Summary!$C$5:$L$41,37,FALSE),4)*G$38</f>
        <v>21.168199999999999</v>
      </c>
    </row>
    <row r="16" spans="2:7" ht="15.75" x14ac:dyDescent="0.25">
      <c r="B16" s="33">
        <f t="shared" si="0"/>
        <v>2024</v>
      </c>
      <c r="C16" s="44">
        <f>ROUND(HLOOKUP($B16,[3]Summary!$C$5:$L$41,37,FALSE),3)</f>
        <v>25.832999999999998</v>
      </c>
      <c r="D16" s="44">
        <f>ROUND(HLOOKUP($B16,[4]Summary!$C$5:$L$41,37,FALSE),3)</f>
        <v>23.99</v>
      </c>
      <c r="E16" s="44">
        <f>ROUND(HLOOKUP($B16,[5]Summary!$C$5:$L$41,37,FALSE),3)</f>
        <v>23.890999999999998</v>
      </c>
      <c r="F16" s="44">
        <f>ROUND(HLOOKUP($B16,[6]Summary!$C$5:$L$41,37,FALSE),3)*F$38</f>
        <v>23.890999999999998</v>
      </c>
      <c r="G16" s="44">
        <f>ROUND(HLOOKUP($B16,[7]Summary!$C$5:$L$41,37,FALSE),4)*G$38</f>
        <v>22.498799999999999</v>
      </c>
    </row>
    <row r="17" spans="2:7" ht="15.75" x14ac:dyDescent="0.25">
      <c r="B17" s="33">
        <f t="shared" si="0"/>
        <v>2025</v>
      </c>
      <c r="C17" s="44">
        <f>ROUND(HLOOKUP($B17,[3]Summary!$C$5:$L$41,37,FALSE),3)</f>
        <v>28.576000000000001</v>
      </c>
      <c r="D17" s="44">
        <f>ROUND(HLOOKUP($B17,[4]Summary!$C$5:$L$41,37,FALSE),3)</f>
        <v>26.628</v>
      </c>
      <c r="E17" s="44">
        <f>ROUND(HLOOKUP($B17,[5]Summary!$C$5:$L$41,37,FALSE),3)</f>
        <v>26.361999999999998</v>
      </c>
      <c r="F17" s="44">
        <f>ROUND(HLOOKUP($B17,[6]Summary!$C$5:$L$41,37,FALSE),3)*F$38</f>
        <v>26.361999999999998</v>
      </c>
      <c r="G17" s="44">
        <f>ROUND(HLOOKUP($B17,[7]Summary!$C$5:$L$41,37,FALSE),4)*G$38</f>
        <v>24.172999999999998</v>
      </c>
    </row>
    <row r="18" spans="2:7" ht="15.75" x14ac:dyDescent="0.25">
      <c r="B18" s="33">
        <f t="shared" si="0"/>
        <v>2026</v>
      </c>
      <c r="C18" s="44">
        <f>ROUND(HLOOKUP($B18,[3]Summary!$C$5:$L$41,37,FALSE),3)</f>
        <v>32.734999999999999</v>
      </c>
      <c r="D18" s="44">
        <f>ROUND(HLOOKUP($B18,[4]Summary!$C$5:$L$41,37,FALSE),3)</f>
        <v>30.053000000000001</v>
      </c>
      <c r="E18" s="44">
        <f>ROUND(HLOOKUP($B18,[5]Summary!$C$5:$L$41,37,FALSE),3)</f>
        <v>26.951000000000001</v>
      </c>
      <c r="F18" s="44">
        <f>ROUND(HLOOKUP($B18,[6]Summary!$C$5:$L$41,37,FALSE),3)*F$38</f>
        <v>26.951000000000001</v>
      </c>
      <c r="G18" s="44">
        <f>ROUND(HLOOKUP($B18,[7]Summary!$C$5:$L$41,37,FALSE),4)*G$38</f>
        <v>24.227799999999998</v>
      </c>
    </row>
    <row r="19" spans="2:7" ht="15.75" x14ac:dyDescent="0.25">
      <c r="B19" s="33">
        <f t="shared" si="0"/>
        <v>2027</v>
      </c>
      <c r="C19" s="44">
        <f>ROUND(HLOOKUP($B19,[3]Summary!$C$5:$L$41,37,FALSE),3)</f>
        <v>35.488999999999997</v>
      </c>
      <c r="D19" s="44">
        <f>ROUND(HLOOKUP($B19,[4]Summary!$C$5:$L$41,37,FALSE),3)</f>
        <v>31.908999999999999</v>
      </c>
      <c r="E19" s="44">
        <f>ROUND(HLOOKUP($B19,[5]Summary!$C$5:$L$41,37,FALSE),3)</f>
        <v>28.605</v>
      </c>
      <c r="F19" s="44">
        <f>ROUND(HLOOKUP($B19,[6]Summary!$C$5:$L$41,37,FALSE),3)*F$38</f>
        <v>28.605</v>
      </c>
      <c r="G19" s="44">
        <f>ROUND(HLOOKUP($B19,[7]Summary!$C$5:$L$41,37,FALSE),4)*G$38</f>
        <v>25.561699999999998</v>
      </c>
    </row>
    <row r="20" spans="2:7" ht="15.75" x14ac:dyDescent="0.25">
      <c r="B20" s="33">
        <f t="shared" si="0"/>
        <v>2028</v>
      </c>
      <c r="C20" s="44">
        <f>ROUND(HLOOKUP($B20,[8]Summary!$C$5:$L$41,37,FALSE),3)</f>
        <v>35.174999999999997</v>
      </c>
      <c r="D20" s="44">
        <f>ROUND(HLOOKUP($B20,[9]Summary!$C$5:$L$41,37,FALSE),3)</f>
        <v>32.377000000000002</v>
      </c>
      <c r="E20" s="44">
        <f>ROUND(HLOOKUP($B20,[10]Summary!$C$5:$L$41,37,FALSE),3)</f>
        <v>34.805</v>
      </c>
      <c r="F20" s="44">
        <f>ROUND(HLOOKUP($B20,[11]Summary!$C$5:$L$41,37,FALSE),3)*F$38</f>
        <v>32.738999999999997</v>
      </c>
      <c r="G20" s="44">
        <f>ROUND(HLOOKUP($B20,[12]Summary!$C$5:$L$41,37,FALSE),4)*G$38</f>
        <v>28.730399999999999</v>
      </c>
    </row>
    <row r="21" spans="2:7" ht="15.75" x14ac:dyDescent="0.25">
      <c r="B21" s="33">
        <f t="shared" si="0"/>
        <v>2029</v>
      </c>
      <c r="C21" s="44">
        <f>ROUND(HLOOKUP($B21,[8]Summary!$C$5:$L$41,37,FALSE),3)</f>
        <v>37.999000000000002</v>
      </c>
      <c r="D21" s="44">
        <f>ROUND(HLOOKUP($B21,[9]Summary!$C$5:$L$41,37,FALSE),3)</f>
        <v>35.360999999999997</v>
      </c>
      <c r="E21" s="44">
        <f>ROUND(HLOOKUP($B21,[10]Summary!$C$5:$L$41,37,FALSE),3)</f>
        <v>36.631999999999998</v>
      </c>
      <c r="F21" s="44">
        <f>ROUND(HLOOKUP($B21,[11]Summary!$C$5:$L$41,37,FALSE),3)*F$38</f>
        <v>36.442999999999998</v>
      </c>
      <c r="G21" s="44">
        <f>ROUND(HLOOKUP($B21,[12]Summary!$C$5:$L$41,37,FALSE),4)*G$38</f>
        <v>31.906199999999998</v>
      </c>
    </row>
    <row r="22" spans="2:7" ht="15.75" x14ac:dyDescent="0.25">
      <c r="B22" s="33">
        <f t="shared" si="0"/>
        <v>2030</v>
      </c>
      <c r="C22" s="44">
        <f>ROUND(HLOOKUP($B22,[8]Summary!$C$5:$L$41,37,FALSE),3)</f>
        <v>34.325000000000003</v>
      </c>
      <c r="D22" s="44">
        <f>ROUND(HLOOKUP($B22,[9]Summary!$C$5:$L$41,37,FALSE),3)</f>
        <v>32.106999999999999</v>
      </c>
      <c r="E22" s="44">
        <f>ROUND(HLOOKUP($B22,[10]Summary!$C$5:$L$41,37,FALSE),3)</f>
        <v>31.337</v>
      </c>
      <c r="F22" s="44">
        <f>ROUND(HLOOKUP($B22,[11]Summary!$C$5:$L$41,37,FALSE),3)*F$38</f>
        <v>41.911999999999999</v>
      </c>
      <c r="G22" s="44">
        <f>ROUND(HLOOKUP($B22,[12]Summary!$C$5:$L$41,37,FALSE),4)*G$38</f>
        <v>35.5974</v>
      </c>
    </row>
    <row r="23" spans="2:7" ht="15.75" x14ac:dyDescent="0.25">
      <c r="B23" s="33">
        <f t="shared" si="0"/>
        <v>2031</v>
      </c>
      <c r="C23" s="44">
        <f>ROUND(HLOOKUP($B23,[8]Summary!$C$5:$L$41,37,FALSE),3)</f>
        <v>35.433</v>
      </c>
      <c r="D23" s="44">
        <f>ROUND(HLOOKUP($B23,[9]Summary!$C$5:$L$41,37,FALSE),3)</f>
        <v>33.207999999999998</v>
      </c>
      <c r="E23" s="44">
        <f>ROUND(HLOOKUP($B23,[10]Summary!$C$5:$L$41,37,FALSE),3)</f>
        <v>32.679000000000002</v>
      </c>
      <c r="F23" s="44">
        <f>ROUND(HLOOKUP($B23,[11]Summary!$C$5:$L$41,37,FALSE),3)*F$38</f>
        <v>41.838999999999999</v>
      </c>
      <c r="G23" s="44">
        <f>ROUND(HLOOKUP($B23,[12]Summary!$C$5:$L$41,37,FALSE),4)*G$38</f>
        <v>37.702500000000001</v>
      </c>
    </row>
    <row r="24" spans="2:7" ht="15.75" x14ac:dyDescent="0.25">
      <c r="B24" s="33">
        <f t="shared" si="0"/>
        <v>2032</v>
      </c>
      <c r="C24" s="44">
        <f>ROUND(HLOOKUP($B24,[8]Summary!$C$5:$L$41,37,FALSE),3)</f>
        <v>36.558999999999997</v>
      </c>
      <c r="D24" s="44">
        <f>ROUND(HLOOKUP($B24,[9]Summary!$C$5:$L$41,37,FALSE),3)</f>
        <v>34.65</v>
      </c>
      <c r="E24" s="44">
        <f>ROUND(HLOOKUP($B24,[10]Summary!$C$5:$L$41,37,FALSE),3)</f>
        <v>34.302999999999997</v>
      </c>
      <c r="F24" s="44">
        <f>ROUND(HLOOKUP($B24,[11]Summary!$C$5:$L$41,37,FALSE),3)*F$38</f>
        <v>43.606999999999999</v>
      </c>
      <c r="G24" s="44">
        <f>ROUND(HLOOKUP($B24,[12]Summary!$C$5:$L$41,37,FALSE),4)*G$38</f>
        <v>39.413800000000002</v>
      </c>
    </row>
    <row r="25" spans="2:7" x14ac:dyDescent="0.2">
      <c r="C25" s="43"/>
      <c r="D25" s="43"/>
      <c r="E25" s="43"/>
      <c r="F25" s="43"/>
      <c r="G25" s="43"/>
    </row>
    <row r="26" spans="2:7" x14ac:dyDescent="0.2">
      <c r="B26" s="36" t="str">
        <f>"Nominal Levelized Payment at "&amp;TEXT($B$35,"0.00%")&amp;" Discount Rate (3) (4)"</f>
        <v>Nominal Levelized Payment at 6.57% Discount Rate (3) (4)</v>
      </c>
      <c r="C26" s="43"/>
      <c r="D26" s="43"/>
      <c r="E26" s="43"/>
      <c r="F26" s="43"/>
      <c r="G26" s="43"/>
    </row>
    <row r="27" spans="2:7" x14ac:dyDescent="0.2">
      <c r="B27" s="37" t="str">
        <f>B10&amp;" - "&amp;B24</f>
        <v>2018 - 2032</v>
      </c>
      <c r="C27" s="42">
        <f t="shared" ref="C27:G27" si="1">ROUND(PMT($B$35,COUNT(C10:C24),-NPV($B$35,C10:C24)),3)</f>
        <v>26.765000000000001</v>
      </c>
      <c r="D27" s="42">
        <f t="shared" si="1"/>
        <v>24.943000000000001</v>
      </c>
      <c r="E27" s="42">
        <f t="shared" si="1"/>
        <v>24.625</v>
      </c>
      <c r="F27" s="42">
        <f t="shared" si="1"/>
        <v>25.757999999999999</v>
      </c>
      <c r="G27" s="42">
        <f t="shared" si="1"/>
        <v>23.692</v>
      </c>
    </row>
    <row r="28" spans="2:7" x14ac:dyDescent="0.2">
      <c r="B28" s="37"/>
      <c r="C28" s="35"/>
      <c r="D28" s="35"/>
      <c r="E28" s="35"/>
      <c r="F28" s="35"/>
      <c r="G28" s="35"/>
    </row>
    <row r="29" spans="2:7" x14ac:dyDescent="0.2">
      <c r="B29" s="37" t="str">
        <f>Total!B29</f>
        <v>(1)   Studies are sequential.  The order of the studies would affect the price impact.</v>
      </c>
    </row>
    <row r="30" spans="2:7" x14ac:dyDescent="0.2">
      <c r="B30" s="37" t="str">
        <f>Total!B30</f>
        <v>(2)   Official Forward Price Curve Dated March 2017</v>
      </c>
    </row>
    <row r="31" spans="2:7" x14ac:dyDescent="0.2">
      <c r="B31" s="37" t="str">
        <f>Total!B31</f>
        <v>(3)   Discount Rate - 2017 IRP</v>
      </c>
    </row>
    <row r="32" spans="2:7" x14ac:dyDescent="0.2">
      <c r="B32" s="28" t="s">
        <v>18</v>
      </c>
    </row>
    <row r="33" spans="2:7" x14ac:dyDescent="0.2">
      <c r="B33" s="28" t="s">
        <v>19</v>
      </c>
    </row>
    <row r="34" spans="2:7" x14ac:dyDescent="0.2">
      <c r="B34" s="24" t="s">
        <v>15</v>
      </c>
    </row>
    <row r="35" spans="2:7" x14ac:dyDescent="0.2">
      <c r="B35" s="41">
        <f>Discount_Rate</f>
        <v>6.5699999999999995E-2</v>
      </c>
    </row>
    <row r="37" spans="2:7" ht="15.75" x14ac:dyDescent="0.25">
      <c r="F37" s="62"/>
      <c r="G37" s="67"/>
    </row>
    <row r="38" spans="2:7" x14ac:dyDescent="0.2">
      <c r="B38" s="63">
        <f t="shared" ref="B38:E38" si="2">IF(OR(B7="not used",B8="not used"),0,1)</f>
        <v>1</v>
      </c>
      <c r="C38" s="63">
        <f t="shared" si="2"/>
        <v>1</v>
      </c>
      <c r="D38" s="63">
        <f>IF(OR(D7="not used",D8="not used"),0,1)</f>
        <v>1</v>
      </c>
      <c r="E38" s="63">
        <f t="shared" si="2"/>
        <v>1</v>
      </c>
      <c r="F38" s="63">
        <f>IF(OR(F7="not used",F8="not used"),0,1)</f>
        <v>1</v>
      </c>
      <c r="G38" s="63">
        <f t="shared" ref="G38" si="3">IF(OR(G7="not used",G8="not used"),0,1)</f>
        <v>1</v>
      </c>
    </row>
  </sheetData>
  <printOptions horizontalCentered="1"/>
  <pageMargins left="0.25" right="0.25" top="0.75" bottom="0.75" header="0.3" footer="0.2"/>
  <pageSetup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Q39"/>
  <sheetViews>
    <sheetView zoomScale="70" zoomScaleNormal="70" workbookViewId="0">
      <pane xSplit="2" ySplit="9" topLeftCell="C10" activePane="bottomRight" state="frozen"/>
      <selection activeCell="E39" sqref="E39"/>
      <selection pane="topRight" activeCell="E39" sqref="E39"/>
      <selection pane="bottomLeft" activeCell="E39" sqref="E39"/>
      <selection pane="bottomRight" activeCell="D27" sqref="D27"/>
    </sheetView>
  </sheetViews>
  <sheetFormatPr defaultRowHeight="15" x14ac:dyDescent="0.2"/>
  <cols>
    <col min="1" max="1" width="1.85546875" style="28" customWidth="1"/>
    <col min="2" max="2" width="13.85546875" style="28" customWidth="1"/>
    <col min="3" max="7" width="19.140625" style="28" customWidth="1"/>
    <col min="8" max="8" width="1.140625" style="28" customWidth="1"/>
    <col min="9" max="13" width="19.140625" style="28" customWidth="1"/>
    <col min="14" max="14" width="1.5703125" style="28" customWidth="1"/>
    <col min="15" max="16" width="2.140625" customWidth="1"/>
    <col min="17" max="17" width="9.140625" style="28" customWidth="1"/>
    <col min="18" max="16384" width="9.140625" style="28"/>
  </cols>
  <sheetData>
    <row r="1" spans="2:17" ht="15.75" x14ac:dyDescent="0.25">
      <c r="B1" s="26" t="str">
        <f>[13]Total!B1</f>
        <v>Appendix C</v>
      </c>
      <c r="C1" s="26"/>
      <c r="D1" s="26"/>
      <c r="E1" s="26"/>
      <c r="F1" s="26"/>
      <c r="G1" s="26"/>
      <c r="H1" s="27"/>
      <c r="I1" s="26"/>
      <c r="J1" s="26"/>
      <c r="K1" s="26"/>
      <c r="L1" s="26"/>
      <c r="M1" s="26"/>
      <c r="N1" s="65"/>
      <c r="O1" s="66"/>
    </row>
    <row r="2" spans="2:17" ht="8.25" customHeight="1" x14ac:dyDescent="0.25">
      <c r="B2" s="26"/>
      <c r="C2" s="26"/>
      <c r="D2" s="26"/>
      <c r="E2" s="26"/>
      <c r="F2" s="26"/>
      <c r="G2" s="26"/>
      <c r="H2" s="27"/>
      <c r="I2" s="26"/>
      <c r="J2" s="26"/>
      <c r="K2" s="26"/>
      <c r="L2" s="26"/>
      <c r="M2" s="26"/>
      <c r="N2" s="65"/>
      <c r="O2" s="66"/>
    </row>
    <row r="3" spans="2:17" ht="15.75" x14ac:dyDescent="0.25">
      <c r="B3" s="26" t="str">
        <f>[13]Total!B3</f>
        <v>Utah Quarterly Compliance Filing</v>
      </c>
      <c r="C3" s="26"/>
      <c r="D3" s="26"/>
      <c r="E3" s="26"/>
      <c r="F3" s="26"/>
      <c r="G3" s="26"/>
      <c r="H3" s="27"/>
      <c r="I3" s="26"/>
      <c r="J3" s="26"/>
      <c r="K3" s="26"/>
      <c r="L3" s="26"/>
      <c r="M3" s="26"/>
      <c r="N3" s="65"/>
      <c r="O3" s="66"/>
    </row>
    <row r="4" spans="2:17" ht="15.75" x14ac:dyDescent="0.25">
      <c r="B4" s="26" t="str">
        <f>"Step Study between "&amp;Q8&amp;" and "&amp;Q7&amp;" Compliance Filing"</f>
        <v>Step Study between 2017.Q1 and 2016.Q4 Compliance Filing</v>
      </c>
      <c r="C4" s="26"/>
      <c r="D4" s="26"/>
      <c r="E4" s="26"/>
      <c r="F4" s="26"/>
      <c r="G4" s="26"/>
      <c r="H4" s="27"/>
      <c r="I4" s="26"/>
      <c r="J4" s="26"/>
      <c r="K4" s="26"/>
      <c r="L4" s="26"/>
      <c r="M4" s="26"/>
      <c r="N4" s="65"/>
      <c r="O4" s="66"/>
    </row>
    <row r="5" spans="2:17" ht="15.75" x14ac:dyDescent="0.25">
      <c r="B5" s="26" t="s">
        <v>9</v>
      </c>
      <c r="C5" s="26"/>
      <c r="D5" s="26"/>
      <c r="E5" s="26"/>
      <c r="F5" s="26"/>
      <c r="G5" s="26"/>
      <c r="H5" s="27"/>
      <c r="I5" s="26"/>
      <c r="J5" s="26"/>
      <c r="K5" s="26"/>
      <c r="L5" s="26"/>
      <c r="M5" s="26"/>
      <c r="N5" s="65"/>
      <c r="O5" s="66"/>
    </row>
    <row r="6" spans="2:17" ht="15.75" x14ac:dyDescent="0.25">
      <c r="B6" s="26"/>
      <c r="C6" s="26"/>
      <c r="D6" s="26"/>
      <c r="E6" s="26"/>
      <c r="F6" s="26"/>
      <c r="G6" s="26"/>
      <c r="I6" s="26"/>
      <c r="J6" s="26"/>
      <c r="K6" s="26"/>
      <c r="L6" s="26"/>
      <c r="M6" s="26"/>
      <c r="N6" s="65"/>
      <c r="O6" s="66"/>
    </row>
    <row r="7" spans="2:17" ht="15.75" x14ac:dyDescent="0.25">
      <c r="B7" s="29"/>
      <c r="C7" s="30" t="s">
        <v>2</v>
      </c>
      <c r="D7" s="30"/>
      <c r="E7" s="30"/>
      <c r="F7" s="30"/>
      <c r="G7" s="30"/>
      <c r="I7" s="30" t="s">
        <v>8</v>
      </c>
      <c r="J7" s="47"/>
      <c r="K7" s="47"/>
      <c r="L7" s="47"/>
      <c r="M7" s="47"/>
      <c r="N7" s="65"/>
      <c r="O7" s="66"/>
      <c r="Q7" s="32" t="s">
        <v>21</v>
      </c>
    </row>
    <row r="8" spans="2:17" ht="30.75" customHeight="1" x14ac:dyDescent="0.25">
      <c r="B8" s="31" t="s">
        <v>0</v>
      </c>
      <c r="C8" s="58" t="str">
        <f>[13]Energy!C7&amp;" (3)"</f>
        <v>2016.Q4 (3)</v>
      </c>
      <c r="D8" s="64" t="s">
        <v>22</v>
      </c>
      <c r="E8" s="64" t="s">
        <v>23</v>
      </c>
      <c r="F8" s="64" t="s">
        <v>24</v>
      </c>
      <c r="G8" s="58" t="str">
        <f>Q8&amp;" (5)"</f>
        <v>2017.Q1 (5)</v>
      </c>
      <c r="I8" s="32" t="str">
        <f>C8</f>
        <v>2016.Q4 (3)</v>
      </c>
      <c r="J8" s="58" t="str">
        <f>D8</f>
        <v>1703 OFPC (4)</v>
      </c>
      <c r="K8" s="58" t="s">
        <v>23</v>
      </c>
      <c r="L8" s="58" t="s">
        <v>24</v>
      </c>
      <c r="M8" s="58" t="str">
        <f>G8</f>
        <v>2017.Q1 (5)</v>
      </c>
      <c r="Q8" s="32" t="s">
        <v>25</v>
      </c>
    </row>
    <row r="9" spans="2:17" ht="4.5" customHeight="1" x14ac:dyDescent="0.2"/>
    <row r="10" spans="2:17" ht="15.75" x14ac:dyDescent="0.25">
      <c r="B10" s="33">
        <f>[13]Total!B10</f>
        <v>2018</v>
      </c>
      <c r="C10" s="34">
        <f>IF(VLOOKUP($B10,'[14]Table 1'!$B$12:$C$33,2,FALSE)&lt;&gt;0,VLOOKUP($B10,'[14]Table 1'!$B$12:$C$33,2,FALSE),0)</f>
        <v>0</v>
      </c>
      <c r="D10" s="34">
        <f>IF(VLOOKUP($B10,'[15]Table 1'!$B$12:$C$33,2,FALSE)&lt;&gt;0,VLOOKUP($B10,'[15]Table 1'!$B$12:$C$33,2,FALSE),0)</f>
        <v>0</v>
      </c>
      <c r="E10" s="34">
        <f>IF(VLOOKUP($B10,'[16]Table 1'!$B$13:$C$33,2,FALSE)&lt;&gt;0,VLOOKUP($B10,'[16]Table 1'!$B$13:$C$33,2,FALSE),0)</f>
        <v>0</v>
      </c>
      <c r="F10" s="34">
        <f>IF(VLOOKUP($B10,'[17]Table 1'!$B$13:$C$33,2,FALSE)&lt;&gt;0,VLOOKUP($B10,'[17]Table 1'!$B$13:$C$33,2,FALSE),0)</f>
        <v>0</v>
      </c>
      <c r="G10" s="34">
        <f>IF(VLOOKUP($B10,'[18]Table 1'!$B$12:$C$36,2,FALSE)&lt;&gt;0,VLOOKUP($B10,'[18]Table 1'!$B$13:$C$36,2,FALSE),0)</f>
        <v>0</v>
      </c>
      <c r="I10" s="34">
        <f t="shared" ref="I10:I24" si="0">C10*1000/(IF(MOD($B10,4)=0,8784,8760)*0.85)</f>
        <v>0</v>
      </c>
      <c r="J10" s="34">
        <f t="shared" ref="J10:J24" si="1">D10*1000/(IF(MOD($B10,4)=0,8784,8760)*0.85)</f>
        <v>0</v>
      </c>
      <c r="K10" s="34">
        <f t="shared" ref="K10:K24" si="2">E10*1000/(IF(MOD($B10,4)=0,8784,8760)*0.85)</f>
        <v>0</v>
      </c>
      <c r="L10" s="34">
        <f t="shared" ref="L10:L24" si="3">F10*1000/(IF(MOD($B10,4)=0,8784,8760)*0.85)</f>
        <v>0</v>
      </c>
      <c r="M10" s="34">
        <f t="shared" ref="M10:M24" si="4">G10*1000/(IF(MOD($B10,4)=0,8784,8760)*0.85)</f>
        <v>0</v>
      </c>
    </row>
    <row r="11" spans="2:17" ht="15.75" x14ac:dyDescent="0.25">
      <c r="B11" s="33">
        <f t="shared" ref="B11:B24" si="5">B10+1</f>
        <v>2019</v>
      </c>
      <c r="C11" s="34">
        <f>IF(VLOOKUP($B11,'[14]Table 1'!$B$12:$C$33,2,FALSE)&lt;&gt;0,VLOOKUP($B11,'[14]Table 1'!$B$12:$C$33,2,FALSE),0)</f>
        <v>0</v>
      </c>
      <c r="D11" s="34">
        <f>IF(VLOOKUP($B11,'[15]Table 1'!$B$12:$C$33,2,FALSE)&lt;&gt;0,VLOOKUP($B11,'[15]Table 1'!$B$12:$C$33,2,FALSE),0)</f>
        <v>0</v>
      </c>
      <c r="E11" s="34">
        <f>IF(VLOOKUP($B11,'[16]Table 1'!$B$13:$C$33,2,FALSE)&lt;&gt;0,VLOOKUP($B11,'[16]Table 1'!$B$13:$C$33,2,FALSE),0)</f>
        <v>0</v>
      </c>
      <c r="F11" s="34">
        <f>IF(VLOOKUP($B11,'[17]Table 1'!$B$13:$C$33,2,FALSE)&lt;&gt;0,VLOOKUP($B11,'[17]Table 1'!$B$13:$C$33,2,FALSE),0)</f>
        <v>0</v>
      </c>
      <c r="G11" s="34">
        <f>IF(VLOOKUP($B11,'[18]Table 1'!$B$12:$C$36,2,FALSE)&lt;&gt;0,VLOOKUP($B11,'[18]Table 1'!$B$13:$C$36,2,FALSE),0)</f>
        <v>0</v>
      </c>
      <c r="I11" s="34">
        <f t="shared" si="0"/>
        <v>0</v>
      </c>
      <c r="J11" s="34">
        <f t="shared" si="1"/>
        <v>0</v>
      </c>
      <c r="K11" s="34">
        <f t="shared" si="2"/>
        <v>0</v>
      </c>
      <c r="L11" s="34">
        <f t="shared" si="3"/>
        <v>0</v>
      </c>
      <c r="M11" s="34">
        <f t="shared" si="4"/>
        <v>0</v>
      </c>
    </row>
    <row r="12" spans="2:17" ht="15.75" x14ac:dyDescent="0.25">
      <c r="B12" s="33">
        <f t="shared" si="5"/>
        <v>2020</v>
      </c>
      <c r="C12" s="34">
        <f>IF(VLOOKUP($B12,'[14]Table 1'!$B$12:$C$33,2,FALSE)&lt;&gt;0,VLOOKUP($B12,'[14]Table 1'!$B$12:$C$33,2,FALSE),0)</f>
        <v>0</v>
      </c>
      <c r="D12" s="34">
        <f>IF(VLOOKUP($B12,'[15]Table 1'!$B$12:$C$33,2,FALSE)&lt;&gt;0,VLOOKUP($B12,'[15]Table 1'!$B$12:$C$33,2,FALSE),0)</f>
        <v>0</v>
      </c>
      <c r="E12" s="34">
        <f>IF(VLOOKUP($B12,'[16]Table 1'!$B$13:$C$33,2,FALSE)&lt;&gt;0,VLOOKUP($B12,'[16]Table 1'!$B$13:$C$33,2,FALSE),0)</f>
        <v>0</v>
      </c>
      <c r="F12" s="34">
        <f>IF(VLOOKUP($B12,'[17]Table 1'!$B$13:$C$33,2,FALSE)&lt;&gt;0,VLOOKUP($B12,'[17]Table 1'!$B$13:$C$33,2,FALSE),0)</f>
        <v>0</v>
      </c>
      <c r="G12" s="34">
        <f>IF(VLOOKUP($B12,'[18]Table 1'!$B$12:$C$36,2,FALSE)&lt;&gt;0,VLOOKUP($B12,'[18]Table 1'!$B$13:$C$36,2,FALSE),0)</f>
        <v>0</v>
      </c>
      <c r="I12" s="34">
        <f t="shared" si="0"/>
        <v>0</v>
      </c>
      <c r="J12" s="34">
        <f t="shared" si="1"/>
        <v>0</v>
      </c>
      <c r="K12" s="34">
        <f t="shared" si="2"/>
        <v>0</v>
      </c>
      <c r="L12" s="34">
        <f t="shared" si="3"/>
        <v>0</v>
      </c>
      <c r="M12" s="34">
        <f t="shared" si="4"/>
        <v>0</v>
      </c>
    </row>
    <row r="13" spans="2:17" ht="15.75" x14ac:dyDescent="0.25">
      <c r="B13" s="33">
        <f t="shared" si="5"/>
        <v>2021</v>
      </c>
      <c r="C13" s="34">
        <f>IF(VLOOKUP($B13,'[14]Table 1'!$B$12:$C$33,2,FALSE)&lt;&gt;0,VLOOKUP($B13,'[14]Table 1'!$B$12:$C$33,2,FALSE),0)</f>
        <v>0</v>
      </c>
      <c r="D13" s="34">
        <f>IF(VLOOKUP($B13,'[15]Table 1'!$B$12:$C$33,2,FALSE)&lt;&gt;0,VLOOKUP($B13,'[15]Table 1'!$B$12:$C$33,2,FALSE),0)</f>
        <v>0</v>
      </c>
      <c r="E13" s="34">
        <f>IF(VLOOKUP($B13,'[16]Table 1'!$B$13:$C$33,2,FALSE)&lt;&gt;0,VLOOKUP($B13,'[16]Table 1'!$B$13:$C$33,2,FALSE),0)</f>
        <v>0</v>
      </c>
      <c r="F13" s="34">
        <f>IF(VLOOKUP($B13,'[17]Table 1'!$B$13:$C$33,2,FALSE)&lt;&gt;0,VLOOKUP($B13,'[17]Table 1'!$B$13:$C$33,2,FALSE),0)</f>
        <v>0</v>
      </c>
      <c r="G13" s="34">
        <f>IF(VLOOKUP($B13,'[18]Table 1'!$B$12:$C$36,2,FALSE)&lt;&gt;0,VLOOKUP($B13,'[18]Table 1'!$B$13:$C$36,2,FALSE),0)</f>
        <v>0</v>
      </c>
      <c r="I13" s="34">
        <f t="shared" si="0"/>
        <v>0</v>
      </c>
      <c r="J13" s="34">
        <f t="shared" si="1"/>
        <v>0</v>
      </c>
      <c r="K13" s="34">
        <f t="shared" si="2"/>
        <v>0</v>
      </c>
      <c r="L13" s="34">
        <f t="shared" si="3"/>
        <v>0</v>
      </c>
      <c r="M13" s="34">
        <f t="shared" si="4"/>
        <v>0</v>
      </c>
    </row>
    <row r="14" spans="2:17" ht="15.75" x14ac:dyDescent="0.25">
      <c r="B14" s="33">
        <f t="shared" si="5"/>
        <v>2022</v>
      </c>
      <c r="C14" s="34">
        <f>IF(VLOOKUP($B14,'[14]Table 1'!$B$12:$C$33,2,FALSE)&lt;&gt;0,VLOOKUP($B14,'[14]Table 1'!$B$12:$C$33,2,FALSE),0)</f>
        <v>0</v>
      </c>
      <c r="D14" s="34">
        <f>IF(VLOOKUP($B14,'[15]Table 1'!$B$12:$C$33,2,FALSE)&lt;&gt;0,VLOOKUP($B14,'[15]Table 1'!$B$12:$C$33,2,FALSE),0)</f>
        <v>0</v>
      </c>
      <c r="E14" s="34">
        <f>IF(VLOOKUP($B14,'[16]Table 1'!$B$13:$C$33,2,FALSE)&lt;&gt;0,VLOOKUP($B14,'[16]Table 1'!$B$13:$C$33,2,FALSE),0)</f>
        <v>0</v>
      </c>
      <c r="F14" s="34">
        <f>IF(VLOOKUP($B14,'[17]Table 1'!$B$13:$C$33,2,FALSE)&lt;&gt;0,VLOOKUP($B14,'[17]Table 1'!$B$13:$C$33,2,FALSE),0)</f>
        <v>0</v>
      </c>
      <c r="G14" s="34">
        <f>IF(VLOOKUP($B14,'[18]Table 1'!$B$12:$C$36,2,FALSE)&lt;&gt;0,VLOOKUP($B14,'[18]Table 1'!$B$13:$C$36,2,FALSE),0)</f>
        <v>0</v>
      </c>
      <c r="I14" s="34">
        <f t="shared" si="0"/>
        <v>0</v>
      </c>
      <c r="J14" s="34">
        <f t="shared" si="1"/>
        <v>0</v>
      </c>
      <c r="K14" s="34">
        <f t="shared" si="2"/>
        <v>0</v>
      </c>
      <c r="L14" s="34">
        <f t="shared" si="3"/>
        <v>0</v>
      </c>
      <c r="M14" s="34">
        <f t="shared" si="4"/>
        <v>0</v>
      </c>
    </row>
    <row r="15" spans="2:17" ht="15.75" x14ac:dyDescent="0.25">
      <c r="B15" s="33">
        <f t="shared" si="5"/>
        <v>2023</v>
      </c>
      <c r="C15" s="34">
        <f>IF(VLOOKUP($B15,'[14]Table 1'!$B$12:$C$33,2,FALSE)&lt;&gt;0,VLOOKUP($B15,'[14]Table 1'!$B$12:$C$33,2,FALSE),0)</f>
        <v>0</v>
      </c>
      <c r="D15" s="34">
        <f>IF(VLOOKUP($B15,'[15]Table 1'!$B$12:$C$33,2,FALSE)&lt;&gt;0,VLOOKUP($B15,'[15]Table 1'!$B$12:$C$33,2,FALSE),0)</f>
        <v>0</v>
      </c>
      <c r="E15" s="34">
        <f>IF(VLOOKUP($B15,'[16]Table 1'!$B$13:$C$33,2,FALSE)&lt;&gt;0,VLOOKUP($B15,'[16]Table 1'!$B$13:$C$33,2,FALSE),0)</f>
        <v>0</v>
      </c>
      <c r="F15" s="34">
        <f>IF(VLOOKUP($B15,'[17]Table 1'!$B$13:$C$33,2,FALSE)&lt;&gt;0,VLOOKUP($B15,'[17]Table 1'!$B$13:$C$33,2,FALSE),0)</f>
        <v>0</v>
      </c>
      <c r="G15" s="34">
        <f>IF(VLOOKUP($B15,'[18]Table 1'!$B$12:$C$36,2,FALSE)&lt;&gt;0,VLOOKUP($B15,'[18]Table 1'!$B$13:$C$36,2,FALSE),0)</f>
        <v>0</v>
      </c>
      <c r="I15" s="34">
        <f t="shared" si="0"/>
        <v>0</v>
      </c>
      <c r="J15" s="34">
        <f t="shared" si="1"/>
        <v>0</v>
      </c>
      <c r="K15" s="34">
        <f t="shared" si="2"/>
        <v>0</v>
      </c>
      <c r="L15" s="34">
        <f t="shared" si="3"/>
        <v>0</v>
      </c>
      <c r="M15" s="34">
        <f t="shared" si="4"/>
        <v>0</v>
      </c>
    </row>
    <row r="16" spans="2:17" ht="15.75" x14ac:dyDescent="0.25">
      <c r="B16" s="33">
        <f t="shared" si="5"/>
        <v>2024</v>
      </c>
      <c r="C16" s="34">
        <f>IF(VLOOKUP($B16,'[14]Table 1'!$B$12:$C$33,2,FALSE)&lt;&gt;0,VLOOKUP($B16,'[14]Table 1'!$B$12:$C$33,2,FALSE),0)</f>
        <v>0</v>
      </c>
      <c r="D16" s="34">
        <f>IF(VLOOKUP($B16,'[15]Table 1'!$B$12:$C$33,2,FALSE)&lt;&gt;0,VLOOKUP($B16,'[15]Table 1'!$B$12:$C$33,2,FALSE),0)</f>
        <v>0</v>
      </c>
      <c r="E16" s="34">
        <f>IF(VLOOKUP($B16,'[16]Table 1'!$B$13:$C$33,2,FALSE)&lt;&gt;0,VLOOKUP($B16,'[16]Table 1'!$B$13:$C$33,2,FALSE),0)</f>
        <v>0</v>
      </c>
      <c r="F16" s="34">
        <f>IF(VLOOKUP($B16,'[17]Table 1'!$B$13:$C$33,2,FALSE)&lt;&gt;0,VLOOKUP($B16,'[17]Table 1'!$B$13:$C$33,2,FALSE),0)</f>
        <v>0</v>
      </c>
      <c r="G16" s="34">
        <f>IF(VLOOKUP($B16,'[18]Table 1'!$B$12:$C$36,2,FALSE)&lt;&gt;0,VLOOKUP($B16,'[18]Table 1'!$B$13:$C$36,2,FALSE),0)</f>
        <v>0</v>
      </c>
      <c r="I16" s="34">
        <f t="shared" si="0"/>
        <v>0</v>
      </c>
      <c r="J16" s="34">
        <f t="shared" si="1"/>
        <v>0</v>
      </c>
      <c r="K16" s="34">
        <f t="shared" si="2"/>
        <v>0</v>
      </c>
      <c r="L16" s="34">
        <f t="shared" si="3"/>
        <v>0</v>
      </c>
      <c r="M16" s="34">
        <f t="shared" si="4"/>
        <v>0</v>
      </c>
    </row>
    <row r="17" spans="2:16" ht="15.75" x14ac:dyDescent="0.25">
      <c r="B17" s="33">
        <f t="shared" si="5"/>
        <v>2025</v>
      </c>
      <c r="C17" s="34">
        <f>IF(VLOOKUP($B17,'[14]Table 1'!$B$12:$C$33,2,FALSE)&lt;&gt;0,VLOOKUP($B17,'[14]Table 1'!$B$12:$C$33,2,FALSE),0)</f>
        <v>0</v>
      </c>
      <c r="D17" s="34">
        <f>IF(VLOOKUP($B17,'[15]Table 1'!$B$12:$C$33,2,FALSE)&lt;&gt;0,VLOOKUP($B17,'[15]Table 1'!$B$12:$C$33,2,FALSE),0)</f>
        <v>0</v>
      </c>
      <c r="E17" s="34">
        <f>IF(VLOOKUP($B17,'[16]Table 1'!$B$13:$C$33,2,FALSE)&lt;&gt;0,VLOOKUP($B17,'[16]Table 1'!$B$13:$C$33,2,FALSE),0)</f>
        <v>0</v>
      </c>
      <c r="F17" s="34">
        <f>IF(VLOOKUP($B17,'[17]Table 1'!$B$13:$C$33,2,FALSE)&lt;&gt;0,VLOOKUP($B17,'[17]Table 1'!$B$13:$C$33,2,FALSE),0)</f>
        <v>0</v>
      </c>
      <c r="G17" s="34">
        <f>IF(VLOOKUP($B17,'[18]Table 1'!$B$12:$C$36,2,FALSE)&lt;&gt;0,VLOOKUP($B17,'[18]Table 1'!$B$13:$C$36,2,FALSE),0)</f>
        <v>0</v>
      </c>
      <c r="I17" s="34">
        <f t="shared" si="0"/>
        <v>0</v>
      </c>
      <c r="J17" s="34">
        <f t="shared" si="1"/>
        <v>0</v>
      </c>
      <c r="K17" s="34">
        <f t="shared" si="2"/>
        <v>0</v>
      </c>
      <c r="L17" s="34">
        <f t="shared" si="3"/>
        <v>0</v>
      </c>
      <c r="M17" s="34">
        <f t="shared" si="4"/>
        <v>0</v>
      </c>
    </row>
    <row r="18" spans="2:16" ht="15.75" x14ac:dyDescent="0.25">
      <c r="B18" s="33">
        <f t="shared" si="5"/>
        <v>2026</v>
      </c>
      <c r="C18" s="34">
        <f>IF(VLOOKUP($B18,'[14]Table 1'!$B$12:$C$33,2,FALSE)&lt;&gt;0,VLOOKUP($B18,'[14]Table 1'!$B$12:$C$33,2,FALSE),0)</f>
        <v>0</v>
      </c>
      <c r="D18" s="34">
        <f>IF(VLOOKUP($B18,'[15]Table 1'!$B$12:$C$33,2,FALSE)&lt;&gt;0,VLOOKUP($B18,'[15]Table 1'!$B$12:$C$33,2,FALSE),0)</f>
        <v>0</v>
      </c>
      <c r="E18" s="34">
        <f>IF(VLOOKUP($B18,'[16]Table 1'!$B$13:$C$33,2,FALSE)&lt;&gt;0,VLOOKUP($B18,'[16]Table 1'!$B$13:$C$33,2,FALSE),0)</f>
        <v>0</v>
      </c>
      <c r="F18" s="34">
        <f>IF(VLOOKUP($B18,'[17]Table 1'!$B$13:$C$33,2,FALSE)&lt;&gt;0,VLOOKUP($B18,'[17]Table 1'!$B$13:$C$33,2,FALSE),0)</f>
        <v>0</v>
      </c>
      <c r="G18" s="34">
        <f>IF(VLOOKUP($B18,'[18]Table 1'!$B$12:$C$36,2,FALSE)&lt;&gt;0,VLOOKUP($B18,'[18]Table 1'!$B$13:$C$36,2,FALSE),0)</f>
        <v>0</v>
      </c>
      <c r="I18" s="34">
        <f t="shared" si="0"/>
        <v>0</v>
      </c>
      <c r="J18" s="34">
        <f t="shared" si="1"/>
        <v>0</v>
      </c>
      <c r="K18" s="34">
        <f t="shared" si="2"/>
        <v>0</v>
      </c>
      <c r="L18" s="34">
        <f t="shared" si="3"/>
        <v>0</v>
      </c>
      <c r="M18" s="34">
        <f t="shared" si="4"/>
        <v>0</v>
      </c>
    </row>
    <row r="19" spans="2:16" ht="15.75" x14ac:dyDescent="0.25">
      <c r="B19" s="33">
        <f t="shared" si="5"/>
        <v>2027</v>
      </c>
      <c r="C19" s="34">
        <f>IF(VLOOKUP($B19,'[14]Table 1'!$B$12:$C$33,2,FALSE)&lt;&gt;0,VLOOKUP($B19,'[14]Table 1'!$B$12:$C$33,2,FALSE),0)</f>
        <v>0</v>
      </c>
      <c r="D19" s="34">
        <f>IF(VLOOKUP($B19,'[15]Table 1'!$B$12:$C$33,2,FALSE)&lt;&gt;0,VLOOKUP($B19,'[15]Table 1'!$B$12:$C$33,2,FALSE),0)</f>
        <v>0</v>
      </c>
      <c r="E19" s="34">
        <f>IF(VLOOKUP($B19,'[16]Table 1'!$B$13:$C$33,2,FALSE)&lt;&gt;0,VLOOKUP($B19,'[16]Table 1'!$B$13:$C$33,2,FALSE),0)</f>
        <v>0</v>
      </c>
      <c r="F19" s="34">
        <f>IF(VLOOKUP($B19,'[17]Table 1'!$B$13:$C$33,2,FALSE)&lt;&gt;0,VLOOKUP($B19,'[17]Table 1'!$B$13:$C$33,2,FALSE),0)</f>
        <v>0</v>
      </c>
      <c r="G19" s="34">
        <f>IF(VLOOKUP($B19,'[18]Table 1'!$B$12:$C$36,2,FALSE)&lt;&gt;0,VLOOKUP($B19,'[18]Table 1'!$B$13:$C$36,2,FALSE),0)</f>
        <v>0</v>
      </c>
      <c r="I19" s="34">
        <f t="shared" si="0"/>
        <v>0</v>
      </c>
      <c r="J19" s="34">
        <f t="shared" si="1"/>
        <v>0</v>
      </c>
      <c r="K19" s="34">
        <f t="shared" si="2"/>
        <v>0</v>
      </c>
      <c r="L19" s="34">
        <f t="shared" si="3"/>
        <v>0</v>
      </c>
      <c r="M19" s="34">
        <f t="shared" si="4"/>
        <v>0</v>
      </c>
    </row>
    <row r="20" spans="2:16" ht="15.75" x14ac:dyDescent="0.25">
      <c r="B20" s="33">
        <f t="shared" si="5"/>
        <v>2028</v>
      </c>
      <c r="C20" s="34">
        <f>IF(VLOOKUP($B20,'[14]Table 1'!$B$12:$C$33,2,FALSE)&lt;&gt;0,VLOOKUP($B20,'[14]Table 1'!$B$12:$C$33,2,FALSE),0)</f>
        <v>0</v>
      </c>
      <c r="D20" s="34">
        <f>IF(VLOOKUP($B20,'[15]Table 1'!$B$12:$C$33,2,FALSE)&lt;&gt;0,VLOOKUP($B20,'[15]Table 1'!$B$12:$C$33,2,FALSE),0)</f>
        <v>0</v>
      </c>
      <c r="E20" s="34">
        <f>IF(VLOOKUP($B20,'[16]Table 1'!$B$13:$C$33,2,FALSE)&lt;&gt;0,VLOOKUP($B20,'[16]Table 1'!$B$13:$C$33,2,FALSE),0)</f>
        <v>0</v>
      </c>
      <c r="F20" s="34">
        <f>IF(VLOOKUP($B20,'[17]Table 1'!$B$13:$C$33,2,FALSE)&lt;&gt;0,VLOOKUP($B20,'[17]Table 1'!$B$13:$C$33,2,FALSE),0)</f>
        <v>0</v>
      </c>
      <c r="G20" s="34">
        <f>IF(VLOOKUP($B20,'[18]Table 1'!$B$12:$C$36,2,FALSE)&lt;&gt;0,VLOOKUP($B20,'[18]Table 1'!$B$13:$C$36,2,FALSE),0)</f>
        <v>0</v>
      </c>
      <c r="I20" s="34">
        <f t="shared" si="0"/>
        <v>0</v>
      </c>
      <c r="J20" s="34">
        <f t="shared" si="1"/>
        <v>0</v>
      </c>
      <c r="K20" s="34">
        <f t="shared" si="2"/>
        <v>0</v>
      </c>
      <c r="L20" s="34">
        <f t="shared" si="3"/>
        <v>0</v>
      </c>
      <c r="M20" s="34">
        <f t="shared" si="4"/>
        <v>0</v>
      </c>
    </row>
    <row r="21" spans="2:16" ht="15.75" x14ac:dyDescent="0.25">
      <c r="B21" s="33">
        <f t="shared" si="5"/>
        <v>2029</v>
      </c>
      <c r="C21" s="34">
        <f>IF(VLOOKUP($B21,'[14]Table 1'!$B$12:$C$33,2,FALSE)&lt;&gt;0,VLOOKUP($B21,'[14]Table 1'!$B$12:$C$33,2,FALSE),0)</f>
        <v>0</v>
      </c>
      <c r="D21" s="34">
        <f>IF(VLOOKUP($B21,'[15]Table 1'!$B$12:$C$33,2,FALSE)&lt;&gt;0,VLOOKUP($B21,'[15]Table 1'!$B$12:$C$33,2,FALSE),0)</f>
        <v>0</v>
      </c>
      <c r="E21" s="34">
        <f>IF(VLOOKUP($B21,'[16]Table 1'!$B$13:$C$33,2,FALSE)&lt;&gt;0,VLOOKUP($B21,'[16]Table 1'!$B$13:$C$33,2,FALSE),0)</f>
        <v>0</v>
      </c>
      <c r="F21" s="34">
        <f>IF(VLOOKUP($B21,'[17]Table 1'!$B$13:$C$33,2,FALSE)&lt;&gt;0,VLOOKUP($B21,'[17]Table 1'!$B$13:$C$33,2,FALSE),0)</f>
        <v>0</v>
      </c>
      <c r="G21" s="34">
        <f>IF(VLOOKUP($B21,'[18]Table 1'!$B$12:$C$36,2,FALSE)&lt;&gt;0,VLOOKUP($B21,'[18]Table 1'!$B$13:$C$36,2,FALSE),0)</f>
        <v>0</v>
      </c>
      <c r="I21" s="34">
        <f t="shared" si="0"/>
        <v>0</v>
      </c>
      <c r="J21" s="34">
        <f t="shared" si="1"/>
        <v>0</v>
      </c>
      <c r="K21" s="34">
        <f t="shared" si="2"/>
        <v>0</v>
      </c>
      <c r="L21" s="34">
        <f t="shared" si="3"/>
        <v>0</v>
      </c>
      <c r="M21" s="34">
        <f t="shared" si="4"/>
        <v>0</v>
      </c>
    </row>
    <row r="22" spans="2:16" ht="15.75" x14ac:dyDescent="0.25">
      <c r="B22" s="33">
        <f t="shared" si="5"/>
        <v>2030</v>
      </c>
      <c r="C22" s="34">
        <f>IF(VLOOKUP($B22,'[14]Table 1'!$B$12:$C$33,2,FALSE)&lt;&gt;0,VLOOKUP($B22,'[14]Table 1'!$B$12:$C$33,2,FALSE),0)</f>
        <v>146.88</v>
      </c>
      <c r="D22" s="34">
        <f>IF(VLOOKUP($B22,'[15]Table 1'!$B$12:$C$33,2,FALSE)&lt;&gt;0,VLOOKUP($B22,'[15]Table 1'!$B$12:$C$33,2,FALSE),0)</f>
        <v>145.08000000000001</v>
      </c>
      <c r="E22" s="34">
        <f>IF(VLOOKUP($B22,'[16]Table 1'!$B$13:$C$33,2,FALSE)&lt;&gt;0,VLOOKUP($B22,'[16]Table 1'!$B$13:$C$33,2,FALSE),0)</f>
        <v>145.08000000000001</v>
      </c>
      <c r="F22" s="34">
        <f>IF(VLOOKUP($B22,'[17]Table 1'!$B$13:$C$33,2,FALSE)&lt;&gt;0,VLOOKUP($B22,'[17]Table 1'!$B$13:$C$33,2,FALSE),0)</f>
        <v>0</v>
      </c>
      <c r="G22" s="34">
        <f>IF(VLOOKUP($B22,'[18]Table 1'!$B$12:$C$36,2,FALSE)&lt;&gt;0,VLOOKUP($B22,'[18]Table 1'!$B$13:$C$36,2,FALSE),0)</f>
        <v>0</v>
      </c>
      <c r="I22" s="34">
        <f t="shared" si="0"/>
        <v>19.726027397260275</v>
      </c>
      <c r="J22" s="34">
        <f t="shared" si="1"/>
        <v>19.484286865431105</v>
      </c>
      <c r="K22" s="34">
        <f t="shared" si="2"/>
        <v>19.484286865431105</v>
      </c>
      <c r="L22" s="34">
        <f t="shared" si="3"/>
        <v>0</v>
      </c>
      <c r="M22" s="34">
        <f t="shared" si="4"/>
        <v>0</v>
      </c>
    </row>
    <row r="23" spans="2:16" ht="15.75" x14ac:dyDescent="0.25">
      <c r="B23" s="33">
        <f t="shared" si="5"/>
        <v>2031</v>
      </c>
      <c r="C23" s="34">
        <f>IF(VLOOKUP($B23,'[14]Table 1'!$B$12:$C$33,2,FALSE)&lt;&gt;0,VLOOKUP($B23,'[14]Table 1'!$B$12:$C$33,2,FALSE),0)</f>
        <v>150.27000000000001</v>
      </c>
      <c r="D23" s="34">
        <f>IF(VLOOKUP($B23,'[15]Table 1'!$B$12:$C$33,2,FALSE)&lt;&gt;0,VLOOKUP($B23,'[15]Table 1'!$B$12:$C$33,2,FALSE),0)</f>
        <v>148.55000000000001</v>
      </c>
      <c r="E23" s="34">
        <f>IF(VLOOKUP($B23,'[16]Table 1'!$B$13:$C$33,2,FALSE)&lt;&gt;0,VLOOKUP($B23,'[16]Table 1'!$B$13:$C$33,2,FALSE),0)</f>
        <v>148.55000000000001</v>
      </c>
      <c r="F23" s="34">
        <f>IF(VLOOKUP($B23,'[17]Table 1'!$B$13:$C$33,2,FALSE)&lt;&gt;0,VLOOKUP($B23,'[17]Table 1'!$B$13:$C$33,2,FALSE),0)</f>
        <v>0</v>
      </c>
      <c r="G23" s="34">
        <f>IF(VLOOKUP($B23,'[18]Table 1'!$B$12:$C$36,2,FALSE)&lt;&gt;0,VLOOKUP($B23,'[18]Table 1'!$B$13:$C$36,2,FALSE),0)</f>
        <v>0</v>
      </c>
      <c r="I23" s="34">
        <f t="shared" si="0"/>
        <v>20.181305398871878</v>
      </c>
      <c r="J23" s="34">
        <f t="shared" si="1"/>
        <v>19.950308890679558</v>
      </c>
      <c r="K23" s="34">
        <f t="shared" si="2"/>
        <v>19.950308890679558</v>
      </c>
      <c r="L23" s="34">
        <f t="shared" si="3"/>
        <v>0</v>
      </c>
      <c r="M23" s="34">
        <f t="shared" si="4"/>
        <v>0</v>
      </c>
    </row>
    <row r="24" spans="2:16" ht="15.75" x14ac:dyDescent="0.25">
      <c r="B24" s="33">
        <f t="shared" si="5"/>
        <v>2032</v>
      </c>
      <c r="C24" s="34">
        <f>IF(VLOOKUP($B24,'[14]Table 1'!$B$12:$C$33,2,FALSE)&lt;&gt;0,VLOOKUP($B24,'[14]Table 1'!$B$12:$C$33,2,FALSE),0)</f>
        <v>153.72</v>
      </c>
      <c r="D24" s="34">
        <f>IF(VLOOKUP($B24,'[15]Table 1'!$B$12:$C$33,2,FALSE)&lt;&gt;0,VLOOKUP($B24,'[15]Table 1'!$B$12:$C$33,2,FALSE),0)</f>
        <v>152.12</v>
      </c>
      <c r="E24" s="34">
        <f>IF(VLOOKUP($B24,'[16]Table 1'!$B$13:$C$33,2,FALSE)&lt;&gt;0,VLOOKUP($B24,'[16]Table 1'!$B$13:$C$33,2,FALSE),0)</f>
        <v>152.12</v>
      </c>
      <c r="F24" s="34">
        <f>IF(VLOOKUP($B24,'[17]Table 1'!$B$13:$C$33,2,FALSE)&lt;&gt;0,VLOOKUP($B24,'[17]Table 1'!$B$13:$C$33,2,FALSE),0)</f>
        <v>0</v>
      </c>
      <c r="G24" s="34">
        <f>IF(VLOOKUP($B24,'[18]Table 1'!$B$12:$C$36,2,FALSE)&lt;&gt;0,VLOOKUP($B24,'[18]Table 1'!$B$13:$C$36,2,FALSE),0)</f>
        <v>0</v>
      </c>
      <c r="I24" s="34">
        <f t="shared" si="0"/>
        <v>20.588235294117649</v>
      </c>
      <c r="J24" s="34">
        <f t="shared" si="1"/>
        <v>20.373941926497377</v>
      </c>
      <c r="K24" s="34">
        <f t="shared" si="2"/>
        <v>20.373941926497377</v>
      </c>
      <c r="L24" s="34">
        <f t="shared" si="3"/>
        <v>0</v>
      </c>
      <c r="M24" s="34">
        <f t="shared" si="4"/>
        <v>0</v>
      </c>
    </row>
    <row r="25" spans="2:16" ht="15.75" x14ac:dyDescent="0.25">
      <c r="B25" s="33"/>
      <c r="C25" s="35"/>
      <c r="D25" s="35"/>
      <c r="E25" s="35"/>
      <c r="F25" s="35"/>
      <c r="G25" s="35"/>
      <c r="I25" s="35"/>
    </row>
    <row r="26" spans="2:16" x14ac:dyDescent="0.2">
      <c r="B26" s="36" t="str">
        <f>"Nominal Levelized Payment at "&amp;TEXT($B$39,"0.000%")&amp;" Discount Rate (2)"</f>
        <v>Nominal Levelized Payment at 6.570% Discount Rate (2)</v>
      </c>
    </row>
    <row r="27" spans="2:16" x14ac:dyDescent="0.2">
      <c r="B27" s="37" t="str">
        <f>$B$10&amp;" - "&amp;B24</f>
        <v>2018 - 2032</v>
      </c>
      <c r="C27" s="38">
        <f>PMT($B$39,COUNT(C10:C24),-NPV($B$39,C10:C24))</f>
        <v>19.770978455274616</v>
      </c>
      <c r="D27" s="38">
        <f>PMT($B$39,COUNT(D10:D24),-NPV($B$39,D10:D24))</f>
        <v>19.545688904062331</v>
      </c>
      <c r="E27" s="38">
        <f t="shared" ref="E27:F27" si="6">PMT($B$39,COUNT(E10:E24),-NPV($B$39,E10:E24))</f>
        <v>19.545688904062331</v>
      </c>
      <c r="F27" s="38">
        <f t="shared" si="6"/>
        <v>0</v>
      </c>
      <c r="G27" s="38">
        <f>PMT($B$39,COUNT(G10:G24),-NPV($B$39,G10:G24))</f>
        <v>0</v>
      </c>
      <c r="I27" s="38">
        <f>PMT($B$39,COUNT(I10:I24),-NPV($B$39,I10:I24))</f>
        <v>2.6529281770616753</v>
      </c>
      <c r="J27" s="38">
        <f>PMT($B$39,COUNT(J10:J24),-NPV($B$39,J10:J24))</f>
        <v>2.6226958723101608</v>
      </c>
      <c r="K27" s="38">
        <f>PMT($B$39,COUNT(K10:K24),-NPV($B$39,K10:K24))</f>
        <v>2.6226958723101608</v>
      </c>
      <c r="L27" s="38">
        <f>PMT($B$39,COUNT(L10:L24),-NPV($B$39,L10:L24))</f>
        <v>0</v>
      </c>
      <c r="M27" s="38">
        <f>PMT($B$39,COUNT(M10:M24),-NPV($B$39,M10:M24))</f>
        <v>0</v>
      </c>
    </row>
    <row r="29" spans="2:16" x14ac:dyDescent="0.2">
      <c r="B29" s="28" t="s">
        <v>3</v>
      </c>
    </row>
    <row r="30" spans="2:16" s="1" customFormat="1" x14ac:dyDescent="0.2">
      <c r="B30" s="28" t="str">
        <f>"(2)   "&amp;[13]Total!B35</f>
        <v>(2)   Discount Rate - 2017 IRP</v>
      </c>
      <c r="C30" s="28"/>
      <c r="D30" s="28"/>
      <c r="E30" s="28"/>
      <c r="F30" s="28"/>
      <c r="G30" s="28"/>
      <c r="H30" s="28"/>
      <c r="I30" s="28"/>
      <c r="O30"/>
      <c r="P30"/>
    </row>
    <row r="31" spans="2:16" x14ac:dyDescent="0.2">
      <c r="B31" s="28" t="str">
        <f>"(3)  Capacity costs reflect - "&amp;TRIM('[14]Table 1'!$B$45)</f>
        <v>(3)  Capacity costs reflect - 2030 - Utah - 635 MW - CCCT Dry "F" 2x1 - East Side Resource (5,050') ( 100.0%)</v>
      </c>
    </row>
    <row r="32" spans="2:16" hidden="1" x14ac:dyDescent="0.2">
      <c r="B32" s="28" t="str">
        <f>"   "&amp;'[14]Table 1'!$B$46</f>
        <v xml:space="preserve">          2030 - WYNE  DJohns - 665 MW - CCCT Dry "JF, 2x1 - East Side Resource (5,050')   ( 100.0%)</v>
      </c>
    </row>
    <row r="33" spans="2:2" x14ac:dyDescent="0.2">
      <c r="B33" s="28" t="str">
        <f>"(4)  Capacity costs reflect - "&amp;TRIM('[15]Table 1'!$B$45)</f>
        <v>(4)  Capacity costs reflect - 2030 - Utah - 635 MW - CCCT Dry "F" 2x1 - East Side Resource (5,050') ( 100.0%)</v>
      </c>
    </row>
    <row r="34" spans="2:2" x14ac:dyDescent="0.2">
      <c r="B34" s="28" t="str">
        <f>[13]Capacity!$B$34</f>
        <v xml:space="preserve">(5)  No Capacity costs-All of the 2017 IRP Thermal resources are deferred due to the size of the Queue  </v>
      </c>
    </row>
    <row r="38" spans="2:2" x14ac:dyDescent="0.2">
      <c r="B38" s="65" t="str">
        <f>[13]Total!B35</f>
        <v>Discount Rate - 2017 IRP</v>
      </c>
    </row>
    <row r="39" spans="2:2" x14ac:dyDescent="0.2">
      <c r="B39" s="39">
        <f>Discount_Rate</f>
        <v>6.5699999999999995E-2</v>
      </c>
    </row>
  </sheetData>
  <printOptions horizontalCentered="1"/>
  <pageMargins left="0.25" right="0.25" top="0.75" bottom="0.75" header="0.3" footer="0.2"/>
  <pageSetup scale="65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Melissa Paschal</cp:lastModifiedBy>
  <cp:lastPrinted>2017-06-21T15:07:11Z</cp:lastPrinted>
  <dcterms:created xsi:type="dcterms:W3CDTF">2006-07-10T20:43:15Z</dcterms:created>
  <dcterms:modified xsi:type="dcterms:W3CDTF">2017-06-21T22:41:50Z</dcterms:modified>
</cp:coreProperties>
</file>