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37\"/>
    </mc:Choice>
  </mc:AlternateContent>
  <bookViews>
    <workbookView xWindow="0" yWindow="0" windowWidth="19200" windowHeight="11595"/>
  </bookViews>
  <sheets>
    <sheet name="Incremental" sheetId="6" r:id="rId1"/>
    <sheet name="Total" sheetId="5" r:id="rId2"/>
    <sheet name="Energy" sheetId="12" r:id="rId3"/>
    <sheet name="Capacity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Order1" hidden="1">255</definedName>
    <definedName name="_Order2" hidden="1">0</definedName>
    <definedName name="Discount_Rate">Total!$B$36</definedName>
    <definedName name="_xlnm.Print_Area" localSheetId="3">Capacity!$A$1:$K$33</definedName>
    <definedName name="_xlnm.Print_Area" localSheetId="2">Energy!$A$1:$H$32</definedName>
    <definedName name="_xlnm.Print_Area" localSheetId="0">Incremental!$A$1:$H$32</definedName>
    <definedName name="_xlnm.Print_Area" localSheetId="1">Total!$A$1:$H$32</definedName>
    <definedName name="Study_CF">#REF!</definedName>
    <definedName name="Study_MW">#REF!</definedName>
    <definedName name="Study_Name">#REF!</definedName>
  </definedNames>
  <calcPr calcId="152511"/>
</workbook>
</file>

<file path=xl/calcChain.xml><?xml version="1.0" encoding="utf-8"?>
<calcChain xmlns="http://schemas.openxmlformats.org/spreadsheetml/2006/main">
  <c r="F8" i="6" l="1"/>
  <c r="G8" i="5"/>
  <c r="E7" i="6" l="1"/>
  <c r="B39" i="5"/>
  <c r="C8" i="6" l="1"/>
  <c r="G7" i="5"/>
  <c r="F7" i="5"/>
  <c r="F38" i="12"/>
  <c r="D8" i="10" l="1"/>
  <c r="F7" i="6" l="1"/>
  <c r="G38" i="12" l="1"/>
  <c r="G10" i="12" l="1"/>
  <c r="D8" i="6"/>
  <c r="D7" i="6"/>
  <c r="C7" i="6"/>
  <c r="B38" i="10" l="1"/>
  <c r="B30" i="10"/>
  <c r="B10" i="10"/>
  <c r="D10" i="10" s="1"/>
  <c r="B3" i="10"/>
  <c r="B1" i="10"/>
  <c r="C10" i="10" l="1"/>
  <c r="B39" i="10"/>
  <c r="G8" i="10"/>
  <c r="B4" i="10"/>
  <c r="B26" i="10" l="1"/>
  <c r="B11" i="10"/>
  <c r="D11" i="10" s="1"/>
  <c r="C11" i="10" l="1"/>
  <c r="F11" i="10" s="1"/>
  <c r="B12" i="10"/>
  <c r="D12" i="10" s="1"/>
  <c r="F10" i="10"/>
  <c r="G10" i="5" s="1"/>
  <c r="C12" i="10" l="1"/>
  <c r="B13" i="10"/>
  <c r="D13" i="10" s="1"/>
  <c r="C13" i="10" l="1"/>
  <c r="F13" i="10" s="1"/>
  <c r="F12" i="10"/>
  <c r="B14" i="10"/>
  <c r="D14" i="10" s="1"/>
  <c r="C14" i="10" l="1"/>
  <c r="F14" i="10" s="1"/>
  <c r="B15" i="10"/>
  <c r="D15" i="10" s="1"/>
  <c r="C15" i="10" l="1"/>
  <c r="B16" i="10"/>
  <c r="D16" i="10" s="1"/>
  <c r="C16" i="10" l="1"/>
  <c r="F16" i="10" s="1"/>
  <c r="B17" i="10"/>
  <c r="D17" i="10" s="1"/>
  <c r="F15" i="10"/>
  <c r="C17" i="10" l="1"/>
  <c r="B18" i="10"/>
  <c r="D18" i="10" s="1"/>
  <c r="C18" i="10" l="1"/>
  <c r="F18" i="10" s="1"/>
  <c r="B19" i="10"/>
  <c r="D19" i="10" s="1"/>
  <c r="F17" i="10"/>
  <c r="C19" i="10" l="1"/>
  <c r="F19" i="10" s="1"/>
  <c r="B20" i="10"/>
  <c r="D20" i="10" s="1"/>
  <c r="C20" i="10" l="1"/>
  <c r="F20" i="10" s="1"/>
  <c r="B21" i="10"/>
  <c r="D21" i="10" s="1"/>
  <c r="C21" i="10" l="1"/>
  <c r="F21" i="10" s="1"/>
  <c r="B22" i="10"/>
  <c r="D22" i="10" s="1"/>
  <c r="C22" i="10" l="1"/>
  <c r="F22" i="10" s="1"/>
  <c r="B23" i="10"/>
  <c r="D23" i="10" s="1"/>
  <c r="C23" i="10" l="1"/>
  <c r="F23" i="10" s="1"/>
  <c r="B24" i="10"/>
  <c r="D24" i="10" s="1"/>
  <c r="C24" i="10" l="1"/>
  <c r="B27" i="10"/>
  <c r="F24" i="10" l="1"/>
  <c r="C27" i="10"/>
  <c r="F27" i="10" l="1"/>
  <c r="D38" i="12" l="1"/>
  <c r="E38" i="12"/>
  <c r="B38" i="12"/>
  <c r="C7" i="12" l="1"/>
  <c r="C38" i="12" s="1"/>
  <c r="E8" i="5" l="1"/>
  <c r="C8" i="5"/>
  <c r="E7" i="5"/>
  <c r="C7" i="5"/>
  <c r="B1" i="12" l="1"/>
  <c r="B3" i="12"/>
  <c r="B10" i="12"/>
  <c r="B29" i="12"/>
  <c r="B35" i="12"/>
  <c r="C10" i="12" l="1"/>
  <c r="C10" i="5" s="1"/>
  <c r="B26" i="12"/>
  <c r="B11" i="12"/>
  <c r="G11" i="12" s="1"/>
  <c r="G11" i="5" s="1"/>
  <c r="C11" i="12" l="1"/>
  <c r="C11" i="5" s="1"/>
  <c r="B12" i="12"/>
  <c r="G12" i="12" s="1"/>
  <c r="G12" i="5" s="1"/>
  <c r="C12" i="12" l="1"/>
  <c r="C12" i="5" s="1"/>
  <c r="B13" i="12"/>
  <c r="G13" i="12" s="1"/>
  <c r="G13" i="5" s="1"/>
  <c r="C13" i="12" l="1"/>
  <c r="C13" i="5" s="1"/>
  <c r="B14" i="12"/>
  <c r="G14" i="12" s="1"/>
  <c r="G14" i="5" s="1"/>
  <c r="C14" i="12" l="1"/>
  <c r="B15" i="12"/>
  <c r="G15" i="12" s="1"/>
  <c r="G15" i="5" s="1"/>
  <c r="C15" i="12" l="1"/>
  <c r="C14" i="5"/>
  <c r="B16" i="12"/>
  <c r="G16" i="12" s="1"/>
  <c r="G16" i="5" s="1"/>
  <c r="C16" i="12" l="1"/>
  <c r="C15" i="5"/>
  <c r="B17" i="12"/>
  <c r="G17" i="12" s="1"/>
  <c r="G17" i="5" s="1"/>
  <c r="C17" i="12" l="1"/>
  <c r="C17" i="5" s="1"/>
  <c r="C16" i="5"/>
  <c r="B18" i="12"/>
  <c r="G18" i="12" s="1"/>
  <c r="G18" i="5" s="1"/>
  <c r="C18" i="12" l="1"/>
  <c r="B19" i="12"/>
  <c r="G19" i="12" s="1"/>
  <c r="G19" i="5" s="1"/>
  <c r="C19" i="12" l="1"/>
  <c r="C18" i="5"/>
  <c r="B20" i="12"/>
  <c r="G20" i="12" s="1"/>
  <c r="G20" i="5" s="1"/>
  <c r="B31" i="5"/>
  <c r="C20" i="12" l="1"/>
  <c r="C20" i="5" s="1"/>
  <c r="C19" i="5"/>
  <c r="B31" i="12"/>
  <c r="B21" i="12"/>
  <c r="G21" i="12" s="1"/>
  <c r="G21" i="5" s="1"/>
  <c r="C21" i="12" l="1"/>
  <c r="C21" i="5" s="1"/>
  <c r="B22" i="12"/>
  <c r="G22" i="12" s="1"/>
  <c r="G22" i="5" s="1"/>
  <c r="C22" i="12" l="1"/>
  <c r="B23" i="12"/>
  <c r="G23" i="12" s="1"/>
  <c r="G23" i="5" s="1"/>
  <c r="C23" i="12" l="1"/>
  <c r="C22" i="5"/>
  <c r="B24" i="12"/>
  <c r="G24" i="12" s="1"/>
  <c r="G24" i="5" s="1"/>
  <c r="C24" i="12" l="1"/>
  <c r="C27" i="12" s="1"/>
  <c r="C23" i="5"/>
  <c r="B27" i="12"/>
  <c r="G27" i="12" l="1"/>
  <c r="C24" i="5"/>
  <c r="C27" i="5" s="1"/>
  <c r="B26" i="5"/>
  <c r="B31" i="6" l="1"/>
  <c r="B29" i="6"/>
  <c r="D8" i="5" l="1"/>
  <c r="D7" i="5"/>
  <c r="B36" i="6" l="1"/>
  <c r="B26" i="6" l="1"/>
  <c r="B10" i="6" l="1"/>
  <c r="B11" i="5"/>
  <c r="B3" i="6"/>
  <c r="B1" i="6"/>
  <c r="B11" i="6" l="1"/>
  <c r="B12" i="5"/>
  <c r="B13" i="5" l="1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7" i="6" l="1"/>
  <c r="B14" i="5"/>
  <c r="B4" i="12"/>
  <c r="B4" i="6"/>
  <c r="B4" i="5"/>
  <c r="B15" i="5" l="1"/>
  <c r="B16" i="5" l="1"/>
  <c r="B17" i="5" l="1"/>
  <c r="B18" i="5" l="1"/>
  <c r="B19" i="5" l="1"/>
  <c r="B20" i="5" l="1"/>
  <c r="B21" i="5" l="1"/>
  <c r="B22" i="5" l="1"/>
  <c r="B23" i="5" l="1"/>
  <c r="B24" i="5" l="1"/>
  <c r="B27" i="5" s="1"/>
  <c r="B30" i="5" l="1"/>
  <c r="B30" i="6" l="1"/>
  <c r="B30" i="12"/>
  <c r="G22" i="10" l="1"/>
  <c r="G20" i="10"/>
  <c r="G21" i="10" l="1"/>
  <c r="G24" i="10"/>
  <c r="G23" i="10"/>
  <c r="G18" i="10" l="1"/>
  <c r="G19" i="10"/>
  <c r="G17" i="10"/>
  <c r="G14" i="10"/>
  <c r="G16" i="10"/>
  <c r="G15" i="10"/>
  <c r="G13" i="10" l="1"/>
  <c r="G11" i="10" l="1"/>
  <c r="G12" i="10" l="1"/>
  <c r="D27" i="10" l="1"/>
  <c r="G10" i="10"/>
  <c r="G27" i="5" l="1"/>
  <c r="G27" i="10"/>
  <c r="C8" i="10" l="1"/>
  <c r="F8" i="10" s="1"/>
  <c r="D13" i="12" l="1"/>
  <c r="D13" i="5" l="1"/>
  <c r="C13" i="6" s="1"/>
  <c r="D12" i="12"/>
  <c r="D11" i="12"/>
  <c r="D12" i="5" l="1"/>
  <c r="C12" i="6" s="1"/>
  <c r="D11" i="5"/>
  <c r="C11" i="6" s="1"/>
  <c r="D18" i="12"/>
  <c r="D10" i="12"/>
  <c r="D16" i="12"/>
  <c r="D17" i="12"/>
  <c r="D14" i="12"/>
  <c r="D19" i="12"/>
  <c r="D15" i="12"/>
  <c r="D16" i="5" l="1"/>
  <c r="C16" i="6" s="1"/>
  <c r="D10" i="5"/>
  <c r="D14" i="5"/>
  <c r="C14" i="6" s="1"/>
  <c r="D18" i="5"/>
  <c r="C18" i="6" s="1"/>
  <c r="D15" i="5"/>
  <c r="C15" i="6" s="1"/>
  <c r="D19" i="5"/>
  <c r="C19" i="6" s="1"/>
  <c r="D17" i="5"/>
  <c r="C17" i="6" s="1"/>
  <c r="C10" i="6" l="1"/>
  <c r="D23" i="12" l="1"/>
  <c r="D23" i="5" l="1"/>
  <c r="C23" i="6" s="1"/>
  <c r="D21" i="12"/>
  <c r="D22" i="12"/>
  <c r="D22" i="5" l="1"/>
  <c r="C22" i="6" s="1"/>
  <c r="D21" i="5"/>
  <c r="C21" i="6" s="1"/>
  <c r="D20" i="12"/>
  <c r="D24" i="12"/>
  <c r="D24" i="5" l="1"/>
  <c r="C24" i="6" s="1"/>
  <c r="D20" i="5"/>
  <c r="D27" i="12"/>
  <c r="C20" i="6" l="1"/>
  <c r="D27" i="5"/>
  <c r="C27" i="6" s="1"/>
  <c r="E22" i="12" l="1"/>
  <c r="E23" i="12"/>
  <c r="E20" i="12"/>
  <c r="E24" i="12"/>
  <c r="E21" i="12"/>
  <c r="E24" i="5" l="1"/>
  <c r="D24" i="6" s="1"/>
  <c r="E20" i="5"/>
  <c r="D20" i="6" s="1"/>
  <c r="E23" i="5"/>
  <c r="D23" i="6" s="1"/>
  <c r="E21" i="5"/>
  <c r="D21" i="6" s="1"/>
  <c r="E22" i="5"/>
  <c r="D22" i="6" s="1"/>
  <c r="E13" i="12" l="1"/>
  <c r="E12" i="12"/>
  <c r="E11" i="12"/>
  <c r="E13" i="5" l="1"/>
  <c r="D13" i="6" s="1"/>
  <c r="E11" i="5"/>
  <c r="D11" i="6" s="1"/>
  <c r="E12" i="5"/>
  <c r="D12" i="6" s="1"/>
  <c r="E15" i="12"/>
  <c r="E17" i="12"/>
  <c r="E14" i="12"/>
  <c r="E18" i="12"/>
  <c r="E10" i="12"/>
  <c r="E19" i="12"/>
  <c r="E16" i="12"/>
  <c r="E16" i="5" l="1"/>
  <c r="D16" i="6" s="1"/>
  <c r="E18" i="5"/>
  <c r="D18" i="6" s="1"/>
  <c r="E15" i="5"/>
  <c r="D15" i="6" s="1"/>
  <c r="E19" i="5"/>
  <c r="D19" i="6" s="1"/>
  <c r="E17" i="5"/>
  <c r="D17" i="6" s="1"/>
  <c r="E27" i="12"/>
  <c r="E10" i="5"/>
  <c r="E14" i="5"/>
  <c r="D14" i="6" s="1"/>
  <c r="E27" i="5" l="1"/>
  <c r="D27" i="6" s="1"/>
  <c r="D10" i="6"/>
  <c r="F22" i="12" l="1"/>
  <c r="F22" i="5" s="1"/>
  <c r="F21" i="12"/>
  <c r="F21" i="5" s="1"/>
  <c r="F23" i="12" l="1"/>
  <c r="F23" i="5" s="1"/>
  <c r="E21" i="6"/>
  <c r="F21" i="6"/>
  <c r="F20" i="12"/>
  <c r="F20" i="5" s="1"/>
  <c r="E22" i="6"/>
  <c r="F22" i="6"/>
  <c r="G22" i="6" s="1"/>
  <c r="G21" i="6" l="1"/>
  <c r="E20" i="6"/>
  <c r="F20" i="6"/>
  <c r="F24" i="12"/>
  <c r="F24" i="5" s="1"/>
  <c r="F23" i="6"/>
  <c r="E23" i="6"/>
  <c r="G20" i="6" l="1"/>
  <c r="E24" i="6"/>
  <c r="F24" i="6"/>
  <c r="G23" i="6"/>
  <c r="G24" i="6" l="1"/>
  <c r="F12" i="12" l="1"/>
  <c r="F12" i="5" s="1"/>
  <c r="F11" i="12"/>
  <c r="F11" i="5" s="1"/>
  <c r="F13" i="12"/>
  <c r="F13" i="5" s="1"/>
  <c r="F18" i="12"/>
  <c r="F18" i="5" s="1"/>
  <c r="F10" i="12"/>
  <c r="F16" i="12" l="1"/>
  <c r="F16" i="5" s="1"/>
  <c r="E18" i="6"/>
  <c r="F18" i="6"/>
  <c r="F11" i="6"/>
  <c r="E11" i="6"/>
  <c r="F19" i="12"/>
  <c r="F19" i="5" s="1"/>
  <c r="F15" i="12"/>
  <c r="F15" i="5" s="1"/>
  <c r="F14" i="12"/>
  <c r="F14" i="5" s="1"/>
  <c r="F10" i="5"/>
  <c r="E13" i="6"/>
  <c r="F13" i="6"/>
  <c r="F12" i="6"/>
  <c r="E12" i="6"/>
  <c r="F17" i="12"/>
  <c r="F17" i="5" s="1"/>
  <c r="G18" i="6" l="1"/>
  <c r="G11" i="6"/>
  <c r="G13" i="6"/>
  <c r="G12" i="6"/>
  <c r="F17" i="6"/>
  <c r="E17" i="6"/>
  <c r="G17" i="6" s="1"/>
  <c r="F14" i="6"/>
  <c r="E14" i="6"/>
  <c r="F19" i="6"/>
  <c r="E19" i="6"/>
  <c r="E10" i="6"/>
  <c r="F10" i="6"/>
  <c r="F27" i="5"/>
  <c r="F15" i="6"/>
  <c r="E15" i="6"/>
  <c r="E16" i="6"/>
  <c r="F16" i="6"/>
  <c r="F27" i="12"/>
  <c r="G14" i="6" l="1"/>
  <c r="G15" i="6"/>
  <c r="G10" i="6"/>
  <c r="G16" i="6"/>
  <c r="E27" i="6"/>
  <c r="F27" i="6"/>
  <c r="G19" i="6"/>
  <c r="G27" i="6" l="1"/>
</calcChain>
</file>

<file path=xl/sharedStrings.xml><?xml version="1.0" encoding="utf-8"?>
<sst xmlns="http://schemas.openxmlformats.org/spreadsheetml/2006/main" count="34" uniqueCount="30">
  <si>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</si>
  <si>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</si>
  <si>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</si>
  <si>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</si>
  <si>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</si>
  <si>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</si>
  <si>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</si>
  <si>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</si>
  <si>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</si>
  <si>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</si>
  <si>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</si>
  <si>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</si>
  <si>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</si>
  <si>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</si>
  <si>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</si>
  <si>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</si>
  <si>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(4)  15-Year Nominal Levelized Payment (2018-2032)</t>
  </si>
  <si>
    <t>OFPC</t>
  </si>
  <si>
    <t>2017.Q1</t>
  </si>
  <si>
    <t>Discount Rate - 2017 IRP</t>
  </si>
  <si>
    <t>2017.Q2</t>
  </si>
  <si>
    <t>Generic</t>
  </si>
  <si>
    <t xml:space="preserve"> Update</t>
  </si>
  <si>
    <t>Queue</t>
  </si>
  <si>
    <t>1706</t>
  </si>
  <si>
    <t>Avoided Cost Impact of Changing Assumptions $/MWH (1)</t>
  </si>
  <si>
    <t xml:space="preserve">(3)  No Capacity costs-All of the 2017 IRP Thermal resources are deferred due to the </t>
  </si>
  <si>
    <t xml:space="preserve">  size of the Queue  </t>
  </si>
  <si>
    <t>Load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</si>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</sst>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&quot;$&quot;#,##0.000_);[Red]\(&quot;$&quot;#,##0.000\)"/>
    <numFmt numFmtId="174" formatCode="&quot;$&quot;#,##0.000_);\(&quot;$&quot;#,##0.000\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</cellStyleXfs>
  <cellXfs count="72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1" xfId="4" quotePrefix="1" applyFont="1" applyBorder="1" applyAlignment="1">
      <alignment horizontal="center"/>
    </xf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0" fontId="4" fillId="0" borderId="2" xfId="4" applyNumberFormat="1" applyFont="1" applyBorder="1" applyAlignment="1">
      <alignment horizontal="center"/>
    </xf>
    <xf numFmtId="165" fontId="4" fillId="0" borderId="0" xfId="4" applyFont="1" applyAlignment="1"/>
    <xf numFmtId="165" fontId="0" fillId="0" borderId="0" xfId="0" applyAlignment="1"/>
    <xf numFmtId="165" fontId="3" fillId="0" borderId="0" xfId="4" applyFont="1" applyBorder="1" applyAlignment="1">
      <alignment horizontal="centerContinuous"/>
    </xf>
    <xf numFmtId="172" fontId="3" fillId="0" borderId="1" xfId="0" applyNumberFormat="1" applyFont="1" applyFill="1" applyBorder="1" applyAlignment="1">
      <alignment horizontal="center"/>
    </xf>
    <xf numFmtId="165" fontId="3" fillId="0" borderId="1" xfId="0" quotePrefix="1" applyFont="1" applyFill="1" applyBorder="1" applyAlignment="1">
      <alignment horizontal="center"/>
    </xf>
    <xf numFmtId="173" fontId="4" fillId="0" borderId="2" xfId="4" applyNumberFormat="1" applyFont="1" applyFill="1" applyBorder="1" applyAlignment="1">
      <alignment horizontal="center"/>
    </xf>
    <xf numFmtId="173" fontId="4" fillId="0" borderId="0" xfId="4" applyNumberFormat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166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/>
    <xf numFmtId="173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/>
    <xf numFmtId="173" fontId="4" fillId="0" borderId="2" xfId="0" applyNumberFormat="1" applyFont="1" applyFill="1" applyBorder="1" applyAlignment="1">
      <alignment horizontal="center"/>
    </xf>
    <xf numFmtId="174" fontId="4" fillId="0" borderId="0" xfId="4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2" xfId="0" applyNumberFormat="1" applyFont="1" applyFill="1" applyBorder="1" applyAlignment="1">
      <alignment horizontal="center"/>
    </xf>
  </cellXfs>
  <cellStyles count="18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Source%20Files\_All%20Data%20Series%20Files_2017%2007%2011%20(1706%20OFPC)\xGNw_Market%20Price%20Index%20(1706)%20CONF%20_2017%2007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Scenario\101.1%20-%20UT%202017.Q1%20-%201a%20-%20GRID%20AC%20Study%20CONF%20_2017%2005%2030%20Therm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52%20-%20UT%20Compliance%20Filing%202017.Q2%20-%202017%20Aug\x%20Step%20Study%202017.Q2\_UT%202017.Q2%20-%20Step%20Study%20_2017%2009%2025%20(Detail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52%20-%20UT%20Compliance%20Filing%202017.Q2%20-%202017%20Aug\Scenario\152%20-%20UT%202017.Q2%20-%201a%20-%20GRID%20AC%20Study%20CONF%20_2017%2009%2025%20(Gold)%20Therm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Scenario\101.1%20-%20UT%202017.Q1%20-%201b%20-%20GRID%20AC%20Study%20CONF%20_2017%2005%2030%20Therma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52%20-%20UT%20Compliance%20Filing%202017.Q2%20-%202017%20Aug\Scenario\152%20-%20UT%202017.Q2%20-%201b%20-%20GRID%20AC%20Study%20CONF%20_2017%2009%2025%20(Gold)%20Therma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Scenario\101.1%20-%20UT%202017.Q1%20-%201---%20Avoided%20Cost%20Study%20_2017%2005%2030%20Therm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52%20-%20UT%20Compliance%20Filing%202017.Q2%20-%202017%20Aug\Scenario\152%20-%20UT%202017.Q2%20-%201%20---%20Avoided%20Cost%20Study%20_2017%2009%2025%20(Gold)%20Ther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  <sheetName val="xGNw_Market Price Index (1706) "/>
    </sheetNames>
    <sheetDataSet>
      <sheetData sheetId="0"/>
      <sheetData sheetId="1">
        <row r="1">
          <cell r="N1" t="str">
            <v>xGNw_Market Price Index (1706) CONF _2017 07 11</v>
          </cell>
        </row>
      </sheetData>
      <sheetData sheetId="2">
        <row r="2">
          <cell r="F2" t="str">
            <v>OFPC Dated</v>
          </cell>
          <cell r="G2">
            <v>42916</v>
          </cell>
        </row>
      </sheetData>
      <sheetData sheetId="3">
        <row r="2">
          <cell r="B2" t="str">
            <v>Inflation Forecast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101.1 - UT 2017"/>
    </sheetNames>
    <sheetDataSet>
      <sheetData sheetId="0">
        <row r="1">
          <cell r="N1" t="str">
            <v>101.1 - UT 2017.Q1 - 1a - GRID AC Study CONF _2017 05 30 Thermal</v>
          </cell>
        </row>
      </sheetData>
      <sheetData sheetId="1">
        <row r="1">
          <cell r="K1" t="str">
            <v>101.1 - UT 2017.Q1 - 1a - GRID AC Study CONF _2017 05 30 Thermal</v>
          </cell>
        </row>
      </sheetData>
      <sheetData sheetId="2">
        <row r="5">
          <cell r="C5">
            <v>2018</v>
          </cell>
          <cell r="D5">
            <v>2019</v>
          </cell>
          <cell r="E5">
            <v>2020</v>
          </cell>
          <cell r="F5">
            <v>2021</v>
          </cell>
          <cell r="G5">
            <v>2022</v>
          </cell>
          <cell r="H5">
            <v>2023</v>
          </cell>
          <cell r="I5">
            <v>2024</v>
          </cell>
          <cell r="J5">
            <v>2025</v>
          </cell>
          <cell r="K5">
            <v>2026</v>
          </cell>
          <cell r="L5">
            <v>2027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2407061.8343800008</v>
          </cell>
          <cell r="D7">
            <v>461823.62724006176</v>
          </cell>
          <cell r="E7">
            <v>2427825.0299203098</v>
          </cell>
          <cell r="F7">
            <v>4323807.8788200617</v>
          </cell>
          <cell r="G7">
            <v>4414726.3008399606</v>
          </cell>
          <cell r="H7">
            <v>4725345.093539983</v>
          </cell>
          <cell r="I7">
            <v>4316023.4138000309</v>
          </cell>
          <cell r="J7">
            <v>4805607.3429159522</v>
          </cell>
          <cell r="K7">
            <v>4847580.3427500427</v>
          </cell>
          <cell r="L7">
            <v>4597643.398059994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-1166886.7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-3.1621057670563459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-5997854.401250124</v>
          </cell>
          <cell r="D11">
            <v>-2299053.6702200174</v>
          </cell>
          <cell r="E11">
            <v>-1880003.9853000641</v>
          </cell>
          <cell r="F11">
            <v>-2182072.4883998632</v>
          </cell>
          <cell r="G11">
            <v>-1649868.0534199476</v>
          </cell>
          <cell r="H11">
            <v>-2202053.3494051695</v>
          </cell>
          <cell r="I11">
            <v>-2253401.8041701317</v>
          </cell>
          <cell r="J11">
            <v>-3895447.9804801941</v>
          </cell>
          <cell r="K11">
            <v>-2747663.1239100695</v>
          </cell>
          <cell r="L11">
            <v>-2374480.433079958</v>
          </cell>
        </row>
        <row r="12">
          <cell r="C12">
            <v>-52.137554496526718</v>
          </cell>
          <cell r="D12">
            <v>-43.666273206472397</v>
          </cell>
          <cell r="E12">
            <v>-8.9671183228492737</v>
          </cell>
          <cell r="F12">
            <v>-30.796037316322327</v>
          </cell>
          <cell r="G12">
            <v>-1067.8302448093891</v>
          </cell>
          <cell r="H12">
            <v>-7368.3375999927521</v>
          </cell>
          <cell r="I12">
            <v>-6602.0500000119209</v>
          </cell>
          <cell r="J12">
            <v>-6747.2269999980927</v>
          </cell>
          <cell r="K12">
            <v>-6121.7659999728203</v>
          </cell>
          <cell r="L12">
            <v>-3664.5056000053883</v>
          </cell>
        </row>
        <row r="13">
          <cell r="C13">
            <v>-5703356.2263101339</v>
          </cell>
          <cell r="D13">
            <v>-7970752.0058610439</v>
          </cell>
          <cell r="E13">
            <v>-5739412.0876580477</v>
          </cell>
          <cell r="F13">
            <v>-5301064.8648099899</v>
          </cell>
          <cell r="G13">
            <v>-5944994.3059200048</v>
          </cell>
          <cell r="H13">
            <v>-5735923.9782831669</v>
          </cell>
          <cell r="I13">
            <v>-6342935.1838461161</v>
          </cell>
          <cell r="J13">
            <v>-6597734.0155268908</v>
          </cell>
          <cell r="K13">
            <v>-7458105.995279789</v>
          </cell>
          <cell r="L13">
            <v>-6753846.0163770914</v>
          </cell>
        </row>
        <row r="14">
          <cell r="C14">
            <v>-638741.08706995845</v>
          </cell>
          <cell r="D14">
            <v>-1661867.7678099871</v>
          </cell>
          <cell r="E14">
            <v>-2435660.6722000241</v>
          </cell>
          <cell r="F14">
            <v>-1449719.0765500069</v>
          </cell>
          <cell r="G14">
            <v>-1881016.5458101034</v>
          </cell>
          <cell r="H14">
            <v>-3091175.7699100375</v>
          </cell>
          <cell r="I14">
            <v>-3868460.9047000408</v>
          </cell>
          <cell r="J14">
            <v>-2693698.0613999963</v>
          </cell>
          <cell r="K14">
            <v>-2980551.3645499945</v>
          </cell>
          <cell r="L14">
            <v>-5303576.6146200299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-13298.657650000066</v>
          </cell>
          <cell r="D16">
            <v>-14492.021600000095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-11086.720900000015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-14760364.344214713</v>
          </cell>
          <cell r="D17">
            <v>-13574919.459004316</v>
          </cell>
          <cell r="E17">
            <v>-12482910.742196769</v>
          </cell>
          <cell r="F17">
            <v>-13256698.266723005</v>
          </cell>
          <cell r="G17">
            <v>-13891673.036234826</v>
          </cell>
          <cell r="H17">
            <v>-15761866.52873835</v>
          </cell>
          <cell r="I17">
            <v>-16798510.077416331</v>
          </cell>
          <cell r="J17">
            <v>-17999234.627323031</v>
          </cell>
          <cell r="K17">
            <v>-18040022.592489868</v>
          </cell>
          <cell r="L17">
            <v>-19033210.967737079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102531.29369999934</v>
          </cell>
          <cell r="D20">
            <v>26820.267300000414</v>
          </cell>
          <cell r="E20">
            <v>137953.32449754141</v>
          </cell>
          <cell r="F20">
            <v>226252.30802810006</v>
          </cell>
          <cell r="G20">
            <v>217067.95157099888</v>
          </cell>
          <cell r="H20">
            <v>207146.88101119921</v>
          </cell>
          <cell r="I20">
            <v>177373.96547700092</v>
          </cell>
          <cell r="J20">
            <v>177567.8154480001</v>
          </cell>
          <cell r="K20">
            <v>179912.98797599785</v>
          </cell>
          <cell r="L20">
            <v>164673.4639867004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-41599.999999999993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-253919.93890200183</v>
          </cell>
          <cell r="D23">
            <v>-117141.26751000062</v>
          </cell>
          <cell r="E23">
            <v>-85552.29245999828</v>
          </cell>
          <cell r="F23">
            <v>-89803.092742998153</v>
          </cell>
          <cell r="G23">
            <v>-64419.263627000153</v>
          </cell>
          <cell r="H23">
            <v>-67176.865068003535</v>
          </cell>
          <cell r="I23">
            <v>-66778.60898699984</v>
          </cell>
          <cell r="J23">
            <v>-103648.15998100489</v>
          </cell>
          <cell r="K23">
            <v>-73675.485949002206</v>
          </cell>
          <cell r="L23">
            <v>-61059.180687993765</v>
          </cell>
        </row>
        <row r="24">
          <cell r="C24">
            <v>-351157.5856589973</v>
          </cell>
          <cell r="D24">
            <v>-461157.7933200039</v>
          </cell>
          <cell r="E24">
            <v>-376879.12292900309</v>
          </cell>
          <cell r="F24">
            <v>-340224.60197800398</v>
          </cell>
          <cell r="G24">
            <v>-353541.09520500153</v>
          </cell>
          <cell r="H24">
            <v>-320914.09342000633</v>
          </cell>
          <cell r="I24">
            <v>-347935.26629200205</v>
          </cell>
          <cell r="J24">
            <v>-350120.71986100078</v>
          </cell>
          <cell r="K24">
            <v>-373500.94014699757</v>
          </cell>
          <cell r="L24">
            <v>-318276.54697900265</v>
          </cell>
        </row>
        <row r="25">
          <cell r="C25">
            <v>-36385.119178000838</v>
          </cell>
          <cell r="D25">
            <v>-96759.313433498144</v>
          </cell>
          <cell r="E25">
            <v>-146255.36827199906</v>
          </cell>
          <cell r="F25">
            <v>-88320.233578497544</v>
          </cell>
          <cell r="G25">
            <v>-109571.64238050021</v>
          </cell>
          <cell r="H25">
            <v>-149362.09196649864</v>
          </cell>
          <cell r="I25">
            <v>-154063.13701700047</v>
          </cell>
          <cell r="J25">
            <v>-113263.31299999915</v>
          </cell>
          <cell r="K25">
            <v>-117510.62873299979</v>
          </cell>
          <cell r="L25">
            <v>-200590.83891999908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-605.75419800000236</v>
          </cell>
          <cell r="D27">
            <v>-1121.4126199999955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-489.08188199999995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-744599.69163699925</v>
          </cell>
          <cell r="D28">
            <v>-744600.05418350303</v>
          </cell>
          <cell r="E28">
            <v>-746640.10815854184</v>
          </cell>
          <cell r="F28">
            <v>-744600.23632759973</v>
          </cell>
          <cell r="G28">
            <v>-744599.95278350078</v>
          </cell>
          <cell r="H28">
            <v>-744599.93146570772</v>
          </cell>
          <cell r="I28">
            <v>-746640.05965500325</v>
          </cell>
          <cell r="J28">
            <v>-744600.00829000492</v>
          </cell>
          <cell r="K28">
            <v>-744600.04280499741</v>
          </cell>
          <cell r="L28">
            <v>-744600.0305736959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23.476362654926849</v>
          </cell>
          <cell r="D31">
            <v>17.219203003247273</v>
          </cell>
          <cell r="E31">
            <v>17.598887440828424</v>
          </cell>
          <cell r="F31">
            <v>19.110558104375464</v>
          </cell>
          <cell r="G31">
            <v>20.337992176592618</v>
          </cell>
          <cell r="H31">
            <v>22.811567668665557</v>
          </cell>
          <cell r="I31">
            <v>24.332902532754535</v>
          </cell>
          <cell r="J31">
            <v>27.063504333775239</v>
          </cell>
          <cell r="K31">
            <v>26.944026650242488</v>
          </cell>
          <cell r="L31">
            <v>27.919758816947674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28.050161057692311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-4.2467160400753928E-6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23.621045386140171</v>
          </cell>
          <cell r="D35">
            <v>19.626334246586005</v>
          </cell>
          <cell r="E35">
            <v>21.974910680261413</v>
          </cell>
          <cell r="F35">
            <v>24.298411354769261</v>
          </cell>
          <cell r="G35">
            <v>25.611408149167911</v>
          </cell>
          <cell r="H35">
            <v>32.779936175586904</v>
          </cell>
          <cell r="I35">
            <v>33.744365723592921</v>
          </cell>
          <cell r="J35">
            <v>37.583378047368079</v>
          </cell>
          <cell r="K35">
            <v>37.294129635086328</v>
          </cell>
          <cell r="L35">
            <v>38.888180390321857</v>
          </cell>
        </row>
        <row r="36">
          <cell r="C36">
            <v>16.241586282713993</v>
          </cell>
          <cell r="D36">
            <v>17.284218376702196</v>
          </cell>
          <cell r="E36">
            <v>15.228787530210965</v>
          </cell>
          <cell r="F36">
            <v>15.581074484298204</v>
          </cell>
          <cell r="G36">
            <v>16.81556793976889</v>
          </cell>
          <cell r="H36">
            <v>17.873705442958212</v>
          </cell>
          <cell r="I36">
            <v>18.23021636019746</v>
          </cell>
          <cell r="J36">
            <v>18.844169000184323</v>
          </cell>
          <cell r="K36">
            <v>19.968105012920518</v>
          </cell>
          <cell r="L36">
            <v>21.220055578969998</v>
          </cell>
        </row>
        <row r="37">
          <cell r="C37">
            <v>17.555008792060079</v>
          </cell>
          <cell r="D37">
            <v>17.175274491299223</v>
          </cell>
          <cell r="E37">
            <v>16.65347878151244</v>
          </cell>
          <cell r="F37">
            <v>16.414348307418376</v>
          </cell>
          <cell r="G37">
            <v>17.167001469942885</v>
          </cell>
          <cell r="H37">
            <v>20.695852134980651</v>
          </cell>
          <cell r="I37">
            <v>25.109581562480884</v>
          </cell>
          <cell r="J37">
            <v>23.782617601870928</v>
          </cell>
          <cell r="K37">
            <v>25.364100223837749</v>
          </cell>
          <cell r="L37">
            <v>26.439774833063222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21.953884420294212</v>
          </cell>
          <cell r="D39">
            <v>12.923005628383381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22.668435098562934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19.823221134787357</v>
          </cell>
          <cell r="D41">
            <v>18.231155615332312</v>
          </cell>
          <cell r="E41">
            <v>16.718778707165491</v>
          </cell>
          <cell r="F41">
            <v>17.803779289818131</v>
          </cell>
          <cell r="G41">
            <v>18.656559115138645</v>
          </cell>
          <cell r="H41">
            <v>21.16823526657047</v>
          </cell>
          <cell r="I41">
            <v>22.498806299220465</v>
          </cell>
          <cell r="J41">
            <v>24.173025016020059</v>
          </cell>
          <cell r="K41">
            <v>24.227802250092473</v>
          </cell>
          <cell r="L41">
            <v>25.561657515743669</v>
          </cell>
        </row>
      </sheetData>
      <sheetData sheetId="3"/>
      <sheetData sheetId="4"/>
      <sheetData sheetId="5"/>
      <sheetData sheetId="6"/>
      <sheetData sheetId="7">
        <row r="1">
          <cell r="A1" t="str">
            <v>PacifiCorp</v>
          </cell>
        </row>
      </sheetData>
      <sheetData sheetId="8">
        <row r="3">
          <cell r="F3">
            <v>43101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ncremental"/>
      <sheetName val="Total"/>
      <sheetName val="Energy"/>
      <sheetName val="Capacity"/>
    </sheetNames>
    <sheetDataSet>
      <sheetData sheetId="0" refreshError="1"/>
      <sheetData sheetId="1">
        <row r="10">
          <cell r="P10">
            <v>0.93</v>
          </cell>
          <cell r="Q10">
            <v>-0.23400000000000001</v>
          </cell>
          <cell r="R10">
            <v>0.29799999999999999</v>
          </cell>
        </row>
        <row r="11">
          <cell r="P11">
            <v>2.11</v>
          </cell>
          <cell r="Q11">
            <v>-7.8E-2</v>
          </cell>
          <cell r="R11">
            <v>0.54100000000000004</v>
          </cell>
        </row>
        <row r="12">
          <cell r="P12">
            <v>1.847</v>
          </cell>
          <cell r="Q12">
            <v>0.253</v>
          </cell>
          <cell r="R12">
            <v>0.13600000000000001</v>
          </cell>
        </row>
        <row r="13">
          <cell r="P13">
            <v>0.76200000000000001</v>
          </cell>
          <cell r="Q13">
            <v>0.17899999999999999</v>
          </cell>
          <cell r="R13">
            <v>0.47599999999999998</v>
          </cell>
        </row>
        <row r="14">
          <cell r="P14">
            <v>2</v>
          </cell>
          <cell r="Q14">
            <v>-0.18</v>
          </cell>
          <cell r="R14">
            <v>5.1999999999999998E-2</v>
          </cell>
        </row>
        <row r="15">
          <cell r="P15">
            <v>1.3069999999999999</v>
          </cell>
          <cell r="Q15">
            <v>-0.83899999999999997</v>
          </cell>
          <cell r="R15">
            <v>0.16</v>
          </cell>
        </row>
        <row r="16">
          <cell r="P16">
            <v>1.214</v>
          </cell>
          <cell r="Q16">
            <v>-2.3769999999999998</v>
          </cell>
          <cell r="R16">
            <v>0.88500000000000001</v>
          </cell>
        </row>
        <row r="17">
          <cell r="P17">
            <v>0.97199999999999998</v>
          </cell>
          <cell r="Q17">
            <v>-2.766</v>
          </cell>
          <cell r="R17">
            <v>0.53100000000000003</v>
          </cell>
        </row>
        <row r="18">
          <cell r="P18">
            <v>1.236</v>
          </cell>
          <cell r="Q18">
            <v>-1.9610000000000001</v>
          </cell>
          <cell r="R18">
            <v>1.1479999999999999</v>
          </cell>
        </row>
        <row r="19">
          <cell r="P19">
            <v>0.28999999999999998</v>
          </cell>
          <cell r="Q19">
            <v>-0.96699999999999997</v>
          </cell>
          <cell r="R19">
            <v>0.45200000000000001</v>
          </cell>
        </row>
        <row r="20">
          <cell r="P20">
            <v>-0.752</v>
          </cell>
          <cell r="Q20">
            <v>-0.74199999999999999</v>
          </cell>
          <cell r="R20">
            <v>0.31</v>
          </cell>
        </row>
        <row r="21">
          <cell r="P21">
            <v>-0.16300000000000001</v>
          </cell>
          <cell r="Q21">
            <v>0.109</v>
          </cell>
          <cell r="R21">
            <v>0.39500000000000002</v>
          </cell>
        </row>
        <row r="22">
          <cell r="P22">
            <v>-0.84799999999999998</v>
          </cell>
          <cell r="Q22">
            <v>0.35499999999999998</v>
          </cell>
          <cell r="R22">
            <v>0.33600000000000002</v>
          </cell>
        </row>
        <row r="23">
          <cell r="P23">
            <v>-1.7909999999999999</v>
          </cell>
          <cell r="Q23">
            <v>1.357</v>
          </cell>
          <cell r="R23">
            <v>0.03</v>
          </cell>
        </row>
        <row r="24">
          <cell r="P24">
            <v>-1.4119999999999999</v>
          </cell>
          <cell r="Q24">
            <v>1.3089999999999999</v>
          </cell>
          <cell r="R24">
            <v>-0.24</v>
          </cell>
        </row>
      </sheetData>
      <sheetData sheetId="2">
        <row r="1">
          <cell r="B1" t="str">
            <v>Appendix C</v>
          </cell>
        </row>
        <row r="3">
          <cell r="B3" t="str">
            <v>Utah Quarterly Compliance Filing</v>
          </cell>
        </row>
        <row r="10">
          <cell r="B10">
            <v>2018</v>
          </cell>
        </row>
        <row r="35">
          <cell r="B35" t="str">
            <v>Discount Rate - 2017 IRP</v>
          </cell>
        </row>
      </sheetData>
      <sheetData sheetId="3">
        <row r="7">
          <cell r="C7" t="str">
            <v>2017.Q1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>
        <row r="5">
          <cell r="C5">
            <v>2018</v>
          </cell>
          <cell r="D5">
            <v>2019</v>
          </cell>
          <cell r="E5">
            <v>2020</v>
          </cell>
          <cell r="F5">
            <v>2021</v>
          </cell>
          <cell r="G5">
            <v>2022</v>
          </cell>
          <cell r="H5">
            <v>2023</v>
          </cell>
          <cell r="I5">
            <v>2024</v>
          </cell>
          <cell r="J5">
            <v>2025</v>
          </cell>
          <cell r="K5">
            <v>2026</v>
          </cell>
          <cell r="L5">
            <v>2027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1198262.0475600362</v>
          </cell>
          <cell r="D7">
            <v>1863641.5184800327</v>
          </cell>
          <cell r="E7">
            <v>2229163.9202700257</v>
          </cell>
          <cell r="F7">
            <v>4336591.6209999621</v>
          </cell>
          <cell r="G7">
            <v>4758698.5509385765</v>
          </cell>
          <cell r="H7">
            <v>4888017.8771979809</v>
          </cell>
          <cell r="I7">
            <v>5088069.2967099845</v>
          </cell>
          <cell r="J7">
            <v>5637774.1726329923</v>
          </cell>
          <cell r="K7">
            <v>6049229.6881850064</v>
          </cell>
          <cell r="L7">
            <v>6474392.1944679916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-2385877.4850000008</v>
          </cell>
          <cell r="D9">
            <v>-1149408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-4.2562416400760412</v>
          </cell>
          <cell r="H10">
            <v>-22.909034652635455</v>
          </cell>
          <cell r="I10">
            <v>-5.2003904767334461</v>
          </cell>
          <cell r="J10">
            <v>-4.8907102160155773</v>
          </cell>
          <cell r="K10">
            <v>-2.8631974700838327</v>
          </cell>
          <cell r="L10">
            <v>26.325393166393042</v>
          </cell>
        </row>
        <row r="11">
          <cell r="C11">
            <v>-6090290.5396701097</v>
          </cell>
          <cell r="D11">
            <v>-6803884.6038999557</v>
          </cell>
          <cell r="E11">
            <v>-5077071.1422799826</v>
          </cell>
          <cell r="F11">
            <v>-4496899.4718399048</v>
          </cell>
          <cell r="G11">
            <v>-4665240.7049847841</v>
          </cell>
          <cell r="H11">
            <v>-5165798.5924500227</v>
          </cell>
          <cell r="I11">
            <v>-5142329.4863300323</v>
          </cell>
          <cell r="J11">
            <v>-5187774.5233100653</v>
          </cell>
          <cell r="K11">
            <v>-5762971.5952199697</v>
          </cell>
          <cell r="L11">
            <v>-5986183.0513898134</v>
          </cell>
        </row>
        <row r="12">
          <cell r="C12">
            <v>-502.59682500362396</v>
          </cell>
          <cell r="D12">
            <v>-516.61646801233292</v>
          </cell>
          <cell r="E12">
            <v>-382.20779699087143</v>
          </cell>
          <cell r="F12">
            <v>-274.87524938583374</v>
          </cell>
          <cell r="G12">
            <v>-1086.4799120128155</v>
          </cell>
          <cell r="H12">
            <v>-4399.659500002861</v>
          </cell>
          <cell r="I12">
            <v>-5685.2272999882698</v>
          </cell>
          <cell r="J12">
            <v>-6573.3152000010014</v>
          </cell>
          <cell r="K12">
            <v>-8006.3692999780178</v>
          </cell>
          <cell r="L12">
            <v>-4969.1679999828339</v>
          </cell>
        </row>
        <row r="13">
          <cell r="C13">
            <v>-5425986.1854407787</v>
          </cell>
          <cell r="D13">
            <v>-5112326.7499611378</v>
          </cell>
          <cell r="E13">
            <v>-5862698.6248021126</v>
          </cell>
          <cell r="F13">
            <v>-4527782.9491146803</v>
          </cell>
          <cell r="G13">
            <v>-5393393.9799985886</v>
          </cell>
          <cell r="H13">
            <v>-5481234.2539558411</v>
          </cell>
          <cell r="I13">
            <v>-5286944.7851569653</v>
          </cell>
          <cell r="J13">
            <v>-5479477.9271794558</v>
          </cell>
          <cell r="K13">
            <v>-5403726.1409757137</v>
          </cell>
          <cell r="L13">
            <v>-5570209.0245490074</v>
          </cell>
        </row>
        <row r="14">
          <cell r="C14">
            <v>-323672.16936004162</v>
          </cell>
          <cell r="D14">
            <v>-501405.59947001934</v>
          </cell>
          <cell r="E14">
            <v>-956019.85425999761</v>
          </cell>
          <cell r="F14">
            <v>-937212.72304999828</v>
          </cell>
          <cell r="G14">
            <v>-681952.51763999462</v>
          </cell>
          <cell r="H14">
            <v>-653851.60028997064</v>
          </cell>
          <cell r="I14">
            <v>-1177909.5548100173</v>
          </cell>
          <cell r="J14">
            <v>-972013.0184699893</v>
          </cell>
          <cell r="K14">
            <v>-1089061.0658800006</v>
          </cell>
          <cell r="L14">
            <v>-961282.03999996185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-19168.451614999969</v>
          </cell>
          <cell r="D16">
            <v>-2294.2444000000251</v>
          </cell>
          <cell r="E16">
            <v>-20104.428270000033</v>
          </cell>
          <cell r="F16">
            <v>-6628.3804000000237</v>
          </cell>
          <cell r="G16">
            <v>-2188.6024399999878</v>
          </cell>
          <cell r="H16">
            <v>-2788.3209000000002</v>
          </cell>
          <cell r="I16">
            <v>-7145.2617399999999</v>
          </cell>
          <cell r="J16">
            <v>-18429.190849999999</v>
          </cell>
          <cell r="K16">
            <v>-8663.2873</v>
          </cell>
          <cell r="L16">
            <v>-2912.3609000000001</v>
          </cell>
        </row>
        <row r="17">
          <cell r="C17">
            <v>-15443759.475470971</v>
          </cell>
          <cell r="D17">
            <v>-15433477.332679158</v>
          </cell>
          <cell r="E17">
            <v>-14145440.17767911</v>
          </cell>
          <cell r="F17">
            <v>-14305390.020653931</v>
          </cell>
          <cell r="G17">
            <v>-15502565.092155596</v>
          </cell>
          <cell r="H17">
            <v>-16196113.213328471</v>
          </cell>
          <cell r="I17">
            <v>-16708088.812437465</v>
          </cell>
          <cell r="J17">
            <v>-17302047.03835272</v>
          </cell>
          <cell r="K17">
            <v>-18321661.010058139</v>
          </cell>
          <cell r="L17">
            <v>-18999921.51391359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55548.009800000116</v>
          </cell>
          <cell r="D20">
            <v>79962.079359998927</v>
          </cell>
          <cell r="E20">
            <v>103362.36942099966</v>
          </cell>
          <cell r="F20">
            <v>219495.32721400261</v>
          </cell>
          <cell r="G20">
            <v>228292.00987902842</v>
          </cell>
          <cell r="H20">
            <v>224143.10646800138</v>
          </cell>
          <cell r="I20">
            <v>223164.49677450117</v>
          </cell>
          <cell r="J20">
            <v>233266.52381699719</v>
          </cell>
          <cell r="K20">
            <v>233838.22111100238</v>
          </cell>
          <cell r="L20">
            <v>239881.08567699976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-80000</v>
          </cell>
          <cell r="D22">
            <v>-41599.999999999985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-260791.08425500244</v>
          </cell>
          <cell r="D23">
            <v>-289391.02890300006</v>
          </cell>
          <cell r="E23">
            <v>-199573.56339200214</v>
          </cell>
          <cell r="F23">
            <v>-169078.08135700226</v>
          </cell>
          <cell r="G23">
            <v>-164032.38523279503</v>
          </cell>
          <cell r="H23">
            <v>-174735.94183700159</v>
          </cell>
          <cell r="I23">
            <v>-169815.16162599996</v>
          </cell>
          <cell r="J23">
            <v>-161052.10008300096</v>
          </cell>
          <cell r="K23">
            <v>-166280.84914599732</v>
          </cell>
          <cell r="L23">
            <v>-164276.83453800157</v>
          </cell>
        </row>
        <row r="24">
          <cell r="C24">
            <v>-326638.81516400725</v>
          </cell>
          <cell r="D24">
            <v>-304049.92441100627</v>
          </cell>
          <cell r="E24">
            <v>-385114.46288399771</v>
          </cell>
          <cell r="F24">
            <v>-302863.90626049787</v>
          </cell>
          <cell r="G24">
            <v>-311601.09633100033</v>
          </cell>
          <cell r="H24">
            <v>-309109.56893100217</v>
          </cell>
          <cell r="I24">
            <v>-294353.15338499844</v>
          </cell>
          <cell r="J24">
            <v>-300534.24128299952</v>
          </cell>
          <cell r="K24">
            <v>-295447.67274999619</v>
          </cell>
          <cell r="L24">
            <v>-297291.1564765051</v>
          </cell>
        </row>
        <row r="25">
          <cell r="C25">
            <v>-20747.017115999013</v>
          </cell>
          <cell r="D25">
            <v>-29492.890873501077</v>
          </cell>
          <cell r="E25">
            <v>-57935.278984999284</v>
          </cell>
          <cell r="F25">
            <v>-53080.197650000453</v>
          </cell>
          <cell r="G25">
            <v>-40592.196891999803</v>
          </cell>
          <cell r="H25">
            <v>-36599.467527000234</v>
          </cell>
          <cell r="I25">
            <v>-59093.47454899922</v>
          </cell>
          <cell r="J25">
            <v>-49199.849170001224</v>
          </cell>
          <cell r="K25">
            <v>-48773.200907001272</v>
          </cell>
          <cell r="L25">
            <v>-43068.536439999938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-875.1859884000005</v>
          </cell>
          <cell r="D27">
            <v>-103.44116699999904</v>
          </cell>
          <cell r="E27">
            <v>-653.93183200000021</v>
          </cell>
          <cell r="F27">
            <v>-82.526549999998679</v>
          </cell>
          <cell r="G27">
            <v>-82.526429000001372</v>
          </cell>
          <cell r="H27">
            <v>-11.959890000000001</v>
          </cell>
          <cell r="I27">
            <v>-213.69423700000002</v>
          </cell>
          <cell r="J27">
            <v>-547.35019799999998</v>
          </cell>
          <cell r="K27">
            <v>-260.24393999999995</v>
          </cell>
          <cell r="L27">
            <v>-82.526427999999996</v>
          </cell>
        </row>
        <row r="28">
          <cell r="C28">
            <v>-744600.11232340883</v>
          </cell>
          <cell r="D28">
            <v>-744599.36471450632</v>
          </cell>
          <cell r="E28">
            <v>-746639.60651399882</v>
          </cell>
          <cell r="F28">
            <v>-744600.03903150314</v>
          </cell>
          <cell r="G28">
            <v>-744600.21476382355</v>
          </cell>
          <cell r="H28">
            <v>-744600.04465300543</v>
          </cell>
          <cell r="I28">
            <v>-746639.98057149875</v>
          </cell>
          <cell r="J28">
            <v>-744600.06455099885</v>
          </cell>
          <cell r="K28">
            <v>-744600.18785399711</v>
          </cell>
          <cell r="L28">
            <v>-744600.13955950632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21.571646794806206</v>
          </cell>
          <cell r="D31">
            <v>23.306566479964758</v>
          </cell>
          <cell r="E31">
            <v>21.5664940031564</v>
          </cell>
          <cell r="F31">
            <v>19.757102240139677</v>
          </cell>
          <cell r="G31">
            <v>20.844788012774529</v>
          </cell>
          <cell r="H31">
            <v>21.807576214242363</v>
          </cell>
          <cell r="I31">
            <v>22.799636009536389</v>
          </cell>
          <cell r="J31">
            <v>24.168809481878132</v>
          </cell>
          <cell r="K31">
            <v>25.869293990709298</v>
          </cell>
          <cell r="L31">
            <v>26.990007053685634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29.823468562500011</v>
          </cell>
          <cell r="D33">
            <v>27.63000000000001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-5.7161434494429463E-6</v>
          </cell>
          <cell r="H34">
            <v>-3.0766899380608287E-5</v>
          </cell>
          <cell r="I34">
            <v>-6.9650576074869767E-6</v>
          </cell>
          <cell r="J34">
            <v>-6.5682377008182559E-6</v>
          </cell>
          <cell r="K34">
            <v>-3.845281691824197E-6</v>
          </cell>
          <cell r="L34">
            <v>3.5355074177083458E-5</v>
          </cell>
        </row>
        <row r="35">
          <cell r="C35">
            <v>23.353139380006574</v>
          </cell>
          <cell r="D35">
            <v>23.511041892665322</v>
          </cell>
          <cell r="E35">
            <v>25.439597589925306</v>
          </cell>
          <cell r="F35">
            <v>26.596584464102499</v>
          </cell>
          <cell r="G35">
            <v>28.440973399026461</v>
          </cell>
          <cell r="H35">
            <v>29.563457512758418</v>
          </cell>
          <cell r="I35">
            <v>30.2819220444843</v>
          </cell>
          <cell r="J35">
            <v>32.211778180082447</v>
          </cell>
          <cell r="K35">
            <v>34.658059691287633</v>
          </cell>
          <cell r="L35">
            <v>36.439605548919019</v>
          </cell>
        </row>
        <row r="36">
          <cell r="C36">
            <v>16.611578090363693</v>
          </cell>
          <cell r="D36">
            <v>16.814103012406726</v>
          </cell>
          <cell r="E36">
            <v>15.223262665593648</v>
          </cell>
          <cell r="F36">
            <v>14.949892857884047</v>
          </cell>
          <cell r="G36">
            <v>17.308648921663035</v>
          </cell>
          <cell r="H36">
            <v>17.732334436981901</v>
          </cell>
          <cell r="I36">
            <v>17.96123032608358</v>
          </cell>
          <cell r="J36">
            <v>18.232457984778112</v>
          </cell>
          <cell r="K36">
            <v>18.28996008219795</v>
          </cell>
          <cell r="L36">
            <v>18.736544640503695</v>
          </cell>
        </row>
        <row r="37">
          <cell r="C37">
            <v>15.600901447680524</v>
          </cell>
          <cell r="D37">
            <v>17.000896982958182</v>
          </cell>
          <cell r="E37">
            <v>16.501514638559559</v>
          </cell>
          <cell r="F37">
            <v>17.656541696204297</v>
          </cell>
          <cell r="G37">
            <v>16.800088929761735</v>
          </cell>
          <cell r="H37">
            <v>17.865057730897586</v>
          </cell>
          <cell r="I37">
            <v>19.932988604914684</v>
          </cell>
          <cell r="J37">
            <v>19.756422730309055</v>
          </cell>
          <cell r="K37">
            <v>22.329087401021255</v>
          </cell>
          <cell r="L37">
            <v>22.319821369810246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21.90214636553242</v>
          </cell>
          <cell r="D39">
            <v>22.179220000486328</v>
          </cell>
          <cell r="E39">
            <v>30.743920522284693</v>
          </cell>
          <cell r="F39">
            <v>80.31815700523201</v>
          </cell>
          <cell r="G39">
            <v>26.520018696070704</v>
          </cell>
          <cell r="H39">
            <v>233.13934325482924</v>
          </cell>
          <cell r="I39">
            <v>33.436848088701609</v>
          </cell>
          <cell r="J39">
            <v>33.669834992916179</v>
          </cell>
          <cell r="K39">
            <v>33.289102908601834</v>
          </cell>
          <cell r="L39">
            <v>35.290039452573915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20.741011476994171</v>
          </cell>
          <cell r="D41">
            <v>20.727223341906356</v>
          </cell>
          <cell r="E41">
            <v>18.945472560346818</v>
          </cell>
          <cell r="F41">
            <v>19.21218005744516</v>
          </cell>
          <cell r="G41">
            <v>20.819984717668643</v>
          </cell>
          <cell r="H41">
            <v>21.751426594227642</v>
          </cell>
          <cell r="I41">
            <v>22.377704445519559</v>
          </cell>
          <cell r="J41">
            <v>23.236698278808269</v>
          </cell>
          <cell r="K41">
            <v>24.606038661986869</v>
          </cell>
          <cell r="L41">
            <v>25.516945947866251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101.1 - UT 2017"/>
    </sheetNames>
    <sheetDataSet>
      <sheetData sheetId="0">
        <row r="1">
          <cell r="N1" t="str">
            <v>101.1 - UT 2017.Q1 - 1b - GRID AC Study CONF _2017 05 30 Thermal</v>
          </cell>
        </row>
      </sheetData>
      <sheetData sheetId="1"/>
      <sheetData sheetId="2">
        <row r="5">
          <cell r="C5">
            <v>2028</v>
          </cell>
          <cell r="D5">
            <v>2029</v>
          </cell>
          <cell r="E5">
            <v>2030</v>
          </cell>
          <cell r="F5">
            <v>2031</v>
          </cell>
          <cell r="G5">
            <v>2032</v>
          </cell>
          <cell r="H5">
            <v>2033</v>
          </cell>
          <cell r="I5">
            <v>2034</v>
          </cell>
          <cell r="J5">
            <v>2035</v>
          </cell>
          <cell r="K5">
            <v>2036</v>
          </cell>
          <cell r="L5">
            <v>2037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5330653.7528899908</v>
          </cell>
          <cell r="D7">
            <v>5642674.5540040433</v>
          </cell>
          <cell r="E7">
            <v>4854348.8049060106</v>
          </cell>
          <cell r="F7">
            <v>4415387.812541008</v>
          </cell>
          <cell r="G7">
            <v>4699202.0710459948</v>
          </cell>
          <cell r="H7">
            <v>7540087.0983799696</v>
          </cell>
          <cell r="I7">
            <v>7597428.7099300325</v>
          </cell>
          <cell r="J7">
            <v>8741128.0100300014</v>
          </cell>
          <cell r="K7">
            <v>9132371.6097600162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-2.376092999999968E-3</v>
          </cell>
          <cell r="E9">
            <v>-2328354.3020251067</v>
          </cell>
          <cell r="F9">
            <v>-2402001.0018993099</v>
          </cell>
          <cell r="G9">
            <v>-2491438.0019815201</v>
          </cell>
          <cell r="H9">
            <v>-1.3822359999999811E-3</v>
          </cell>
          <cell r="I9">
            <v>-9.4543199999999605E-4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48.190510479733348</v>
          </cell>
          <cell r="D10">
            <v>19.225502918474376</v>
          </cell>
          <cell r="E10">
            <v>642.2997157080099</v>
          </cell>
          <cell r="F10">
            <v>368.07759280223399</v>
          </cell>
          <cell r="G10">
            <v>255.92303986288607</v>
          </cell>
          <cell r="H10">
            <v>949.41612992342561</v>
          </cell>
          <cell r="I10">
            <v>466.3097393270582</v>
          </cell>
          <cell r="J10">
            <v>-33.419594414532185</v>
          </cell>
          <cell r="K10">
            <v>253.37339624529704</v>
          </cell>
          <cell r="L10">
            <v>0</v>
          </cell>
        </row>
        <row r="11">
          <cell r="C11">
            <v>-5383651.6188098192</v>
          </cell>
          <cell r="D11">
            <v>-7424297.9306401014</v>
          </cell>
          <cell r="E11">
            <v>-10354939.536800385</v>
          </cell>
          <cell r="F11">
            <v>-11987910.729899883</v>
          </cell>
          <cell r="G11">
            <v>-13146863.768100023</v>
          </cell>
          <cell r="H11">
            <v>-16229475.400000095</v>
          </cell>
          <cell r="I11">
            <v>-18804148.915999889</v>
          </cell>
          <cell r="J11">
            <v>-24178840.777999997</v>
          </cell>
          <cell r="K11">
            <v>-26548345.301000118</v>
          </cell>
          <cell r="L11">
            <v>0</v>
          </cell>
        </row>
        <row r="12">
          <cell r="C12">
            <v>-8424.5515999794006</v>
          </cell>
          <cell r="D12">
            <v>-10138.192499995232</v>
          </cell>
          <cell r="E12">
            <v>-11144.131000012159</v>
          </cell>
          <cell r="F12">
            <v>810.15323001146317</v>
          </cell>
          <cell r="G12">
            <v>1151.7805100083351</v>
          </cell>
          <cell r="H12">
            <v>904.91275000572205</v>
          </cell>
          <cell r="I12">
            <v>1314.3940599858761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-8228239.7831740379</v>
          </cell>
          <cell r="D13">
            <v>-7762806.9433211088</v>
          </cell>
          <cell r="E13">
            <v>-7115808.6948690414</v>
          </cell>
          <cell r="F13">
            <v>-7062145.0571469069</v>
          </cell>
          <cell r="G13">
            <v>-7248472.8527622223</v>
          </cell>
          <cell r="H13">
            <v>-5281122.1219902039</v>
          </cell>
          <cell r="I13">
            <v>-5094499.9547078609</v>
          </cell>
          <cell r="J13">
            <v>-2312602.3362001181</v>
          </cell>
          <cell r="K13">
            <v>-2043859.7713361979</v>
          </cell>
          <cell r="L13">
            <v>0</v>
          </cell>
        </row>
        <row r="14">
          <cell r="C14">
            <v>-2472961.619320035</v>
          </cell>
          <cell r="D14">
            <v>-2757480.0983999372</v>
          </cell>
          <cell r="E14">
            <v>-1412323.5336299539</v>
          </cell>
          <cell r="F14">
            <v>-1784996.5213800073</v>
          </cell>
          <cell r="G14">
            <v>-1275183.8715799451</v>
          </cell>
          <cell r="H14">
            <v>-1685395.6891899705</v>
          </cell>
          <cell r="I14">
            <v>-1501776.948300004</v>
          </cell>
          <cell r="J14">
            <v>-1287090.125</v>
          </cell>
          <cell r="K14">
            <v>-1177900.5185000896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5.6236837409073814E-10</v>
          </cell>
          <cell r="I15">
            <v>-1.974266056192775E-9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-27398.53069</v>
          </cell>
          <cell r="D16">
            <v>-159984.53480000002</v>
          </cell>
          <cell r="E16">
            <v>-429527.93953999993</v>
          </cell>
          <cell r="F16">
            <v>-421999.63348000008</v>
          </cell>
          <cell r="G16">
            <v>-568202.36629999988</v>
          </cell>
          <cell r="H16">
            <v>-2011805.8160700006</v>
          </cell>
          <cell r="I16">
            <v>-2341827.6510000024</v>
          </cell>
          <cell r="J16">
            <v>-3716107.4611199964</v>
          </cell>
          <cell r="K16">
            <v>-4381919.8007000014</v>
          </cell>
          <cell r="L16">
            <v>0</v>
          </cell>
        </row>
        <row r="17">
          <cell r="C17">
            <v>-21451281.66597338</v>
          </cell>
          <cell r="D17">
            <v>-23757363.030538362</v>
          </cell>
          <cell r="E17">
            <v>-26505804.643054798</v>
          </cell>
          <cell r="F17">
            <v>-28073262.525524303</v>
          </cell>
          <cell r="G17">
            <v>-29427955.228219837</v>
          </cell>
          <cell r="H17">
            <v>-32746031.79813255</v>
          </cell>
          <cell r="I17">
            <v>-35337901.477083914</v>
          </cell>
          <cell r="J17">
            <v>-40235802.129944526</v>
          </cell>
          <cell r="K17">
            <v>-43284143.627900176</v>
          </cell>
          <cell r="L17">
            <v>0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171428.4889570009</v>
          </cell>
          <cell r="D20">
            <v>166201.4681210015</v>
          </cell>
          <cell r="E20">
            <v>141755.09981200099</v>
          </cell>
          <cell r="F20">
            <v>121326.14720445964</v>
          </cell>
          <cell r="G20">
            <v>123004.90215700027</v>
          </cell>
          <cell r="H20">
            <v>159445.91356929997</v>
          </cell>
          <cell r="I20">
            <v>144139.80414100038</v>
          </cell>
          <cell r="J20">
            <v>154072.24189999932</v>
          </cell>
          <cell r="K20">
            <v>150186.50130000012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-2376.0881252999534</v>
          </cell>
          <cell r="E22">
            <v>-43625.112386999979</v>
          </cell>
          <cell r="F22">
            <v>-43499.315244500052</v>
          </cell>
          <cell r="G22">
            <v>-43581.521270699974</v>
          </cell>
          <cell r="H22">
            <v>-1382.2368207000545</v>
          </cell>
          <cell r="I22">
            <v>-945.43258999998216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-134329.60588000342</v>
          </cell>
          <cell r="D23">
            <v>-172851.86875900254</v>
          </cell>
          <cell r="E23">
            <v>-229825.40124399588</v>
          </cell>
          <cell r="F23">
            <v>-252818.65398899838</v>
          </cell>
          <cell r="G23">
            <v>-264710.83888700232</v>
          </cell>
          <cell r="H23">
            <v>-306615.21105999872</v>
          </cell>
          <cell r="I23">
            <v>-340635.10085000098</v>
          </cell>
          <cell r="J23">
            <v>-423145.20769000053</v>
          </cell>
          <cell r="K23">
            <v>-437788.36873999983</v>
          </cell>
          <cell r="L23">
            <v>0</v>
          </cell>
        </row>
        <row r="24">
          <cell r="C24">
            <v>-346593.67184600234</v>
          </cell>
          <cell r="D24">
            <v>-304760.84907700121</v>
          </cell>
          <cell r="E24">
            <v>-270890.27715099603</v>
          </cell>
          <cell r="F24">
            <v>-261655.55912399292</v>
          </cell>
          <cell r="G24">
            <v>-262918.36480299756</v>
          </cell>
          <cell r="H24">
            <v>-192099.4539189972</v>
          </cell>
          <cell r="I24">
            <v>-175620.79131799936</v>
          </cell>
          <cell r="J24">
            <v>-69969.796395994723</v>
          </cell>
          <cell r="K24">
            <v>-60000.073848001659</v>
          </cell>
          <cell r="L24">
            <v>0</v>
          </cell>
        </row>
        <row r="25">
          <cell r="C25">
            <v>-93867.902142999694</v>
          </cell>
          <cell r="D25">
            <v>-93873.545997498557</v>
          </cell>
          <cell r="E25">
            <v>-48122.354104500264</v>
          </cell>
          <cell r="F25">
            <v>-55357.836863499135</v>
          </cell>
          <cell r="G25">
            <v>-39809.550913501531</v>
          </cell>
          <cell r="H25">
            <v>-47092.634517999366</v>
          </cell>
          <cell r="I25">
            <v>-41474.205204002559</v>
          </cell>
          <cell r="J25">
            <v>-34463.677346000448</v>
          </cell>
          <cell r="K25">
            <v>-28876.84183899872</v>
          </cell>
          <cell r="L25">
            <v>0</v>
          </cell>
        </row>
        <row r="26">
          <cell r="C26">
            <v>0</v>
          </cell>
          <cell r="D26">
            <v>-1.7462298274040222E-10</v>
          </cell>
          <cell r="E26">
            <v>3.2741809263825417E-10</v>
          </cell>
          <cell r="F26">
            <v>4.5838532969355583E-10</v>
          </cell>
          <cell r="G26">
            <v>1.7462298274040222E-10</v>
          </cell>
          <cell r="H26">
            <v>4.0745362639427185E-10</v>
          </cell>
          <cell r="I26">
            <v>-3.4924596548080444E-10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-420.33837900000071</v>
          </cell>
          <cell r="D27">
            <v>-4536.1097410000002</v>
          </cell>
          <cell r="E27">
            <v>-10381.513840899996</v>
          </cell>
          <cell r="F27">
            <v>-9942.5425973999991</v>
          </cell>
          <cell r="G27">
            <v>-12615.168705499997</v>
          </cell>
          <cell r="H27">
            <v>-37964.468740399985</v>
          </cell>
          <cell r="I27">
            <v>-41784.526237999991</v>
          </cell>
          <cell r="J27">
            <v>-62948.646062999964</v>
          </cell>
          <cell r="K27">
            <v>-69788.525752000045</v>
          </cell>
          <cell r="L27">
            <v>0</v>
          </cell>
        </row>
        <row r="28">
          <cell r="C28">
            <v>-746640.00720500632</v>
          </cell>
          <cell r="D28">
            <v>-744599.92982080393</v>
          </cell>
          <cell r="E28">
            <v>-744599.75853939285</v>
          </cell>
          <cell r="F28">
            <v>-744600.0550228497</v>
          </cell>
          <cell r="G28">
            <v>-746640.34673670144</v>
          </cell>
          <cell r="H28">
            <v>-744599.91862739483</v>
          </cell>
          <cell r="I28">
            <v>-744599.86034100363</v>
          </cell>
          <cell r="J28">
            <v>-744599.56939499499</v>
          </cell>
          <cell r="K28">
            <v>-746640.31147900037</v>
          </cell>
          <cell r="L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31.095495184741839</v>
          </cell>
          <cell r="D31">
            <v>33.950810530120854</v>
          </cell>
          <cell r="E31">
            <v>34.244614912225131</v>
          </cell>
          <cell r="F31">
            <v>36.392714301725633</v>
          </cell>
          <cell r="G31">
            <v>38.203372293634729</v>
          </cell>
          <cell r="H31">
            <v>47.289309143083315</v>
          </cell>
          <cell r="I31">
            <v>52.708748670825713</v>
          </cell>
          <cell r="J31">
            <v>56.733957410079327</v>
          </cell>
          <cell r="K31">
            <v>60.80687365849176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1.0000020515653283E-6</v>
          </cell>
          <cell r="E33">
            <v>53.371880887553708</v>
          </cell>
          <cell r="F33">
            <v>55.219283071427498</v>
          </cell>
          <cell r="G33">
            <v>57.167302318483394</v>
          </cell>
          <cell r="H33">
            <v>9.9999940625219847E-7</v>
          </cell>
          <cell r="I33">
            <v>9.9999937594706131E-7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6.4543166739927443E-5</v>
          </cell>
          <cell r="D34">
            <v>2.5819909656855868E-5</v>
          </cell>
          <cell r="E34">
            <v>8.6261069566816032E-4</v>
          </cell>
          <cell r="F34">
            <v>4.9432925812896791E-4</v>
          </cell>
          <cell r="G34">
            <v>3.4276615371970503E-4</v>
          </cell>
          <cell r="H34">
            <v>1.2750688069824016E-3</v>
          </cell>
          <cell r="I34">
            <v>6.2625547514003402E-4</v>
          </cell>
          <cell r="J34">
            <v>-4.4882639996268609E-5</v>
          </cell>
          <cell r="K34">
            <v>3.3935134809878704E-4</v>
          </cell>
          <cell r="L34">
            <v>0</v>
          </cell>
        </row>
        <row r="35">
          <cell r="C35">
            <v>40.077923131993948</v>
          </cell>
          <cell r="D35">
            <v>42.951794411846222</v>
          </cell>
          <cell r="E35">
            <v>45.055679140561949</v>
          </cell>
          <cell r="F35">
            <v>47.417034070680351</v>
          </cell>
          <cell r="G35">
            <v>49.664999829160955</v>
          </cell>
          <cell r="H35">
            <v>52.931083698989411</v>
          </cell>
          <cell r="I35">
            <v>55.203203865594332</v>
          </cell>
          <cell r="J35">
            <v>57.140764774331565</v>
          </cell>
          <cell r="K35">
            <v>60.641961268658186</v>
          </cell>
          <cell r="L35">
            <v>0</v>
          </cell>
        </row>
        <row r="36">
          <cell r="C36">
            <v>23.74030587272231</v>
          </cell>
          <cell r="D36">
            <v>25.471798516218694</v>
          </cell>
          <cell r="E36">
            <v>26.268232177645277</v>
          </cell>
          <cell r="F36">
            <v>26.990235104465366</v>
          </cell>
          <cell r="G36">
            <v>27.569290788011099</v>
          </cell>
          <cell r="H36">
            <v>27.491604032446133</v>
          </cell>
          <cell r="I36">
            <v>29.008524084618028</v>
          </cell>
          <cell r="J36">
            <v>33.051437267473574</v>
          </cell>
          <cell r="K36">
            <v>34.064287595943853</v>
          </cell>
          <cell r="L36">
            <v>0</v>
          </cell>
        </row>
        <row r="37">
          <cell r="C37">
            <v>26.345125041280781</v>
          </cell>
          <cell r="D37">
            <v>29.374410746914958</v>
          </cell>
          <cell r="E37">
            <v>29.348596092431759</v>
          </cell>
          <cell r="F37">
            <v>32.24469420258302</v>
          </cell>
          <cell r="G37">
            <v>32.032108936638686</v>
          </cell>
          <cell r="H37">
            <v>35.788944628820715</v>
          </cell>
          <cell r="I37">
            <v>36.209903020759313</v>
          </cell>
          <cell r="J37">
            <v>37.34627944888674</v>
          </cell>
          <cell r="K37">
            <v>40.790489661833888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1.3802021571568079</v>
          </cell>
          <cell r="I38">
            <v>5.6529387633005781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65.182082005412013</v>
          </cell>
          <cell r="D39">
            <v>35.269105893529577</v>
          </cell>
          <cell r="E39">
            <v>41.374306880735539</v>
          </cell>
          <cell r="F39">
            <v>42.443834597234122</v>
          </cell>
          <cell r="G39">
            <v>45.041202346526958</v>
          </cell>
          <cell r="H39">
            <v>52.991807414102766</v>
          </cell>
          <cell r="I39">
            <v>56.045332132311707</v>
          </cell>
          <cell r="J39">
            <v>59.033953762895223</v>
          </cell>
          <cell r="K39">
            <v>62.788542292346982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28.730420897581855</v>
          </cell>
          <cell r="D41">
            <v>31.906211750860397</v>
          </cell>
          <cell r="E41">
            <v>35.597385493447639</v>
          </cell>
          <cell r="F41">
            <v>37.702471731166895</v>
          </cell>
          <cell r="G41">
            <v>39.413829371582892</v>
          </cell>
          <cell r="H41">
            <v>43.978022262609173</v>
          </cell>
          <cell r="I41">
            <v>47.458914994827225</v>
          </cell>
          <cell r="J41">
            <v>54.036832391183196</v>
          </cell>
          <cell r="K41">
            <v>57.971881456761615</v>
          </cell>
          <cell r="L41">
            <v>0</v>
          </cell>
        </row>
      </sheetData>
      <sheetData sheetId="3"/>
      <sheetData sheetId="4"/>
      <sheetData sheetId="5"/>
      <sheetData sheetId="6"/>
      <sheetData sheetId="7">
        <row r="3">
          <cell r="E3">
            <v>2028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>
        <row r="5">
          <cell r="C5">
            <v>2028</v>
          </cell>
          <cell r="D5">
            <v>2029</v>
          </cell>
          <cell r="E5">
            <v>2030</v>
          </cell>
          <cell r="F5">
            <v>2031</v>
          </cell>
          <cell r="G5">
            <v>2032</v>
          </cell>
          <cell r="H5">
            <v>2033</v>
          </cell>
          <cell r="I5">
            <v>2034</v>
          </cell>
          <cell r="J5">
            <v>2035</v>
          </cell>
          <cell r="K5">
            <v>2036</v>
          </cell>
          <cell r="L5">
            <v>2037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7085949.3376799822</v>
          </cell>
          <cell r="D7">
            <v>7307302.5353299677</v>
          </cell>
          <cell r="E7">
            <v>8196296.4740500152</v>
          </cell>
          <cell r="F7">
            <v>8339818.4479999542</v>
          </cell>
          <cell r="G7">
            <v>8931070.5959300101</v>
          </cell>
          <cell r="H7">
            <v>6940048.1914999783</v>
          </cell>
          <cell r="I7">
            <v>7278856.2674599588</v>
          </cell>
          <cell r="J7">
            <v>5956662.8734299839</v>
          </cell>
          <cell r="K7">
            <v>6030287.0144100189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-2.018495000000009E-3</v>
          </cell>
          <cell r="E9">
            <v>-2.2350389999999387E-3</v>
          </cell>
          <cell r="F9">
            <v>-2.2726940000000195E-3</v>
          </cell>
          <cell r="G9">
            <v>-2.8896630000000423E-3</v>
          </cell>
          <cell r="H9">
            <v>-2512782.0022875848</v>
          </cell>
          <cell r="I9">
            <v>-2613974.0018668259</v>
          </cell>
          <cell r="J9">
            <v>-3489604.3003790029</v>
          </cell>
          <cell r="K9">
            <v>-5955863.9005254991</v>
          </cell>
          <cell r="L9">
            <v>0</v>
          </cell>
        </row>
        <row r="10">
          <cell r="C10">
            <v>240.00790758151561</v>
          </cell>
          <cell r="D10">
            <v>893.11469363979995</v>
          </cell>
          <cell r="E10">
            <v>2043.0086855078116</v>
          </cell>
          <cell r="F10">
            <v>184.11863828031346</v>
          </cell>
          <cell r="G10">
            <v>-16.1221236535348</v>
          </cell>
          <cell r="H10">
            <v>-927.87048899941146</v>
          </cell>
          <cell r="I10">
            <v>-874.12180885113776</v>
          </cell>
          <cell r="J10">
            <v>-1081.9596631368622</v>
          </cell>
          <cell r="K10">
            <v>160.59770858474076</v>
          </cell>
          <cell r="L10">
            <v>0</v>
          </cell>
        </row>
        <row r="11">
          <cell r="C11">
            <v>-6277064.5742902756</v>
          </cell>
          <cell r="D11">
            <v>-10098452.744999766</v>
          </cell>
          <cell r="E11">
            <v>-11774707.759900093</v>
          </cell>
          <cell r="F11">
            <v>-12389732.474699974</v>
          </cell>
          <cell r="G11">
            <v>-13522527.160800099</v>
          </cell>
          <cell r="H11">
            <v>-14947867.815999985</v>
          </cell>
          <cell r="I11">
            <v>-16592416.449299812</v>
          </cell>
          <cell r="J11">
            <v>-18879352.534000516</v>
          </cell>
          <cell r="K11">
            <v>-20737509.567000031</v>
          </cell>
          <cell r="L11">
            <v>0</v>
          </cell>
        </row>
        <row r="12">
          <cell r="C12">
            <v>-8722.5304000079632</v>
          </cell>
          <cell r="D12">
            <v>-7638.6578000187874</v>
          </cell>
          <cell r="E12">
            <v>-8850.573500007391</v>
          </cell>
          <cell r="F12">
            <v>296.6370000243187</v>
          </cell>
          <cell r="G12">
            <v>228.07800000905991</v>
          </cell>
          <cell r="H12">
            <v>85.98199999332428</v>
          </cell>
          <cell r="I12">
            <v>265.96100002527237</v>
          </cell>
          <cell r="J12">
            <v>0</v>
          </cell>
          <cell r="K12">
            <v>0</v>
          </cell>
          <cell r="L12" t="e">
            <v>#N/A</v>
          </cell>
        </row>
        <row r="13">
          <cell r="C13">
            <v>-5840145.165266037</v>
          </cell>
          <cell r="D13">
            <v>-5485786.1873468161</v>
          </cell>
          <cell r="E13">
            <v>-5189023.0622681379</v>
          </cell>
          <cell r="F13">
            <v>-5370304.7983598709</v>
          </cell>
          <cell r="G13">
            <v>-5516134.2605010271</v>
          </cell>
          <cell r="H13">
            <v>-4195606.5397421122</v>
          </cell>
          <cell r="I13">
            <v>-4375217.909755826</v>
          </cell>
          <cell r="J13">
            <v>-4808457.3119761944</v>
          </cell>
          <cell r="K13">
            <v>-3684148.2577158213</v>
          </cell>
          <cell r="L13">
            <v>0</v>
          </cell>
        </row>
        <row r="14">
          <cell r="C14">
            <v>-1443042.1336699724</v>
          </cell>
          <cell r="D14">
            <v>-776089.02698999643</v>
          </cell>
          <cell r="E14">
            <v>-495684.22749996185</v>
          </cell>
          <cell r="F14">
            <v>-1087140.1913200021</v>
          </cell>
          <cell r="G14">
            <v>-737989.93944001198</v>
          </cell>
          <cell r="H14">
            <v>-1321049.3327999711</v>
          </cell>
          <cell r="I14">
            <v>-883085.96325999498</v>
          </cell>
          <cell r="J14">
            <v>-1076133.3575999737</v>
          </cell>
          <cell r="K14">
            <v>-1352866.4979000092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6.5192580223083496E-9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-23373.839599999999</v>
          </cell>
          <cell r="D16">
            <v>-251549.52422999998</v>
          </cell>
          <cell r="E16">
            <v>-516047.91162000003</v>
          </cell>
          <cell r="F16">
            <v>-297995.98420000018</v>
          </cell>
          <cell r="G16">
            <v>-267577.64314999979</v>
          </cell>
          <cell r="H16">
            <v>-1337703.7124299998</v>
          </cell>
          <cell r="I16">
            <v>-1352785.9581999974</v>
          </cell>
          <cell r="J16">
            <v>-1728492.9697000012</v>
          </cell>
          <cell r="K16">
            <v>-2004173.6032999996</v>
          </cell>
          <cell r="L16">
            <v>0</v>
          </cell>
        </row>
        <row r="17">
          <cell r="C17">
            <v>-20678057.572998695</v>
          </cell>
          <cell r="D17">
            <v>-23925925.56402142</v>
          </cell>
          <cell r="E17">
            <v>-26178567.002387747</v>
          </cell>
          <cell r="F17">
            <v>-27484511.143214192</v>
          </cell>
          <cell r="G17">
            <v>-28975087.646834452</v>
          </cell>
          <cell r="H17">
            <v>-31255899.483248636</v>
          </cell>
          <cell r="I17">
            <v>-33096944.71065123</v>
          </cell>
          <cell r="J17">
            <v>-35939785.306748807</v>
          </cell>
          <cell r="K17">
            <v>-39764688.243142791</v>
          </cell>
          <cell r="L17" t="e">
            <v>#N/A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e">
            <v>#N/A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e">
            <v>#N/A</v>
          </cell>
        </row>
        <row r="20">
          <cell r="C20">
            <v>239811.71296099946</v>
          </cell>
          <cell r="D20">
            <v>223288.81503999978</v>
          </cell>
          <cell r="E20">
            <v>233482.54190100078</v>
          </cell>
          <cell r="F20">
            <v>225289.33989999909</v>
          </cell>
          <cell r="G20">
            <v>227886.92715000082</v>
          </cell>
          <cell r="H20">
            <v>186350.12095199991</v>
          </cell>
          <cell r="I20">
            <v>177199.80330700055</v>
          </cell>
          <cell r="J20">
            <v>120703.12907740008</v>
          </cell>
          <cell r="K20">
            <v>108524.40684400033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-2018.4951693000039</v>
          </cell>
          <cell r="E22">
            <v>-2235.0386107000231</v>
          </cell>
          <cell r="F22">
            <v>-2272.6963063999719</v>
          </cell>
          <cell r="G22">
            <v>-2889.6653456000495</v>
          </cell>
          <cell r="H22">
            <v>-42287.58446709998</v>
          </cell>
          <cell r="I22">
            <v>-41866.824101500009</v>
          </cell>
          <cell r="J22">
            <v>-51410.221171400015</v>
          </cell>
          <cell r="K22">
            <v>-83725.494466899967</v>
          </cell>
          <cell r="L22">
            <v>0</v>
          </cell>
        </row>
        <row r="23">
          <cell r="C23">
            <v>-159580.57938399911</v>
          </cell>
          <cell r="D23">
            <v>-236875.88783100247</v>
          </cell>
          <cell r="E23">
            <v>-259981.05363000184</v>
          </cell>
          <cell r="F23">
            <v>-258788.36521000415</v>
          </cell>
          <cell r="G23">
            <v>-269120.26514999941</v>
          </cell>
          <cell r="H23">
            <v>-288883.01057000458</v>
          </cell>
          <cell r="I23">
            <v>-304618.05897000059</v>
          </cell>
          <cell r="J23">
            <v>-334926.23084000126</v>
          </cell>
          <cell r="K23">
            <v>-360372.10466000065</v>
          </cell>
          <cell r="L23">
            <v>0</v>
          </cell>
        </row>
        <row r="24">
          <cell r="C24">
            <v>-288689.937842004</v>
          </cell>
          <cell r="D24">
            <v>-248446.41651499644</v>
          </cell>
          <cell r="E24">
            <v>-219313.73433499783</v>
          </cell>
          <cell r="F24">
            <v>-217475.7646430023</v>
          </cell>
          <cell r="G24">
            <v>-217786.01513699815</v>
          </cell>
          <cell r="H24">
            <v>-168649.07089100033</v>
          </cell>
          <cell r="I24">
            <v>-171317.04506300017</v>
          </cell>
          <cell r="J24">
            <v>-178387.21208200231</v>
          </cell>
          <cell r="K24">
            <v>-127842.50272200257</v>
          </cell>
          <cell r="L24">
            <v>0</v>
          </cell>
        </row>
        <row r="25">
          <cell r="C25">
            <v>-58127.994427999482</v>
          </cell>
          <cell r="D25">
            <v>-28865.882924000733</v>
          </cell>
          <cell r="E25">
            <v>-17854.045519000851</v>
          </cell>
          <cell r="F25">
            <v>-34345.064355000854</v>
          </cell>
          <cell r="G25">
            <v>-23840.432439997792</v>
          </cell>
          <cell r="H25">
            <v>-36458.699771001935</v>
          </cell>
          <cell r="I25">
            <v>-25644.596099998802</v>
          </cell>
          <cell r="J25">
            <v>-29972.223787000403</v>
          </cell>
          <cell r="K25">
            <v>-34648.391664002091</v>
          </cell>
          <cell r="L25">
            <v>0</v>
          </cell>
        </row>
        <row r="26">
          <cell r="C26">
            <v>0</v>
          </cell>
          <cell r="D26">
            <v>-5.8207660913467407E-10</v>
          </cell>
          <cell r="E26">
            <v>-2.9103830456733704E-11</v>
          </cell>
          <cell r="F26">
            <v>-2.9103830456733704E-11</v>
          </cell>
          <cell r="G26">
            <v>6.4028427004814148E-10</v>
          </cell>
          <cell r="H26">
            <v>-4.6566128730773926E-10</v>
          </cell>
          <cell r="I26">
            <v>-1.1350493878126144E-9</v>
          </cell>
          <cell r="J26">
            <v>-4.9476511776447296E-10</v>
          </cell>
          <cell r="K26">
            <v>-8.5856299847364426E-10</v>
          </cell>
          <cell r="L26">
            <v>0</v>
          </cell>
        </row>
        <row r="27">
          <cell r="C27">
            <v>-429.70861799999994</v>
          </cell>
          <cell r="D27">
            <v>-5104.0292894000004</v>
          </cell>
          <cell r="E27">
            <v>-11733.024677800002</v>
          </cell>
          <cell r="F27">
            <v>-6428.3282239999971</v>
          </cell>
          <cell r="G27">
            <v>-5116.4687830000003</v>
          </cell>
          <cell r="H27">
            <v>-21971.021463999998</v>
          </cell>
          <cell r="I27">
            <v>-23953.552089999968</v>
          </cell>
          <cell r="J27">
            <v>-29200.718227999998</v>
          </cell>
          <cell r="K27">
            <v>-31527.099242000026</v>
          </cell>
          <cell r="L27">
            <v>0</v>
          </cell>
        </row>
        <row r="28">
          <cell r="C28">
            <v>-746639.93323300208</v>
          </cell>
          <cell r="D28">
            <v>-744599.52676869999</v>
          </cell>
          <cell r="E28">
            <v>-744599.43867350137</v>
          </cell>
          <cell r="F28">
            <v>-744599.55863840645</v>
          </cell>
          <cell r="G28">
            <v>-746639.77400559559</v>
          </cell>
          <cell r="H28">
            <v>-744599.50811510719</v>
          </cell>
          <cell r="I28">
            <v>-744599.87963150127</v>
          </cell>
          <cell r="J28">
            <v>-744599.73518580454</v>
          </cell>
          <cell r="K28">
            <v>-746639.99959890638</v>
          </cell>
          <cell r="L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29.547970156204876</v>
          </cell>
          <cell r="D31">
            <v>32.725788499620741</v>
          </cell>
          <cell r="E31">
            <v>35.104536756008663</v>
          </cell>
          <cell r="F31">
            <v>37.018255953441091</v>
          </cell>
          <cell r="G31">
            <v>39.190798294679531</v>
          </cell>
          <cell r="H31">
            <v>37.241983831540395</v>
          </cell>
          <cell r="I31">
            <v>41.077112567948298</v>
          </cell>
          <cell r="J31">
            <v>49.349697219616516</v>
          </cell>
          <cell r="K31">
            <v>55.56618266597232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9.9999991612563793E-7</v>
          </cell>
          <cell r="E33">
            <v>1.0000001741803983E-6</v>
          </cell>
          <cell r="F33">
            <v>9.9999898517019367E-7</v>
          </cell>
          <cell r="G33">
            <v>9.9999918827970486E-7</v>
          </cell>
          <cell r="H33">
            <v>59.421270662611285</v>
          </cell>
          <cell r="I33">
            <v>62.435449976564428</v>
          </cell>
          <cell r="J33">
            <v>67.877636409008531</v>
          </cell>
          <cell r="K33">
            <v>71.135607361269038</v>
          </cell>
          <cell r="L33">
            <v>0</v>
          </cell>
        </row>
        <row r="34">
          <cell r="C34">
            <v>3.2145067106478608E-4</v>
          </cell>
          <cell r="D34">
            <v>1.1994564346765079E-3</v>
          </cell>
          <cell r="E34">
            <v>2.7437687693498899E-3</v>
          </cell>
          <cell r="F34">
            <v>2.4727202177905858E-4</v>
          </cell>
          <cell r="G34">
            <v>-2.159290760394714E-5</v>
          </cell>
          <cell r="H34">
            <v>-1.246133631417834E-3</v>
          </cell>
          <cell r="I34">
            <v>-1.1739483617479716E-3</v>
          </cell>
          <cell r="J34">
            <v>-1.4530755411387222E-3</v>
          </cell>
          <cell r="K34">
            <v>2.1509389889506797E-4</v>
          </cell>
          <cell r="L34">
            <v>0</v>
          </cell>
        </row>
        <row r="35">
          <cell r="C35">
            <v>39.334764910119553</v>
          </cell>
          <cell r="D35">
            <v>42.631830691878783</v>
          </cell>
          <cell r="E35">
            <v>45.290637896473584</v>
          </cell>
          <cell r="F35">
            <v>47.875925429050227</v>
          </cell>
          <cell r="G35">
            <v>50.24715308326207</v>
          </cell>
          <cell r="H35">
            <v>51.743672244711981</v>
          </cell>
          <cell r="I35">
            <v>54.469575787474461</v>
          </cell>
          <cell r="J35">
            <v>56.368688969659814</v>
          </cell>
          <cell r="K35">
            <v>57.544713641376866</v>
          </cell>
          <cell r="L35">
            <v>0</v>
          </cell>
        </row>
        <row r="36">
          <cell r="C36">
            <v>20.229818915483875</v>
          </cell>
          <cell r="D36">
            <v>22.08035947669098</v>
          </cell>
          <cell r="E36">
            <v>23.660274072676167</v>
          </cell>
          <cell r="F36">
            <v>24.693808099378355</v>
          </cell>
          <cell r="G36">
            <v>25.328229900487901</v>
          </cell>
          <cell r="H36">
            <v>24.877732901675913</v>
          </cell>
          <cell r="I36">
            <v>25.53871921002888</v>
          </cell>
          <cell r="J36">
            <v>26.95516823126205</v>
          </cell>
          <cell r="K36">
            <v>28.817867135526239</v>
          </cell>
          <cell r="L36">
            <v>0</v>
          </cell>
        </row>
        <row r="37">
          <cell r="C37">
            <v>24.825252408414048</v>
          </cell>
          <cell r="D37">
            <v>26.886031133477367</v>
          </cell>
          <cell r="E37">
            <v>27.76313228127702</v>
          </cell>
          <cell r="F37">
            <v>31.653462054488994</v>
          </cell>
          <cell r="G37">
            <v>30.955392327609989</v>
          </cell>
          <cell r="H37">
            <v>36.23413180112064</v>
          </cell>
          <cell r="I37">
            <v>34.435557488075872</v>
          </cell>
          <cell r="J37">
            <v>35.904354820235788</v>
          </cell>
          <cell r="K37">
            <v>39.045578537071556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-5.7435897435897436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54.39462608124839</v>
          </cell>
          <cell r="D39">
            <v>49.284498573003027</v>
          </cell>
          <cell r="E39">
            <v>43.982513102219222</v>
          </cell>
          <cell r="F39">
            <v>46.356684633407468</v>
          </cell>
          <cell r="G39">
            <v>52.297327414378906</v>
          </cell>
          <cell r="H39">
            <v>60.88491218407195</v>
          </cell>
          <cell r="I39">
            <v>56.475380065437271</v>
          </cell>
          <cell r="J39">
            <v>59.193508741938516</v>
          </cell>
          <cell r="K39">
            <v>63.569870095440415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27.694818683835042</v>
          </cell>
          <cell r="D41">
            <v>32.132609146088932</v>
          </cell>
          <cell r="E41">
            <v>35.157919335830655</v>
          </cell>
          <cell r="F41">
            <v>36.91180155071951</v>
          </cell>
          <cell r="G41">
            <v>38.807318677101847</v>
          </cell>
          <cell r="H41">
            <v>41.976793084876448</v>
          </cell>
          <cell r="I41">
            <v>44.449301720315532</v>
          </cell>
          <cell r="J41">
            <v>48.267255020955027</v>
          </cell>
          <cell r="K41">
            <v>53.258181003568396</v>
          </cell>
          <cell r="L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101.1 - UT 2017"/>
    </sheetNames>
    <sheetDataSet>
      <sheetData sheetId="0"/>
      <sheetData sheetId="1"/>
      <sheetData sheetId="2">
        <row r="12">
          <cell r="B12">
            <v>0</v>
          </cell>
          <cell r="C12">
            <v>0</v>
          </cell>
        </row>
        <row r="13">
          <cell r="B13">
            <v>2018</v>
          </cell>
          <cell r="C13">
            <v>0</v>
          </cell>
        </row>
        <row r="14">
          <cell r="B14">
            <v>2019</v>
          </cell>
          <cell r="C14">
            <v>0</v>
          </cell>
        </row>
        <row r="15">
          <cell r="B15">
            <v>2020</v>
          </cell>
          <cell r="C15">
            <v>0</v>
          </cell>
        </row>
        <row r="16">
          <cell r="B16">
            <v>2021</v>
          </cell>
          <cell r="C16">
            <v>0</v>
          </cell>
        </row>
        <row r="17">
          <cell r="B17">
            <v>2022</v>
          </cell>
          <cell r="C17">
            <v>0</v>
          </cell>
        </row>
        <row r="18">
          <cell r="B18">
            <v>2023</v>
          </cell>
          <cell r="C18">
            <v>0</v>
          </cell>
        </row>
        <row r="19">
          <cell r="B19">
            <v>2024</v>
          </cell>
          <cell r="C19">
            <v>0</v>
          </cell>
        </row>
        <row r="20">
          <cell r="B20">
            <v>2025</v>
          </cell>
          <cell r="C20">
            <v>0</v>
          </cell>
        </row>
        <row r="21">
          <cell r="B21">
            <v>2026</v>
          </cell>
          <cell r="C21">
            <v>0</v>
          </cell>
        </row>
        <row r="22">
          <cell r="B22">
            <v>2027</v>
          </cell>
          <cell r="C22">
            <v>0</v>
          </cell>
        </row>
        <row r="23">
          <cell r="B23">
            <v>2028</v>
          </cell>
          <cell r="C23">
            <v>0</v>
          </cell>
        </row>
        <row r="24">
          <cell r="B24">
            <v>2029</v>
          </cell>
          <cell r="C24">
            <v>0</v>
          </cell>
        </row>
        <row r="25">
          <cell r="B25">
            <v>2030</v>
          </cell>
          <cell r="C25">
            <v>0</v>
          </cell>
        </row>
        <row r="26">
          <cell r="B26">
            <v>2031</v>
          </cell>
          <cell r="C26">
            <v>0</v>
          </cell>
        </row>
        <row r="27">
          <cell r="B27">
            <v>2032</v>
          </cell>
          <cell r="C27">
            <v>0</v>
          </cell>
        </row>
        <row r="28">
          <cell r="B28">
            <v>2033</v>
          </cell>
          <cell r="C28">
            <v>0</v>
          </cell>
        </row>
        <row r="29">
          <cell r="B29">
            <v>2034</v>
          </cell>
          <cell r="C29">
            <v>0</v>
          </cell>
        </row>
        <row r="30">
          <cell r="B30">
            <v>2035</v>
          </cell>
          <cell r="C30">
            <v>0</v>
          </cell>
        </row>
        <row r="31">
          <cell r="B31">
            <v>2036</v>
          </cell>
          <cell r="C31">
            <v>0</v>
          </cell>
        </row>
        <row r="32">
          <cell r="B32">
            <v>2037</v>
          </cell>
          <cell r="C32">
            <v>0</v>
          </cell>
        </row>
        <row r="33">
          <cell r="B33">
            <v>0</v>
          </cell>
          <cell r="C3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Table 1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/>
      <sheetData sheetId="1">
        <row r="13">
          <cell r="B13">
            <v>2018</v>
          </cell>
          <cell r="C13">
            <v>0</v>
          </cell>
        </row>
        <row r="14">
          <cell r="B14">
            <v>2019</v>
          </cell>
          <cell r="C14">
            <v>0</v>
          </cell>
        </row>
        <row r="15">
          <cell r="B15">
            <v>2020</v>
          </cell>
          <cell r="C15">
            <v>0</v>
          </cell>
        </row>
        <row r="16">
          <cell r="B16">
            <v>2021</v>
          </cell>
          <cell r="C16">
            <v>0</v>
          </cell>
        </row>
        <row r="17">
          <cell r="B17">
            <v>2022</v>
          </cell>
          <cell r="C17">
            <v>0</v>
          </cell>
        </row>
        <row r="18">
          <cell r="B18">
            <v>2023</v>
          </cell>
          <cell r="C18">
            <v>0</v>
          </cell>
        </row>
        <row r="19">
          <cell r="B19">
            <v>2024</v>
          </cell>
          <cell r="C19">
            <v>0</v>
          </cell>
        </row>
        <row r="20">
          <cell r="B20">
            <v>2025</v>
          </cell>
          <cell r="C20">
            <v>0</v>
          </cell>
        </row>
        <row r="21">
          <cell r="B21">
            <v>2026</v>
          </cell>
          <cell r="C21">
            <v>0</v>
          </cell>
        </row>
        <row r="22">
          <cell r="B22">
            <v>2027</v>
          </cell>
          <cell r="C22">
            <v>0</v>
          </cell>
        </row>
        <row r="23">
          <cell r="B23">
            <v>2028</v>
          </cell>
          <cell r="C23">
            <v>0</v>
          </cell>
        </row>
        <row r="24">
          <cell r="B24">
            <v>2029</v>
          </cell>
          <cell r="C24">
            <v>0</v>
          </cell>
        </row>
        <row r="25">
          <cell r="B25">
            <v>2030</v>
          </cell>
          <cell r="C25">
            <v>0</v>
          </cell>
        </row>
        <row r="26">
          <cell r="B26">
            <v>2031</v>
          </cell>
          <cell r="C26">
            <v>0</v>
          </cell>
        </row>
        <row r="27">
          <cell r="B27">
            <v>2032</v>
          </cell>
          <cell r="C27">
            <v>0</v>
          </cell>
        </row>
        <row r="28">
          <cell r="B28">
            <v>2033</v>
          </cell>
          <cell r="C28">
            <v>0</v>
          </cell>
        </row>
        <row r="29">
          <cell r="B29">
            <v>2034</v>
          </cell>
          <cell r="C29">
            <v>0</v>
          </cell>
        </row>
        <row r="30">
          <cell r="B30">
            <v>2035</v>
          </cell>
          <cell r="C30">
            <v>0</v>
          </cell>
        </row>
        <row r="31">
          <cell r="B31">
            <v>2036</v>
          </cell>
          <cell r="C31">
            <v>0</v>
          </cell>
        </row>
        <row r="32">
          <cell r="B32">
            <v>2037</v>
          </cell>
          <cell r="C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J36"/>
  <sheetViews>
    <sheetView showGridLines="0" tabSelected="1"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C10" sqref="C10"/>
    </sheetView>
  </sheetViews>
  <sheetFormatPr defaultRowHeight="15" x14ac:dyDescent="0.2"/>
  <cols>
    <col min="1" max="1" width="1.85546875" style="1" customWidth="1"/>
    <col min="2" max="2" width="13.7109375" style="1" customWidth="1"/>
    <col min="3" max="5" width="15.7109375" style="1" customWidth="1"/>
    <col min="6" max="6" width="14.7109375" style="1" customWidth="1"/>
    <col min="7" max="7" width="15.7109375" style="1" customWidth="1"/>
    <col min="8" max="8" width="2.28515625" style="1" customWidth="1"/>
    <col min="9" max="9" width="9.140625" style="1"/>
    <col min="10" max="10" width="10.85546875" style="1" bestFit="1" customWidth="1"/>
    <col min="11" max="16384" width="9.140625" style="1"/>
  </cols>
  <sheetData>
    <row r="1" spans="2:10" ht="15.75" x14ac:dyDescent="0.25">
      <c r="B1" s="6" t="str">
        <f>Total!B1</f>
        <v>Appendix C</v>
      </c>
      <c r="C1" s="6"/>
      <c r="D1" s="6"/>
      <c r="E1" s="6"/>
      <c r="F1" s="6"/>
      <c r="G1" s="6"/>
    </row>
    <row r="2" spans="2:10" ht="8.25" customHeight="1" x14ac:dyDescent="0.25">
      <c r="B2" s="6"/>
      <c r="C2" s="6"/>
      <c r="D2" s="6"/>
      <c r="E2" s="6"/>
      <c r="F2" s="6"/>
      <c r="G2" s="6"/>
    </row>
    <row r="3" spans="2:10" ht="15.75" x14ac:dyDescent="0.25">
      <c r="B3" s="6" t="str">
        <f>Total!B3</f>
        <v>Utah Quarterly Compliance Filing</v>
      </c>
      <c r="C3" s="6"/>
      <c r="D3" s="6"/>
      <c r="E3" s="6"/>
      <c r="F3" s="6"/>
      <c r="G3" s="6"/>
    </row>
    <row r="4" spans="2:10" ht="15.75" x14ac:dyDescent="0.25">
      <c r="B4" s="6" t="str">
        <f>Capacity!$B$4</f>
        <v>Step Study between 2017.Q2 and 2017.Q1 Compliance Filing</v>
      </c>
      <c r="C4" s="6"/>
      <c r="D4" s="6"/>
      <c r="E4" s="6"/>
      <c r="F4" s="6"/>
      <c r="G4" s="6"/>
    </row>
    <row r="5" spans="2:10" ht="15.75" x14ac:dyDescent="0.25">
      <c r="B5" s="6" t="s">
        <v>25</v>
      </c>
      <c r="C5" s="6"/>
      <c r="D5" s="6"/>
      <c r="E5" s="6"/>
      <c r="F5" s="6"/>
      <c r="G5" s="6"/>
    </row>
    <row r="6" spans="2:10" x14ac:dyDescent="0.2">
      <c r="C6" s="9"/>
      <c r="D6" s="9"/>
      <c r="E6" s="9"/>
      <c r="F6" s="9"/>
      <c r="G6" s="9"/>
    </row>
    <row r="7" spans="2:10" s="4" customFormat="1" ht="15.75" x14ac:dyDescent="0.25">
      <c r="B7" s="14"/>
      <c r="C7" s="11" t="str">
        <f>Energy!D7</f>
        <v>Generic</v>
      </c>
      <c r="D7" s="11" t="str">
        <f>Energy!E7</f>
        <v>OFPC</v>
      </c>
      <c r="E7" s="11" t="str">
        <f>Energy!F7</f>
        <v>Queue</v>
      </c>
      <c r="F7" s="11" t="str">
        <f>Energy!G7</f>
        <v>Load</v>
      </c>
      <c r="G7" s="11" t="s">
        <v>5</v>
      </c>
      <c r="H7" s="1"/>
    </row>
    <row r="8" spans="2:10" s="4" customFormat="1" ht="15.75" x14ac:dyDescent="0.25">
      <c r="B8" s="15" t="s">
        <v>0</v>
      </c>
      <c r="C8" s="57" t="str">
        <f>Energy!D8</f>
        <v xml:space="preserve"> Update</v>
      </c>
      <c r="D8" s="12" t="str">
        <f>Energy!E8</f>
        <v>1706</v>
      </c>
      <c r="E8" s="12"/>
      <c r="F8" s="12" t="str">
        <f>Energy!G8</f>
        <v>Forecast</v>
      </c>
      <c r="G8" s="12" t="s">
        <v>14</v>
      </c>
      <c r="H8" s="1"/>
    </row>
    <row r="9" spans="2:10" ht="4.5" customHeight="1" x14ac:dyDescent="0.2"/>
    <row r="10" spans="2:10" ht="15.75" x14ac:dyDescent="0.25">
      <c r="B10" s="3">
        <f>Total!B10</f>
        <v>2018</v>
      </c>
      <c r="C10" s="69">
        <f>ROUND(Total!D10-Total!C10,3)</f>
        <v>0.93</v>
      </c>
      <c r="D10" s="69">
        <f>ROUND(Total!E10-Total!D10,3)</f>
        <v>-0.23400000000000001</v>
      </c>
      <c r="E10" s="69">
        <f>ROUND(Total!F10-Total!E10,3)</f>
        <v>0.29799999999999999</v>
      </c>
      <c r="F10" s="69">
        <f>ROUND(Total!G10-Total!F10,3)</f>
        <v>-7.5999999999999998E-2</v>
      </c>
      <c r="G10" s="69">
        <f t="shared" ref="G10" ca="1" si="0">SUM(OFFSET($C10,0,0,1,COLUMN(G10)-3))</f>
        <v>0.91800000000000004</v>
      </c>
      <c r="H10" s="49"/>
      <c r="J10" s="19"/>
    </row>
    <row r="11" spans="2:10" ht="15.75" x14ac:dyDescent="0.25">
      <c r="B11" s="3">
        <f t="shared" ref="B11:B24" si="1">B10+1</f>
        <v>2019</v>
      </c>
      <c r="C11" s="69">
        <f>ROUND(Total!D11-Total!C11,3)</f>
        <v>2.11</v>
      </c>
      <c r="D11" s="69">
        <f>ROUND(Total!E11-Total!D11,3)</f>
        <v>-7.8E-2</v>
      </c>
      <c r="E11" s="69">
        <f>ROUND(Total!F11-Total!E11,3)</f>
        <v>0.54100000000000004</v>
      </c>
      <c r="F11" s="69">
        <f>ROUND(Total!G11-Total!F11,3)</f>
        <v>-7.6999999999999999E-2</v>
      </c>
      <c r="G11" s="69">
        <f ca="1">SUM(OFFSET($C11,0,0,1,COLUMN(G11)-3))</f>
        <v>2.496</v>
      </c>
      <c r="H11" s="49"/>
      <c r="J11" s="19"/>
    </row>
    <row r="12" spans="2:10" ht="15.75" x14ac:dyDescent="0.25">
      <c r="B12" s="3">
        <f t="shared" si="1"/>
        <v>2020</v>
      </c>
      <c r="C12" s="69">
        <f>ROUND(Total!D12-Total!C12,3)</f>
        <v>1.847</v>
      </c>
      <c r="D12" s="69">
        <f>ROUND(Total!E12-Total!D12,3)</f>
        <v>0.253</v>
      </c>
      <c r="E12" s="69">
        <f>ROUND(Total!F12-Total!E12,3)</f>
        <v>0.13600000000000001</v>
      </c>
      <c r="F12" s="69">
        <f>ROUND(Total!G12-Total!F12,3)</f>
        <v>-0.01</v>
      </c>
      <c r="G12" s="69">
        <f t="shared" ref="G12:G24" ca="1" si="2">SUM(OFFSET($C12,0,0,1,COLUMN(G12)-3))</f>
        <v>2.2260000000000004</v>
      </c>
      <c r="H12" s="49"/>
      <c r="J12" s="19"/>
    </row>
    <row r="13" spans="2:10" ht="15.75" x14ac:dyDescent="0.25">
      <c r="B13" s="3">
        <f t="shared" si="1"/>
        <v>2021</v>
      </c>
      <c r="C13" s="69">
        <f>ROUND(Total!D13-Total!C13,3)</f>
        <v>0.76200000000000001</v>
      </c>
      <c r="D13" s="69">
        <f>ROUND(Total!E13-Total!D13,3)</f>
        <v>0.17899999999999999</v>
      </c>
      <c r="E13" s="69">
        <f>ROUND(Total!F13-Total!E13,3)</f>
        <v>0.47599999999999998</v>
      </c>
      <c r="F13" s="69">
        <f>ROUND(Total!G13-Total!F13,3)</f>
        <v>-8.9999999999999993E-3</v>
      </c>
      <c r="G13" s="69">
        <f t="shared" ca="1" si="2"/>
        <v>1.4080000000000001</v>
      </c>
      <c r="H13" s="49"/>
      <c r="J13" s="19"/>
    </row>
    <row r="14" spans="2:10" ht="15.75" x14ac:dyDescent="0.25">
      <c r="B14" s="3">
        <f t="shared" si="1"/>
        <v>2022</v>
      </c>
      <c r="C14" s="69">
        <f>ROUND(Total!D14-Total!C14,3)</f>
        <v>2</v>
      </c>
      <c r="D14" s="69">
        <f>ROUND(Total!E14-Total!D14,3)</f>
        <v>-0.18</v>
      </c>
      <c r="E14" s="69">
        <f>ROUND(Total!F14-Total!E14,3)</f>
        <v>5.1999999999999998E-2</v>
      </c>
      <c r="F14" s="69">
        <f>ROUND(Total!G14-Total!F14,3)</f>
        <v>0.29099999999999998</v>
      </c>
      <c r="G14" s="69">
        <f t="shared" ca="1" si="2"/>
        <v>2.1630000000000003</v>
      </c>
      <c r="H14" s="49"/>
      <c r="J14" s="19"/>
    </row>
    <row r="15" spans="2:10" ht="15.75" x14ac:dyDescent="0.25">
      <c r="B15" s="3">
        <f t="shared" si="1"/>
        <v>2023</v>
      </c>
      <c r="C15" s="69">
        <f>ROUND(Total!D15-Total!C15,3)</f>
        <v>1.3069999999999999</v>
      </c>
      <c r="D15" s="69">
        <f>ROUND(Total!E15-Total!D15,3)</f>
        <v>-0.83899999999999997</v>
      </c>
      <c r="E15" s="69">
        <f>ROUND(Total!F15-Total!E15,3)</f>
        <v>0.16</v>
      </c>
      <c r="F15" s="69">
        <f>ROUND(Total!G15-Total!F15,3)</f>
        <v>-4.4999999999999998E-2</v>
      </c>
      <c r="G15" s="69">
        <f t="shared" ca="1" si="2"/>
        <v>0.58299999999999996</v>
      </c>
      <c r="H15" s="49"/>
      <c r="J15" s="19"/>
    </row>
    <row r="16" spans="2:10" ht="15.75" x14ac:dyDescent="0.25">
      <c r="B16" s="3">
        <f t="shared" si="1"/>
        <v>2024</v>
      </c>
      <c r="C16" s="69">
        <f>ROUND(Total!D16-Total!C16,3)</f>
        <v>1.214</v>
      </c>
      <c r="D16" s="69">
        <f>ROUND(Total!E16-Total!D16,3)</f>
        <v>-2.3769999999999998</v>
      </c>
      <c r="E16" s="69">
        <f>ROUND(Total!F16-Total!E16,3)</f>
        <v>0.88500000000000001</v>
      </c>
      <c r="F16" s="69">
        <f>ROUND(Total!G16-Total!F16,3)</f>
        <v>0.157</v>
      </c>
      <c r="G16" s="69">
        <f t="shared" ca="1" si="2"/>
        <v>-0.1209999999999998</v>
      </c>
      <c r="H16" s="49"/>
      <c r="J16" s="19"/>
    </row>
    <row r="17" spans="2:10" ht="15.75" x14ac:dyDescent="0.25">
      <c r="B17" s="3">
        <f t="shared" si="1"/>
        <v>2025</v>
      </c>
      <c r="C17" s="69">
        <f>ROUND(Total!D17-Total!C17,3)</f>
        <v>0.97199999999999998</v>
      </c>
      <c r="D17" s="69">
        <f>ROUND(Total!E17-Total!D17,3)</f>
        <v>-2.766</v>
      </c>
      <c r="E17" s="69">
        <f>ROUND(Total!F17-Total!E17,3)</f>
        <v>0.53100000000000003</v>
      </c>
      <c r="F17" s="69">
        <f>ROUND(Total!G17-Total!F17,3)</f>
        <v>0.32700000000000001</v>
      </c>
      <c r="G17" s="69">
        <f t="shared" ca="1" si="2"/>
        <v>-0.93599999999999994</v>
      </c>
      <c r="H17" s="49"/>
      <c r="J17" s="19"/>
    </row>
    <row r="18" spans="2:10" ht="15.75" x14ac:dyDescent="0.25">
      <c r="B18" s="3">
        <f t="shared" si="1"/>
        <v>2026</v>
      </c>
      <c r="C18" s="69">
        <f>ROUND(Total!D18-Total!C18,3)</f>
        <v>1.236</v>
      </c>
      <c r="D18" s="69">
        <f>ROUND(Total!E18-Total!D18,3)</f>
        <v>-1.9610000000000001</v>
      </c>
      <c r="E18" s="69">
        <f>ROUND(Total!F18-Total!E18,3)</f>
        <v>1.1479999999999999</v>
      </c>
      <c r="F18" s="69">
        <f>ROUND(Total!G18-Total!F18,3)</f>
        <v>-4.4999999999999998E-2</v>
      </c>
      <c r="G18" s="69">
        <f t="shared" ca="1" si="2"/>
        <v>0.37799999999999984</v>
      </c>
      <c r="H18" s="49"/>
      <c r="J18" s="19"/>
    </row>
    <row r="19" spans="2:10" ht="15.75" x14ac:dyDescent="0.25">
      <c r="B19" s="3">
        <f t="shared" si="1"/>
        <v>2027</v>
      </c>
      <c r="C19" s="69">
        <f>ROUND(Total!D19-Total!C19,3)</f>
        <v>0.28999999999999998</v>
      </c>
      <c r="D19" s="69">
        <f>ROUND(Total!E19-Total!D19,3)</f>
        <v>-0.96699999999999997</v>
      </c>
      <c r="E19" s="69">
        <f>ROUND(Total!F19-Total!E19,3)</f>
        <v>0.45200000000000001</v>
      </c>
      <c r="F19" s="69">
        <f>ROUND(Total!G19-Total!F19,3)</f>
        <v>0.18</v>
      </c>
      <c r="G19" s="69">
        <f t="shared" ca="1" si="2"/>
        <v>-4.500000000000004E-2</v>
      </c>
      <c r="H19" s="49"/>
      <c r="J19" s="19"/>
    </row>
    <row r="20" spans="2:10" ht="15.75" x14ac:dyDescent="0.25">
      <c r="B20" s="3">
        <f t="shared" si="1"/>
        <v>2028</v>
      </c>
      <c r="C20" s="69">
        <f>ROUND(Total!D20-Total!C20,3)</f>
        <v>-0.752</v>
      </c>
      <c r="D20" s="69">
        <f>ROUND(Total!E20-Total!D20,3)</f>
        <v>-0.74199999999999999</v>
      </c>
      <c r="E20" s="69">
        <f>ROUND(Total!F20-Total!E20,3)</f>
        <v>0.31</v>
      </c>
      <c r="F20" s="69">
        <f>ROUND(Total!G20-Total!F20,3)</f>
        <v>0.14899999999999999</v>
      </c>
      <c r="G20" s="69">
        <f t="shared" ca="1" si="2"/>
        <v>-1.0349999999999999</v>
      </c>
      <c r="H20" s="49"/>
      <c r="J20" s="19"/>
    </row>
    <row r="21" spans="2:10" ht="15.75" x14ac:dyDescent="0.25">
      <c r="B21" s="3">
        <f t="shared" si="1"/>
        <v>2029</v>
      </c>
      <c r="C21" s="69">
        <f>ROUND(Total!D21-Total!C21,3)</f>
        <v>-0.16300000000000001</v>
      </c>
      <c r="D21" s="69">
        <f>ROUND(Total!E21-Total!D21,3)</f>
        <v>0.109</v>
      </c>
      <c r="E21" s="69">
        <f>ROUND(Total!F21-Total!E21,3)</f>
        <v>0.39500000000000002</v>
      </c>
      <c r="F21" s="69">
        <f>ROUND(Total!G21-Total!F21,3)</f>
        <v>-0.114</v>
      </c>
      <c r="G21" s="69">
        <f t="shared" ca="1" si="2"/>
        <v>0.22700000000000004</v>
      </c>
      <c r="H21" s="49"/>
      <c r="J21" s="19"/>
    </row>
    <row r="22" spans="2:10" ht="15.75" x14ac:dyDescent="0.25">
      <c r="B22" s="3">
        <f t="shared" si="1"/>
        <v>2030</v>
      </c>
      <c r="C22" s="69">
        <f>ROUND(Total!D22-Total!C22,3)</f>
        <v>-0.84799999999999998</v>
      </c>
      <c r="D22" s="69">
        <f>ROUND(Total!E22-Total!D22,3)</f>
        <v>0.35499999999999998</v>
      </c>
      <c r="E22" s="69">
        <f>ROUND(Total!F22-Total!E22,3)</f>
        <v>0.33600000000000002</v>
      </c>
      <c r="F22" s="69">
        <f>ROUND(Total!G22-Total!F22,3)</f>
        <v>-0.28199999999999997</v>
      </c>
      <c r="G22" s="69">
        <f t="shared" ca="1" si="2"/>
        <v>-0.43899999999999995</v>
      </c>
      <c r="H22" s="49"/>
      <c r="J22" s="19"/>
    </row>
    <row r="23" spans="2:10" ht="15.75" x14ac:dyDescent="0.25">
      <c r="B23" s="3">
        <f t="shared" si="1"/>
        <v>2031</v>
      </c>
      <c r="C23" s="69">
        <f>ROUND(Total!D23-Total!C23,3)</f>
        <v>-1.7909999999999999</v>
      </c>
      <c r="D23" s="69">
        <f>ROUND(Total!E23-Total!D23,3)</f>
        <v>1.357</v>
      </c>
      <c r="E23" s="69">
        <f>ROUND(Total!F23-Total!E23,3)</f>
        <v>0.03</v>
      </c>
      <c r="F23" s="69">
        <f>ROUND(Total!G23-Total!F23,3)</f>
        <v>-0.38600000000000001</v>
      </c>
      <c r="G23" s="69">
        <f t="shared" ca="1" si="2"/>
        <v>-0.78999999999999992</v>
      </c>
      <c r="H23" s="49"/>
      <c r="J23" s="19"/>
    </row>
    <row r="24" spans="2:10" ht="15.75" x14ac:dyDescent="0.25">
      <c r="B24" s="3">
        <f t="shared" si="1"/>
        <v>2032</v>
      </c>
      <c r="C24" s="69">
        <f>ROUND(Total!D24-Total!C24,3)</f>
        <v>-1.4119999999999999</v>
      </c>
      <c r="D24" s="69">
        <f>ROUND(Total!E24-Total!D24,3)</f>
        <v>1.3089999999999999</v>
      </c>
      <c r="E24" s="69">
        <f>ROUND(Total!F24-Total!E24,3)</f>
        <v>-0.24</v>
      </c>
      <c r="F24" s="69">
        <f>ROUND(Total!G24-Total!F24,3)</f>
        <v>-0.26400000000000001</v>
      </c>
      <c r="G24" s="69">
        <f t="shared" ca="1" si="2"/>
        <v>-0.60699999999999998</v>
      </c>
      <c r="H24" s="49"/>
      <c r="J24" s="19"/>
    </row>
    <row r="25" spans="2:10" x14ac:dyDescent="0.2">
      <c r="C25" s="49"/>
      <c r="D25" s="49"/>
      <c r="E25" s="49"/>
      <c r="F25" s="49"/>
      <c r="G25" s="49"/>
      <c r="H25" s="49"/>
    </row>
    <row r="26" spans="2:10" x14ac:dyDescent="0.2">
      <c r="B26" s="13" t="str">
        <f>Total!B26</f>
        <v>Nominal Levelized Payment at 6.570% Discount Rate (3)</v>
      </c>
      <c r="C26" s="70"/>
      <c r="D26" s="70"/>
      <c r="E26" s="70"/>
      <c r="F26" s="70"/>
      <c r="G26" s="70"/>
      <c r="H26" s="49"/>
    </row>
    <row r="27" spans="2:10" x14ac:dyDescent="0.2">
      <c r="B27" s="8" t="str">
        <f>B10&amp;" - "&amp;B24</f>
        <v>2018 - 2032</v>
      </c>
      <c r="C27" s="71">
        <f>ROUND(Total!D27-Total!C27,3)</f>
        <v>0.78300000000000003</v>
      </c>
      <c r="D27" s="71">
        <f>ROUND(Total!E27-Total!D27,3)</f>
        <v>-0.48599999999999999</v>
      </c>
      <c r="E27" s="71">
        <f>ROUND(Total!F27-Total!E27,3)</f>
        <v>0.38100000000000001</v>
      </c>
      <c r="F27" s="71">
        <f>ROUND(Total!G27-Total!F27,3)</f>
        <v>3.0000000000000001E-3</v>
      </c>
      <c r="G27" s="71">
        <f ca="1">SUM(OFFSET($C27,0,0,1,COLUMN(G27)-3))</f>
        <v>0.68100000000000005</v>
      </c>
      <c r="H27" s="49"/>
    </row>
    <row r="28" spans="2:10" x14ac:dyDescent="0.2">
      <c r="C28" s="49"/>
      <c r="D28" s="49"/>
      <c r="E28" s="49"/>
      <c r="F28" s="49"/>
      <c r="G28" s="51"/>
    </row>
    <row r="29" spans="2:10" x14ac:dyDescent="0.2">
      <c r="B29" s="1" t="str">
        <f>Total!B29</f>
        <v>(1)   Studies are sequential.  The order of the studies would affect the price impact.</v>
      </c>
      <c r="C29" s="49"/>
      <c r="D29" s="49"/>
      <c r="E29" s="49"/>
      <c r="F29" s="49"/>
      <c r="G29" s="49"/>
    </row>
    <row r="30" spans="2:10" x14ac:dyDescent="0.2">
      <c r="B30" s="1" t="str">
        <f>Total!B30</f>
        <v>(2)   Official Forward Price Curve Dated June 2017</v>
      </c>
    </row>
    <row r="31" spans="2:10" x14ac:dyDescent="0.2">
      <c r="B31" s="1" t="str">
        <f>Total!B31</f>
        <v>(3)   Discount Rate - 2017 IRP</v>
      </c>
      <c r="C31" s="8"/>
    </row>
    <row r="35" spans="2:2" hidden="1" x14ac:dyDescent="0.2">
      <c r="B35" s="21" t="s">
        <v>13</v>
      </c>
    </row>
    <row r="36" spans="2:2" hidden="1" x14ac:dyDescent="0.2">
      <c r="B36" s="37">
        <f>Discount_Rate</f>
        <v>6.5699999999999995E-2</v>
      </c>
    </row>
  </sheetData>
  <phoneticPr fontId="2" type="noConversion"/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P39"/>
  <sheetViews>
    <sheetView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G8" sqref="G8"/>
    </sheetView>
  </sheetViews>
  <sheetFormatPr defaultRowHeight="15" x14ac:dyDescent="0.2"/>
  <cols>
    <col min="1" max="1" width="1.85546875" style="1" customWidth="1"/>
    <col min="2" max="2" width="13.7109375" style="1" customWidth="1"/>
    <col min="3" max="7" width="17.7109375" style="1" customWidth="1"/>
    <col min="8" max="8" width="2.42578125" style="1" customWidth="1"/>
    <col min="9" max="9" width="9.140625" style="1"/>
    <col min="10" max="10" width="10.28515625" style="1" bestFit="1" customWidth="1"/>
    <col min="11" max="14" width="9.140625" style="1"/>
    <col min="15" max="15" width="10.28515625" style="1" customWidth="1"/>
    <col min="16" max="16384" width="9.140625" style="1"/>
  </cols>
  <sheetData>
    <row r="1" spans="2:16" ht="15.75" x14ac:dyDescent="0.25">
      <c r="B1" s="6" t="s">
        <v>4</v>
      </c>
      <c r="C1" s="6"/>
      <c r="D1" s="6"/>
      <c r="E1" s="6"/>
      <c r="F1" s="6"/>
      <c r="G1" s="6"/>
    </row>
    <row r="2" spans="2:16" ht="8.25" customHeight="1" x14ac:dyDescent="0.25">
      <c r="B2" s="6"/>
      <c r="C2" s="6"/>
      <c r="D2" s="6"/>
      <c r="E2" s="6"/>
      <c r="F2" s="6"/>
      <c r="G2" s="6"/>
    </row>
    <row r="3" spans="2:16" ht="15.75" x14ac:dyDescent="0.25">
      <c r="B3" s="6" t="s">
        <v>1</v>
      </c>
      <c r="C3" s="6"/>
      <c r="D3" s="6"/>
      <c r="E3" s="6"/>
      <c r="F3" s="6"/>
      <c r="G3" s="6"/>
    </row>
    <row r="4" spans="2:16" ht="15.75" x14ac:dyDescent="0.25">
      <c r="B4" s="6" t="str">
        <f>Capacity!$B$4</f>
        <v>Step Study between 2017.Q2 and 2017.Q1 Compliance Filing</v>
      </c>
      <c r="C4" s="6"/>
      <c r="D4" s="6"/>
      <c r="E4" s="6"/>
      <c r="F4" s="6"/>
      <c r="G4" s="6"/>
    </row>
    <row r="5" spans="2:16" ht="15.75" x14ac:dyDescent="0.25">
      <c r="B5" s="6" t="s">
        <v>11</v>
      </c>
      <c r="C5" s="6"/>
      <c r="D5" s="6"/>
      <c r="E5" s="6"/>
      <c r="F5" s="6"/>
      <c r="G5" s="6"/>
    </row>
    <row r="6" spans="2:16" s="18" customFormat="1" ht="15.75" x14ac:dyDescent="0.25">
      <c r="B6" s="16"/>
      <c r="C6" s="16"/>
      <c r="D6" s="16"/>
      <c r="E6" s="17"/>
      <c r="F6" s="16"/>
      <c r="G6" s="16"/>
    </row>
    <row r="7" spans="2:16" ht="15.75" x14ac:dyDescent="0.25">
      <c r="B7" s="43"/>
      <c r="C7" s="44" t="str">
        <f>Energy!C7</f>
        <v>2017.Q1</v>
      </c>
      <c r="D7" s="44" t="str">
        <f>Energy!D7</f>
        <v>Generic</v>
      </c>
      <c r="E7" s="44" t="str">
        <f>Energy!E7</f>
        <v>OFPC</v>
      </c>
      <c r="F7" s="44" t="str">
        <f>Energy!F7</f>
        <v>Queue</v>
      </c>
      <c r="G7" s="44" t="str">
        <f>Energy!G7</f>
        <v>Load</v>
      </c>
    </row>
    <row r="8" spans="2:16" ht="15.75" x14ac:dyDescent="0.25">
      <c r="B8" s="7" t="s">
        <v>0</v>
      </c>
      <c r="C8" s="2" t="str">
        <f>Energy!C8</f>
        <v>As Filed</v>
      </c>
      <c r="D8" s="2" t="str">
        <f>Energy!D8</f>
        <v xml:space="preserve"> Update</v>
      </c>
      <c r="E8" s="2" t="str">
        <f>Energy!E8</f>
        <v>1706</v>
      </c>
      <c r="F8" s="2"/>
      <c r="G8" s="2" t="str">
        <f>Energy!G8</f>
        <v>Forecast</v>
      </c>
    </row>
    <row r="9" spans="2:16" ht="4.5" customHeight="1" x14ac:dyDescent="0.2"/>
    <row r="10" spans="2:16" ht="15.75" x14ac:dyDescent="0.25">
      <c r="B10" s="3">
        <v>2018</v>
      </c>
      <c r="C10" s="65">
        <f>ROUND(Capacity!$F10+Energy!C10,3)</f>
        <v>19.823</v>
      </c>
      <c r="D10" s="65">
        <f>ROUND(Capacity!$F10+Energy!D10,3)</f>
        <v>20.753</v>
      </c>
      <c r="E10" s="65">
        <f>ROUND(Capacity!$F10+Energy!E10,3)</f>
        <v>20.518999999999998</v>
      </c>
      <c r="F10" s="65">
        <f>ROUND(Capacity!$F10+Energy!F10,3)</f>
        <v>20.817</v>
      </c>
      <c r="G10" s="65">
        <f>ROUND(Capacity!$F10+Energy!G10,3)</f>
        <v>20.741</v>
      </c>
      <c r="I10" s="45"/>
      <c r="J10" s="52"/>
      <c r="K10" s="45"/>
      <c r="L10" s="45"/>
      <c r="M10" s="45"/>
      <c r="N10" s="45"/>
      <c r="O10" s="45"/>
    </row>
    <row r="11" spans="2:16" ht="15.75" x14ac:dyDescent="0.25">
      <c r="B11" s="3">
        <f t="shared" ref="B11:B24" si="0">B10+1</f>
        <v>2019</v>
      </c>
      <c r="C11" s="65">
        <f>ROUND(Capacity!$F11+Energy!C11,3)</f>
        <v>18.231000000000002</v>
      </c>
      <c r="D11" s="65">
        <f>ROUND(Capacity!$F11+Energy!D11,3)</f>
        <v>20.341000000000001</v>
      </c>
      <c r="E11" s="65">
        <f>ROUND(Capacity!$F11+Energy!E11,3)</f>
        <v>20.263000000000002</v>
      </c>
      <c r="F11" s="65">
        <f>ROUND(Capacity!$F11+Energy!F11,3)</f>
        <v>20.803999999999998</v>
      </c>
      <c r="G11" s="65">
        <f>ROUND(Capacity!$F11+Energy!G11,3)</f>
        <v>20.727</v>
      </c>
      <c r="I11" s="45"/>
      <c r="J11" s="52"/>
      <c r="K11" s="45"/>
      <c r="L11" s="45"/>
      <c r="M11" s="45"/>
      <c r="N11" s="45"/>
      <c r="O11" s="45"/>
    </row>
    <row r="12" spans="2:16" ht="15.75" x14ac:dyDescent="0.25">
      <c r="B12" s="3">
        <f t="shared" si="0"/>
        <v>2020</v>
      </c>
      <c r="C12" s="65">
        <f>ROUND(Capacity!$F12+Energy!C12,3)</f>
        <v>16.719000000000001</v>
      </c>
      <c r="D12" s="65">
        <f>ROUND(Capacity!$F12+Energy!D12,3)</f>
        <v>18.565999999999999</v>
      </c>
      <c r="E12" s="65">
        <f>ROUND(Capacity!$F12+Energy!E12,3)</f>
        <v>18.818999999999999</v>
      </c>
      <c r="F12" s="65">
        <f>ROUND(Capacity!$F12+Energy!F12,3)</f>
        <v>18.954999999999998</v>
      </c>
      <c r="G12" s="65">
        <f>ROUND(Capacity!$F12+Energy!G12,3)</f>
        <v>18.945</v>
      </c>
      <c r="I12" s="45"/>
      <c r="J12" s="52"/>
      <c r="K12" s="45"/>
      <c r="L12" s="45"/>
      <c r="M12" s="45"/>
      <c r="N12" s="45"/>
      <c r="O12" s="45"/>
    </row>
    <row r="13" spans="2:16" ht="15.75" x14ac:dyDescent="0.25">
      <c r="B13" s="3">
        <f t="shared" si="0"/>
        <v>2021</v>
      </c>
      <c r="C13" s="65">
        <f>ROUND(Capacity!$F13+Energy!C13,3)</f>
        <v>17.803999999999998</v>
      </c>
      <c r="D13" s="65">
        <f>ROUND(Capacity!$F13+Energy!D13,3)</f>
        <v>18.565999999999999</v>
      </c>
      <c r="E13" s="65">
        <f>ROUND(Capacity!$F13+Energy!E13,3)</f>
        <v>18.745000000000001</v>
      </c>
      <c r="F13" s="65">
        <f>ROUND(Capacity!$F13+Energy!F13,3)</f>
        <v>19.221</v>
      </c>
      <c r="G13" s="65">
        <f>ROUND(Capacity!$F13+Energy!G13,3)</f>
        <v>19.212</v>
      </c>
      <c r="I13" s="45"/>
      <c r="J13" s="52"/>
      <c r="K13" s="45"/>
      <c r="L13" s="45"/>
      <c r="M13" s="45"/>
      <c r="N13" s="45"/>
      <c r="O13" s="45"/>
      <c r="P13" s="5"/>
    </row>
    <row r="14" spans="2:16" ht="15.75" x14ac:dyDescent="0.25">
      <c r="B14" s="3">
        <f t="shared" si="0"/>
        <v>2022</v>
      </c>
      <c r="C14" s="65">
        <f>ROUND(Capacity!$F14+Energy!C14,3)</f>
        <v>18.657</v>
      </c>
      <c r="D14" s="65">
        <f>ROUND(Capacity!$F14+Energy!D14,3)</f>
        <v>20.657</v>
      </c>
      <c r="E14" s="65">
        <f>ROUND(Capacity!$F14+Energy!E14,3)</f>
        <v>20.477</v>
      </c>
      <c r="F14" s="65">
        <f>ROUND(Capacity!$F14+Energy!F14,3)</f>
        <v>20.529</v>
      </c>
      <c r="G14" s="65">
        <f>ROUND(Capacity!$F14+Energy!G14,3)</f>
        <v>20.82</v>
      </c>
      <c r="I14" s="45"/>
      <c r="J14" s="52"/>
      <c r="K14" s="45"/>
      <c r="L14" s="45"/>
      <c r="M14" s="45"/>
      <c r="N14" s="45"/>
      <c r="O14" s="45"/>
    </row>
    <row r="15" spans="2:16" ht="15.75" x14ac:dyDescent="0.25">
      <c r="B15" s="3">
        <f t="shared" si="0"/>
        <v>2023</v>
      </c>
      <c r="C15" s="65">
        <f>ROUND(Capacity!$F15+Energy!C15,3)</f>
        <v>21.167999999999999</v>
      </c>
      <c r="D15" s="65">
        <f>ROUND(Capacity!$F15+Energy!D15,3)</f>
        <v>22.475000000000001</v>
      </c>
      <c r="E15" s="65">
        <f>ROUND(Capacity!$F15+Energy!E15,3)</f>
        <v>21.635999999999999</v>
      </c>
      <c r="F15" s="65">
        <f>ROUND(Capacity!$F15+Energy!F15,3)</f>
        <v>21.795999999999999</v>
      </c>
      <c r="G15" s="65">
        <f>ROUND(Capacity!$F15+Energy!G15,3)</f>
        <v>21.751000000000001</v>
      </c>
      <c r="I15" s="45"/>
      <c r="J15" s="52"/>
      <c r="K15" s="45"/>
      <c r="L15" s="45"/>
      <c r="M15" s="45"/>
      <c r="N15" s="45"/>
      <c r="O15" s="45"/>
    </row>
    <row r="16" spans="2:16" ht="15.75" x14ac:dyDescent="0.25">
      <c r="B16" s="3">
        <f t="shared" si="0"/>
        <v>2024</v>
      </c>
      <c r="C16" s="65">
        <f>ROUND(Capacity!$F16+Energy!C16,3)</f>
        <v>22.498999999999999</v>
      </c>
      <c r="D16" s="65">
        <f>ROUND(Capacity!$F16+Energy!D16,3)</f>
        <v>23.713000000000001</v>
      </c>
      <c r="E16" s="65">
        <f>ROUND(Capacity!$F16+Energy!E16,3)</f>
        <v>21.335999999999999</v>
      </c>
      <c r="F16" s="65">
        <f>ROUND(Capacity!$F16+Energy!F16,3)</f>
        <v>22.221</v>
      </c>
      <c r="G16" s="65">
        <f>ROUND(Capacity!$F16+Energy!G16,3)</f>
        <v>22.378</v>
      </c>
      <c r="I16" s="45"/>
      <c r="J16" s="52"/>
      <c r="K16" s="45"/>
      <c r="L16" s="45"/>
      <c r="M16" s="45"/>
      <c r="N16" s="45"/>
      <c r="O16" s="45"/>
    </row>
    <row r="17" spans="2:15" ht="15.75" x14ac:dyDescent="0.25">
      <c r="B17" s="3">
        <f t="shared" si="0"/>
        <v>2025</v>
      </c>
      <c r="C17" s="65">
        <f>ROUND(Capacity!$F17+Energy!C17,3)</f>
        <v>24.172999999999998</v>
      </c>
      <c r="D17" s="65">
        <f>ROUND(Capacity!$F17+Energy!D17,3)</f>
        <v>25.145</v>
      </c>
      <c r="E17" s="65">
        <f>ROUND(Capacity!$F17+Energy!E17,3)</f>
        <v>22.379000000000001</v>
      </c>
      <c r="F17" s="65">
        <f>ROUND(Capacity!$F17+Energy!F17,3)</f>
        <v>22.91</v>
      </c>
      <c r="G17" s="65">
        <f>ROUND(Capacity!$F17+Energy!G17,3)</f>
        <v>23.236999999999998</v>
      </c>
      <c r="I17" s="45"/>
      <c r="J17" s="52"/>
      <c r="K17" s="45"/>
      <c r="L17" s="45"/>
      <c r="M17" s="45"/>
      <c r="N17" s="45"/>
      <c r="O17" s="45"/>
    </row>
    <row r="18" spans="2:15" ht="15.75" x14ac:dyDescent="0.25">
      <c r="B18" s="3">
        <f t="shared" si="0"/>
        <v>2026</v>
      </c>
      <c r="C18" s="65">
        <f>ROUND(Capacity!$F18+Energy!C18,3)</f>
        <v>24.228000000000002</v>
      </c>
      <c r="D18" s="65">
        <f>ROUND(Capacity!$F18+Energy!D18,3)</f>
        <v>25.463999999999999</v>
      </c>
      <c r="E18" s="65">
        <f>ROUND(Capacity!$F18+Energy!E18,3)</f>
        <v>23.503</v>
      </c>
      <c r="F18" s="65">
        <f>ROUND(Capacity!$F18+Energy!F18,3)</f>
        <v>24.651</v>
      </c>
      <c r="G18" s="65">
        <f>ROUND(Capacity!$F18+Energy!G18,3)</f>
        <v>24.606000000000002</v>
      </c>
      <c r="I18" s="45"/>
      <c r="J18" s="52"/>
      <c r="K18" s="45"/>
      <c r="L18" s="45"/>
      <c r="M18" s="45"/>
      <c r="N18" s="45"/>
      <c r="O18" s="45"/>
    </row>
    <row r="19" spans="2:15" ht="15.75" x14ac:dyDescent="0.25">
      <c r="B19" s="3">
        <f t="shared" si="0"/>
        <v>2027</v>
      </c>
      <c r="C19" s="65">
        <f>ROUND(Capacity!$F19+Energy!C19,3)</f>
        <v>25.562000000000001</v>
      </c>
      <c r="D19" s="65">
        <f>ROUND(Capacity!$F19+Energy!D19,3)</f>
        <v>25.852</v>
      </c>
      <c r="E19" s="65">
        <f>ROUND(Capacity!$F19+Energy!E19,3)</f>
        <v>24.885000000000002</v>
      </c>
      <c r="F19" s="65">
        <f>ROUND(Capacity!$F19+Energy!F19,3)</f>
        <v>25.337</v>
      </c>
      <c r="G19" s="65">
        <f>ROUND(Capacity!$F19+Energy!G19,3)</f>
        <v>25.516999999999999</v>
      </c>
      <c r="I19" s="45"/>
      <c r="J19" s="52"/>
      <c r="K19" s="45"/>
      <c r="L19" s="45"/>
      <c r="M19" s="45"/>
      <c r="N19" s="45"/>
      <c r="O19" s="45"/>
    </row>
    <row r="20" spans="2:15" ht="15.75" x14ac:dyDescent="0.25">
      <c r="B20" s="3">
        <f t="shared" si="0"/>
        <v>2028</v>
      </c>
      <c r="C20" s="65">
        <f>ROUND(Capacity!$F20+Energy!C20,3)</f>
        <v>28.73</v>
      </c>
      <c r="D20" s="65">
        <f>ROUND(Capacity!$F20+Energy!D20,3)</f>
        <v>27.978000000000002</v>
      </c>
      <c r="E20" s="65">
        <f>ROUND(Capacity!$F20+Energy!E20,3)</f>
        <v>27.236000000000001</v>
      </c>
      <c r="F20" s="65">
        <f>ROUND(Capacity!$F20+Energy!F20,3)</f>
        <v>27.545999999999999</v>
      </c>
      <c r="G20" s="65">
        <f>ROUND(Capacity!$F20+Energy!G20,3)</f>
        <v>27.695</v>
      </c>
      <c r="I20" s="45"/>
      <c r="J20" s="52"/>
      <c r="K20" s="45"/>
      <c r="L20" s="45"/>
      <c r="M20" s="45"/>
      <c r="N20" s="45"/>
      <c r="O20" s="45"/>
    </row>
    <row r="21" spans="2:15" ht="15.75" x14ac:dyDescent="0.25">
      <c r="B21" s="3">
        <f t="shared" si="0"/>
        <v>2029</v>
      </c>
      <c r="C21" s="65">
        <f>ROUND(Capacity!$F21+Energy!C21,3)</f>
        <v>31.905999999999999</v>
      </c>
      <c r="D21" s="65">
        <f>ROUND(Capacity!$F21+Energy!D21,3)</f>
        <v>31.742999999999999</v>
      </c>
      <c r="E21" s="65">
        <f>ROUND(Capacity!$F21+Energy!E21,3)</f>
        <v>31.852</v>
      </c>
      <c r="F21" s="65">
        <f>ROUND(Capacity!$F21+Energy!F21,3)</f>
        <v>32.247</v>
      </c>
      <c r="G21" s="65">
        <f>ROUND(Capacity!$F21+Energy!G21,3)</f>
        <v>32.133000000000003</v>
      </c>
      <c r="I21" s="45"/>
      <c r="J21" s="52"/>
      <c r="K21" s="45"/>
      <c r="L21" s="45"/>
      <c r="M21" s="45"/>
      <c r="N21" s="45"/>
      <c r="O21" s="45"/>
    </row>
    <row r="22" spans="2:15" ht="15.75" x14ac:dyDescent="0.25">
      <c r="B22" s="3">
        <f t="shared" si="0"/>
        <v>2030</v>
      </c>
      <c r="C22" s="65">
        <f>ROUND(Capacity!$F22+Energy!C22,3)</f>
        <v>35.597000000000001</v>
      </c>
      <c r="D22" s="65">
        <f>ROUND(Capacity!$F22+Energy!D22,3)</f>
        <v>34.749000000000002</v>
      </c>
      <c r="E22" s="65">
        <f>ROUND(Capacity!$F22+Energy!E22,3)</f>
        <v>35.103999999999999</v>
      </c>
      <c r="F22" s="65">
        <f>ROUND(Capacity!$F22+Energy!F22,3)</f>
        <v>35.44</v>
      </c>
      <c r="G22" s="65">
        <f>ROUND(Capacity!$F22+Energy!G22,3)</f>
        <v>35.158000000000001</v>
      </c>
      <c r="I22" s="45"/>
      <c r="J22" s="52"/>
      <c r="K22" s="45"/>
      <c r="L22" s="45"/>
      <c r="M22" s="45"/>
      <c r="N22" s="45"/>
      <c r="O22" s="45"/>
    </row>
    <row r="23" spans="2:15" ht="15.75" x14ac:dyDescent="0.25">
      <c r="B23" s="3">
        <f t="shared" si="0"/>
        <v>2031</v>
      </c>
      <c r="C23" s="65">
        <f>ROUND(Capacity!$F23+Energy!C23,3)</f>
        <v>37.701999999999998</v>
      </c>
      <c r="D23" s="65">
        <f>ROUND(Capacity!$F23+Energy!D23,3)</f>
        <v>35.911000000000001</v>
      </c>
      <c r="E23" s="65">
        <f>ROUND(Capacity!$F23+Energy!E23,3)</f>
        <v>37.268000000000001</v>
      </c>
      <c r="F23" s="65">
        <f>ROUND(Capacity!$F23+Energy!F23,3)</f>
        <v>37.298000000000002</v>
      </c>
      <c r="G23" s="65">
        <f>ROUND(Capacity!$F23+Energy!G23,3)</f>
        <v>36.911999999999999</v>
      </c>
      <c r="I23" s="45"/>
      <c r="J23" s="52"/>
      <c r="K23" s="45"/>
      <c r="L23" s="45"/>
      <c r="M23" s="45"/>
      <c r="N23" s="45"/>
      <c r="O23" s="45"/>
    </row>
    <row r="24" spans="2:15" ht="15.75" x14ac:dyDescent="0.25">
      <c r="B24" s="3">
        <f t="shared" si="0"/>
        <v>2032</v>
      </c>
      <c r="C24" s="65">
        <f>ROUND(Capacity!$F24+Energy!C24,3)</f>
        <v>39.414000000000001</v>
      </c>
      <c r="D24" s="65">
        <f>ROUND(Capacity!$F24+Energy!D24,3)</f>
        <v>38.002000000000002</v>
      </c>
      <c r="E24" s="65">
        <f>ROUND(Capacity!$F24+Energy!E24,3)</f>
        <v>39.311</v>
      </c>
      <c r="F24" s="65">
        <f>ROUND(Capacity!$F24+Energy!F24,3)</f>
        <v>39.070999999999998</v>
      </c>
      <c r="G24" s="65">
        <f>ROUND(Capacity!$F24+Energy!G24,3)</f>
        <v>38.807000000000002</v>
      </c>
      <c r="I24" s="45"/>
      <c r="J24" s="52"/>
      <c r="K24" s="45"/>
      <c r="L24" s="45"/>
      <c r="M24" s="45"/>
      <c r="N24" s="45"/>
      <c r="O24" s="45"/>
    </row>
    <row r="25" spans="2:15" x14ac:dyDescent="0.2">
      <c r="C25" s="66"/>
      <c r="D25" s="66"/>
      <c r="E25" s="66"/>
      <c r="F25" s="66"/>
      <c r="G25" s="66"/>
      <c r="I25" s="45"/>
      <c r="J25" s="45"/>
    </row>
    <row r="26" spans="2:15" x14ac:dyDescent="0.2">
      <c r="B26" s="4" t="str">
        <f>"Nominal Levelized Payment at "&amp;TEXT(Discount_Rate,"0.000%")&amp;" Discount Rate (3)"</f>
        <v>Nominal Levelized Payment at 6.570% Discount Rate (3)</v>
      </c>
      <c r="C26" s="66"/>
      <c r="D26" s="66"/>
      <c r="E26" s="66"/>
      <c r="F26" s="66"/>
      <c r="G26" s="66"/>
      <c r="I26" s="45"/>
      <c r="J26" s="45"/>
    </row>
    <row r="27" spans="2:15" x14ac:dyDescent="0.2">
      <c r="B27" s="8" t="str">
        <f>B10&amp;" - "&amp;B24</f>
        <v>2018 - 2032</v>
      </c>
      <c r="C27" s="67">
        <f>ROUND(PMT(Discount_Rate,COUNT(C10:C24),-NPV(Discount_Rate,C10:C24)),2)</f>
        <v>23.69</v>
      </c>
      <c r="D27" s="67">
        <f>ROUND(PMT(Discount_Rate,COUNT(D10:D24),-NPV(Discount_Rate,D10:D24)),3)</f>
        <v>24.472999999999999</v>
      </c>
      <c r="E27" s="67">
        <f>ROUND(PMT(Discount_Rate,COUNT(E10:E24),-NPV(Discount_Rate,E10:E24)),3)</f>
        <v>23.986999999999998</v>
      </c>
      <c r="F27" s="67">
        <f>ROUND(PMT(Discount_Rate,COUNT(F10:F24),-NPV(Discount_Rate,F10:F24)),3)</f>
        <v>24.367999999999999</v>
      </c>
      <c r="G27" s="67">
        <f>ROUND(PMT(Discount_Rate,COUNT(G10:G24),-NPV(Discount_Rate,G10:G24)),3)</f>
        <v>24.370999999999999</v>
      </c>
      <c r="I27" s="45"/>
      <c r="J27" s="52"/>
    </row>
    <row r="28" spans="2:15" x14ac:dyDescent="0.2">
      <c r="D28" s="10"/>
      <c r="E28" s="10"/>
      <c r="F28" s="10"/>
      <c r="G28" s="10"/>
      <c r="I28" s="45"/>
      <c r="J28" s="45"/>
    </row>
    <row r="29" spans="2:15" x14ac:dyDescent="0.2">
      <c r="B29" s="8" t="s">
        <v>15</v>
      </c>
      <c r="I29" s="45"/>
      <c r="J29" s="45"/>
    </row>
    <row r="30" spans="2:15" x14ac:dyDescent="0.2">
      <c r="B30" s="1" t="str">
        <f>"(2)   Official Forward Price Curve Dated "&amp;TEXT(B39,"MMMM YYYY")</f>
        <v>(2)   Official Forward Price Curve Dated June 2017</v>
      </c>
      <c r="I30" s="45"/>
      <c r="J30" s="45"/>
    </row>
    <row r="31" spans="2:15" x14ac:dyDescent="0.2">
      <c r="B31" s="1" t="str">
        <f>"(3)   "&amp;B35</f>
        <v>(3)   Discount Rate - 2017 IRP</v>
      </c>
    </row>
    <row r="32" spans="2:15" x14ac:dyDescent="0.2">
      <c r="B32" s="1" t="s">
        <v>10</v>
      </c>
    </row>
    <row r="34" spans="2:7" x14ac:dyDescent="0.2">
      <c r="B34" s="21"/>
    </row>
    <row r="35" spans="2:7" x14ac:dyDescent="0.2">
      <c r="B35" s="21" t="s">
        <v>19</v>
      </c>
      <c r="D35" s="19"/>
      <c r="F35" s="19"/>
      <c r="G35" s="19"/>
    </row>
    <row r="36" spans="2:7" x14ac:dyDescent="0.2">
      <c r="B36" s="20">
        <v>6.5699999999999995E-2</v>
      </c>
      <c r="D36" s="19"/>
      <c r="F36" s="19"/>
      <c r="G36" s="19"/>
    </row>
    <row r="37" spans="2:7" x14ac:dyDescent="0.2">
      <c r="D37" s="19"/>
      <c r="E37" s="19"/>
      <c r="F37" s="19"/>
      <c r="G37" s="19"/>
    </row>
    <row r="38" spans="2:7" x14ac:dyDescent="0.2">
      <c r="B38" s="1" t="s">
        <v>12</v>
      </c>
    </row>
    <row r="39" spans="2:7" x14ac:dyDescent="0.2">
      <c r="B39" s="22">
        <f>'[1]Forward Price Curve'!$G$2</f>
        <v>42916</v>
      </c>
    </row>
  </sheetData>
  <phoneticPr fontId="2" type="noConversion"/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J40"/>
  <sheetViews>
    <sheetView zoomScale="70" zoomScaleNormal="7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G9" sqref="G9"/>
    </sheetView>
  </sheetViews>
  <sheetFormatPr defaultRowHeight="15" x14ac:dyDescent="0.2"/>
  <cols>
    <col min="1" max="1" width="1.85546875" style="25" customWidth="1"/>
    <col min="2" max="2" width="13.7109375" style="25" customWidth="1"/>
    <col min="3" max="7" width="17.7109375" style="25" customWidth="1"/>
    <col min="8" max="8" width="2.28515625" style="25" customWidth="1"/>
    <col min="9" max="9" width="10" style="25" bestFit="1" customWidth="1"/>
    <col min="10" max="16384" width="9.140625" style="25"/>
  </cols>
  <sheetData>
    <row r="1" spans="2:10" ht="15.75" x14ac:dyDescent="0.25">
      <c r="B1" s="23" t="str">
        <f>Total!B1</f>
        <v>Appendix C</v>
      </c>
      <c r="C1" s="23"/>
      <c r="D1" s="23"/>
      <c r="E1" s="23"/>
      <c r="F1" s="23"/>
      <c r="G1" s="23"/>
    </row>
    <row r="2" spans="2:10" ht="8.25" customHeight="1" x14ac:dyDescent="0.25">
      <c r="B2" s="23"/>
      <c r="C2" s="23"/>
      <c r="D2" s="23"/>
      <c r="E2" s="23"/>
      <c r="F2" s="23"/>
      <c r="G2" s="23"/>
    </row>
    <row r="3" spans="2:10" ht="15.75" x14ac:dyDescent="0.25">
      <c r="B3" s="23" t="str">
        <f>Total!B3</f>
        <v>Utah Quarterly Compliance Filing</v>
      </c>
      <c r="C3" s="23"/>
      <c r="D3" s="23"/>
      <c r="E3" s="23"/>
      <c r="F3" s="23"/>
      <c r="G3" s="23"/>
    </row>
    <row r="4" spans="2:10" ht="15.75" x14ac:dyDescent="0.25">
      <c r="B4" s="23" t="str">
        <f>Capacity!$B$4</f>
        <v>Step Study between 2017.Q2 and 2017.Q1 Compliance Filing</v>
      </c>
      <c r="C4" s="23"/>
      <c r="D4" s="23"/>
      <c r="E4" s="23"/>
      <c r="F4" s="23"/>
      <c r="G4" s="23"/>
    </row>
    <row r="5" spans="2:10" ht="15.75" x14ac:dyDescent="0.25">
      <c r="B5" s="23" t="s">
        <v>6</v>
      </c>
      <c r="C5" s="23"/>
      <c r="D5" s="23"/>
      <c r="E5" s="23"/>
      <c r="F5" s="23"/>
      <c r="G5" s="23"/>
    </row>
    <row r="6" spans="2:10" ht="15.75" x14ac:dyDescent="0.25">
      <c r="B6" s="23"/>
      <c r="C6" s="48"/>
      <c r="D6" s="48"/>
      <c r="E6" s="48"/>
      <c r="F6" s="48"/>
      <c r="G6" s="48"/>
    </row>
    <row r="7" spans="2:10" ht="15.75" x14ac:dyDescent="0.25">
      <c r="B7" s="26"/>
      <c r="C7" s="41" t="str">
        <f>Capacity!K7</f>
        <v>2017.Q1</v>
      </c>
      <c r="D7" s="47" t="s">
        <v>21</v>
      </c>
      <c r="E7" s="11" t="s">
        <v>17</v>
      </c>
      <c r="F7" s="11" t="s">
        <v>23</v>
      </c>
      <c r="G7" s="47" t="s">
        <v>28</v>
      </c>
      <c r="I7" s="61"/>
      <c r="J7" s="62"/>
    </row>
    <row r="8" spans="2:10" ht="15.75" x14ac:dyDescent="0.25">
      <c r="B8" s="28" t="s">
        <v>0</v>
      </c>
      <c r="C8" s="40" t="s">
        <v>7</v>
      </c>
      <c r="D8" s="40" t="s">
        <v>22</v>
      </c>
      <c r="E8" s="58" t="s">
        <v>24</v>
      </c>
      <c r="F8" s="12"/>
      <c r="G8" s="46" t="s">
        <v>29</v>
      </c>
      <c r="I8" s="61"/>
      <c r="J8" s="62"/>
    </row>
    <row r="9" spans="2:10" ht="4.5" customHeight="1" x14ac:dyDescent="0.2">
      <c r="I9" s="62"/>
      <c r="J9" s="62"/>
    </row>
    <row r="10" spans="2:10" ht="15.75" x14ac:dyDescent="0.25">
      <c r="B10" s="30">
        <f>Total!B10</f>
        <v>2018</v>
      </c>
      <c r="C10" s="60">
        <f>ROUND(HLOOKUP($B10,[2]Summary!$C$5:$L$41,37,FALSE),3)</f>
        <v>19.823</v>
      </c>
      <c r="D10" s="60">
        <f>C10+[3]Incremental!P10</f>
        <v>20.753</v>
      </c>
      <c r="E10" s="60">
        <f>D10+[3]Incremental!Q10</f>
        <v>20.518999999999998</v>
      </c>
      <c r="F10" s="60">
        <f>E10+[3]Incremental!R10</f>
        <v>20.816999999999997</v>
      </c>
      <c r="G10" s="60">
        <f>ROUND(HLOOKUP($B10,[4]Summary!$C$5:$L$41,37,FALSE),3)*G$38</f>
        <v>20.741</v>
      </c>
      <c r="I10" s="63"/>
      <c r="J10" s="64"/>
    </row>
    <row r="11" spans="2:10" ht="15.75" x14ac:dyDescent="0.25">
      <c r="B11" s="30">
        <f t="shared" ref="B11:B24" si="0">B10+1</f>
        <v>2019</v>
      </c>
      <c r="C11" s="60">
        <f>ROUND(HLOOKUP($B11,[2]Summary!$C$5:$L$41,37,FALSE),3)</f>
        <v>18.231000000000002</v>
      </c>
      <c r="D11" s="60">
        <f>C11+[3]Incremental!P11</f>
        <v>20.341000000000001</v>
      </c>
      <c r="E11" s="60">
        <f>D11+[3]Incremental!Q11</f>
        <v>20.263000000000002</v>
      </c>
      <c r="F11" s="60">
        <f>E11+[3]Incremental!R11</f>
        <v>20.804000000000002</v>
      </c>
      <c r="G11" s="60">
        <f>ROUND(HLOOKUP($B11,[4]Summary!$C$5:$L$41,37,FALSE),3)*G$38</f>
        <v>20.727</v>
      </c>
      <c r="I11" s="63"/>
      <c r="J11" s="64"/>
    </row>
    <row r="12" spans="2:10" ht="15.75" x14ac:dyDescent="0.25">
      <c r="B12" s="30">
        <f t="shared" si="0"/>
        <v>2020</v>
      </c>
      <c r="C12" s="60">
        <f>ROUND(HLOOKUP($B12,[2]Summary!$C$5:$L$41,37,FALSE),3)</f>
        <v>16.719000000000001</v>
      </c>
      <c r="D12" s="60">
        <f>C12+[3]Incremental!P12</f>
        <v>18.566000000000003</v>
      </c>
      <c r="E12" s="60">
        <f>D12+[3]Incremental!Q12</f>
        <v>18.819000000000003</v>
      </c>
      <c r="F12" s="60">
        <f>E12+[3]Incremental!R12</f>
        <v>18.955000000000002</v>
      </c>
      <c r="G12" s="60">
        <f>ROUND(HLOOKUP($B12,[4]Summary!$C$5:$L$41,37,FALSE),3)*G$38</f>
        <v>18.945</v>
      </c>
      <c r="I12" s="63"/>
      <c r="J12" s="64"/>
    </row>
    <row r="13" spans="2:10" ht="15.75" x14ac:dyDescent="0.25">
      <c r="B13" s="30">
        <f t="shared" si="0"/>
        <v>2021</v>
      </c>
      <c r="C13" s="60">
        <f>ROUND(HLOOKUP($B13,[2]Summary!$C$5:$L$41,37,FALSE),3)</f>
        <v>17.803999999999998</v>
      </c>
      <c r="D13" s="60">
        <f>C13+[3]Incremental!P13</f>
        <v>18.565999999999999</v>
      </c>
      <c r="E13" s="60">
        <f>D13+[3]Incremental!Q13</f>
        <v>18.744999999999997</v>
      </c>
      <c r="F13" s="60">
        <f>E13+[3]Incremental!R13</f>
        <v>19.220999999999997</v>
      </c>
      <c r="G13" s="60">
        <f>ROUND(HLOOKUP($B13,[4]Summary!$C$5:$L$41,37,FALSE),3)*G$38</f>
        <v>19.212</v>
      </c>
      <c r="I13" s="63"/>
      <c r="J13" s="64"/>
    </row>
    <row r="14" spans="2:10" ht="15.75" x14ac:dyDescent="0.25">
      <c r="B14" s="30">
        <f t="shared" si="0"/>
        <v>2022</v>
      </c>
      <c r="C14" s="60">
        <f>ROUND(HLOOKUP($B14,[2]Summary!$C$5:$L$41,37,FALSE),3)</f>
        <v>18.657</v>
      </c>
      <c r="D14" s="60">
        <f>C14+[3]Incremental!P14</f>
        <v>20.657</v>
      </c>
      <c r="E14" s="60">
        <f>D14+[3]Incremental!Q14</f>
        <v>20.477</v>
      </c>
      <c r="F14" s="60">
        <f>E14+[3]Incremental!R14</f>
        <v>20.529</v>
      </c>
      <c r="G14" s="60">
        <f>ROUND(HLOOKUP($B14,[4]Summary!$C$5:$L$41,37,FALSE),3)*G$38</f>
        <v>20.82</v>
      </c>
      <c r="I14" s="63"/>
      <c r="J14" s="64"/>
    </row>
    <row r="15" spans="2:10" ht="15.75" x14ac:dyDescent="0.25">
      <c r="B15" s="30">
        <f t="shared" si="0"/>
        <v>2023</v>
      </c>
      <c r="C15" s="60">
        <f>ROUND(HLOOKUP($B15,[2]Summary!$C$5:$L$41,37,FALSE),3)</f>
        <v>21.167999999999999</v>
      </c>
      <c r="D15" s="60">
        <f>C15+[3]Incremental!P15</f>
        <v>22.474999999999998</v>
      </c>
      <c r="E15" s="60">
        <f>D15+[3]Incremental!Q15</f>
        <v>21.635999999999999</v>
      </c>
      <c r="F15" s="60">
        <f>E15+[3]Incremental!R15</f>
        <v>21.795999999999999</v>
      </c>
      <c r="G15" s="60">
        <f>ROUND(HLOOKUP($B15,[4]Summary!$C$5:$L$41,37,FALSE),3)*G$38</f>
        <v>21.751000000000001</v>
      </c>
      <c r="I15" s="63"/>
      <c r="J15" s="64"/>
    </row>
    <row r="16" spans="2:10" ht="15.75" x14ac:dyDescent="0.25">
      <c r="B16" s="30">
        <f t="shared" si="0"/>
        <v>2024</v>
      </c>
      <c r="C16" s="60">
        <f>ROUND(HLOOKUP($B16,[2]Summary!$C$5:$L$41,37,FALSE),3)</f>
        <v>22.498999999999999</v>
      </c>
      <c r="D16" s="60">
        <f>C16+[3]Incremental!P16</f>
        <v>23.712999999999997</v>
      </c>
      <c r="E16" s="60">
        <f>D16+[3]Incremental!Q16</f>
        <v>21.335999999999999</v>
      </c>
      <c r="F16" s="60">
        <f>E16+[3]Incremental!R16</f>
        <v>22.221</v>
      </c>
      <c r="G16" s="60">
        <f>ROUND(HLOOKUP($B16,[4]Summary!$C$5:$L$41,37,FALSE),3)*G$38</f>
        <v>22.378</v>
      </c>
      <c r="I16" s="63"/>
      <c r="J16" s="64"/>
    </row>
    <row r="17" spans="2:10" ht="15.75" x14ac:dyDescent="0.25">
      <c r="B17" s="30">
        <f t="shared" si="0"/>
        <v>2025</v>
      </c>
      <c r="C17" s="60">
        <f>ROUND(HLOOKUP($B17,[2]Summary!$C$5:$L$41,37,FALSE),3)</f>
        <v>24.172999999999998</v>
      </c>
      <c r="D17" s="60">
        <f>C17+[3]Incremental!P17</f>
        <v>25.145</v>
      </c>
      <c r="E17" s="60">
        <f>D17+[3]Incremental!Q17</f>
        <v>22.378999999999998</v>
      </c>
      <c r="F17" s="60">
        <f>E17+[3]Incremental!R17</f>
        <v>22.909999999999997</v>
      </c>
      <c r="G17" s="60">
        <f>ROUND(HLOOKUP($B17,[4]Summary!$C$5:$L$41,37,FALSE),3)*G$38</f>
        <v>23.236999999999998</v>
      </c>
      <c r="I17" s="63"/>
      <c r="J17" s="64"/>
    </row>
    <row r="18" spans="2:10" ht="15.75" x14ac:dyDescent="0.25">
      <c r="B18" s="30">
        <f t="shared" si="0"/>
        <v>2026</v>
      </c>
      <c r="C18" s="60">
        <f>ROUND(HLOOKUP($B18,[2]Summary!$C$5:$L$41,37,FALSE),3)</f>
        <v>24.228000000000002</v>
      </c>
      <c r="D18" s="60">
        <f>C18+[3]Incremental!P18</f>
        <v>25.464000000000002</v>
      </c>
      <c r="E18" s="60">
        <f>D18+[3]Incremental!Q18</f>
        <v>23.503000000000004</v>
      </c>
      <c r="F18" s="60">
        <f>E18+[3]Incremental!R18</f>
        <v>24.651000000000003</v>
      </c>
      <c r="G18" s="60">
        <f>ROUND(HLOOKUP($B18,[4]Summary!$C$5:$L$41,37,FALSE),3)*G$38</f>
        <v>24.606000000000002</v>
      </c>
      <c r="I18" s="63"/>
      <c r="J18" s="64"/>
    </row>
    <row r="19" spans="2:10" ht="15.75" x14ac:dyDescent="0.25">
      <c r="B19" s="30">
        <f t="shared" si="0"/>
        <v>2027</v>
      </c>
      <c r="C19" s="60">
        <f>ROUND(HLOOKUP($B19,[2]Summary!$C$5:$L$41,37,FALSE),3)</f>
        <v>25.562000000000001</v>
      </c>
      <c r="D19" s="60">
        <f>C19+[3]Incremental!P19</f>
        <v>25.852</v>
      </c>
      <c r="E19" s="60">
        <f>D19+[3]Incremental!Q19</f>
        <v>24.885000000000002</v>
      </c>
      <c r="F19" s="60">
        <f>E19+[3]Incremental!R19</f>
        <v>25.337000000000003</v>
      </c>
      <c r="G19" s="60">
        <f>ROUND(HLOOKUP($B19,[4]Summary!$C$5:$L$41,37,FALSE),3)*G$38</f>
        <v>25.516999999999999</v>
      </c>
      <c r="I19" s="63"/>
      <c r="J19" s="64"/>
    </row>
    <row r="20" spans="2:10" ht="15.75" x14ac:dyDescent="0.25">
      <c r="B20" s="30">
        <f t="shared" si="0"/>
        <v>2028</v>
      </c>
      <c r="C20" s="60">
        <f>ROUND(HLOOKUP($B20,[5]Summary!$C$5:$L$41,37,FALSE),3)</f>
        <v>28.73</v>
      </c>
      <c r="D20" s="60">
        <f>C20+[3]Incremental!P20</f>
        <v>27.978000000000002</v>
      </c>
      <c r="E20" s="60">
        <f>D20+[3]Incremental!Q20</f>
        <v>27.236000000000001</v>
      </c>
      <c r="F20" s="60">
        <f>E20+[3]Incremental!R20</f>
        <v>27.545999999999999</v>
      </c>
      <c r="G20" s="60">
        <f>ROUND(HLOOKUP($B20,[6]Summary!$C$5:$L$41,37,FALSE),3)*G$38</f>
        <v>27.695</v>
      </c>
      <c r="I20" s="63"/>
      <c r="J20" s="64"/>
    </row>
    <row r="21" spans="2:10" ht="15.75" x14ac:dyDescent="0.25">
      <c r="B21" s="30">
        <f t="shared" si="0"/>
        <v>2029</v>
      </c>
      <c r="C21" s="60">
        <f>ROUND(HLOOKUP($B21,[5]Summary!$C$5:$L$41,37,FALSE),3)</f>
        <v>31.905999999999999</v>
      </c>
      <c r="D21" s="60">
        <f>C21+[3]Incremental!P21</f>
        <v>31.742999999999999</v>
      </c>
      <c r="E21" s="60">
        <f>D21+[3]Incremental!Q21</f>
        <v>31.852</v>
      </c>
      <c r="F21" s="60">
        <f>E21+[3]Incremental!R21</f>
        <v>32.247</v>
      </c>
      <c r="G21" s="60">
        <f>ROUND(HLOOKUP($B21,[6]Summary!$C$5:$L$41,37,FALSE),3)*G$38</f>
        <v>32.133000000000003</v>
      </c>
      <c r="I21" s="63"/>
      <c r="J21" s="64"/>
    </row>
    <row r="22" spans="2:10" ht="15.75" x14ac:dyDescent="0.25">
      <c r="B22" s="30">
        <f t="shared" si="0"/>
        <v>2030</v>
      </c>
      <c r="C22" s="60">
        <f>ROUND(HLOOKUP($B22,[5]Summary!$C$5:$L$41,37,FALSE),3)</f>
        <v>35.597000000000001</v>
      </c>
      <c r="D22" s="60">
        <f>C22+[3]Incremental!P22</f>
        <v>34.749000000000002</v>
      </c>
      <c r="E22" s="60">
        <f>D22+[3]Incremental!Q22</f>
        <v>35.103999999999999</v>
      </c>
      <c r="F22" s="60">
        <f>E22+[3]Incremental!R22</f>
        <v>35.44</v>
      </c>
      <c r="G22" s="60">
        <f>ROUND(HLOOKUP($B22,[6]Summary!$C$5:$L$41,37,FALSE),3)*G$38</f>
        <v>35.158000000000001</v>
      </c>
      <c r="I22" s="63"/>
      <c r="J22" s="64"/>
    </row>
    <row r="23" spans="2:10" ht="15.75" x14ac:dyDescent="0.25">
      <c r="B23" s="30">
        <f t="shared" si="0"/>
        <v>2031</v>
      </c>
      <c r="C23" s="60">
        <f>ROUND(HLOOKUP($B23,[5]Summary!$C$5:$L$41,37,FALSE),3)</f>
        <v>37.701999999999998</v>
      </c>
      <c r="D23" s="60">
        <f>C23+[3]Incremental!P23</f>
        <v>35.911000000000001</v>
      </c>
      <c r="E23" s="60">
        <f>D23+[3]Incremental!Q23</f>
        <v>37.268000000000001</v>
      </c>
      <c r="F23" s="60">
        <f>E23+[3]Incremental!R23</f>
        <v>37.298000000000002</v>
      </c>
      <c r="G23" s="60">
        <f>ROUND(HLOOKUP($B23,[6]Summary!$C$5:$L$41,37,FALSE),3)*G$38</f>
        <v>36.911999999999999</v>
      </c>
      <c r="I23" s="63"/>
      <c r="J23" s="64"/>
    </row>
    <row r="24" spans="2:10" ht="15.75" x14ac:dyDescent="0.25">
      <c r="B24" s="30">
        <f t="shared" si="0"/>
        <v>2032</v>
      </c>
      <c r="C24" s="60">
        <f>ROUND(HLOOKUP($B24,[5]Summary!$C$5:$L$41,37,FALSE),3)</f>
        <v>39.414000000000001</v>
      </c>
      <c r="D24" s="60">
        <f>C24+[3]Incremental!P24</f>
        <v>38.002000000000002</v>
      </c>
      <c r="E24" s="60">
        <f>D24+[3]Incremental!Q24</f>
        <v>39.311</v>
      </c>
      <c r="F24" s="60">
        <f>E24+[3]Incremental!R24</f>
        <v>39.070999999999998</v>
      </c>
      <c r="G24" s="60">
        <f>ROUND(HLOOKUP($B24,[6]Summary!$C$5:$L$41,37,FALSE),3)*G$38</f>
        <v>38.807000000000002</v>
      </c>
      <c r="I24" s="63"/>
      <c r="J24" s="64"/>
    </row>
    <row r="25" spans="2:10" x14ac:dyDescent="0.2">
      <c r="C25" s="39"/>
      <c r="D25" s="39"/>
      <c r="E25" s="39"/>
      <c r="F25" s="39"/>
      <c r="G25" s="39"/>
      <c r="I25" s="63"/>
      <c r="J25" s="64"/>
    </row>
    <row r="26" spans="2:10" x14ac:dyDescent="0.2">
      <c r="B26" s="33" t="str">
        <f>"Nominal Levelized Payment at "&amp;TEXT($B$35,"0.00%")&amp;" Discount Rate (3) (4)"</f>
        <v>Nominal Levelized Payment at 6.57% Discount Rate (3) (4)</v>
      </c>
      <c r="C26" s="39"/>
      <c r="D26" s="39"/>
      <c r="E26" s="39"/>
      <c r="F26" s="39"/>
      <c r="G26" s="39"/>
      <c r="I26" s="63"/>
      <c r="J26" s="64"/>
    </row>
    <row r="27" spans="2:10" x14ac:dyDescent="0.2">
      <c r="B27" s="34" t="str">
        <f>B10&amp;" - "&amp;B24</f>
        <v>2018 - 2032</v>
      </c>
      <c r="C27" s="59">
        <f t="shared" ref="C27:G27" si="1">ROUND(PMT($B$35,COUNT(C10:C24),-NPV($B$35,C10:C24)),3)</f>
        <v>23.692</v>
      </c>
      <c r="D27" s="59">
        <f t="shared" si="1"/>
        <v>24.472999999999999</v>
      </c>
      <c r="E27" s="59">
        <f t="shared" si="1"/>
        <v>23.986999999999998</v>
      </c>
      <c r="F27" s="59">
        <f t="shared" si="1"/>
        <v>24.367999999999999</v>
      </c>
      <c r="G27" s="59">
        <f t="shared" si="1"/>
        <v>24.370999999999999</v>
      </c>
      <c r="I27" s="63"/>
      <c r="J27" s="64"/>
    </row>
    <row r="28" spans="2:10" x14ac:dyDescent="0.2">
      <c r="B28" s="34"/>
      <c r="C28" s="32"/>
      <c r="D28" s="32"/>
      <c r="E28" s="32"/>
      <c r="F28" s="32"/>
      <c r="G28" s="68"/>
    </row>
    <row r="29" spans="2:10" x14ac:dyDescent="0.2">
      <c r="B29" s="34" t="str">
        <f>Total!B29</f>
        <v>(1)   Studies are sequential.  The order of the studies would affect the price impact.</v>
      </c>
    </row>
    <row r="30" spans="2:10" x14ac:dyDescent="0.2">
      <c r="B30" s="34" t="str">
        <f>Total!B30</f>
        <v>(2)   Official Forward Price Curve Dated June 2017</v>
      </c>
    </row>
    <row r="31" spans="2:10" x14ac:dyDescent="0.2">
      <c r="B31" s="34" t="str">
        <f>Total!B31</f>
        <v>(3)   Discount Rate - 2017 IRP</v>
      </c>
    </row>
    <row r="32" spans="2:10" x14ac:dyDescent="0.2">
      <c r="B32" s="25" t="s">
        <v>16</v>
      </c>
    </row>
    <row r="34" spans="2:7" x14ac:dyDescent="0.2">
      <c r="B34" s="21" t="s">
        <v>13</v>
      </c>
    </row>
    <row r="35" spans="2:7" x14ac:dyDescent="0.2">
      <c r="B35" s="38">
        <f>Discount_Rate</f>
        <v>6.5699999999999995E-2</v>
      </c>
    </row>
    <row r="37" spans="2:7" ht="15.75" hidden="1" x14ac:dyDescent="0.25">
      <c r="G37" s="56"/>
    </row>
    <row r="38" spans="2:7" hidden="1" x14ac:dyDescent="0.2">
      <c r="B38" s="53">
        <f t="shared" ref="B38:F38" si="2">IF(OR(B7="not used",B8="not used"),0,1)</f>
        <v>1</v>
      </c>
      <c r="C38" s="53">
        <f t="shared" si="2"/>
        <v>1</v>
      </c>
      <c r="D38" s="53">
        <f>IF(OR(D7="not used",D8="not used"),0,1)</f>
        <v>1</v>
      </c>
      <c r="E38" s="53">
        <f t="shared" si="2"/>
        <v>1</v>
      </c>
      <c r="F38" s="53">
        <f t="shared" si="2"/>
        <v>1</v>
      </c>
      <c r="G38" s="53">
        <f t="shared" ref="G38" si="3">IF(OR(G7="not used",G8="not used"),0,1)</f>
        <v>1</v>
      </c>
    </row>
    <row r="39" spans="2:7" hidden="1" x14ac:dyDescent="0.2"/>
    <row r="40" spans="2:7" hidden="1" x14ac:dyDescent="0.2"/>
  </sheetData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K39"/>
  <sheetViews>
    <sheetView view="pageBreakPreview" zoomScale="6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G20" sqref="G20"/>
    </sheetView>
  </sheetViews>
  <sheetFormatPr defaultRowHeight="15" x14ac:dyDescent="0.2"/>
  <cols>
    <col min="1" max="1" width="1.85546875" style="25" customWidth="1"/>
    <col min="2" max="2" width="13.85546875" style="25" customWidth="1"/>
    <col min="3" max="4" width="19.140625" style="25" customWidth="1"/>
    <col min="5" max="5" width="1.140625" style="25" customWidth="1"/>
    <col min="6" max="7" width="19.140625" style="25" customWidth="1"/>
    <col min="8" max="8" width="1.5703125" style="25" customWidth="1"/>
    <col min="9" max="9" width="2.140625" customWidth="1"/>
    <col min="10" max="10" width="0.140625" customWidth="1"/>
    <col min="11" max="11" width="9.140625" style="25" hidden="1" customWidth="1"/>
    <col min="12" max="16384" width="9.140625" style="25"/>
  </cols>
  <sheetData>
    <row r="1" spans="2:11" ht="15.75" x14ac:dyDescent="0.25">
      <c r="B1" s="23" t="str">
        <f>[3]Total!B1</f>
        <v>Appendix C</v>
      </c>
      <c r="C1" s="23"/>
      <c r="D1" s="23"/>
      <c r="E1" s="24"/>
      <c r="F1" s="23"/>
      <c r="G1" s="23"/>
      <c r="H1" s="54"/>
      <c r="I1" s="55"/>
    </row>
    <row r="2" spans="2:11" ht="8.25" customHeight="1" x14ac:dyDescent="0.25">
      <c r="B2" s="23"/>
      <c r="C2" s="23"/>
      <c r="D2" s="23"/>
      <c r="E2" s="24"/>
      <c r="F2" s="23"/>
      <c r="G2" s="23"/>
      <c r="H2" s="54"/>
      <c r="I2" s="55"/>
    </row>
    <row r="3" spans="2:11" ht="15.75" x14ac:dyDescent="0.25">
      <c r="B3" s="23" t="str">
        <f>[3]Total!B3</f>
        <v>Utah Quarterly Compliance Filing</v>
      </c>
      <c r="C3" s="23"/>
      <c r="D3" s="23"/>
      <c r="E3" s="24"/>
      <c r="F3" s="23"/>
      <c r="G3" s="23"/>
      <c r="H3" s="54"/>
      <c r="I3" s="55"/>
    </row>
    <row r="4" spans="2:11" ht="15.75" x14ac:dyDescent="0.25">
      <c r="B4" s="23" t="str">
        <f>"Step Study between "&amp;K8&amp;" and "&amp;K7&amp;" Compliance Filing"</f>
        <v>Step Study between 2017.Q2 and 2017.Q1 Compliance Filing</v>
      </c>
      <c r="C4" s="23"/>
      <c r="D4" s="23"/>
      <c r="E4" s="24"/>
      <c r="F4" s="23"/>
      <c r="G4" s="23"/>
      <c r="H4" s="54"/>
      <c r="I4" s="55"/>
    </row>
    <row r="5" spans="2:11" ht="15.75" x14ac:dyDescent="0.25">
      <c r="B5" s="23" t="s">
        <v>9</v>
      </c>
      <c r="C5" s="23"/>
      <c r="D5" s="23"/>
      <c r="E5" s="24"/>
      <c r="F5" s="23"/>
      <c r="G5" s="23"/>
      <c r="H5" s="54"/>
      <c r="I5" s="55"/>
    </row>
    <row r="6" spans="2:11" ht="15.75" x14ac:dyDescent="0.25">
      <c r="B6" s="23"/>
      <c r="C6" s="23"/>
      <c r="D6" s="23"/>
      <c r="F6" s="23"/>
      <c r="G6" s="23"/>
      <c r="H6" s="54"/>
      <c r="I6" s="55"/>
    </row>
    <row r="7" spans="2:11" ht="15.75" x14ac:dyDescent="0.25">
      <c r="B7" s="26"/>
      <c r="C7" s="27" t="s">
        <v>2</v>
      </c>
      <c r="D7" s="27"/>
      <c r="F7" s="27" t="s">
        <v>8</v>
      </c>
      <c r="G7" s="42"/>
      <c r="H7" s="54"/>
      <c r="I7" s="55"/>
      <c r="K7" s="29" t="s">
        <v>18</v>
      </c>
    </row>
    <row r="8" spans="2:11" ht="30.75" customHeight="1" x14ac:dyDescent="0.25">
      <c r="B8" s="28" t="s">
        <v>0</v>
      </c>
      <c r="C8" s="50" t="str">
        <f>[3]Energy!C7&amp;" (3)"</f>
        <v>2017.Q1 (3)</v>
      </c>
      <c r="D8" s="50" t="str">
        <f>K8&amp;" (3)"</f>
        <v>2017.Q2 (3)</v>
      </c>
      <c r="F8" s="29" t="str">
        <f>C8</f>
        <v>2017.Q1 (3)</v>
      </c>
      <c r="G8" s="50" t="str">
        <f>D8</f>
        <v>2017.Q2 (3)</v>
      </c>
      <c r="K8" s="29" t="s">
        <v>20</v>
      </c>
    </row>
    <row r="9" spans="2:11" ht="4.5" customHeight="1" x14ac:dyDescent="0.2"/>
    <row r="10" spans="2:11" ht="15.75" x14ac:dyDescent="0.25">
      <c r="B10" s="30">
        <f>[3]Total!B10</f>
        <v>2018</v>
      </c>
      <c r="C10" s="31">
        <f>IF(VLOOKUP($B10,'[7]Table 1'!$B$12:$C$33,2,FALSE)&lt;&gt;0,VLOOKUP($B10,'[7]Table 1'!$B$12:$C$33,2,FALSE),0)</f>
        <v>0</v>
      </c>
      <c r="D10" s="31">
        <f>IF(VLOOKUP($B10,'[8]Table 1'!$B$13:$C$32,2,FALSE)&lt;&gt;0,VLOOKUP($B10,'[8]Table 1'!$B$13:$C$32,2,FALSE),0)</f>
        <v>0</v>
      </c>
      <c r="F10" s="31">
        <f t="shared" ref="F10:F24" si="0">C10*1000/(IF(MOD($B10,4)=0,8784,8760)*0.85)</f>
        <v>0</v>
      </c>
      <c r="G10" s="31">
        <f t="shared" ref="G10:G24" si="1">D10*1000/(IF(MOD($B10,4)=0,8784,8760)*0.85)</f>
        <v>0</v>
      </c>
    </row>
    <row r="11" spans="2:11" ht="15.75" x14ac:dyDescent="0.25">
      <c r="B11" s="30">
        <f t="shared" ref="B11:B24" si="2">B10+1</f>
        <v>2019</v>
      </c>
      <c r="C11" s="31">
        <f>IF(VLOOKUP($B11,'[7]Table 1'!$B$12:$C$33,2,FALSE)&lt;&gt;0,VLOOKUP($B11,'[7]Table 1'!$B$12:$C$33,2,FALSE),0)</f>
        <v>0</v>
      </c>
      <c r="D11" s="31">
        <f>IF(VLOOKUP($B11,'[8]Table 1'!$B$13:$C$32,2,FALSE)&lt;&gt;0,VLOOKUP($B11,'[8]Table 1'!$B$13:$C$32,2,FALSE),0)</f>
        <v>0</v>
      </c>
      <c r="F11" s="31">
        <f t="shared" si="0"/>
        <v>0</v>
      </c>
      <c r="G11" s="31">
        <f t="shared" si="1"/>
        <v>0</v>
      </c>
    </row>
    <row r="12" spans="2:11" ht="15.75" x14ac:dyDescent="0.25">
      <c r="B12" s="30">
        <f t="shared" si="2"/>
        <v>2020</v>
      </c>
      <c r="C12" s="31">
        <f>IF(VLOOKUP($B12,'[7]Table 1'!$B$12:$C$33,2,FALSE)&lt;&gt;0,VLOOKUP($B12,'[7]Table 1'!$B$12:$C$33,2,FALSE),0)</f>
        <v>0</v>
      </c>
      <c r="D12" s="31">
        <f>IF(VLOOKUP($B12,'[8]Table 1'!$B$13:$C$32,2,FALSE)&lt;&gt;0,VLOOKUP($B12,'[8]Table 1'!$B$13:$C$32,2,FALSE),0)</f>
        <v>0</v>
      </c>
      <c r="F12" s="31">
        <f t="shared" si="0"/>
        <v>0</v>
      </c>
      <c r="G12" s="31">
        <f t="shared" si="1"/>
        <v>0</v>
      </c>
    </row>
    <row r="13" spans="2:11" ht="15.75" x14ac:dyDescent="0.25">
      <c r="B13" s="30">
        <f t="shared" si="2"/>
        <v>2021</v>
      </c>
      <c r="C13" s="31">
        <f>IF(VLOOKUP($B13,'[7]Table 1'!$B$12:$C$33,2,FALSE)&lt;&gt;0,VLOOKUP($B13,'[7]Table 1'!$B$12:$C$33,2,FALSE),0)</f>
        <v>0</v>
      </c>
      <c r="D13" s="31">
        <f>IF(VLOOKUP($B13,'[8]Table 1'!$B$13:$C$32,2,FALSE)&lt;&gt;0,VLOOKUP($B13,'[8]Table 1'!$B$13:$C$32,2,FALSE),0)</f>
        <v>0</v>
      </c>
      <c r="F13" s="31">
        <f t="shared" si="0"/>
        <v>0</v>
      </c>
      <c r="G13" s="31">
        <f t="shared" si="1"/>
        <v>0</v>
      </c>
    </row>
    <row r="14" spans="2:11" ht="15.75" x14ac:dyDescent="0.25">
      <c r="B14" s="30">
        <f t="shared" si="2"/>
        <v>2022</v>
      </c>
      <c r="C14" s="31">
        <f>IF(VLOOKUP($B14,'[7]Table 1'!$B$12:$C$33,2,FALSE)&lt;&gt;0,VLOOKUP($B14,'[7]Table 1'!$B$12:$C$33,2,FALSE),0)</f>
        <v>0</v>
      </c>
      <c r="D14" s="31">
        <f>IF(VLOOKUP($B14,'[8]Table 1'!$B$13:$C$32,2,FALSE)&lt;&gt;0,VLOOKUP($B14,'[8]Table 1'!$B$13:$C$32,2,FALSE),0)</f>
        <v>0</v>
      </c>
      <c r="F14" s="31">
        <f t="shared" si="0"/>
        <v>0</v>
      </c>
      <c r="G14" s="31">
        <f t="shared" si="1"/>
        <v>0</v>
      </c>
    </row>
    <row r="15" spans="2:11" ht="15.75" x14ac:dyDescent="0.25">
      <c r="B15" s="30">
        <f t="shared" si="2"/>
        <v>2023</v>
      </c>
      <c r="C15" s="31">
        <f>IF(VLOOKUP($B15,'[7]Table 1'!$B$12:$C$33,2,FALSE)&lt;&gt;0,VLOOKUP($B15,'[7]Table 1'!$B$12:$C$33,2,FALSE),0)</f>
        <v>0</v>
      </c>
      <c r="D15" s="31">
        <f>IF(VLOOKUP($B15,'[8]Table 1'!$B$13:$C$32,2,FALSE)&lt;&gt;0,VLOOKUP($B15,'[8]Table 1'!$B$13:$C$32,2,FALSE),0)</f>
        <v>0</v>
      </c>
      <c r="F15" s="31">
        <f t="shared" si="0"/>
        <v>0</v>
      </c>
      <c r="G15" s="31">
        <f t="shared" si="1"/>
        <v>0</v>
      </c>
    </row>
    <row r="16" spans="2:11" ht="15.75" x14ac:dyDescent="0.25">
      <c r="B16" s="30">
        <f t="shared" si="2"/>
        <v>2024</v>
      </c>
      <c r="C16" s="31">
        <f>IF(VLOOKUP($B16,'[7]Table 1'!$B$12:$C$33,2,FALSE)&lt;&gt;0,VLOOKUP($B16,'[7]Table 1'!$B$12:$C$33,2,FALSE),0)</f>
        <v>0</v>
      </c>
      <c r="D16" s="31">
        <f>IF(VLOOKUP($B16,'[8]Table 1'!$B$13:$C$32,2,FALSE)&lt;&gt;0,VLOOKUP($B16,'[8]Table 1'!$B$13:$C$32,2,FALSE),0)</f>
        <v>0</v>
      </c>
      <c r="F16" s="31">
        <f t="shared" si="0"/>
        <v>0</v>
      </c>
      <c r="G16" s="31">
        <f t="shared" si="1"/>
        <v>0</v>
      </c>
    </row>
    <row r="17" spans="2:10" ht="15.75" x14ac:dyDescent="0.25">
      <c r="B17" s="30">
        <f t="shared" si="2"/>
        <v>2025</v>
      </c>
      <c r="C17" s="31">
        <f>IF(VLOOKUP($B17,'[7]Table 1'!$B$12:$C$33,2,FALSE)&lt;&gt;0,VLOOKUP($B17,'[7]Table 1'!$B$12:$C$33,2,FALSE),0)</f>
        <v>0</v>
      </c>
      <c r="D17" s="31">
        <f>IF(VLOOKUP($B17,'[8]Table 1'!$B$13:$C$32,2,FALSE)&lt;&gt;0,VLOOKUP($B17,'[8]Table 1'!$B$13:$C$32,2,FALSE),0)</f>
        <v>0</v>
      </c>
      <c r="F17" s="31">
        <f t="shared" si="0"/>
        <v>0</v>
      </c>
      <c r="G17" s="31">
        <f t="shared" si="1"/>
        <v>0</v>
      </c>
    </row>
    <row r="18" spans="2:10" ht="15.75" x14ac:dyDescent="0.25">
      <c r="B18" s="30">
        <f t="shared" si="2"/>
        <v>2026</v>
      </c>
      <c r="C18" s="31">
        <f>IF(VLOOKUP($B18,'[7]Table 1'!$B$12:$C$33,2,FALSE)&lt;&gt;0,VLOOKUP($B18,'[7]Table 1'!$B$12:$C$33,2,FALSE),0)</f>
        <v>0</v>
      </c>
      <c r="D18" s="31">
        <f>IF(VLOOKUP($B18,'[8]Table 1'!$B$13:$C$32,2,FALSE)&lt;&gt;0,VLOOKUP($B18,'[8]Table 1'!$B$13:$C$32,2,FALSE),0)</f>
        <v>0</v>
      </c>
      <c r="F18" s="31">
        <f t="shared" si="0"/>
        <v>0</v>
      </c>
      <c r="G18" s="31">
        <f t="shared" si="1"/>
        <v>0</v>
      </c>
    </row>
    <row r="19" spans="2:10" ht="15.75" x14ac:dyDescent="0.25">
      <c r="B19" s="30">
        <f t="shared" si="2"/>
        <v>2027</v>
      </c>
      <c r="C19" s="31">
        <f>IF(VLOOKUP($B19,'[7]Table 1'!$B$12:$C$33,2,FALSE)&lt;&gt;0,VLOOKUP($B19,'[7]Table 1'!$B$12:$C$33,2,FALSE),0)</f>
        <v>0</v>
      </c>
      <c r="D19" s="31">
        <f>IF(VLOOKUP($B19,'[8]Table 1'!$B$13:$C$32,2,FALSE)&lt;&gt;0,VLOOKUP($B19,'[8]Table 1'!$B$13:$C$32,2,FALSE),0)</f>
        <v>0</v>
      </c>
      <c r="F19" s="31">
        <f t="shared" si="0"/>
        <v>0</v>
      </c>
      <c r="G19" s="31">
        <f t="shared" si="1"/>
        <v>0</v>
      </c>
    </row>
    <row r="20" spans="2:10" ht="15.75" x14ac:dyDescent="0.25">
      <c r="B20" s="30">
        <f t="shared" si="2"/>
        <v>2028</v>
      </c>
      <c r="C20" s="31">
        <f>IF(VLOOKUP($B20,'[7]Table 1'!$B$12:$C$33,2,FALSE)&lt;&gt;0,VLOOKUP($B20,'[7]Table 1'!$B$12:$C$33,2,FALSE),0)</f>
        <v>0</v>
      </c>
      <c r="D20" s="31">
        <f>IF(VLOOKUP($B20,'[8]Table 1'!$B$13:$C$32,2,FALSE)&lt;&gt;0,VLOOKUP($B20,'[8]Table 1'!$B$13:$C$32,2,FALSE),0)</f>
        <v>0</v>
      </c>
      <c r="F20" s="31">
        <f t="shared" si="0"/>
        <v>0</v>
      </c>
      <c r="G20" s="31">
        <f t="shared" si="1"/>
        <v>0</v>
      </c>
    </row>
    <row r="21" spans="2:10" ht="15.75" x14ac:dyDescent="0.25">
      <c r="B21" s="30">
        <f t="shared" si="2"/>
        <v>2029</v>
      </c>
      <c r="C21" s="31">
        <f>IF(VLOOKUP($B21,'[7]Table 1'!$B$12:$C$33,2,FALSE)&lt;&gt;0,VLOOKUP($B21,'[7]Table 1'!$B$12:$C$33,2,FALSE),0)</f>
        <v>0</v>
      </c>
      <c r="D21" s="31">
        <f>IF(VLOOKUP($B21,'[8]Table 1'!$B$13:$C$32,2,FALSE)&lt;&gt;0,VLOOKUP($B21,'[8]Table 1'!$B$13:$C$32,2,FALSE),0)</f>
        <v>0</v>
      </c>
      <c r="F21" s="31">
        <f t="shared" si="0"/>
        <v>0</v>
      </c>
      <c r="G21" s="31">
        <f t="shared" si="1"/>
        <v>0</v>
      </c>
    </row>
    <row r="22" spans="2:10" ht="15.75" x14ac:dyDescent="0.25">
      <c r="B22" s="30">
        <f t="shared" si="2"/>
        <v>2030</v>
      </c>
      <c r="C22" s="31">
        <f>IF(VLOOKUP($B22,'[7]Table 1'!$B$12:$C$33,2,FALSE)&lt;&gt;0,VLOOKUP($B22,'[7]Table 1'!$B$12:$C$33,2,FALSE),0)</f>
        <v>0</v>
      </c>
      <c r="D22" s="31">
        <f>IF(VLOOKUP($B22,'[8]Table 1'!$B$13:$C$32,2,FALSE)&lt;&gt;0,VLOOKUP($B22,'[8]Table 1'!$B$13:$C$32,2,FALSE),0)</f>
        <v>0</v>
      </c>
      <c r="F22" s="31">
        <f t="shared" si="0"/>
        <v>0</v>
      </c>
      <c r="G22" s="31">
        <f t="shared" si="1"/>
        <v>0</v>
      </c>
    </row>
    <row r="23" spans="2:10" ht="15.75" x14ac:dyDescent="0.25">
      <c r="B23" s="30">
        <f t="shared" si="2"/>
        <v>2031</v>
      </c>
      <c r="C23" s="31">
        <f>IF(VLOOKUP($B23,'[7]Table 1'!$B$12:$C$33,2,FALSE)&lt;&gt;0,VLOOKUP($B23,'[7]Table 1'!$B$12:$C$33,2,FALSE),0)</f>
        <v>0</v>
      </c>
      <c r="D23" s="31">
        <f>IF(VLOOKUP($B23,'[8]Table 1'!$B$13:$C$32,2,FALSE)&lt;&gt;0,VLOOKUP($B23,'[8]Table 1'!$B$13:$C$32,2,FALSE),0)</f>
        <v>0</v>
      </c>
      <c r="F23" s="31">
        <f t="shared" si="0"/>
        <v>0</v>
      </c>
      <c r="G23" s="31">
        <f t="shared" si="1"/>
        <v>0</v>
      </c>
    </row>
    <row r="24" spans="2:10" ht="15.75" x14ac:dyDescent="0.25">
      <c r="B24" s="30">
        <f t="shared" si="2"/>
        <v>2032</v>
      </c>
      <c r="C24" s="31">
        <f>IF(VLOOKUP($B24,'[7]Table 1'!$B$12:$C$33,2,FALSE)&lt;&gt;0,VLOOKUP($B24,'[7]Table 1'!$B$12:$C$33,2,FALSE),0)</f>
        <v>0</v>
      </c>
      <c r="D24" s="31">
        <f>IF(VLOOKUP($B24,'[8]Table 1'!$B$13:$C$32,2,FALSE)&lt;&gt;0,VLOOKUP($B24,'[8]Table 1'!$B$13:$C$32,2,FALSE),0)</f>
        <v>0</v>
      </c>
      <c r="F24" s="31">
        <f t="shared" si="0"/>
        <v>0</v>
      </c>
      <c r="G24" s="31">
        <f t="shared" si="1"/>
        <v>0</v>
      </c>
    </row>
    <row r="25" spans="2:10" ht="15.75" x14ac:dyDescent="0.25">
      <c r="B25" s="30"/>
      <c r="C25" s="32"/>
      <c r="D25" s="32"/>
      <c r="F25" s="32"/>
    </row>
    <row r="26" spans="2:10" x14ac:dyDescent="0.2">
      <c r="B26" s="33" t="str">
        <f>"Nominal Levelized Payment at "&amp;TEXT($B$39,"0.000%")&amp;" Discount Rate (2)"</f>
        <v>Nominal Levelized Payment at 6.570% Discount Rate (2)</v>
      </c>
    </row>
    <row r="27" spans="2:10" x14ac:dyDescent="0.2">
      <c r="B27" s="34" t="str">
        <f>$B$10&amp;" - "&amp;B24</f>
        <v>2018 - 2032</v>
      </c>
      <c r="C27" s="35">
        <f>PMT($B$39,COUNT(C10:C24),-NPV($B$39,C10:C24))</f>
        <v>0</v>
      </c>
      <c r="D27" s="35">
        <f>PMT($B$39,COUNT(D10:D24),-NPV($B$39,D10:D24))</f>
        <v>0</v>
      </c>
      <c r="F27" s="35">
        <f>PMT($B$39,COUNT(F10:F24),-NPV($B$39,F10:F24))</f>
        <v>0</v>
      </c>
      <c r="G27" s="35">
        <f>PMT($B$39,COUNT(G10:G24),-NPV($B$39,G10:G24))</f>
        <v>0</v>
      </c>
    </row>
    <row r="29" spans="2:10" x14ac:dyDescent="0.2">
      <c r="B29" s="25" t="s">
        <v>3</v>
      </c>
    </row>
    <row r="30" spans="2:10" s="1" customFormat="1" x14ac:dyDescent="0.2">
      <c r="B30" s="25" t="str">
        <f>"(2)   "&amp;[3]Total!B35</f>
        <v>(2)   Discount Rate - 2017 IRP</v>
      </c>
      <c r="C30" s="25"/>
      <c r="D30" s="25"/>
      <c r="E30" s="25"/>
      <c r="F30" s="25"/>
      <c r="I30"/>
      <c r="J30"/>
    </row>
    <row r="31" spans="2:10" x14ac:dyDescent="0.2">
      <c r="B31" s="25" t="s">
        <v>26</v>
      </c>
    </row>
    <row r="32" spans="2:10" x14ac:dyDescent="0.2">
      <c r="B32" s="25" t="s">
        <v>27</v>
      </c>
    </row>
    <row r="38" spans="2:2" x14ac:dyDescent="0.2">
      <c r="B38" s="54" t="str">
        <f>[3]Total!B35</f>
        <v>Discount Rate - 2017 IRP</v>
      </c>
    </row>
    <row r="39" spans="2:2" x14ac:dyDescent="0.2">
      <c r="B39" s="36">
        <f>Discount_Rate</f>
        <v>6.5699999999999995E-2</v>
      </c>
    </row>
  </sheetData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laurieharris</cp:lastModifiedBy>
  <cp:lastPrinted>2017-10-02T20:07:56Z</cp:lastPrinted>
  <dcterms:created xsi:type="dcterms:W3CDTF">2006-07-10T20:43:15Z</dcterms:created>
  <dcterms:modified xsi:type="dcterms:W3CDTF">2017-10-02T21:44:37Z</dcterms:modified>
</cp:coreProperties>
</file>