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-45" windowWidth="12000" windowHeight="5280" tabRatio="917"/>
  </bookViews>
  <sheets>
    <sheet name="Appendix B.2" sheetId="47" r:id="rId1"/>
    <sheet name="Table 1" sheetId="25" r:id="rId2"/>
    <sheet name="Table 2" sheetId="48" r:id="rId3"/>
    <sheet name="Table 4" sheetId="28" r:id="rId4"/>
    <sheet name="Table 5" sheetId="31" r:id="rId5"/>
    <sheet name="Table 3 WY Wind 2021" sheetId="43" state="hidden" r:id="rId6"/>
    <sheet name="Table 3 DJ Wind 2031" sheetId="42" state="hidden" r:id="rId7"/>
    <sheet name="Table 3 UT Solar 2031" sheetId="40" r:id="rId8"/>
    <sheet name="Table 3 Yakima Solar 2028" sheetId="41" state="hidden" r:id="rId9"/>
    <sheet name="Table 3 30 MW Geoth 2029" sheetId="46" state="hidden" r:id="rId10"/>
    <sheet name="Table 3 200 MW (UT N) 2029)" sheetId="29" state="hidden" r:id="rId11"/>
    <sheet name="Table 3 436MW (West M) 2030" sheetId="36" state="hidden" r:id="rId12"/>
    <sheet name="Table 3 477 MW (Wyo) 2033" sheetId="37" state="hidden" r:id="rId13"/>
    <sheet name="Table 3 200 MW (Wyo) 2033" sheetId="39" state="hidden" r:id="rId14"/>
    <sheet name="Table 3 ID Wind 2036" sheetId="44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'Table 1'!$I$17</definedName>
    <definedName name="_30_Geo_West" localSheetId="2">'[1]Table 1'!$I$17</definedName>
    <definedName name="_30_Geo_West">'Table 1'!$I$17</definedName>
    <definedName name="_436_CCCT_WestMain" localSheetId="0">'Table 1'!$I$18</definedName>
    <definedName name="_436_CCCT_WestMain" localSheetId="2">'[1]Table 1'!$I$18</definedName>
    <definedName name="_436_CCCT_WestMain">'Table 1'!$I$18</definedName>
    <definedName name="_477_CCCT_WestMain" localSheetId="0">'Table 1'!$I$18</definedName>
    <definedName name="_477_CCCT_WestMain" localSheetId="2">'[2]Table 1'!$I$18</definedName>
    <definedName name="_477_CCCT_WestMain">'[3]Table 1'!$I$18</definedName>
    <definedName name="_477_CCCT_WYNE">'Table 1'!$I$20</definedName>
    <definedName name="_635_CCCT_UtahS" localSheetId="0">'Table 1'!$I$19</definedName>
    <definedName name="_635_CCCT_UtahS" localSheetId="2">'[2]Table 1'!$I$19</definedName>
    <definedName name="_635_CCCT_UtahS">'[3]Table 1'!$I$19</definedName>
    <definedName name="_635_CCCT_WyoNE" localSheetId="0">'Table 1'!$I$17</definedName>
    <definedName name="_635_CCCT_WyoNE" localSheetId="2">'[2]Table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'[1]Table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 localSheetId="2">'[2]Table 1'!$I$35</definedName>
    <definedName name="Discount_Rate">'Table 1'!$I$42</definedName>
    <definedName name="Discount_Rate_2015_IRP" localSheetId="9">'[5]Table 7 to 8'!$AE$43</definedName>
    <definedName name="Discount_Rate_2015_IRP" localSheetId="6">'[5]Table 7 to 8'!$AE$43</definedName>
    <definedName name="Discount_Rate_2015_IRP" localSheetId="14">'[5]Table 7 to 8'!$AE$43</definedName>
    <definedName name="Discount_Rate_2015_IRP" localSheetId="7">'[5]Table 7 to 8'!$AE$43</definedName>
    <definedName name="Discount_Rate_2015_IRP" localSheetId="5">'[5]Table 7 to 8'!$AE$43</definedName>
    <definedName name="Discount_Rate_2015_IRP" localSheetId="8">'[5]Table 7 to 8'!$AE$43</definedName>
    <definedName name="Discount_Rate_2015_IRP">'[6]Table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9">'[7]OFPC Source'!$J$8:$M$295</definedName>
    <definedName name="Market" localSheetId="6">'[7]OFPC Source'!$J$8:$M$295</definedName>
    <definedName name="Market" localSheetId="14">'[7]OFPC Source'!$J$8:$M$295</definedName>
    <definedName name="Market" localSheetId="7">'[7]OFPC Source'!$J$8:$M$295</definedName>
    <definedName name="Market" localSheetId="5">'[7]OFPC Source'!$J$8:$M$295</definedName>
    <definedName name="Market" localSheetId="8">'[7]OFPC Source'!$J$8:$M$295</definedName>
    <definedName name="Market">'[6]OFPC Source'!$J$8:$M$295</definedName>
    <definedName name="MidC_Flat">[8]Market_Price!#REF!</definedName>
    <definedName name="OR_AC_price" localSheetId="2">#REF!</definedName>
    <definedName name="OR_AC_price">#REF!</definedName>
    <definedName name="_xlnm.Print_Area" localSheetId="0">'Appendix B.2'!$A$1:$F$37</definedName>
    <definedName name="_xlnm.Print_Area" localSheetId="1">'Table 1'!$A$1:$H$64</definedName>
    <definedName name="_xlnm.Print_Area" localSheetId="2">'Table 2'!$B$1:$P$34</definedName>
    <definedName name="_xlnm.Print_Area" localSheetId="10">'Table 3 200 MW (UT N) 2029)'!$A$1:$K$89</definedName>
    <definedName name="_xlnm.Print_Area" localSheetId="13">'Table 3 200 MW (Wyo) 2033'!$A$1:$K$89</definedName>
    <definedName name="_xlnm.Print_Area" localSheetId="9">'Table 3 30 MW Geoth 2029'!$A$1:$J$73</definedName>
    <definedName name="_xlnm.Print_Area" localSheetId="11">'Table 3 436MW (West M) 2030'!$A$1:$K$89</definedName>
    <definedName name="_xlnm.Print_Area" localSheetId="12">'Table 3 477 MW (Wyo) 2033'!$A$1:$K$89</definedName>
    <definedName name="_xlnm.Print_Area" localSheetId="6">'Table 3 DJ Wind 2031'!$A$1:$K$73</definedName>
    <definedName name="_xlnm.Print_Area" localSheetId="14">'Table 3 ID Wind 2036'!$A$1:$K$73</definedName>
    <definedName name="_xlnm.Print_Area" localSheetId="7">'Table 3 UT Solar 2031'!$A$1:$K$73</definedName>
    <definedName name="_xlnm.Print_Area" localSheetId="5">'Table 3 WY Wind 2021'!$A$1:$K$73</definedName>
    <definedName name="_xlnm.Print_Area" localSheetId="8">'Table 3 Yakima Solar 2028'!$A$1:$K$73</definedName>
    <definedName name="_xlnm.Print_Area" localSheetId="3">'Table 4'!$A$1:$E$42</definedName>
    <definedName name="_xlnm.Print_Area" localSheetId="4">'Table 5'!$A$1:$H$266</definedName>
    <definedName name="_xlnm.Print_Titles" localSheetId="2">'Table 2'!$1:$9</definedName>
    <definedName name="_xlnm.Print_Titles" localSheetId="10">'Table 3 200 MW (UT N) 2029)'!$1:$6</definedName>
    <definedName name="_xlnm.Print_Titles" localSheetId="13">'Table 3 200 MW (Wyo) 2033'!$1:$6</definedName>
    <definedName name="_xlnm.Print_Titles" localSheetId="11">'Table 3 436MW (West M) 2030'!$1:$6</definedName>
    <definedName name="_xlnm.Print_Titles" localSheetId="12">'Table 3 477 MW (Wyo) 2033'!$1:$6</definedName>
    <definedName name="RenewableMarketShape" localSheetId="9">'[7]OFPC Source'!$P$5:$U$28</definedName>
    <definedName name="RenewableMarketShape" localSheetId="6">'[7]OFPC Source'!$P$5:$U$28</definedName>
    <definedName name="RenewableMarketShape" localSheetId="14">'[7]OFPC Source'!$P$5:$U$28</definedName>
    <definedName name="RenewableMarketShape" localSheetId="7">'[7]OFPC Source'!$P$5:$U$28</definedName>
    <definedName name="RenewableMarketShape" localSheetId="5">'[7]OFPC Source'!$P$5:$U$28</definedName>
    <definedName name="RenewableMarketShape" localSheetId="8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9">'[7]OFPC Source'!$U$47</definedName>
    <definedName name="Solar_HLH" localSheetId="6">'[7]OFPC Source'!$U$47</definedName>
    <definedName name="Solar_HLH" localSheetId="14">'[7]OFPC Source'!$U$47</definedName>
    <definedName name="Solar_HLH" localSheetId="7">'[7]OFPC Source'!$U$47</definedName>
    <definedName name="Solar_HLH" localSheetId="5">'[7]OFPC Source'!$U$47</definedName>
    <definedName name="Solar_HLH" localSheetId="8">'[7]OFPC Source'!$U$47</definedName>
    <definedName name="Solar_HLH">'[6]OFPC Source'!$U$48</definedName>
    <definedName name="Solar_LLH" localSheetId="9">'[7]OFPC Source'!$V$47</definedName>
    <definedName name="Solar_LLH" localSheetId="6">'[7]OFPC Source'!$V$47</definedName>
    <definedName name="Solar_LLH" localSheetId="14">'[7]OFPC Source'!$V$47</definedName>
    <definedName name="Solar_LLH" localSheetId="7">'[7]OFPC Source'!$V$47</definedName>
    <definedName name="Solar_LLH" localSheetId="5">'[7]OFPC Source'!$V$47</definedName>
    <definedName name="Solar_LLH" localSheetId="8">'[7]OFPC Source'!$V$47</definedName>
    <definedName name="Solar_LLH">'[6]OFPC Source'!$V$48</definedName>
    <definedName name="Solar_Tracking_integr_cost">'[9]Table 10'!$B$45</definedName>
    <definedName name="Study_Cap_Adj" localSheetId="0">'Table 1'!$I$8</definedName>
    <definedName name="Study_Cap_Adj" localSheetId="2">'[2]Table 1'!$I$8</definedName>
    <definedName name="Study_Cap_Adj">'Table 1'!$I$8</definedName>
    <definedName name="Study_CF" localSheetId="2">'[1]Table 5'!$M$7</definedName>
    <definedName name="Study_CF">'Table 5'!$M$7</definedName>
    <definedName name="Study_MW" localSheetId="2">'[1]Table 5'!$M$6</definedName>
    <definedName name="Study_MW">'Table 5'!$M$6</definedName>
    <definedName name="Study_Name" localSheetId="9">[4]ImportData!$D$7</definedName>
    <definedName name="Study_Name" localSheetId="6">[4]ImportData!$D$7</definedName>
    <definedName name="Study_Name" localSheetId="14">[4]ImportData!$D$7</definedName>
    <definedName name="Study_Name" localSheetId="7">[4]ImportData!$D$7</definedName>
    <definedName name="Study_Name" localSheetId="5">[4]ImportData!$D$7</definedName>
    <definedName name="Study_Name" localSheetId="8">[4]ImportData!$D$7</definedName>
    <definedName name="ValuationDate" localSheetId="2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 calcOnSave="0"/>
</workbook>
</file>

<file path=xl/calcChain.xml><?xml version="1.0" encoding="utf-8"?>
<calcChain xmlns="http://schemas.openxmlformats.org/spreadsheetml/2006/main">
  <c r="C6" i="47" l="1"/>
  <c r="F25" i="47" l="1"/>
  <c r="F24" i="47"/>
  <c r="B5" i="48" l="1"/>
  <c r="B45" i="25" l="1"/>
  <c r="B56" i="25" l="1"/>
  <c r="B41" i="25"/>
  <c r="B33" i="47" l="1"/>
  <c r="B31" i="47"/>
  <c r="B24" i="47"/>
  <c r="C10" i="25" l="1"/>
  <c r="H10" i="44" l="1"/>
  <c r="H10" i="42"/>
  <c r="B3" i="46"/>
  <c r="C52" i="46" s="1"/>
  <c r="B9" i="46" s="1"/>
  <c r="D46" i="46"/>
  <c r="H10" i="46"/>
  <c r="G10" i="46"/>
  <c r="E10" i="46"/>
  <c r="C10" i="46"/>
  <c r="C67" i="46"/>
  <c r="C49" i="46"/>
  <c r="D48" i="46"/>
  <c r="C48" i="46"/>
  <c r="C47" i="46"/>
  <c r="C46" i="46"/>
  <c r="C45" i="46"/>
  <c r="B11" i="46"/>
  <c r="B12" i="46" s="1"/>
  <c r="B13" i="46" s="1"/>
  <c r="B14" i="46" s="1"/>
  <c r="K10" i="44"/>
  <c r="C68" i="46" l="1"/>
  <c r="D10" i="46"/>
  <c r="D11" i="46" s="1"/>
  <c r="E11" i="46"/>
  <c r="C69" i="46"/>
  <c r="G11" i="46"/>
  <c r="D47" i="46"/>
  <c r="H11" i="46"/>
  <c r="B15" i="46"/>
  <c r="C67" i="44"/>
  <c r="H11" i="44"/>
  <c r="D47" i="44"/>
  <c r="D46" i="44"/>
  <c r="C10" i="44"/>
  <c r="C49" i="44"/>
  <c r="D48" i="44"/>
  <c r="C48" i="44"/>
  <c r="C47" i="44"/>
  <c r="C46" i="44"/>
  <c r="C45" i="44"/>
  <c r="B11" i="44"/>
  <c r="B12" i="44" s="1"/>
  <c r="B13" i="44" s="1"/>
  <c r="B14" i="44" s="1"/>
  <c r="P10" i="44"/>
  <c r="G10" i="44"/>
  <c r="E10" i="44"/>
  <c r="D46" i="43"/>
  <c r="E10" i="43"/>
  <c r="C67" i="43"/>
  <c r="G10" i="43"/>
  <c r="K10" i="43"/>
  <c r="C10" i="43"/>
  <c r="C49" i="43"/>
  <c r="D48" i="43"/>
  <c r="C48" i="43"/>
  <c r="C47" i="43"/>
  <c r="C46" i="43"/>
  <c r="C45" i="43"/>
  <c r="B11" i="43"/>
  <c r="C68" i="43" l="1"/>
  <c r="C68" i="44"/>
  <c r="C70" i="46"/>
  <c r="F10" i="46"/>
  <c r="I10" i="46" s="1"/>
  <c r="J10" i="46" s="1"/>
  <c r="G12" i="46"/>
  <c r="G13" i="46" s="1"/>
  <c r="E11" i="44"/>
  <c r="H12" i="46"/>
  <c r="H13" i="46" s="1"/>
  <c r="K11" i="44"/>
  <c r="E12" i="46"/>
  <c r="E13" i="46" s="1"/>
  <c r="K11" i="43"/>
  <c r="B3" i="44"/>
  <c r="C52" i="44" s="1"/>
  <c r="B9" i="44" s="1"/>
  <c r="G11" i="43"/>
  <c r="D10" i="44"/>
  <c r="F10" i="44" s="1"/>
  <c r="C71" i="46"/>
  <c r="D10" i="43"/>
  <c r="D11" i="43" s="1"/>
  <c r="E11" i="43"/>
  <c r="G11" i="44"/>
  <c r="D12" i="46"/>
  <c r="F11" i="46"/>
  <c r="B16" i="46"/>
  <c r="B15" i="44"/>
  <c r="P11" i="44"/>
  <c r="D47" i="43"/>
  <c r="B3" i="43"/>
  <c r="C52" i="43" s="1"/>
  <c r="B9" i="43" s="1"/>
  <c r="B12" i="43"/>
  <c r="C69" i="43"/>
  <c r="H14" i="46" l="1"/>
  <c r="H15" i="46" s="1"/>
  <c r="C69" i="44"/>
  <c r="E14" i="46"/>
  <c r="E15" i="46" s="1"/>
  <c r="G14" i="46"/>
  <c r="K12" i="43"/>
  <c r="K13" i="43" s="1"/>
  <c r="D12" i="43"/>
  <c r="D13" i="43" s="1"/>
  <c r="K12" i="44"/>
  <c r="K13" i="44" s="1"/>
  <c r="E12" i="43"/>
  <c r="E13" i="43" s="1"/>
  <c r="D11" i="44"/>
  <c r="F11" i="44" s="1"/>
  <c r="I11" i="44" s="1"/>
  <c r="J11" i="44" s="1"/>
  <c r="F10" i="43"/>
  <c r="I10" i="43" s="1"/>
  <c r="J10" i="43" s="1"/>
  <c r="F11" i="43"/>
  <c r="I11" i="43" s="1"/>
  <c r="J11" i="43" s="1"/>
  <c r="G12" i="43"/>
  <c r="G13" i="43" s="1"/>
  <c r="C72" i="46"/>
  <c r="G12" i="44"/>
  <c r="G13" i="44" s="1"/>
  <c r="E12" i="44"/>
  <c r="E13" i="44" s="1"/>
  <c r="G15" i="46"/>
  <c r="H12" i="44"/>
  <c r="H13" i="44" s="1"/>
  <c r="I11" i="46"/>
  <c r="J11" i="46" s="1"/>
  <c r="B17" i="46"/>
  <c r="F12" i="46"/>
  <c r="D13" i="46"/>
  <c r="P12" i="44"/>
  <c r="B16" i="44"/>
  <c r="I10" i="44"/>
  <c r="J10" i="44" s="1"/>
  <c r="C70" i="43"/>
  <c r="B13" i="43"/>
  <c r="C70" i="44" l="1"/>
  <c r="K14" i="44"/>
  <c r="D12" i="44"/>
  <c r="D13" i="44" s="1"/>
  <c r="F12" i="43"/>
  <c r="I12" i="43" s="1"/>
  <c r="J12" i="43" s="1"/>
  <c r="E14" i="43"/>
  <c r="G16" i="46"/>
  <c r="C73" i="46"/>
  <c r="E16" i="46"/>
  <c r="H16" i="46"/>
  <c r="D14" i="46"/>
  <c r="F13" i="46"/>
  <c r="I12" i="46"/>
  <c r="J12" i="46" s="1"/>
  <c r="B18" i="46"/>
  <c r="B17" i="44"/>
  <c r="P13" i="44"/>
  <c r="C71" i="43"/>
  <c r="G14" i="43"/>
  <c r="K14" i="43"/>
  <c r="B14" i="43"/>
  <c r="F13" i="43"/>
  <c r="D14" i="43"/>
  <c r="G14" i="44" l="1"/>
  <c r="E14" i="44"/>
  <c r="H14" i="44"/>
  <c r="C71" i="44"/>
  <c r="F12" i="44"/>
  <c r="I12" i="44" s="1"/>
  <c r="J12" i="44" s="1"/>
  <c r="E15" i="43"/>
  <c r="H17" i="46"/>
  <c r="E17" i="46"/>
  <c r="G17" i="46"/>
  <c r="C74" i="46"/>
  <c r="B19" i="46"/>
  <c r="I13" i="46"/>
  <c r="J13" i="46" s="1"/>
  <c r="D15" i="46"/>
  <c r="F14" i="46"/>
  <c r="I14" i="46" s="1"/>
  <c r="J14" i="46" s="1"/>
  <c r="D14" i="44"/>
  <c r="F13" i="44"/>
  <c r="P14" i="44"/>
  <c r="B18" i="44"/>
  <c r="B15" i="43"/>
  <c r="D15" i="43"/>
  <c r="F14" i="43"/>
  <c r="I14" i="43" s="1"/>
  <c r="J14" i="43" s="1"/>
  <c r="K15" i="43"/>
  <c r="C72" i="43"/>
  <c r="I13" i="43"/>
  <c r="J13" i="43" s="1"/>
  <c r="G15" i="43"/>
  <c r="H15" i="44" l="1"/>
  <c r="E15" i="44"/>
  <c r="K15" i="44"/>
  <c r="C72" i="44"/>
  <c r="G15" i="44"/>
  <c r="E16" i="43"/>
  <c r="E18" i="46"/>
  <c r="F66" i="46"/>
  <c r="G18" i="46"/>
  <c r="H18" i="46"/>
  <c r="D16" i="46"/>
  <c r="F15" i="46"/>
  <c r="B20" i="46"/>
  <c r="B19" i="44"/>
  <c r="I13" i="44"/>
  <c r="J13" i="44" s="1"/>
  <c r="P15" i="44"/>
  <c r="D15" i="44"/>
  <c r="F14" i="44"/>
  <c r="I14" i="44" s="1"/>
  <c r="J14" i="44" s="1"/>
  <c r="F15" i="43"/>
  <c r="D16" i="43"/>
  <c r="C73" i="43"/>
  <c r="G16" i="43"/>
  <c r="K16" i="43"/>
  <c r="B16" i="43"/>
  <c r="H16" i="44" l="1"/>
  <c r="K16" i="44"/>
  <c r="G16" i="44"/>
  <c r="E16" i="44"/>
  <c r="H17" i="44"/>
  <c r="C73" i="44"/>
  <c r="E17" i="43"/>
  <c r="K17" i="43"/>
  <c r="E19" i="46"/>
  <c r="G17" i="43"/>
  <c r="G19" i="46"/>
  <c r="H19" i="46"/>
  <c r="F67" i="46"/>
  <c r="F16" i="46"/>
  <c r="D17" i="46"/>
  <c r="B21" i="46"/>
  <c r="I15" i="46"/>
  <c r="J15" i="46" s="1"/>
  <c r="D16" i="44"/>
  <c r="F15" i="44"/>
  <c r="B20" i="44"/>
  <c r="P16" i="44"/>
  <c r="B17" i="43"/>
  <c r="C74" i="43"/>
  <c r="D17" i="43"/>
  <c r="F16" i="43"/>
  <c r="I15" i="43"/>
  <c r="J15" i="43" s="1"/>
  <c r="G17" i="44" l="1"/>
  <c r="K17" i="44"/>
  <c r="C74" i="44"/>
  <c r="E17" i="44"/>
  <c r="K18" i="43"/>
  <c r="G18" i="43"/>
  <c r="E20" i="46"/>
  <c r="F68" i="46"/>
  <c r="H20" i="46"/>
  <c r="G20" i="46"/>
  <c r="E18" i="43"/>
  <c r="D18" i="46"/>
  <c r="F17" i="46"/>
  <c r="B22" i="46"/>
  <c r="I16" i="46"/>
  <c r="J16" i="46" s="1"/>
  <c r="F16" i="44"/>
  <c r="D17" i="44"/>
  <c r="B21" i="44"/>
  <c r="P17" i="44"/>
  <c r="I15" i="44"/>
  <c r="J15" i="44" s="1"/>
  <c r="F17" i="43"/>
  <c r="D18" i="43"/>
  <c r="F66" i="43"/>
  <c r="I16" i="43"/>
  <c r="J16" i="43" s="1"/>
  <c r="B18" i="43"/>
  <c r="K18" i="44" l="1"/>
  <c r="G18" i="44"/>
  <c r="F66" i="44"/>
  <c r="E18" i="44"/>
  <c r="H18" i="44"/>
  <c r="G21" i="46"/>
  <c r="E19" i="43"/>
  <c r="E21" i="46"/>
  <c r="F69" i="46"/>
  <c r="H21" i="46"/>
  <c r="K19" i="43"/>
  <c r="G19" i="43"/>
  <c r="I17" i="46"/>
  <c r="J17" i="46" s="1"/>
  <c r="D19" i="46"/>
  <c r="F18" i="46"/>
  <c r="B23" i="46"/>
  <c r="D18" i="44"/>
  <c r="F17" i="44"/>
  <c r="B22" i="44"/>
  <c r="I16" i="44"/>
  <c r="J16" i="44" s="1"/>
  <c r="P18" i="44"/>
  <c r="F67" i="43"/>
  <c r="D19" i="43"/>
  <c r="F18" i="43"/>
  <c r="B19" i="43"/>
  <c r="I17" i="43"/>
  <c r="J17" i="43" s="1"/>
  <c r="K19" i="44" l="1"/>
  <c r="H19" i="44"/>
  <c r="G19" i="44"/>
  <c r="F67" i="44"/>
  <c r="E19" i="44"/>
  <c r="E22" i="46"/>
  <c r="E23" i="46" s="1"/>
  <c r="E20" i="43"/>
  <c r="K20" i="43"/>
  <c r="F70" i="46"/>
  <c r="G22" i="46"/>
  <c r="H22" i="46"/>
  <c r="F19" i="46"/>
  <c r="D20" i="46"/>
  <c r="B24" i="46"/>
  <c r="I18" i="46"/>
  <c r="J18" i="46" s="1"/>
  <c r="P19" i="44"/>
  <c r="I17" i="44"/>
  <c r="J17" i="44" s="1"/>
  <c r="D19" i="44"/>
  <c r="F18" i="44"/>
  <c r="B23" i="44"/>
  <c r="F68" i="43"/>
  <c r="F19" i="43"/>
  <c r="D20" i="43"/>
  <c r="G20" i="43"/>
  <c r="I18" i="43"/>
  <c r="J18" i="43" s="1"/>
  <c r="B20" i="43"/>
  <c r="K20" i="44" l="1"/>
  <c r="G20" i="44"/>
  <c r="E20" i="44"/>
  <c r="H20" i="44"/>
  <c r="F68" i="44"/>
  <c r="E21" i="43"/>
  <c r="E22" i="43" s="1"/>
  <c r="H23" i="46"/>
  <c r="E24" i="46"/>
  <c r="F71" i="46"/>
  <c r="G23" i="46"/>
  <c r="G21" i="43"/>
  <c r="K21" i="43"/>
  <c r="I19" i="46"/>
  <c r="J19" i="46" s="1"/>
  <c r="F20" i="46"/>
  <c r="D21" i="46"/>
  <c r="B25" i="46"/>
  <c r="F19" i="44"/>
  <c r="I19" i="44" s="1"/>
  <c r="J19" i="44" s="1"/>
  <c r="D20" i="44"/>
  <c r="B24" i="44"/>
  <c r="P20" i="44"/>
  <c r="I18" i="44"/>
  <c r="J18" i="44" s="1"/>
  <c r="I19" i="43"/>
  <c r="J19" i="43" s="1"/>
  <c r="B21" i="43"/>
  <c r="D21" i="43"/>
  <c r="F20" i="43"/>
  <c r="F69" i="43"/>
  <c r="G21" i="44" l="1"/>
  <c r="E21" i="44"/>
  <c r="H21" i="44"/>
  <c r="F69" i="44"/>
  <c r="K21" i="44"/>
  <c r="K22" i="43"/>
  <c r="E25" i="46"/>
  <c r="F72" i="46"/>
  <c r="G24" i="46"/>
  <c r="H24" i="46"/>
  <c r="G22" i="43"/>
  <c r="B26" i="46"/>
  <c r="D22" i="46"/>
  <c r="F21" i="46"/>
  <c r="I20" i="46"/>
  <c r="J20" i="46" s="1"/>
  <c r="P21" i="44"/>
  <c r="F20" i="44"/>
  <c r="D21" i="44"/>
  <c r="B25" i="44"/>
  <c r="I20" i="43"/>
  <c r="J20" i="43" s="1"/>
  <c r="F70" i="43"/>
  <c r="E23" i="43"/>
  <c r="B22" i="43"/>
  <c r="F21" i="43"/>
  <c r="I21" i="43" s="1"/>
  <c r="J21" i="43" s="1"/>
  <c r="D22" i="43"/>
  <c r="F70" i="44" l="1"/>
  <c r="H22" i="44"/>
  <c r="G22" i="44"/>
  <c r="K22" i="44"/>
  <c r="E22" i="44"/>
  <c r="H25" i="46"/>
  <c r="G25" i="46"/>
  <c r="F73" i="46"/>
  <c r="E26" i="46"/>
  <c r="G23" i="43"/>
  <c r="I21" i="46"/>
  <c r="J21" i="46" s="1"/>
  <c r="B27" i="46"/>
  <c r="F22" i="46"/>
  <c r="D23" i="46"/>
  <c r="B26" i="44"/>
  <c r="D22" i="44"/>
  <c r="F21" i="44"/>
  <c r="I21" i="44" s="1"/>
  <c r="J21" i="44" s="1"/>
  <c r="P22" i="44"/>
  <c r="I20" i="44"/>
  <c r="J20" i="44" s="1"/>
  <c r="B23" i="43"/>
  <c r="K23" i="43"/>
  <c r="F71" i="43"/>
  <c r="E24" i="43"/>
  <c r="D23" i="43"/>
  <c r="F22" i="43"/>
  <c r="K23" i="44" l="1"/>
  <c r="H23" i="44"/>
  <c r="E23" i="44"/>
  <c r="G23" i="44"/>
  <c r="F71" i="44"/>
  <c r="G26" i="46"/>
  <c r="H26" i="46"/>
  <c r="E27" i="46"/>
  <c r="F74" i="46"/>
  <c r="I22" i="46"/>
  <c r="J22" i="46" s="1"/>
  <c r="B28" i="46"/>
  <c r="D24" i="46"/>
  <c r="F23" i="46"/>
  <c r="P23" i="44"/>
  <c r="B27" i="44"/>
  <c r="F22" i="44"/>
  <c r="I22" i="44" s="1"/>
  <c r="J22" i="44" s="1"/>
  <c r="D23" i="44"/>
  <c r="I22" i="43"/>
  <c r="J22" i="43" s="1"/>
  <c r="K24" i="43"/>
  <c r="B24" i="43"/>
  <c r="G24" i="43"/>
  <c r="F72" i="43"/>
  <c r="E25" i="43"/>
  <c r="F23" i="43"/>
  <c r="I23" i="43" s="1"/>
  <c r="J23" i="43" s="1"/>
  <c r="D24" i="43"/>
  <c r="G24" i="44" l="1"/>
  <c r="K24" i="44"/>
  <c r="E24" i="44"/>
  <c r="F72" i="44"/>
  <c r="H24" i="44"/>
  <c r="H27" i="46"/>
  <c r="E28" i="46"/>
  <c r="I66" i="46"/>
  <c r="G27" i="46"/>
  <c r="I23" i="46"/>
  <c r="J23" i="46" s="1"/>
  <c r="B29" i="46"/>
  <c r="F24" i="46"/>
  <c r="D25" i="46"/>
  <c r="B28" i="44"/>
  <c r="P24" i="44"/>
  <c r="D24" i="44"/>
  <c r="F23" i="44"/>
  <c r="I23" i="44" s="1"/>
  <c r="J23" i="44" s="1"/>
  <c r="B25" i="43"/>
  <c r="F73" i="43"/>
  <c r="E26" i="43"/>
  <c r="K25" i="43"/>
  <c r="D25" i="43"/>
  <c r="F24" i="43"/>
  <c r="I24" i="43" s="1"/>
  <c r="J24" i="43" s="1"/>
  <c r="G25" i="43"/>
  <c r="E25" i="44" l="1"/>
  <c r="H25" i="44"/>
  <c r="K25" i="44"/>
  <c r="F73" i="44"/>
  <c r="G25" i="44"/>
  <c r="K26" i="43"/>
  <c r="G28" i="46"/>
  <c r="I67" i="46"/>
  <c r="E29" i="46"/>
  <c r="H28" i="46"/>
  <c r="G26" i="43"/>
  <c r="I24" i="46"/>
  <c r="J24" i="46" s="1"/>
  <c r="B30" i="46"/>
  <c r="D26" i="46"/>
  <c r="F25" i="46"/>
  <c r="P25" i="44"/>
  <c r="B29" i="44"/>
  <c r="F24" i="44"/>
  <c r="I24" i="44" s="1"/>
  <c r="J24" i="44" s="1"/>
  <c r="D25" i="44"/>
  <c r="F74" i="43"/>
  <c r="F25" i="43"/>
  <c r="D26" i="43"/>
  <c r="B26" i="43"/>
  <c r="F74" i="44" l="1"/>
  <c r="G26" i="44"/>
  <c r="K26" i="44"/>
  <c r="H26" i="44"/>
  <c r="H27" i="44" s="1"/>
  <c r="E26" i="44"/>
  <c r="K27" i="43"/>
  <c r="H29" i="46"/>
  <c r="G29" i="46"/>
  <c r="E30" i="46"/>
  <c r="I68" i="46"/>
  <c r="G27" i="43"/>
  <c r="E27" i="43"/>
  <c r="I25" i="46"/>
  <c r="J25" i="46" s="1"/>
  <c r="D27" i="46"/>
  <c r="F26" i="46"/>
  <c r="B31" i="46"/>
  <c r="B30" i="44"/>
  <c r="P26" i="44"/>
  <c r="D26" i="44"/>
  <c r="F25" i="44"/>
  <c r="I25" i="43"/>
  <c r="J25" i="43" s="1"/>
  <c r="B27" i="43"/>
  <c r="D27" i="43"/>
  <c r="F26" i="43"/>
  <c r="I66" i="43"/>
  <c r="G27" i="44" l="1"/>
  <c r="E27" i="44"/>
  <c r="H28" i="44"/>
  <c r="I66" i="44"/>
  <c r="K27" i="44"/>
  <c r="G28" i="43"/>
  <c r="H30" i="46"/>
  <c r="E28" i="43"/>
  <c r="I69" i="46"/>
  <c r="G30" i="46"/>
  <c r="B32" i="46"/>
  <c r="I26" i="46"/>
  <c r="J26" i="46" s="1"/>
  <c r="D28" i="46"/>
  <c r="F27" i="46"/>
  <c r="P27" i="44"/>
  <c r="I25" i="44"/>
  <c r="J25" i="44" s="1"/>
  <c r="D27" i="44"/>
  <c r="F26" i="44"/>
  <c r="B31" i="44"/>
  <c r="I26" i="43"/>
  <c r="J26" i="43" s="1"/>
  <c r="B28" i="43"/>
  <c r="K28" i="43"/>
  <c r="F27" i="43"/>
  <c r="I27" i="43" s="1"/>
  <c r="J27" i="43" s="1"/>
  <c r="D28" i="43"/>
  <c r="I67" i="43"/>
  <c r="K28" i="44" l="1"/>
  <c r="H29" i="44"/>
  <c r="I67" i="44"/>
  <c r="E28" i="44"/>
  <c r="G28" i="44"/>
  <c r="G29" i="43"/>
  <c r="H31" i="46"/>
  <c r="I70" i="46"/>
  <c r="E31" i="46"/>
  <c r="G31" i="46"/>
  <c r="E29" i="43"/>
  <c r="I27" i="46"/>
  <c r="J27" i="46" s="1"/>
  <c r="B33" i="46"/>
  <c r="F28" i="46"/>
  <c r="D29" i="46"/>
  <c r="B32" i="44"/>
  <c r="P28" i="44"/>
  <c r="I26" i="44"/>
  <c r="J26" i="44" s="1"/>
  <c r="D28" i="44"/>
  <c r="F27" i="44"/>
  <c r="I27" i="44" s="1"/>
  <c r="J27" i="44" s="1"/>
  <c r="B29" i="43"/>
  <c r="K29" i="43"/>
  <c r="D29" i="43"/>
  <c r="F28" i="43"/>
  <c r="I68" i="43"/>
  <c r="H30" i="44" l="1"/>
  <c r="I68" i="44"/>
  <c r="G29" i="44"/>
  <c r="K29" i="44"/>
  <c r="E29" i="44"/>
  <c r="E30" i="44" s="1"/>
  <c r="G30" i="43"/>
  <c r="E32" i="46"/>
  <c r="I71" i="46"/>
  <c r="H32" i="46"/>
  <c r="G32" i="46"/>
  <c r="E30" i="43"/>
  <c r="B34" i="46"/>
  <c r="D30" i="46"/>
  <c r="F29" i="46"/>
  <c r="I28" i="46"/>
  <c r="J28" i="46" s="1"/>
  <c r="B33" i="44"/>
  <c r="F28" i="44"/>
  <c r="D29" i="44"/>
  <c r="P29" i="44"/>
  <c r="I28" i="43"/>
  <c r="J28" i="43" s="1"/>
  <c r="B30" i="43"/>
  <c r="F29" i="43"/>
  <c r="D30" i="43"/>
  <c r="I69" i="43"/>
  <c r="K30" i="43"/>
  <c r="H31" i="44" l="1"/>
  <c r="I69" i="44"/>
  <c r="G30" i="44"/>
  <c r="K30" i="44"/>
  <c r="E33" i="46"/>
  <c r="E34" i="46" s="1"/>
  <c r="G31" i="43"/>
  <c r="I72" i="46"/>
  <c r="G33" i="46"/>
  <c r="H33" i="46"/>
  <c r="K31" i="43"/>
  <c r="B35" i="46"/>
  <c r="I29" i="46"/>
  <c r="J29" i="46" s="1"/>
  <c r="D31" i="46"/>
  <c r="F30" i="46"/>
  <c r="B34" i="44"/>
  <c r="D30" i="44"/>
  <c r="F29" i="44"/>
  <c r="P30" i="44"/>
  <c r="I28" i="44"/>
  <c r="J28" i="44" s="1"/>
  <c r="I70" i="43"/>
  <c r="B31" i="43"/>
  <c r="I29" i="43"/>
  <c r="J29" i="43" s="1"/>
  <c r="D31" i="43"/>
  <c r="F30" i="43"/>
  <c r="E31" i="43"/>
  <c r="H32" i="44" l="1"/>
  <c r="I70" i="44"/>
  <c r="E31" i="44"/>
  <c r="K31" i="44"/>
  <c r="G31" i="44"/>
  <c r="G32" i="43"/>
  <c r="E35" i="46"/>
  <c r="I73" i="46"/>
  <c r="H34" i="46"/>
  <c r="G34" i="46"/>
  <c r="I30" i="46"/>
  <c r="J30" i="46" s="1"/>
  <c r="D32" i="46"/>
  <c r="F31" i="46"/>
  <c r="B36" i="46"/>
  <c r="B35" i="44"/>
  <c r="I29" i="44"/>
  <c r="J29" i="44" s="1"/>
  <c r="P31" i="44"/>
  <c r="D31" i="44"/>
  <c r="F30" i="44"/>
  <c r="I30" i="44" s="1"/>
  <c r="J30" i="44" s="1"/>
  <c r="B32" i="43"/>
  <c r="E32" i="43"/>
  <c r="I30" i="43"/>
  <c r="J30" i="43" s="1"/>
  <c r="K32" i="43"/>
  <c r="I71" i="43"/>
  <c r="F31" i="43"/>
  <c r="D32" i="43"/>
  <c r="H33" i="44" l="1"/>
  <c r="I71" i="44"/>
  <c r="E32" i="44"/>
  <c r="G32" i="44"/>
  <c r="K32" i="44"/>
  <c r="G33" i="43"/>
  <c r="G35" i="46"/>
  <c r="H35" i="46"/>
  <c r="E36" i="46"/>
  <c r="I74" i="46"/>
  <c r="I31" i="46"/>
  <c r="J31" i="46" s="1"/>
  <c r="F32" i="46"/>
  <c r="D33" i="46"/>
  <c r="D32" i="44"/>
  <c r="F31" i="44"/>
  <c r="P32" i="44"/>
  <c r="B36" i="44"/>
  <c r="E33" i="43"/>
  <c r="D33" i="43"/>
  <c r="F32" i="43"/>
  <c r="I72" i="43"/>
  <c r="I31" i="43"/>
  <c r="J31" i="43" s="1"/>
  <c r="K33" i="43"/>
  <c r="B33" i="43"/>
  <c r="K33" i="44" l="1"/>
  <c r="G33" i="44"/>
  <c r="E33" i="44"/>
  <c r="H34" i="44"/>
  <c r="I72" i="44"/>
  <c r="G34" i="43"/>
  <c r="H36" i="46"/>
  <c r="K34" i="43"/>
  <c r="G36" i="46"/>
  <c r="D34" i="46"/>
  <c r="F33" i="46"/>
  <c r="I32" i="46"/>
  <c r="J32" i="46" s="1"/>
  <c r="P33" i="44"/>
  <c r="I31" i="44"/>
  <c r="J31" i="44" s="1"/>
  <c r="F32" i="44"/>
  <c r="D33" i="44"/>
  <c r="I32" i="43"/>
  <c r="J32" i="43" s="1"/>
  <c r="E34" i="43"/>
  <c r="F33" i="43"/>
  <c r="D34" i="43"/>
  <c r="B34" i="43"/>
  <c r="I73" i="43"/>
  <c r="G34" i="44" l="1"/>
  <c r="K34" i="44"/>
  <c r="I73" i="44"/>
  <c r="E34" i="44"/>
  <c r="G35" i="43"/>
  <c r="I33" i="46"/>
  <c r="J33" i="46" s="1"/>
  <c r="D35" i="46"/>
  <c r="F34" i="46"/>
  <c r="D34" i="44"/>
  <c r="F33" i="44"/>
  <c r="I33" i="44" s="1"/>
  <c r="J33" i="44" s="1"/>
  <c r="I32" i="44"/>
  <c r="J32" i="44" s="1"/>
  <c r="P34" i="44"/>
  <c r="E35" i="43"/>
  <c r="B35" i="43"/>
  <c r="K35" i="43"/>
  <c r="D35" i="43"/>
  <c r="F34" i="43"/>
  <c r="I74" i="43"/>
  <c r="I33" i="43"/>
  <c r="J33" i="43" s="1"/>
  <c r="G35" i="44" l="1"/>
  <c r="E35" i="44"/>
  <c r="H35" i="44"/>
  <c r="K35" i="44"/>
  <c r="G36" i="44"/>
  <c r="I74" i="44"/>
  <c r="G36" i="43"/>
  <c r="I34" i="46"/>
  <c r="J34" i="46" s="1"/>
  <c r="F35" i="46"/>
  <c r="D36" i="46"/>
  <c r="F36" i="46" s="1"/>
  <c r="P35" i="44"/>
  <c r="D35" i="44"/>
  <c r="F34" i="44"/>
  <c r="I34" i="44" s="1"/>
  <c r="J34" i="44" s="1"/>
  <c r="F35" i="43"/>
  <c r="D36" i="43"/>
  <c r="K36" i="43"/>
  <c r="E36" i="43"/>
  <c r="I34" i="43"/>
  <c r="J34" i="43" s="1"/>
  <c r="B36" i="43"/>
  <c r="H36" i="44" l="1"/>
  <c r="E36" i="44"/>
  <c r="K36" i="44"/>
  <c r="I36" i="46"/>
  <c r="J36" i="46" s="1"/>
  <c r="I35" i="46"/>
  <c r="J35" i="46" s="1"/>
  <c r="F35" i="44"/>
  <c r="D36" i="44"/>
  <c r="P36" i="44"/>
  <c r="F36" i="43"/>
  <c r="I36" i="43" s="1"/>
  <c r="J36" i="43" s="1"/>
  <c r="I35" i="43"/>
  <c r="J35" i="43" s="1"/>
  <c r="F36" i="44" l="1"/>
  <c r="I36" i="44" s="1"/>
  <c r="J36" i="44" s="1"/>
  <c r="I35" i="44"/>
  <c r="J35" i="44" s="1"/>
  <c r="C67" i="42" l="1"/>
  <c r="H11" i="42"/>
  <c r="E10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K10" i="42"/>
  <c r="G10" i="42"/>
  <c r="C10" i="42"/>
  <c r="D10" i="42" s="1"/>
  <c r="C68" i="42" l="1"/>
  <c r="P11" i="42"/>
  <c r="K11" i="42"/>
  <c r="E11" i="42"/>
  <c r="G11" i="42"/>
  <c r="B26" i="42"/>
  <c r="F10" i="42"/>
  <c r="I10" i="42" s="1"/>
  <c r="D11" i="42"/>
  <c r="B3" i="42"/>
  <c r="C52" i="42" s="1"/>
  <c r="B9" i="42" s="1"/>
  <c r="D47" i="42"/>
  <c r="C69" i="42" l="1"/>
  <c r="G12" i="42"/>
  <c r="G13" i="42" s="1"/>
  <c r="J10" i="42"/>
  <c r="E12" i="42"/>
  <c r="E13" i="42" s="1"/>
  <c r="H12" i="42"/>
  <c r="H13" i="42" s="1"/>
  <c r="P12" i="42"/>
  <c r="D12" i="42"/>
  <c r="F11" i="42"/>
  <c r="I11" i="42" s="1"/>
  <c r="K12" i="42"/>
  <c r="K13" i="42" s="1"/>
  <c r="B27" i="42"/>
  <c r="G14" i="42" l="1"/>
  <c r="C70" i="42"/>
  <c r="J11" i="42"/>
  <c r="H14" i="42"/>
  <c r="P13" i="42"/>
  <c r="P14" i="42" s="1"/>
  <c r="K14" i="42"/>
  <c r="D13" i="42"/>
  <c r="F12" i="42"/>
  <c r="B28" i="42"/>
  <c r="E14" i="42"/>
  <c r="G15" i="42" l="1"/>
  <c r="C71" i="42"/>
  <c r="K15" i="42"/>
  <c r="E15" i="42"/>
  <c r="H15" i="42"/>
  <c r="I12" i="42"/>
  <c r="D14" i="42"/>
  <c r="F13" i="42"/>
  <c r="I13" i="42" s="1"/>
  <c r="B29" i="42"/>
  <c r="P15" i="42"/>
  <c r="G16" i="42" l="1"/>
  <c r="C72" i="42"/>
  <c r="J13" i="42"/>
  <c r="J12" i="42"/>
  <c r="H16" i="42"/>
  <c r="E16" i="42"/>
  <c r="K16" i="42"/>
  <c r="P16" i="42"/>
  <c r="B30" i="42"/>
  <c r="D15" i="42"/>
  <c r="F14" i="42"/>
  <c r="I14" i="42" s="1"/>
  <c r="D46" i="41"/>
  <c r="K10" i="41"/>
  <c r="E10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G10" i="41"/>
  <c r="G17" i="42" l="1"/>
  <c r="C73" i="42"/>
  <c r="J14" i="42"/>
  <c r="C68" i="41"/>
  <c r="E17" i="42"/>
  <c r="C10" i="41"/>
  <c r="D10" i="41" s="1"/>
  <c r="F10" i="41" s="1"/>
  <c r="N59" i="41"/>
  <c r="G11" i="41"/>
  <c r="G12" i="41" s="1"/>
  <c r="E11" i="41"/>
  <c r="E12" i="41" s="1"/>
  <c r="K11" i="41"/>
  <c r="K12" i="41" s="1"/>
  <c r="H17" i="42"/>
  <c r="P17" i="42"/>
  <c r="C74" i="42"/>
  <c r="B31" i="42"/>
  <c r="K17" i="42"/>
  <c r="D16" i="42"/>
  <c r="F15" i="42"/>
  <c r="I15" i="42" s="1"/>
  <c r="B26" i="41"/>
  <c r="B3" i="41"/>
  <c r="C52" i="41" s="1"/>
  <c r="B9" i="41" s="1"/>
  <c r="D47" i="41"/>
  <c r="K10" i="40"/>
  <c r="G18" i="42" l="1"/>
  <c r="G19" i="42" s="1"/>
  <c r="G13" i="41"/>
  <c r="C69" i="41"/>
  <c r="J15" i="42"/>
  <c r="K13" i="41"/>
  <c r="D11" i="41"/>
  <c r="F11" i="41" s="1"/>
  <c r="H18" i="42"/>
  <c r="E13" i="41"/>
  <c r="N60" i="41"/>
  <c r="P59" i="41" s="1"/>
  <c r="N64" i="41"/>
  <c r="N63" i="41"/>
  <c r="P18" i="42"/>
  <c r="E18" i="42"/>
  <c r="K18" i="42"/>
  <c r="F66" i="42"/>
  <c r="D17" i="42"/>
  <c r="F16" i="42"/>
  <c r="I16" i="42" s="1"/>
  <c r="B32" i="42"/>
  <c r="B27" i="41"/>
  <c r="C70" i="41" l="1"/>
  <c r="G14" i="41"/>
  <c r="J16" i="42"/>
  <c r="D12" i="41"/>
  <c r="F12" i="41" s="1"/>
  <c r="P63" i="41"/>
  <c r="C59" i="41" s="1"/>
  <c r="H10" i="41" s="1"/>
  <c r="H11" i="41" s="1"/>
  <c r="H12" i="41" s="1"/>
  <c r="H13" i="41" s="1"/>
  <c r="H14" i="41" s="1"/>
  <c r="E19" i="42"/>
  <c r="K19" i="42"/>
  <c r="H19" i="42"/>
  <c r="F67" i="42"/>
  <c r="G20" i="42"/>
  <c r="P19" i="42"/>
  <c r="D18" i="42"/>
  <c r="F17" i="42"/>
  <c r="I17" i="42" s="1"/>
  <c r="B33" i="42"/>
  <c r="E14" i="41"/>
  <c r="B28" i="41"/>
  <c r="K14" i="41"/>
  <c r="C71" i="41" l="1"/>
  <c r="G15" i="41"/>
  <c r="J17" i="42"/>
  <c r="D13" i="41"/>
  <c r="D14" i="41" s="1"/>
  <c r="I12" i="41"/>
  <c r="J12" i="41" s="1"/>
  <c r="H20" i="42"/>
  <c r="I10" i="41"/>
  <c r="J10" i="41" s="1"/>
  <c r="I11" i="41"/>
  <c r="J11" i="41" s="1"/>
  <c r="H15" i="41"/>
  <c r="G21" i="42"/>
  <c r="F68" i="42"/>
  <c r="D19" i="42"/>
  <c r="F18" i="42"/>
  <c r="I18" i="42" s="1"/>
  <c r="E20" i="42"/>
  <c r="P20" i="42"/>
  <c r="K20" i="42"/>
  <c r="B34" i="42"/>
  <c r="B29" i="41"/>
  <c r="K15" i="41"/>
  <c r="E15" i="41"/>
  <c r="G16" i="41" l="1"/>
  <c r="C72" i="41"/>
  <c r="F13" i="41"/>
  <c r="I13" i="41" s="1"/>
  <c r="J13" i="41" s="1"/>
  <c r="J18" i="42"/>
  <c r="E21" i="42"/>
  <c r="E16" i="41"/>
  <c r="H16" i="41"/>
  <c r="K16" i="41"/>
  <c r="H21" i="42"/>
  <c r="P21" i="42"/>
  <c r="B35" i="42"/>
  <c r="K21" i="42"/>
  <c r="D20" i="42"/>
  <c r="F19" i="42"/>
  <c r="I19" i="42" s="1"/>
  <c r="F69" i="42"/>
  <c r="G22" i="42"/>
  <c r="C73" i="41"/>
  <c r="F14" i="41"/>
  <c r="I14" i="41" s="1"/>
  <c r="J14" i="41" s="1"/>
  <c r="D15" i="41"/>
  <c r="B30" i="41"/>
  <c r="G17" i="41" l="1"/>
  <c r="G18" i="41" s="1"/>
  <c r="J19" i="42"/>
  <c r="H22" i="42"/>
  <c r="H17" i="41"/>
  <c r="B36" i="42"/>
  <c r="G23" i="42"/>
  <c r="F70" i="42"/>
  <c r="E22" i="42"/>
  <c r="D21" i="42"/>
  <c r="F20" i="42"/>
  <c r="I20" i="42" s="1"/>
  <c r="P22" i="42"/>
  <c r="K22" i="42"/>
  <c r="C74" i="41"/>
  <c r="F15" i="41"/>
  <c r="I15" i="41" s="1"/>
  <c r="J15" i="41" s="1"/>
  <c r="D16" i="41"/>
  <c r="K17" i="41"/>
  <c r="E17" i="41"/>
  <c r="B31" i="41"/>
  <c r="J20" i="42" l="1"/>
  <c r="K23" i="42"/>
  <c r="E23" i="42"/>
  <c r="H18" i="41"/>
  <c r="H23" i="42"/>
  <c r="P23" i="42"/>
  <c r="D22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D17" i="41"/>
  <c r="J21" i="42" l="1"/>
  <c r="H24" i="42"/>
  <c r="H19" i="41"/>
  <c r="E19" i="41"/>
  <c r="K19" i="41"/>
  <c r="E24" i="42"/>
  <c r="K24" i="42"/>
  <c r="P24" i="42"/>
  <c r="G25" i="42"/>
  <c r="F72" i="42"/>
  <c r="D23" i="42"/>
  <c r="F22" i="42"/>
  <c r="I22" i="42" s="1"/>
  <c r="F17" i="41"/>
  <c r="I17" i="41" s="1"/>
  <c r="J17" i="41" s="1"/>
  <c r="D18" i="41"/>
  <c r="B33" i="41"/>
  <c r="F67" i="41"/>
  <c r="G20" i="41"/>
  <c r="J22" i="42" l="1"/>
  <c r="K20" i="41"/>
  <c r="E25" i="42"/>
  <c r="K25" i="42"/>
  <c r="H20" i="41"/>
  <c r="H25" i="42"/>
  <c r="D24" i="42"/>
  <c r="F23" i="42"/>
  <c r="I23" i="42" s="1"/>
  <c r="F73" i="42"/>
  <c r="G26" i="42"/>
  <c r="P25" i="42"/>
  <c r="B34" i="41"/>
  <c r="E20" i="41"/>
  <c r="G21" i="41"/>
  <c r="F68" i="41"/>
  <c r="F18" i="41"/>
  <c r="I18" i="41" s="1"/>
  <c r="J18" i="41" s="1"/>
  <c r="D19" i="41"/>
  <c r="J23" i="42" l="1"/>
  <c r="K26" i="42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D20" i="4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D21" i="4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D22" i="4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D23" i="4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D24" i="4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E10" i="40" l="1"/>
  <c r="C67" i="40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G10" i="40"/>
  <c r="B3" i="40"/>
  <c r="C52" i="40" s="1"/>
  <c r="B9" i="40" s="1"/>
  <c r="C68" i="40" l="1"/>
  <c r="C10" i="40"/>
  <c r="D10" i="40" s="1"/>
  <c r="D11" i="40" s="1"/>
  <c r="N59" i="40"/>
  <c r="G11" i="40"/>
  <c r="K11" i="40"/>
  <c r="B26" i="40"/>
  <c r="E11" i="40"/>
  <c r="C69" i="40" l="1"/>
  <c r="G12" i="40"/>
  <c r="G13" i="40" s="1"/>
  <c r="N63" i="40"/>
  <c r="N60" i="40"/>
  <c r="P59" i="40" s="1"/>
  <c r="N64" i="40"/>
  <c r="B27" i="40"/>
  <c r="E12" i="40"/>
  <c r="E13" i="40" s="1"/>
  <c r="D12" i="40"/>
  <c r="D13" i="40" s="1"/>
  <c r="K12" i="40"/>
  <c r="K13" i="40" s="1"/>
  <c r="F11" i="40"/>
  <c r="F10" i="40"/>
  <c r="C70" i="40" l="1"/>
  <c r="G14" i="40"/>
  <c r="P63" i="40"/>
  <c r="C59" i="40" s="1"/>
  <c r="H10" i="40" s="1"/>
  <c r="H11" i="40" s="1"/>
  <c r="H12" i="40" s="1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0" i="40"/>
  <c r="J10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D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G63" i="39"/>
  <c r="D47" i="39"/>
  <c r="K63" i="39"/>
  <c r="J63" i="39"/>
  <c r="H58" i="39"/>
  <c r="C84" i="39"/>
  <c r="F63" i="39"/>
  <c r="K64" i="39"/>
  <c r="J64" i="39"/>
  <c r="G64" i="39"/>
  <c r="F64" i="39"/>
  <c r="C64" i="39"/>
  <c r="C63" i="39"/>
  <c r="I59" i="39"/>
  <c r="H59" i="39"/>
  <c r="F59" i="39"/>
  <c r="D52" i="39"/>
  <c r="C52" i="39"/>
  <c r="C51" i="39"/>
  <c r="D50" i="39"/>
  <c r="C50" i="39"/>
  <c r="D49" i="39"/>
  <c r="C49" i="39"/>
  <c r="C48" i="39"/>
  <c r="C47" i="39"/>
  <c r="D46" i="39"/>
  <c r="E68" i="39" s="1"/>
  <c r="B15" i="39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12" i="39"/>
  <c r="B5" i="39"/>
  <c r="D9" i="28"/>
  <c r="E9" i="28"/>
  <c r="F58" i="39" l="1"/>
  <c r="F60" i="39" s="1"/>
  <c r="H60" i="39" s="1"/>
  <c r="C14" i="39" s="1"/>
  <c r="D14" i="39" s="1"/>
  <c r="C73" i="39"/>
  <c r="I58" i="39" s="1"/>
  <c r="K343" i="28"/>
  <c r="F65" i="39"/>
  <c r="K341" i="28"/>
  <c r="D44" i="46"/>
  <c r="D49" i="46" s="1"/>
  <c r="D44" i="43"/>
  <c r="D49" i="43" s="1"/>
  <c r="D44" i="44"/>
  <c r="D49" i="44" s="1"/>
  <c r="D44" i="42"/>
  <c r="D49" i="42" s="1"/>
  <c r="D44" i="41"/>
  <c r="D49" i="41" s="1"/>
  <c r="D44" i="40"/>
  <c r="D49" i="40" s="1"/>
  <c r="B29" i="39"/>
  <c r="C85" i="39"/>
  <c r="H64" i="39"/>
  <c r="H63" i="39"/>
  <c r="K342" i="28"/>
  <c r="I60" i="39" l="1"/>
  <c r="E14" i="39" s="1"/>
  <c r="E15" i="39" s="1"/>
  <c r="E16" i="39" s="1"/>
  <c r="G58" i="39"/>
  <c r="G59" i="39" s="1"/>
  <c r="G60" i="39" s="1"/>
  <c r="H65" i="39"/>
  <c r="I63" i="39" s="1"/>
  <c r="D15" i="39"/>
  <c r="C86" i="39"/>
  <c r="B30" i="39"/>
  <c r="C65" i="46" l="1"/>
  <c r="C65" i="44"/>
  <c r="C65" i="43"/>
  <c r="C65" i="42"/>
  <c r="C65" i="41"/>
  <c r="C65" i="40"/>
  <c r="C82" i="39"/>
  <c r="E17" i="39"/>
  <c r="D16" i="39"/>
  <c r="I64" i="39"/>
  <c r="J65" i="39" s="1"/>
  <c r="F14" i="39" s="1"/>
  <c r="C87" i="39"/>
  <c r="B31" i="39"/>
  <c r="G65" i="39"/>
  <c r="D48" i="39" s="1"/>
  <c r="D78" i="39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8" i="39" l="1"/>
  <c r="G14" i="39"/>
  <c r="H14" i="39" s="1"/>
  <c r="F15" i="39"/>
  <c r="C88" i="39"/>
  <c r="K65" i="39"/>
  <c r="B32" i="39"/>
  <c r="I65" i="39"/>
  <c r="D17" i="39"/>
  <c r="E19" i="39" l="1"/>
  <c r="E20" i="39" s="1"/>
  <c r="D18" i="39"/>
  <c r="D51" i="39"/>
  <c r="C89" i="39"/>
  <c r="B33" i="39"/>
  <c r="G15" i="39"/>
  <c r="H15" i="39" s="1"/>
  <c r="F16" i="39"/>
  <c r="D19" i="39" l="1"/>
  <c r="F17" i="39"/>
  <c r="G16" i="39"/>
  <c r="H16" i="39" s="1"/>
  <c r="B34" i="39"/>
  <c r="C90" i="39"/>
  <c r="E21" i="39"/>
  <c r="B35" i="39" l="1"/>
  <c r="D20" i="39"/>
  <c r="C91" i="39"/>
  <c r="E22" i="39"/>
  <c r="G17" i="39"/>
  <c r="H17" i="39" s="1"/>
  <c r="F18" i="39"/>
  <c r="E23" i="39" l="1"/>
  <c r="F83" i="39"/>
  <c r="B36" i="39"/>
  <c r="F19" i="39"/>
  <c r="G18" i="39"/>
  <c r="H18" i="39" s="1"/>
  <c r="D21" i="39"/>
  <c r="F84" i="39" l="1"/>
  <c r="E24" i="39"/>
  <c r="G19" i="39"/>
  <c r="H19" i="39" s="1"/>
  <c r="F20" i="39"/>
  <c r="D22" i="39"/>
  <c r="B37" i="39"/>
  <c r="D23" i="39" l="1"/>
  <c r="B38" i="39"/>
  <c r="F21" i="39"/>
  <c r="G20" i="39"/>
  <c r="H20" i="39" s="1"/>
  <c r="E25" i="39"/>
  <c r="F85" i="39"/>
  <c r="B39" i="39" l="1"/>
  <c r="G21" i="39"/>
  <c r="H21" i="39" s="1"/>
  <c r="F22" i="39"/>
  <c r="D24" i="39"/>
  <c r="F86" i="39"/>
  <c r="E26" i="39"/>
  <c r="F23" i="39" l="1"/>
  <c r="G22" i="39"/>
  <c r="H22" i="39" s="1"/>
  <c r="E27" i="39"/>
  <c r="F87" i="39"/>
  <c r="D25" i="39"/>
  <c r="B40" i="39"/>
  <c r="D26" i="39" l="1"/>
  <c r="G23" i="39"/>
  <c r="H23" i="39" s="1"/>
  <c r="F24" i="39"/>
  <c r="F88" i="39"/>
  <c r="E28" i="39"/>
  <c r="F25" i="39" l="1"/>
  <c r="G24" i="39"/>
  <c r="H24" i="39" s="1"/>
  <c r="F89" i="39"/>
  <c r="E29" i="39"/>
  <c r="D27" i="39"/>
  <c r="G25" i="39" l="1"/>
  <c r="H25" i="39" s="1"/>
  <c r="F26" i="39"/>
  <c r="D28" i="39"/>
  <c r="F90" i="39"/>
  <c r="E30" i="39"/>
  <c r="F91" i="39" l="1"/>
  <c r="E31" i="39"/>
  <c r="D29" i="39"/>
  <c r="F27" i="39"/>
  <c r="G26" i="39"/>
  <c r="H26" i="39" s="1"/>
  <c r="G27" i="39" l="1"/>
  <c r="H27" i="39" s="1"/>
  <c r="F28" i="39"/>
  <c r="I83" i="39"/>
  <c r="E32" i="39"/>
  <c r="D30" i="39"/>
  <c r="E33" i="39" l="1"/>
  <c r="I84" i="39"/>
  <c r="D31" i="39"/>
  <c r="G28" i="39"/>
  <c r="H28" i="39" s="1"/>
  <c r="F29" i="39"/>
  <c r="D32" i="39" l="1"/>
  <c r="G29" i="39"/>
  <c r="H29" i="39" s="1"/>
  <c r="F30" i="39"/>
  <c r="I85" i="39"/>
  <c r="E34" i="39"/>
  <c r="E35" i="39" l="1"/>
  <c r="I86" i="39"/>
  <c r="D33" i="39"/>
  <c r="F31" i="39"/>
  <c r="G30" i="39"/>
  <c r="H30" i="39" s="1"/>
  <c r="I87" i="39" l="1"/>
  <c r="E36" i="39"/>
  <c r="G31" i="39"/>
  <c r="H31" i="39" s="1"/>
  <c r="F32" i="39"/>
  <c r="D34" i="39"/>
  <c r="D35" i="39" l="1"/>
  <c r="E37" i="39"/>
  <c r="I88" i="39"/>
  <c r="G32" i="39"/>
  <c r="H32" i="39" s="1"/>
  <c r="F33" i="39"/>
  <c r="I89" i="39" l="1"/>
  <c r="E38" i="39"/>
  <c r="D36" i="39"/>
  <c r="F34" i="39"/>
  <c r="G33" i="39"/>
  <c r="H33" i="39" s="1"/>
  <c r="D37" i="39" l="1"/>
  <c r="F35" i="39"/>
  <c r="G34" i="39"/>
  <c r="H34" i="39" s="1"/>
  <c r="I90" i="39"/>
  <c r="E39" i="39"/>
  <c r="G35" i="39" l="1"/>
  <c r="H35" i="39" s="1"/>
  <c r="F36" i="39"/>
  <c r="I91" i="39"/>
  <c r="E40" i="39"/>
  <c r="D38" i="39"/>
  <c r="D39" i="39" l="1"/>
  <c r="F37" i="39"/>
  <c r="G36" i="39"/>
  <c r="H36" i="39" s="1"/>
  <c r="F38" i="39" l="1"/>
  <c r="G37" i="39"/>
  <c r="H37" i="39" s="1"/>
  <c r="D40" i="39"/>
  <c r="F39" i="39" l="1"/>
  <c r="G38" i="39"/>
  <c r="H38" i="39" s="1"/>
  <c r="F40" i="39" l="1"/>
  <c r="G39" i="39"/>
  <c r="H39" i="39" s="1"/>
  <c r="G40" i="39" l="1"/>
  <c r="H40" i="39" s="1"/>
  <c r="D46" i="29" l="1"/>
  <c r="B54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K283" i="28"/>
  <c r="K287" i="28"/>
  <c r="K291" i="28"/>
  <c r="K295" i="28"/>
  <c r="K299" i="28"/>
  <c r="K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G65" i="37"/>
  <c r="D48" i="37" s="1"/>
  <c r="D17" i="37"/>
  <c r="C87" i="37"/>
  <c r="E18" i="37"/>
  <c r="B32" i="37"/>
  <c r="I64" i="37" l="1"/>
  <c r="I65" i="37" s="1"/>
  <c r="D18" i="37"/>
  <c r="B33" i="37"/>
  <c r="E19" i="37"/>
  <c r="C88" i="37"/>
  <c r="J65" i="37" l="1"/>
  <c r="F14" i="37" s="1"/>
  <c r="F15" i="37" s="1"/>
  <c r="F16" i="37" s="1"/>
  <c r="F17" i="37" s="1"/>
  <c r="F18" i="37" s="1"/>
  <c r="F19" i="37" s="1"/>
  <c r="K65" i="37"/>
  <c r="D51" i="37" s="1"/>
  <c r="D19" i="37"/>
  <c r="C89" i="37"/>
  <c r="E20" i="37"/>
  <c r="B34" i="37"/>
  <c r="G14" i="37" l="1"/>
  <c r="H14" i="37" s="1"/>
  <c r="G18" i="37"/>
  <c r="H18" i="37" s="1"/>
  <c r="D20" i="37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E27" i="37" l="1"/>
  <c r="F27" i="37"/>
  <c r="G26" i="37"/>
  <c r="H26" i="37" s="1"/>
  <c r="F88" i="37"/>
  <c r="D28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C82" i="37" l="1"/>
  <c r="H59" i="36" l="1"/>
  <c r="H58" i="36"/>
  <c r="F59" i="36"/>
  <c r="F58" i="36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C84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B18" i="28" l="1"/>
  <c r="D16" i="36"/>
  <c r="C85" i="36"/>
  <c r="H64" i="36"/>
  <c r="F65" i="36"/>
  <c r="H63" i="36"/>
  <c r="G58" i="36"/>
  <c r="G59" i="36" s="1"/>
  <c r="I60" i="36"/>
  <c r="E14" i="36" s="1"/>
  <c r="E15" i="36" s="1"/>
  <c r="E16" i="36" s="1"/>
  <c r="B31" i="36"/>
  <c r="B19" i="28" l="1"/>
  <c r="E17" i="36"/>
  <c r="D17" i="36"/>
  <c r="C86" i="36"/>
  <c r="H65" i="36"/>
  <c r="I63" i="36" s="1"/>
  <c r="G60" i="36"/>
  <c r="C82" i="36"/>
  <c r="B32" i="36"/>
  <c r="B20" i="28" l="1"/>
  <c r="I64" i="36"/>
  <c r="K65" i="36" s="1"/>
  <c r="D51" i="36" s="1"/>
  <c r="C87" i="36"/>
  <c r="E18" i="36"/>
  <c r="D78" i="36"/>
  <c r="D18" i="36"/>
  <c r="G65" i="36"/>
  <c r="D48" i="36" s="1"/>
  <c r="B33" i="36"/>
  <c r="C88" i="36" l="1"/>
  <c r="I65" i="36"/>
  <c r="J65" i="36"/>
  <c r="F14" i="36" s="1"/>
  <c r="F15" i="36" s="1"/>
  <c r="F16" i="36" s="1"/>
  <c r="F17" i="36" s="1"/>
  <c r="F18" i="36" s="1"/>
  <c r="G18" i="36" s="1"/>
  <c r="H18" i="36" s="1"/>
  <c r="B21" i="28"/>
  <c r="E19" i="36"/>
  <c r="D19" i="36"/>
  <c r="B34" i="36"/>
  <c r="B3" i="31"/>
  <c r="E20" i="36" l="1"/>
  <c r="C89" i="36"/>
  <c r="G14" i="36"/>
  <c r="H14" i="36" s="1"/>
  <c r="F19" i="36"/>
  <c r="G19" i="36" s="1"/>
  <c r="H19" i="36" s="1"/>
  <c r="B22" i="28"/>
  <c r="G15" i="36"/>
  <c r="H15" i="36" s="1"/>
  <c r="D20" i="36"/>
  <c r="G16" i="36"/>
  <c r="H16" i="36" s="1"/>
  <c r="B35" i="36"/>
  <c r="E21" i="36" l="1"/>
  <c r="C90" i="36"/>
  <c r="F20" i="36"/>
  <c r="F21" i="36" s="1"/>
  <c r="B23" i="28"/>
  <c r="D21" i="36"/>
  <c r="B36" i="36"/>
  <c r="G17" i="36"/>
  <c r="H17" i="36" s="1"/>
  <c r="E22" i="36" l="1"/>
  <c r="C91" i="36"/>
  <c r="G20" i="36"/>
  <c r="H20" i="36" s="1"/>
  <c r="B24" i="28"/>
  <c r="F22" i="36"/>
  <c r="G21" i="36"/>
  <c r="H21" i="36" s="1"/>
  <c r="D22" i="36"/>
  <c r="B37" i="36"/>
  <c r="E23" i="36" l="1"/>
  <c r="F83" i="36"/>
  <c r="B25" i="28"/>
  <c r="F23" i="36"/>
  <c r="G22" i="36"/>
  <c r="H22" i="36" s="1"/>
  <c r="D23" i="36"/>
  <c r="B38" i="36"/>
  <c r="E24" i="36" l="1"/>
  <c r="F84" i="36"/>
  <c r="B26" i="28"/>
  <c r="G23" i="36"/>
  <c r="H23" i="36" s="1"/>
  <c r="F24" i="36"/>
  <c r="D24" i="36"/>
  <c r="B39" i="36"/>
  <c r="E25" i="36" l="1"/>
  <c r="F25" i="36"/>
  <c r="F85" i="36"/>
  <c r="B27" i="28"/>
  <c r="D25" i="36"/>
  <c r="B40" i="36"/>
  <c r="E26" i="36" l="1"/>
  <c r="G25" i="36"/>
  <c r="H25" i="36" s="1"/>
  <c r="F26" i="36"/>
  <c r="F86" i="36"/>
  <c r="B28" i="28"/>
  <c r="D26" i="36"/>
  <c r="G26" i="36" l="1"/>
  <c r="H26" i="36" s="1"/>
  <c r="F27" i="36"/>
  <c r="F87" i="36"/>
  <c r="E27" i="36"/>
  <c r="B29" i="28"/>
  <c r="D27" i="36"/>
  <c r="F88" i="36"/>
  <c r="E28" i="36" l="1"/>
  <c r="E29" i="36" s="1"/>
  <c r="F28" i="36"/>
  <c r="D28" i="36"/>
  <c r="D29" i="36" s="1"/>
  <c r="G27" i="36"/>
  <c r="H27" i="36" s="1"/>
  <c r="B30" i="28"/>
  <c r="F89" i="36"/>
  <c r="G24" i="36"/>
  <c r="H24" i="36" s="1"/>
  <c r="G28" i="36" l="1"/>
  <c r="H28" i="36" s="1"/>
  <c r="F29" i="36"/>
  <c r="G29" i="36" s="1"/>
  <c r="H29" i="36" s="1"/>
  <c r="B31" i="28"/>
  <c r="E30" i="36"/>
  <c r="F90" i="36"/>
  <c r="F30" i="36" l="1"/>
  <c r="G30" i="36" s="1"/>
  <c r="B32" i="28"/>
  <c r="E31" i="36"/>
  <c r="D30" i="36"/>
  <c r="D31" i="36" s="1"/>
  <c r="F91" i="36"/>
  <c r="F31" i="36" l="1"/>
  <c r="G31" i="36" s="1"/>
  <c r="H31" i="36" s="1"/>
  <c r="B33" i="28"/>
  <c r="E32" i="36"/>
  <c r="D32" i="36"/>
  <c r="H30" i="36"/>
  <c r="I83" i="36"/>
  <c r="F32" i="36" l="1"/>
  <c r="G32" i="36" s="1"/>
  <c r="H32" i="36" s="1"/>
  <c r="B34" i="28"/>
  <c r="E33" i="36"/>
  <c r="I84" i="36"/>
  <c r="F33" i="36" l="1"/>
  <c r="G33" i="36" s="1"/>
  <c r="B35" i="28"/>
  <c r="E34" i="36"/>
  <c r="D33" i="36"/>
  <c r="I85" i="36"/>
  <c r="F34" i="36" l="1"/>
  <c r="F35" i="36" s="1"/>
  <c r="B36" i="28"/>
  <c r="E35" i="36"/>
  <c r="D34" i="36"/>
  <c r="H33" i="36"/>
  <c r="I86" i="36"/>
  <c r="G34" i="36" l="1"/>
  <c r="H34" i="36" s="1"/>
  <c r="B37" i="28"/>
  <c r="E36" i="36"/>
  <c r="F36" i="36"/>
  <c r="G35" i="36"/>
  <c r="D35" i="36"/>
  <c r="I87" i="36"/>
  <c r="B38" i="28" l="1"/>
  <c r="E37" i="36"/>
  <c r="G36" i="36"/>
  <c r="D36" i="36"/>
  <c r="H35" i="36"/>
  <c r="I88" i="36"/>
  <c r="B39" i="28" l="1"/>
  <c r="F37" i="36"/>
  <c r="G37" i="36" s="1"/>
  <c r="E38" i="36"/>
  <c r="D37" i="36"/>
  <c r="H36" i="36"/>
  <c r="I89" i="36"/>
  <c r="B40" i="28" l="1"/>
  <c r="F38" i="36"/>
  <c r="G38" i="36" s="1"/>
  <c r="E39" i="36"/>
  <c r="D38" i="36"/>
  <c r="H37" i="36"/>
  <c r="I90" i="36"/>
  <c r="E40" i="36" l="1"/>
  <c r="F39" i="36"/>
  <c r="D39" i="36"/>
  <c r="D40" i="36" s="1"/>
  <c r="H38" i="36"/>
  <c r="I91" i="36"/>
  <c r="G39" i="36" l="1"/>
  <c r="H39" i="36" s="1"/>
  <c r="F40" i="36"/>
  <c r="G40" i="36" s="1"/>
  <c r="H40" i="36" s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C64" i="29" l="1"/>
  <c r="C63" i="29"/>
  <c r="C73" i="29"/>
  <c r="E68" i="29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H64" i="29"/>
  <c r="F65" i="29"/>
  <c r="F58" i="29"/>
  <c r="F60" i="29" s="1"/>
  <c r="G58" i="29" s="1"/>
  <c r="H63" i="29"/>
  <c r="B29" i="29" l="1"/>
  <c r="B30" i="29" s="1"/>
  <c r="B31" i="29" s="1"/>
  <c r="H65" i="29"/>
  <c r="D78" i="29" s="1"/>
  <c r="G59" i="29"/>
  <c r="G60" i="29" s="1"/>
  <c r="I60" i="29"/>
  <c r="E14" i="29" s="1"/>
  <c r="E15" i="29" s="1"/>
  <c r="H60" i="29"/>
  <c r="C14" i="29" s="1"/>
  <c r="D14" i="29" s="1"/>
  <c r="D15" i="29" s="1"/>
  <c r="G65" i="29" l="1"/>
  <c r="D48" i="29" s="1"/>
  <c r="I63" i="29"/>
  <c r="B32" i="29"/>
  <c r="I64" i="29" l="1"/>
  <c r="K65" i="29" s="1"/>
  <c r="B33" i="29"/>
  <c r="J65" i="29" l="1"/>
  <c r="F14" i="29" s="1"/>
  <c r="F15" i="29" s="1"/>
  <c r="I65" i="29"/>
  <c r="D51" i="29"/>
  <c r="B34" i="29"/>
  <c r="G14" i="29" l="1"/>
  <c r="H14" i="29" s="1"/>
  <c r="B35" i="29"/>
  <c r="B36" i="29" l="1"/>
  <c r="B37" i="29" l="1"/>
  <c r="B38" i="29" l="1"/>
  <c r="B39" i="29" l="1"/>
  <c r="B40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D20" i="29" l="1"/>
  <c r="E20" i="29"/>
  <c r="G19" i="29"/>
  <c r="H19" i="29" s="1"/>
  <c r="F20" i="29"/>
  <c r="C89" i="29"/>
  <c r="K18" i="28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I28" i="29" s="1"/>
  <c r="D26" i="28"/>
  <c r="D24" i="28"/>
  <c r="D22" i="28"/>
  <c r="E20" i="28"/>
  <c r="D18" i="28"/>
  <c r="D16" i="28"/>
  <c r="C90" i="29"/>
  <c r="D21" i="29"/>
  <c r="E21" i="29"/>
  <c r="F21" i="29"/>
  <c r="G20" i="29"/>
  <c r="H20" i="29" s="1"/>
  <c r="I40" i="37" l="1"/>
  <c r="I36" i="37"/>
  <c r="I32" i="37"/>
  <c r="I38" i="39"/>
  <c r="I32" i="39"/>
  <c r="I34" i="39"/>
  <c r="I39" i="37"/>
  <c r="I35" i="37"/>
  <c r="I31" i="37"/>
  <c r="I37" i="39"/>
  <c r="I33" i="39"/>
  <c r="I37" i="37"/>
  <c r="I33" i="37"/>
  <c r="I39" i="39"/>
  <c r="I35" i="39"/>
  <c r="I31" i="39"/>
  <c r="I38" i="37"/>
  <c r="I36" i="39"/>
  <c r="I40" i="39"/>
  <c r="I34" i="37"/>
  <c r="I30" i="36"/>
  <c r="I32" i="36"/>
  <c r="I31" i="36"/>
  <c r="I33" i="36"/>
  <c r="I34" i="36"/>
  <c r="I36" i="36"/>
  <c r="I35" i="36"/>
  <c r="I37" i="36"/>
  <c r="I38" i="36"/>
  <c r="I39" i="36"/>
  <c r="I40" i="36"/>
  <c r="C91" i="29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" i="31"/>
  <c r="I14" i="31"/>
  <c r="K9" i="31"/>
  <c r="G32" i="29" l="1"/>
  <c r="H32" i="29" s="1"/>
  <c r="D34" i="29"/>
  <c r="E33" i="29"/>
  <c r="F33" i="29"/>
  <c r="I85" i="29"/>
  <c r="I134" i="3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9" i="31"/>
  <c r="I18" i="31"/>
  <c r="I181" i="31"/>
  <c r="I73" i="31"/>
  <c r="G36" i="29" l="1"/>
  <c r="H36" i="29" s="1"/>
  <c r="F37" i="29"/>
  <c r="E37" i="29"/>
  <c r="D38" i="29"/>
  <c r="I89" i="29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217" i="31"/>
  <c r="I109" i="31"/>
  <c r="I184" i="31"/>
  <c r="I76" i="31"/>
  <c r="I140" i="31"/>
  <c r="I21" i="31"/>
  <c r="I32" i="31"/>
  <c r="I206" i="31"/>
  <c r="I98" i="3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218" i="31"/>
  <c r="I110" i="31"/>
  <c r="I141" i="31"/>
  <c r="I33" i="31"/>
  <c r="I22" i="31"/>
  <c r="I196" i="31"/>
  <c r="I88" i="31"/>
  <c r="I229" i="31"/>
  <c r="I121" i="31"/>
  <c r="I207" i="31"/>
  <c r="I99" i="31"/>
  <c r="I163" i="31"/>
  <c r="I55" i="31"/>
  <c r="G40" i="29" l="1"/>
  <c r="H40" i="29" s="1"/>
  <c r="I175" i="31"/>
  <c r="I67" i="31"/>
  <c r="I208" i="31"/>
  <c r="I100" i="31"/>
  <c r="I153" i="31"/>
  <c r="I45" i="31"/>
  <c r="I230" i="31"/>
  <c r="I122" i="31"/>
  <c r="I164" i="31"/>
  <c r="I56" i="31"/>
  <c r="I219" i="31"/>
  <c r="I111" i="31"/>
  <c r="I142" i="31"/>
  <c r="I23" i="31"/>
  <c r="I34" i="31"/>
  <c r="I197" i="31"/>
  <c r="I89" i="31"/>
  <c r="I186" i="31"/>
  <c r="I78" i="31"/>
  <c r="I198" i="31" l="1"/>
  <c r="I90" i="31"/>
  <c r="I143" i="31"/>
  <c r="I35" i="31"/>
  <c r="I24" i="31"/>
  <c r="I231" i="31"/>
  <c r="I123" i="31"/>
  <c r="I187" i="31"/>
  <c r="I79" i="31"/>
  <c r="I209" i="31"/>
  <c r="I101" i="31"/>
  <c r="I154" i="31"/>
  <c r="I46" i="31"/>
  <c r="I176" i="31"/>
  <c r="I68" i="31"/>
  <c r="I165" i="31"/>
  <c r="I57" i="31"/>
  <c r="I220" i="31"/>
  <c r="I112" i="31"/>
  <c r="I177" i="31" l="1"/>
  <c r="I69" i="31"/>
  <c r="I188" i="31"/>
  <c r="I80" i="31"/>
  <c r="I221" i="31"/>
  <c r="I113" i="31"/>
  <c r="I199" i="31"/>
  <c r="I91" i="31"/>
  <c r="I155" i="31"/>
  <c r="I47" i="31"/>
  <c r="I232" i="31"/>
  <c r="I124" i="31"/>
  <c r="I166" i="31"/>
  <c r="I58" i="31"/>
  <c r="I144" i="31"/>
  <c r="I36" i="31"/>
  <c r="I210" i="31"/>
  <c r="I102" i="31"/>
  <c r="I222" i="31" l="1"/>
  <c r="I114" i="31"/>
  <c r="I211" i="31"/>
  <c r="I103" i="31"/>
  <c r="I189" i="31"/>
  <c r="I81" i="31"/>
  <c r="I156" i="31"/>
  <c r="I48" i="31"/>
  <c r="I178" i="31"/>
  <c r="I70" i="31"/>
  <c r="I167" i="31"/>
  <c r="I59" i="31"/>
  <c r="I233" i="31"/>
  <c r="I125" i="31"/>
  <c r="I200" i="31"/>
  <c r="I92" i="31"/>
  <c r="I212" i="31" l="1"/>
  <c r="I104" i="31"/>
  <c r="I190" i="31"/>
  <c r="I82" i="31"/>
  <c r="I201" i="31"/>
  <c r="I93" i="31"/>
  <c r="I179" i="31"/>
  <c r="I71" i="31"/>
  <c r="I168" i="31"/>
  <c r="I60" i="31"/>
  <c r="I223" i="31"/>
  <c r="I115" i="31"/>
  <c r="I234" i="31"/>
  <c r="I126" i="31"/>
  <c r="I235" i="31" l="1"/>
  <c r="I127" i="31"/>
  <c r="I191" i="31"/>
  <c r="I83" i="31"/>
  <c r="I213" i="31"/>
  <c r="I105" i="31"/>
  <c r="I202" i="31"/>
  <c r="I94" i="31"/>
  <c r="I180" i="31"/>
  <c r="I72" i="31"/>
  <c r="I224" i="31"/>
  <c r="I116" i="31"/>
  <c r="I225" i="31" l="1"/>
  <c r="I117" i="31"/>
  <c r="I203" i="31"/>
  <c r="I95" i="31"/>
  <c r="I236" i="31"/>
  <c r="I128" i="31"/>
  <c r="I192" i="31"/>
  <c r="I84" i="31"/>
  <c r="I214" i="31"/>
  <c r="I106" i="31"/>
  <c r="I226" i="31" l="1"/>
  <c r="I118" i="31"/>
  <c r="I215" i="31"/>
  <c r="I107" i="31"/>
  <c r="I204" i="31"/>
  <c r="I96" i="31"/>
  <c r="I237" i="31"/>
  <c r="I129" i="31"/>
  <c r="I227" i="31" l="1"/>
  <c r="I119" i="31"/>
  <c r="I216" i="31"/>
  <c r="I108" i="31"/>
  <c r="I238" i="31"/>
  <c r="I130" i="31"/>
  <c r="I239" i="31" l="1"/>
  <c r="I131" i="31"/>
  <c r="I228" i="31"/>
  <c r="I120" i="31"/>
  <c r="I240" i="31" l="1"/>
  <c r="I132" i="31"/>
  <c r="D50" i="29" l="1"/>
  <c r="J39" i="39" l="1"/>
  <c r="K39" i="39" s="1"/>
  <c r="J40" i="39"/>
  <c r="K40" i="39" s="1"/>
  <c r="J34" i="39"/>
  <c r="K34" i="39" s="1"/>
  <c r="J31" i="39"/>
  <c r="K31" i="39" s="1"/>
  <c r="J37" i="39"/>
  <c r="K37" i="39" s="1"/>
  <c r="J33" i="39"/>
  <c r="K33" i="39" s="1"/>
  <c r="J38" i="39"/>
  <c r="K38" i="39" s="1"/>
  <c r="J32" i="39"/>
  <c r="K32" i="39" s="1"/>
  <c r="J35" i="39"/>
  <c r="K35" i="39" s="1"/>
  <c r="J36" i="39"/>
  <c r="K36" i="39" s="1"/>
  <c r="J32" i="37"/>
  <c r="K32" i="37" s="1"/>
  <c r="J40" i="36" l="1"/>
  <c r="K40" i="36" s="1"/>
  <c r="J32" i="36"/>
  <c r="K32" i="36" s="1"/>
  <c r="J34" i="37"/>
  <c r="K34" i="37" s="1"/>
  <c r="J34" i="36"/>
  <c r="J39" i="37"/>
  <c r="K39" i="37" s="1"/>
  <c r="J39" i="36"/>
  <c r="K39" i="36" s="1"/>
  <c r="J28" i="29"/>
  <c r="K28" i="29" s="1"/>
  <c r="J37" i="37"/>
  <c r="K37" i="37" s="1"/>
  <c r="J37" i="36"/>
  <c r="J40" i="37"/>
  <c r="K40" i="37" s="1"/>
  <c r="J38" i="37"/>
  <c r="K38" i="37" s="1"/>
  <c r="J38" i="36"/>
  <c r="K38" i="36" s="1"/>
  <c r="J30" i="36"/>
  <c r="J33" i="36"/>
  <c r="J33" i="37"/>
  <c r="K33" i="37" s="1"/>
  <c r="J35" i="36"/>
  <c r="J35" i="37"/>
  <c r="K35" i="37" s="1"/>
  <c r="J31" i="37"/>
  <c r="K31" i="37" s="1"/>
  <c r="J31" i="36"/>
  <c r="J36" i="37"/>
  <c r="K36" i="37" s="1"/>
  <c r="J36" i="36"/>
  <c r="K37" i="36" l="1"/>
  <c r="K36" i="36"/>
  <c r="K33" i="36"/>
  <c r="K30" i="36"/>
  <c r="K31" i="36"/>
  <c r="K34" i="36"/>
  <c r="K35" i="36"/>
  <c r="B57" i="25" l="1"/>
  <c r="B30" i="47" s="1"/>
  <c r="B58" i="25" l="1"/>
  <c r="M16" i="28"/>
  <c r="C9" i="28" l="1"/>
  <c r="C40" i="28" l="1"/>
  <c r="I40" i="29" s="1"/>
  <c r="J40" i="29" s="1"/>
  <c r="K40" i="29" s="1"/>
  <c r="C32" i="28"/>
  <c r="I32" i="29" s="1"/>
  <c r="J32" i="29" s="1"/>
  <c r="K32" i="29" s="1"/>
  <c r="C14" i="28"/>
  <c r="C37" i="28"/>
  <c r="I37" i="29" s="1"/>
  <c r="J37" i="29" s="1"/>
  <c r="K37" i="29" s="1"/>
  <c r="C18" i="28"/>
  <c r="C34" i="28"/>
  <c r="I34" i="29" s="1"/>
  <c r="J34" i="29" s="1"/>
  <c r="K34" i="29" s="1"/>
  <c r="C38" i="28"/>
  <c r="I38" i="29" s="1"/>
  <c r="J38" i="29" s="1"/>
  <c r="K38" i="29" s="1"/>
  <c r="C21" i="28"/>
  <c r="C19" i="28"/>
  <c r="C22" i="28"/>
  <c r="C30" i="28"/>
  <c r="I30" i="29" s="1"/>
  <c r="J30" i="29" s="1"/>
  <c r="K30" i="29" s="1"/>
  <c r="C35" i="28"/>
  <c r="I35" i="29" s="1"/>
  <c r="J35" i="29" s="1"/>
  <c r="K35" i="29" s="1"/>
  <c r="C31" i="28"/>
  <c r="I31" i="29" s="1"/>
  <c r="J31" i="29" s="1"/>
  <c r="K31" i="29" s="1"/>
  <c r="C29" i="28"/>
  <c r="I29" i="29" s="1"/>
  <c r="J29" i="29" s="1"/>
  <c r="K29" i="29" s="1"/>
  <c r="C17" i="28"/>
  <c r="C23" i="28"/>
  <c r="C39" i="28"/>
  <c r="I39" i="29" s="1"/>
  <c r="J39" i="29" s="1"/>
  <c r="K39" i="29" s="1"/>
  <c r="C28" i="28"/>
  <c r="C36" i="28"/>
  <c r="I36" i="29" s="1"/>
  <c r="J36" i="29" s="1"/>
  <c r="K36" i="29" s="1"/>
  <c r="C27" i="28"/>
  <c r="I27" i="29" s="1"/>
  <c r="J27" i="29" s="1"/>
  <c r="K27" i="29" s="1"/>
  <c r="C33" i="28"/>
  <c r="I33" i="29" s="1"/>
  <c r="J33" i="29" s="1"/>
  <c r="K33" i="29" s="1"/>
  <c r="C15" i="28"/>
  <c r="C26" i="28"/>
  <c r="C24" i="28"/>
  <c r="C16" i="28"/>
  <c r="C25" i="28"/>
  <c r="C20" i="28"/>
  <c r="J13" i="31" l="1"/>
  <c r="B13" i="25" s="1"/>
  <c r="B8" i="47" s="1"/>
  <c r="L16" i="31"/>
  <c r="B14" i="31"/>
  <c r="J14" i="31" l="1"/>
  <c r="B15" i="31"/>
  <c r="L17" i="31"/>
  <c r="B14" i="25"/>
  <c r="B9" i="47" s="1"/>
  <c r="O13" i="25"/>
  <c r="AK13" i="25" l="1"/>
  <c r="AC13" i="25"/>
  <c r="AF13" i="25"/>
  <c r="AI13" i="25"/>
  <c r="AD13" i="25"/>
  <c r="AG13" i="25"/>
  <c r="AJ13" i="25"/>
  <c r="AH13" i="25"/>
  <c r="B15" i="25"/>
  <c r="B10" i="47" s="1"/>
  <c r="O14" i="25"/>
  <c r="L18" i="31"/>
  <c r="B16" i="31"/>
  <c r="J15" i="31"/>
  <c r="AS13" i="25"/>
  <c r="AN13" i="25"/>
  <c r="AQ13" i="25"/>
  <c r="AW13" i="25"/>
  <c r="AR13" i="25"/>
  <c r="AP13" i="25"/>
  <c r="AO13" i="25"/>
  <c r="AV13" i="25"/>
  <c r="AT13" i="25"/>
  <c r="AU13" i="25"/>
  <c r="AF14" i="25" l="1"/>
  <c r="AB14" i="25"/>
  <c r="AI14" i="25"/>
  <c r="AH14" i="25"/>
  <c r="AG14" i="25"/>
  <c r="AC14" i="25"/>
  <c r="AJ14" i="25"/>
  <c r="AK14" i="25"/>
  <c r="AE14" i="25"/>
  <c r="AD14" i="25"/>
  <c r="BB13" i="25"/>
  <c r="BG13" i="25"/>
  <c r="BF13" i="25"/>
  <c r="BI13" i="25"/>
  <c r="BH13" i="25"/>
  <c r="BD13" i="25"/>
  <c r="AB13" i="25"/>
  <c r="AZ13" i="25" s="1"/>
  <c r="AE13" i="25"/>
  <c r="AV14" i="25"/>
  <c r="AN14" i="25"/>
  <c r="AO14" i="25"/>
  <c r="AQ14" i="25"/>
  <c r="AU14" i="25"/>
  <c r="AS14" i="25"/>
  <c r="AR14" i="25"/>
  <c r="AW14" i="25"/>
  <c r="AP14" i="25"/>
  <c r="AT14" i="25"/>
  <c r="BA13" i="25"/>
  <c r="BE13" i="25"/>
  <c r="J16" i="31"/>
  <c r="B17" i="31"/>
  <c r="L19" i="31"/>
  <c r="B16" i="25"/>
  <c r="B11" i="47" s="1"/>
  <c r="O15" i="25"/>
  <c r="AH15" i="25" l="1"/>
  <c r="AD15" i="25"/>
  <c r="AK15" i="25"/>
  <c r="AG15" i="25"/>
  <c r="AC15" i="25"/>
  <c r="AB15" i="25"/>
  <c r="AI15" i="25"/>
  <c r="AE15" i="25"/>
  <c r="AJ15" i="25"/>
  <c r="AF15" i="25"/>
  <c r="BC13" i="25"/>
  <c r="BJ13" i="25" s="1"/>
  <c r="C13" i="25" s="1"/>
  <c r="BG14" i="25"/>
  <c r="BE14" i="25"/>
  <c r="BB14" i="25"/>
  <c r="BC14" i="25"/>
  <c r="AQ15" i="25"/>
  <c r="AW15" i="25"/>
  <c r="AV15" i="25"/>
  <c r="AT15" i="25"/>
  <c r="AO15" i="25"/>
  <c r="AP15" i="25"/>
  <c r="AU15" i="25"/>
  <c r="AR15" i="25"/>
  <c r="AN15" i="25"/>
  <c r="AS15" i="25"/>
  <c r="BD14" i="25"/>
  <c r="BH14" i="25"/>
  <c r="O16" i="25"/>
  <c r="B17" i="25"/>
  <c r="B12" i="47" s="1"/>
  <c r="L20" i="31"/>
  <c r="BI14" i="25"/>
  <c r="B18" i="31"/>
  <c r="J17" i="31"/>
  <c r="BF14" i="25"/>
  <c r="BA14" i="25"/>
  <c r="AZ14" i="25"/>
  <c r="AF16" i="25" l="1"/>
  <c r="AI16" i="25"/>
  <c r="AH16" i="25"/>
  <c r="AK16" i="25"/>
  <c r="AG16" i="25"/>
  <c r="AC16" i="25"/>
  <c r="AJ16" i="25"/>
  <c r="AB16" i="25"/>
  <c r="AD16" i="25"/>
  <c r="AZ15" i="25"/>
  <c r="BH15" i="25"/>
  <c r="BJ14" i="25"/>
  <c r="C14" i="25" s="1"/>
  <c r="BG15" i="25"/>
  <c r="BC15" i="25"/>
  <c r="L21" i="31"/>
  <c r="AQ16" i="25"/>
  <c r="AR16" i="25"/>
  <c r="AU16" i="25"/>
  <c r="AS16" i="25"/>
  <c r="AW16" i="25"/>
  <c r="AP16" i="25"/>
  <c r="AV16" i="25"/>
  <c r="AT16" i="25"/>
  <c r="AN16" i="25"/>
  <c r="AO16" i="25"/>
  <c r="B19" i="31"/>
  <c r="J18" i="31"/>
  <c r="BD15" i="25"/>
  <c r="BB15" i="25"/>
  <c r="BA15" i="25"/>
  <c r="BF15" i="25"/>
  <c r="B18" i="25"/>
  <c r="B13" i="47" s="1"/>
  <c r="O17" i="25"/>
  <c r="BE15" i="25"/>
  <c r="BI15" i="25"/>
  <c r="AD17" i="25" l="1"/>
  <c r="AK17" i="25"/>
  <c r="AC17" i="25"/>
  <c r="AJ17" i="25"/>
  <c r="AF17" i="25"/>
  <c r="AI17" i="25"/>
  <c r="AE17" i="25"/>
  <c r="AH17" i="25"/>
  <c r="AG17" i="25"/>
  <c r="BB16" i="25"/>
  <c r="BA16" i="25"/>
  <c r="BF16" i="25"/>
  <c r="AZ16" i="25"/>
  <c r="BH16" i="25"/>
  <c r="BJ15" i="25"/>
  <c r="C15" i="25" s="1"/>
  <c r="AE16" i="25"/>
  <c r="BD16" i="25"/>
  <c r="AP17" i="25"/>
  <c r="AV17" i="25"/>
  <c r="AQ17" i="25"/>
  <c r="AS17" i="25"/>
  <c r="AW17" i="25"/>
  <c r="AU17" i="25"/>
  <c r="AO17" i="25"/>
  <c r="AR17" i="25"/>
  <c r="AT17" i="25"/>
  <c r="AN17" i="25"/>
  <c r="B20" i="31"/>
  <c r="J19" i="31"/>
  <c r="O18" i="25"/>
  <c r="B19" i="25"/>
  <c r="B14" i="47" s="1"/>
  <c r="BI16" i="25"/>
  <c r="BE16" i="25"/>
  <c r="BG16" i="25"/>
  <c r="L22" i="31"/>
  <c r="AF18" i="25" l="1"/>
  <c r="AB18" i="25"/>
  <c r="AH18" i="25"/>
  <c r="AD18" i="25"/>
  <c r="AK18" i="25"/>
  <c r="AG18" i="25"/>
  <c r="AC18" i="25"/>
  <c r="AI18" i="25"/>
  <c r="AE18" i="25"/>
  <c r="AJ18" i="25"/>
  <c r="BC16" i="25"/>
  <c r="BJ16" i="25" s="1"/>
  <c r="C16" i="25" s="1"/>
  <c r="BI17" i="25"/>
  <c r="BF17" i="25"/>
  <c r="BD17" i="25"/>
  <c r="B20" i="25"/>
  <c r="B15" i="47" s="1"/>
  <c r="O19" i="25"/>
  <c r="AB17" i="25"/>
  <c r="L23" i="31"/>
  <c r="AU18" i="25"/>
  <c r="AP18" i="25"/>
  <c r="AV18" i="25"/>
  <c r="AN18" i="25"/>
  <c r="AR18" i="25"/>
  <c r="AW18" i="25"/>
  <c r="AS18" i="25"/>
  <c r="AQ18" i="25"/>
  <c r="AO18" i="25"/>
  <c r="AT18" i="25"/>
  <c r="J20" i="31"/>
  <c r="B21" i="31"/>
  <c r="BE17" i="25"/>
  <c r="BC17" i="25"/>
  <c r="AZ17" i="25"/>
  <c r="BH17" i="25"/>
  <c r="BA17" i="25"/>
  <c r="BG17" i="25"/>
  <c r="BB17" i="25"/>
  <c r="AG19" i="25" l="1"/>
  <c r="AC19" i="25"/>
  <c r="AJ19" i="25"/>
  <c r="AB19" i="25"/>
  <c r="AI19" i="25"/>
  <c r="AH19" i="25"/>
  <c r="AK19" i="25"/>
  <c r="AF19" i="25"/>
  <c r="AD19" i="25"/>
  <c r="BC18" i="25"/>
  <c r="BH18" i="25"/>
  <c r="BA18" i="25"/>
  <c r="BF18" i="25"/>
  <c r="BE18" i="25"/>
  <c r="BI18" i="25"/>
  <c r="BG18" i="25"/>
  <c r="AZ18" i="25"/>
  <c r="BJ17" i="25"/>
  <c r="C17" i="25" s="1"/>
  <c r="B22" i="31"/>
  <c r="J21" i="31"/>
  <c r="BD18" i="25"/>
  <c r="L24" i="31"/>
  <c r="BB18" i="25"/>
  <c r="AO19" i="25"/>
  <c r="AN19" i="25"/>
  <c r="AR19" i="25"/>
  <c r="AP19" i="25"/>
  <c r="AS19" i="25"/>
  <c r="AU19" i="25"/>
  <c r="AW19" i="25"/>
  <c r="AT19" i="25"/>
  <c r="AQ19" i="25"/>
  <c r="AV19" i="25"/>
  <c r="O20" i="25"/>
  <c r="B21" i="25"/>
  <c r="B16" i="47" s="1"/>
  <c r="AB20" i="25" l="1"/>
  <c r="AI20" i="25"/>
  <c r="AD20" i="25"/>
  <c r="AK20" i="25"/>
  <c r="AG20" i="25"/>
  <c r="AC20" i="25"/>
  <c r="AE20" i="25"/>
  <c r="AJ20" i="25"/>
  <c r="AF20" i="25"/>
  <c r="AH20" i="25"/>
  <c r="BA19" i="25"/>
  <c r="BG19" i="25"/>
  <c r="BE19" i="25"/>
  <c r="BI19" i="25"/>
  <c r="BJ18" i="25"/>
  <c r="C18" i="25" s="1"/>
  <c r="AO20" i="25"/>
  <c r="AU20" i="25"/>
  <c r="AV20" i="25"/>
  <c r="AN20" i="25"/>
  <c r="AR20" i="25"/>
  <c r="AT20" i="25"/>
  <c r="AQ20" i="25"/>
  <c r="AP20" i="25"/>
  <c r="AS20" i="25"/>
  <c r="AW20" i="25"/>
  <c r="AE19" i="25"/>
  <c r="BB19" i="25"/>
  <c r="L25" i="31"/>
  <c r="BH19" i="25"/>
  <c r="B22" i="25"/>
  <c r="B17" i="47" s="1"/>
  <c r="O21" i="25"/>
  <c r="BF19" i="25"/>
  <c r="BD19" i="25"/>
  <c r="AZ19" i="25"/>
  <c r="J22" i="31"/>
  <c r="B23" i="31"/>
  <c r="AK21" i="25" l="1"/>
  <c r="AG21" i="25"/>
  <c r="AJ21" i="25"/>
  <c r="AF21" i="25"/>
  <c r="AB21" i="25"/>
  <c r="AI21" i="25"/>
  <c r="AE21" i="25"/>
  <c r="AC21" i="25"/>
  <c r="AD21" i="25"/>
  <c r="AH21" i="25"/>
  <c r="BC19" i="25"/>
  <c r="BJ19" i="25" s="1"/>
  <c r="C19" i="25" s="1"/>
  <c r="BH20" i="25"/>
  <c r="BI20" i="25"/>
  <c r="AZ20" i="25"/>
  <c r="BF20" i="25"/>
  <c r="BB20" i="25"/>
  <c r="L26" i="31"/>
  <c r="BE20" i="25"/>
  <c r="BC20" i="25"/>
  <c r="BA20" i="25"/>
  <c r="BD20" i="25"/>
  <c r="AU21" i="25"/>
  <c r="AT21" i="25"/>
  <c r="AP21" i="25"/>
  <c r="AO21" i="25"/>
  <c r="AW21" i="25"/>
  <c r="AQ21" i="25"/>
  <c r="AN21" i="25"/>
  <c r="AR21" i="25"/>
  <c r="AS21" i="25"/>
  <c r="AV21" i="25"/>
  <c r="B24" i="31"/>
  <c r="J23" i="31"/>
  <c r="B23" i="25"/>
  <c r="B18" i="47" s="1"/>
  <c r="O22" i="25"/>
  <c r="BG20" i="25"/>
  <c r="AI22" i="25" l="1"/>
  <c r="AH22" i="25"/>
  <c r="AK22" i="25"/>
  <c r="AG22" i="25"/>
  <c r="AC22" i="25"/>
  <c r="AF22" i="25"/>
  <c r="AB22" i="25"/>
  <c r="AD22" i="25"/>
  <c r="AJ22" i="25"/>
  <c r="AE22" i="25"/>
  <c r="BA21" i="25"/>
  <c r="BD21" i="25"/>
  <c r="BJ20" i="25"/>
  <c r="C20" i="25" s="1"/>
  <c r="BE21" i="25"/>
  <c r="BC21" i="25"/>
  <c r="BH21" i="25"/>
  <c r="B24" i="25"/>
  <c r="B19" i="47" s="1"/>
  <c r="O23" i="25"/>
  <c r="BB21" i="25"/>
  <c r="BI21" i="25"/>
  <c r="B25" i="31"/>
  <c r="J24" i="31"/>
  <c r="BF21" i="25"/>
  <c r="L27" i="31"/>
  <c r="AO22" i="25"/>
  <c r="AS22" i="25"/>
  <c r="AV22" i="25"/>
  <c r="AN22" i="25"/>
  <c r="AQ22" i="25"/>
  <c r="AR22" i="25"/>
  <c r="AT22" i="25"/>
  <c r="AU22" i="25"/>
  <c r="AP22" i="25"/>
  <c r="AW22" i="25"/>
  <c r="AZ21" i="25"/>
  <c r="BG21" i="25"/>
  <c r="AD23" i="25" l="1"/>
  <c r="AK23" i="25"/>
  <c r="AJ23" i="25"/>
  <c r="AF23" i="25"/>
  <c r="AI23" i="25"/>
  <c r="AE23" i="25"/>
  <c r="AH23" i="25"/>
  <c r="AC23" i="25"/>
  <c r="AG23" i="25"/>
  <c r="AB23" i="25"/>
  <c r="BD22" i="25"/>
  <c r="BG22" i="25"/>
  <c r="BI22" i="25"/>
  <c r="BA22" i="25"/>
  <c r="BJ21" i="25"/>
  <c r="C21" i="25" s="1"/>
  <c r="BH22" i="25"/>
  <c r="BF22" i="25"/>
  <c r="BC22" i="25"/>
  <c r="BB22" i="25"/>
  <c r="BE22" i="25"/>
  <c r="B26" i="31"/>
  <c r="J25" i="31"/>
  <c r="AS23" i="25"/>
  <c r="AO23" i="25"/>
  <c r="AT23" i="25"/>
  <c r="AQ23" i="25"/>
  <c r="AW23" i="25"/>
  <c r="AV23" i="25"/>
  <c r="AR23" i="25"/>
  <c r="AN23" i="25"/>
  <c r="AU23" i="25"/>
  <c r="AP23" i="25"/>
  <c r="AZ22" i="25"/>
  <c r="L28" i="31"/>
  <c r="O24" i="25"/>
  <c r="B25" i="25"/>
  <c r="B20" i="47" s="1"/>
  <c r="AB24" i="25" l="1"/>
  <c r="AI24" i="25"/>
  <c r="AH24" i="25"/>
  <c r="AD24" i="25"/>
  <c r="AK24" i="25"/>
  <c r="AC24" i="25"/>
  <c r="AE24" i="25"/>
  <c r="AJ24" i="25"/>
  <c r="AG24" i="25"/>
  <c r="AF24" i="25"/>
  <c r="AZ23" i="25"/>
  <c r="BD23" i="25"/>
  <c r="BJ22" i="25"/>
  <c r="C22" i="25" s="1"/>
  <c r="BC23" i="25"/>
  <c r="BH23" i="25"/>
  <c r="BB23" i="25"/>
  <c r="BA23" i="25"/>
  <c r="AV24" i="25"/>
  <c r="AO24" i="25"/>
  <c r="AR24" i="25"/>
  <c r="AW24" i="25"/>
  <c r="AQ24" i="25"/>
  <c r="AT24" i="25"/>
  <c r="AS24" i="25"/>
  <c r="AN24" i="25"/>
  <c r="AU24" i="25"/>
  <c r="AP24" i="25"/>
  <c r="BI23" i="25"/>
  <c r="BE23" i="25"/>
  <c r="J26" i="31"/>
  <c r="B27" i="31"/>
  <c r="B26" i="25"/>
  <c r="B21" i="47" s="1"/>
  <c r="O25" i="25"/>
  <c r="L29" i="31"/>
  <c r="BG23" i="25"/>
  <c r="BF23" i="25"/>
  <c r="AD25" i="25" l="1"/>
  <c r="AG25" i="25"/>
  <c r="AJ25" i="25"/>
  <c r="AB25" i="25"/>
  <c r="AI25" i="25"/>
  <c r="AE25" i="25"/>
  <c r="AH25" i="25"/>
  <c r="AF25" i="25"/>
  <c r="AC25" i="25"/>
  <c r="AK25" i="25"/>
  <c r="AZ24" i="25"/>
  <c r="BJ23" i="25"/>
  <c r="C23" i="25" s="1"/>
  <c r="BC24" i="25"/>
  <c r="BH24" i="25"/>
  <c r="AT25" i="25"/>
  <c r="AS25" i="25"/>
  <c r="AP25" i="25"/>
  <c r="AO25" i="25"/>
  <c r="AV25" i="25"/>
  <c r="AW25" i="25"/>
  <c r="AR25" i="25"/>
  <c r="AU25" i="25"/>
  <c r="AQ25" i="25"/>
  <c r="AN25" i="25"/>
  <c r="BG24" i="25"/>
  <c r="BE24" i="25"/>
  <c r="BD24" i="25"/>
  <c r="BA24" i="25"/>
  <c r="L30" i="31"/>
  <c r="B27" i="25"/>
  <c r="O26" i="25"/>
  <c r="BF24" i="25"/>
  <c r="BI24" i="25"/>
  <c r="BB24" i="25"/>
  <c r="B28" i="31"/>
  <c r="J27" i="31"/>
  <c r="AF26" i="25" l="1"/>
  <c r="AB26" i="25"/>
  <c r="AH26" i="25"/>
  <c r="AD26" i="25"/>
  <c r="AC26" i="25"/>
  <c r="AI26" i="25"/>
  <c r="AE26" i="25"/>
  <c r="AG26" i="25"/>
  <c r="AJ26" i="25"/>
  <c r="AK26" i="25"/>
  <c r="B28" i="25"/>
  <c r="O28" i="25" s="1"/>
  <c r="B22" i="47"/>
  <c r="BG25" i="25"/>
  <c r="BD25" i="25"/>
  <c r="BC25" i="25"/>
  <c r="BJ24" i="25"/>
  <c r="C24" i="25" s="1"/>
  <c r="BA25" i="25"/>
  <c r="BE25" i="25"/>
  <c r="BI25" i="25"/>
  <c r="AZ25" i="25"/>
  <c r="BB25" i="25"/>
  <c r="BF25" i="25"/>
  <c r="B29" i="31"/>
  <c r="J28" i="31"/>
  <c r="AV26" i="25"/>
  <c r="AW26" i="25"/>
  <c r="AR26" i="25"/>
  <c r="AO26" i="25"/>
  <c r="AU26" i="25"/>
  <c r="AT26" i="25"/>
  <c r="AP26" i="25"/>
  <c r="AN26" i="25"/>
  <c r="AS26" i="25"/>
  <c r="AQ26" i="25"/>
  <c r="BH25" i="25"/>
  <c r="O27" i="25"/>
  <c r="L31" i="31"/>
  <c r="AK27" i="25" l="1"/>
  <c r="AG27" i="25"/>
  <c r="AF27" i="25"/>
  <c r="AB27" i="25"/>
  <c r="AJ28" i="25"/>
  <c r="AF28" i="25"/>
  <c r="AE28" i="25"/>
  <c r="AH28" i="25"/>
  <c r="AK28" i="25"/>
  <c r="AG28" i="25"/>
  <c r="AC28" i="25"/>
  <c r="AJ27" i="25"/>
  <c r="AD28" i="25"/>
  <c r="AC27" i="25"/>
  <c r="AD27" i="25"/>
  <c r="AI27" i="25"/>
  <c r="AE27" i="25"/>
  <c r="AI28" i="25"/>
  <c r="AB28" i="25"/>
  <c r="B29" i="25"/>
  <c r="O29" i="25" s="1"/>
  <c r="AH27" i="25"/>
  <c r="B32" i="47"/>
  <c r="AQ28" i="25"/>
  <c r="AU28" i="25"/>
  <c r="AN28" i="25"/>
  <c r="AR28" i="25"/>
  <c r="AV28" i="25"/>
  <c r="AO28" i="25"/>
  <c r="AS28" i="25"/>
  <c r="AW28" i="25"/>
  <c r="AP28" i="25"/>
  <c r="AT28" i="25"/>
  <c r="AZ26" i="25"/>
  <c r="BE26" i="25"/>
  <c r="BG26" i="25"/>
  <c r="BC26" i="25"/>
  <c r="BI26" i="25"/>
  <c r="BF26" i="25"/>
  <c r="BJ25" i="25"/>
  <c r="C25" i="25" s="1"/>
  <c r="BD26" i="25"/>
  <c r="BH26" i="25"/>
  <c r="B30" i="31"/>
  <c r="J29" i="31"/>
  <c r="L32" i="31"/>
  <c r="AT27" i="25"/>
  <c r="AQ27" i="25"/>
  <c r="AU27" i="25"/>
  <c r="AW27" i="25"/>
  <c r="AP27" i="25"/>
  <c r="AS27" i="25"/>
  <c r="AV27" i="25"/>
  <c r="AN27" i="25"/>
  <c r="AR27" i="25"/>
  <c r="AO27" i="25"/>
  <c r="BB26" i="25"/>
  <c r="BA26" i="25"/>
  <c r="B30" i="25" l="1"/>
  <c r="AD29" i="25"/>
  <c r="AK29" i="25"/>
  <c r="AJ29" i="25"/>
  <c r="AF29" i="25"/>
  <c r="AI29" i="25"/>
  <c r="AE29" i="25"/>
  <c r="AH29" i="25"/>
  <c r="AC29" i="25"/>
  <c r="AB29" i="25"/>
  <c r="AG29" i="25"/>
  <c r="BD28" i="25"/>
  <c r="AO29" i="25"/>
  <c r="AS29" i="25"/>
  <c r="AW29" i="25"/>
  <c r="AP29" i="25"/>
  <c r="AT29" i="25"/>
  <c r="AQ29" i="25"/>
  <c r="AU29" i="25"/>
  <c r="AR29" i="25"/>
  <c r="AV29" i="25"/>
  <c r="AN29" i="25"/>
  <c r="BB28" i="25"/>
  <c r="BI28" i="25"/>
  <c r="BG28" i="25"/>
  <c r="AZ28" i="25"/>
  <c r="BF28" i="25"/>
  <c r="BA28" i="25"/>
  <c r="BH28" i="25"/>
  <c r="BE28" i="25"/>
  <c r="BC28" i="25"/>
  <c r="O30" i="25"/>
  <c r="B31" i="25"/>
  <c r="BE27" i="25"/>
  <c r="BJ26" i="25"/>
  <c r="C26" i="25" s="1"/>
  <c r="BD27" i="25"/>
  <c r="J30" i="31"/>
  <c r="B31" i="31"/>
  <c r="BG27" i="25"/>
  <c r="BH27" i="25"/>
  <c r="AZ27" i="25"/>
  <c r="BB27" i="25"/>
  <c r="BA27" i="25"/>
  <c r="BC27" i="25"/>
  <c r="BI27" i="25"/>
  <c r="L33" i="31"/>
  <c r="BF27" i="25"/>
  <c r="AF30" i="25" l="1"/>
  <c r="AB30" i="25"/>
  <c r="AI30" i="25"/>
  <c r="AH30" i="25"/>
  <c r="AD30" i="25"/>
  <c r="AK30" i="25"/>
  <c r="AG30" i="25"/>
  <c r="AC30" i="25"/>
  <c r="AE30" i="25"/>
  <c r="AJ30" i="25"/>
  <c r="BD29" i="25"/>
  <c r="BA29" i="25"/>
  <c r="BH29" i="25"/>
  <c r="BG29" i="25"/>
  <c r="BI29" i="25"/>
  <c r="BC29" i="25"/>
  <c r="BB29" i="25"/>
  <c r="B32" i="25"/>
  <c r="O31" i="25"/>
  <c r="BE29" i="25"/>
  <c r="AQ30" i="25"/>
  <c r="AU30" i="25"/>
  <c r="AS30" i="25"/>
  <c r="AN30" i="25"/>
  <c r="AR30" i="25"/>
  <c r="AV30" i="25"/>
  <c r="AO30" i="25"/>
  <c r="AW30" i="25"/>
  <c r="AT30" i="25"/>
  <c r="AP30" i="25"/>
  <c r="AZ29" i="25"/>
  <c r="BJ28" i="25"/>
  <c r="C28" i="25" s="1"/>
  <c r="BF29" i="25"/>
  <c r="BJ27" i="25"/>
  <c r="C27" i="25" s="1"/>
  <c r="B32" i="31"/>
  <c r="J31" i="31"/>
  <c r="L34" i="31"/>
  <c r="AD31" i="25" l="1"/>
  <c r="AK31" i="25"/>
  <c r="AG31" i="25"/>
  <c r="AJ31" i="25"/>
  <c r="AB31" i="25"/>
  <c r="AI31" i="25"/>
  <c r="AE31" i="25"/>
  <c r="AH31" i="25"/>
  <c r="AF31" i="25"/>
  <c r="AC31" i="25"/>
  <c r="AZ30" i="25"/>
  <c r="BE30" i="25"/>
  <c r="BF30" i="25"/>
  <c r="BJ29" i="25"/>
  <c r="C29" i="25" s="1"/>
  <c r="BB30" i="25"/>
  <c r="BD30" i="25"/>
  <c r="BA30" i="25"/>
  <c r="BC30" i="25"/>
  <c r="AO31" i="25"/>
  <c r="AS31" i="25"/>
  <c r="AW31" i="25"/>
  <c r="AQ31" i="25"/>
  <c r="AU31" i="25"/>
  <c r="AP31" i="25"/>
  <c r="AT31" i="25"/>
  <c r="AN31" i="25"/>
  <c r="AV31" i="25"/>
  <c r="AR31" i="25"/>
  <c r="O32" i="25"/>
  <c r="BH30" i="25"/>
  <c r="BI30" i="25"/>
  <c r="BG30" i="25"/>
  <c r="J32" i="31"/>
  <c r="B33" i="31"/>
  <c r="L35" i="31"/>
  <c r="AF32" i="25" l="1"/>
  <c r="AI32" i="25"/>
  <c r="AH32" i="25"/>
  <c r="AK32" i="25"/>
  <c r="AG32" i="25"/>
  <c r="AC32" i="25"/>
  <c r="AB32" i="25"/>
  <c r="AD32" i="25"/>
  <c r="AJ32" i="25"/>
  <c r="AZ31" i="25"/>
  <c r="BB31" i="25"/>
  <c r="BA31" i="25"/>
  <c r="BD31" i="25"/>
  <c r="BJ30" i="25"/>
  <c r="C30" i="25" s="1"/>
  <c r="BC31" i="25"/>
  <c r="BG31" i="25"/>
  <c r="BE31" i="25"/>
  <c r="AE32" i="25"/>
  <c r="AQ32" i="25"/>
  <c r="AU32" i="25"/>
  <c r="AN32" i="25"/>
  <c r="AR32" i="25"/>
  <c r="AV32" i="25"/>
  <c r="AP32" i="25"/>
  <c r="AT32" i="25"/>
  <c r="AO32" i="25"/>
  <c r="AW32" i="25"/>
  <c r="AS32" i="25"/>
  <c r="BH31" i="25"/>
  <c r="BF31" i="25"/>
  <c r="BI31" i="25"/>
  <c r="B33" i="25"/>
  <c r="L36" i="31"/>
  <c r="B34" i="31"/>
  <c r="J33" i="31"/>
  <c r="BI32" i="25" l="1"/>
  <c r="BD32" i="25"/>
  <c r="BB32" i="25"/>
  <c r="BF32" i="25"/>
  <c r="BJ31" i="25"/>
  <c r="C31" i="25" s="1"/>
  <c r="BE32" i="25"/>
  <c r="BC32" i="25"/>
  <c r="AZ32" i="25"/>
  <c r="BG32" i="25"/>
  <c r="BA32" i="25"/>
  <c r="BH32" i="25"/>
  <c r="B35" i="31"/>
  <c r="J34" i="31"/>
  <c r="O33" i="25"/>
  <c r="AK33" i="25" l="1"/>
  <c r="AG33" i="25"/>
  <c r="AF33" i="25"/>
  <c r="AB33" i="25"/>
  <c r="AI33" i="25"/>
  <c r="AE33" i="25"/>
  <c r="AH33" i="25"/>
  <c r="AC33" i="25"/>
  <c r="AJ33" i="25"/>
  <c r="AD33" i="25"/>
  <c r="BJ32" i="25"/>
  <c r="C32" i="25" s="1"/>
  <c r="AQ33" i="25"/>
  <c r="AP33" i="25"/>
  <c r="AU33" i="25"/>
  <c r="AR33" i="25"/>
  <c r="AT33" i="25"/>
  <c r="AV33" i="25"/>
  <c r="AN33" i="25"/>
  <c r="AO33" i="25"/>
  <c r="AS33" i="25"/>
  <c r="AW33" i="25"/>
  <c r="B36" i="31"/>
  <c r="J35" i="31"/>
  <c r="BB33" i="25" l="1"/>
  <c r="BH33" i="25"/>
  <c r="BF33" i="25"/>
  <c r="BA33" i="25"/>
  <c r="BE33" i="25"/>
  <c r="BD33" i="25"/>
  <c r="J36" i="31"/>
  <c r="B37" i="31"/>
  <c r="BG33" i="25"/>
  <c r="AZ33" i="25"/>
  <c r="BI33" i="25"/>
  <c r="BC33" i="25"/>
  <c r="BJ33" i="25" l="1"/>
  <c r="C33" i="25" s="1"/>
  <c r="B38" i="31"/>
  <c r="J37" i="31"/>
  <c r="J38" i="31" l="1"/>
  <c r="B39" i="31"/>
  <c r="J39" i="31" l="1"/>
  <c r="B40" i="31"/>
  <c r="J40" i="31" l="1"/>
  <c r="B41" i="31"/>
  <c r="J41" i="31" l="1"/>
  <c r="B42" i="31"/>
  <c r="J42" i="31" l="1"/>
  <c r="B43" i="31"/>
  <c r="J43" i="31" l="1"/>
  <c r="B44" i="31"/>
  <c r="J44" i="31" l="1"/>
  <c r="B45" i="31"/>
  <c r="J45" i="31" l="1"/>
  <c r="B46" i="31"/>
  <c r="J46" i="31" l="1"/>
  <c r="B47" i="31"/>
  <c r="J47" i="31" l="1"/>
  <c r="B48" i="31"/>
  <c r="J48" i="31" l="1"/>
  <c r="B49" i="31"/>
  <c r="B50" i="31" l="1"/>
  <c r="J49" i="31"/>
  <c r="J50" i="31" l="1"/>
  <c r="B51" i="31"/>
  <c r="J51" i="31" l="1"/>
  <c r="B52" i="31"/>
  <c r="J52" i="31" l="1"/>
  <c r="B53" i="31"/>
  <c r="J53" i="31" l="1"/>
  <c r="B54" i="31"/>
  <c r="J54" i="31" l="1"/>
  <c r="B55" i="31"/>
  <c r="J55" i="31" l="1"/>
  <c r="B56" i="31"/>
  <c r="J56" i="31" l="1"/>
  <c r="B57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B67" i="31" l="1"/>
  <c r="J66" i="31"/>
  <c r="J67" i="31" l="1"/>
  <c r="B68" i="31"/>
  <c r="J68" i="31" l="1"/>
  <c r="B69" i="31"/>
  <c r="B70" i="31" l="1"/>
  <c r="J69" i="31"/>
  <c r="J70" i="31" l="1"/>
  <c r="B71" i="31"/>
  <c r="J71" i="31" l="1"/>
  <c r="B72" i="31"/>
  <c r="J72" i="31" l="1"/>
  <c r="B73" i="31"/>
  <c r="J73" i="31" l="1"/>
  <c r="B74" i="31"/>
  <c r="J74" i="31" l="1"/>
  <c r="B75" i="31"/>
  <c r="J75" i="31" l="1"/>
  <c r="B76" i="31"/>
  <c r="J76" i="31" l="1"/>
  <c r="B77" i="31"/>
  <c r="J77" i="31" l="1"/>
  <c r="B78" i="31"/>
  <c r="B79" i="31" l="1"/>
  <c r="J78" i="31"/>
  <c r="J79" i="31" l="1"/>
  <c r="B80" i="31"/>
  <c r="J80" i="31" l="1"/>
  <c r="B81" i="31"/>
  <c r="J81" i="31" l="1"/>
  <c r="B82" i="31"/>
  <c r="B83" i="31" l="1"/>
  <c r="J82" i="31"/>
  <c r="J83" i="31" l="1"/>
  <c r="B84" i="31"/>
  <c r="J84" i="31" l="1"/>
  <c r="B85" i="31"/>
  <c r="B86" i="31" l="1"/>
  <c r="J85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J93" i="31" l="1"/>
  <c r="B94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B104" i="31" l="1"/>
  <c r="J103" i="31"/>
  <c r="J104" i="31" l="1"/>
  <c r="B105" i="31"/>
  <c r="B106" i="31" l="1"/>
  <c r="J105" i="31"/>
  <c r="J106" i="31" l="1"/>
  <c r="B107" i="31"/>
  <c r="B108" i="31" l="1"/>
  <c r="J107" i="31"/>
  <c r="J108" i="31" l="1"/>
  <c r="B109" i="31"/>
  <c r="J109" i="31" l="1"/>
  <c r="B110" i="31"/>
  <c r="J110" i="31" l="1"/>
  <c r="B111" i="31"/>
  <c r="J111" i="31" l="1"/>
  <c r="B112" i="31"/>
  <c r="B113" i="31" l="1"/>
  <c r="J112" i="31"/>
  <c r="J113" i="31" l="1"/>
  <c r="B114" i="31"/>
  <c r="J114" i="31" l="1"/>
  <c r="B115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J126" i="31" l="1"/>
  <c r="B127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J134" i="31" l="1"/>
  <c r="B135" i="31"/>
  <c r="J135" i="31" l="1"/>
  <c r="B136" i="31"/>
  <c r="J136" i="31" l="1"/>
  <c r="B137" i="31"/>
  <c r="J137" i="31" l="1"/>
  <c r="B138" i="31"/>
  <c r="B139" i="31" l="1"/>
  <c r="J138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J145" i="31" l="1"/>
  <c r="B146" i="31"/>
  <c r="J146" i="31" l="1"/>
  <c r="B147" i="31"/>
  <c r="J147" i="31" l="1"/>
  <c r="B148" i="31"/>
  <c r="J148" i="31" l="1"/>
  <c r="B149" i="31"/>
  <c r="J149" i="31" l="1"/>
  <c r="B150" i="31"/>
  <c r="B151" i="31" l="1"/>
  <c r="J150" i="31"/>
  <c r="J151" i="31" l="1"/>
  <c r="B152" i="31"/>
  <c r="B153" i="31" l="1"/>
  <c r="J152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J163" i="31" l="1"/>
  <c r="B164" i="31"/>
  <c r="B165" i="31" l="1"/>
  <c r="J164" i="31"/>
  <c r="J165" i="31" l="1"/>
  <c r="B166" i="31"/>
  <c r="J166" i="31" l="1"/>
  <c r="B167" i="31"/>
  <c r="J167" i="31" l="1"/>
  <c r="B168" i="31"/>
  <c r="J168" i="31" l="1"/>
  <c r="B169" i="31"/>
  <c r="J169" i="31" l="1"/>
  <c r="B170" i="31"/>
  <c r="J170" i="31" l="1"/>
  <c r="B171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J183" i="31" l="1"/>
  <c r="B184" i="31"/>
  <c r="J184" i="31" l="1"/>
  <c r="B185" i="31"/>
  <c r="B186" i="31" l="1"/>
  <c r="J185" i="31"/>
  <c r="J186" i="31" l="1"/>
  <c r="B187" i="31"/>
  <c r="J187" i="31" l="1"/>
  <c r="B188" i="31"/>
  <c r="J188" i="31" l="1"/>
  <c r="B189" i="31"/>
  <c r="J189" i="31" l="1"/>
  <c r="B190" i="31"/>
  <c r="B191" i="31" l="1"/>
  <c r="J190" i="31"/>
  <c r="B192" i="31" l="1"/>
  <c r="J191" i="31"/>
  <c r="B193" i="31" l="1"/>
  <c r="J192" i="31"/>
  <c r="B194" i="31" l="1"/>
  <c r="J193" i="31"/>
  <c r="J194" i="31" l="1"/>
  <c r="B195" i="31"/>
  <c r="B196" i="31" l="1"/>
  <c r="J195" i="31"/>
  <c r="J196" i="31" l="1"/>
  <c r="B197" i="31"/>
  <c r="J197" i="31" l="1"/>
  <c r="B198" i="31"/>
  <c r="B199" i="31" l="1"/>
  <c r="J198" i="31"/>
  <c r="J199" i="31" l="1"/>
  <c r="B200" i="31"/>
  <c r="J200" i="31" l="1"/>
  <c r="B201" i="31"/>
  <c r="B202" i="31" l="1"/>
  <c r="J201" i="31"/>
  <c r="J202" i="31" l="1"/>
  <c r="B203" i="31"/>
  <c r="J203" i="31" l="1"/>
  <c r="B204" i="31"/>
  <c r="J204" i="31" l="1"/>
  <c r="B205" i="31"/>
  <c r="J205" i="31" l="1"/>
  <c r="B206" i="31"/>
  <c r="B207" i="31" l="1"/>
  <c r="J206" i="31"/>
  <c r="B208" i="31" l="1"/>
  <c r="J207" i="31"/>
  <c r="B209" i="31" l="1"/>
  <c r="J208" i="31"/>
  <c r="B210" i="31" l="1"/>
  <c r="J209" i="31"/>
  <c r="B211" i="31" l="1"/>
  <c r="J210" i="31"/>
  <c r="B212" i="31" l="1"/>
  <c r="J211" i="31"/>
  <c r="B213" i="31" l="1"/>
  <c r="J212" i="31"/>
  <c r="B214" i="31" l="1"/>
  <c r="J213" i="31"/>
  <c r="B215" i="31" l="1"/>
  <c r="J214" i="31"/>
  <c r="B216" i="31" l="1"/>
  <c r="J215" i="31"/>
  <c r="J216" i="31" l="1"/>
  <c r="B217" i="31"/>
  <c r="J217" i="31" l="1"/>
  <c r="B218" i="31"/>
  <c r="J218" i="31" l="1"/>
  <c r="B219" i="31"/>
  <c r="J219" i="31" l="1"/>
  <c r="B220" i="31"/>
  <c r="B221" i="31" l="1"/>
  <c r="J220" i="31"/>
  <c r="B222" i="31" l="1"/>
  <c r="J221" i="31"/>
  <c r="J222" i="31" l="1"/>
  <c r="B223" i="31"/>
  <c r="J223" i="31" l="1"/>
  <c r="B224" i="31"/>
  <c r="B225" i="31" l="1"/>
  <c r="J224" i="31"/>
  <c r="J225" i="31" l="1"/>
  <c r="B226" i="31"/>
  <c r="J226" i="31" l="1"/>
  <c r="B227" i="31"/>
  <c r="J227" i="31" l="1"/>
  <c r="B228" i="31"/>
  <c r="B229" i="31" l="1"/>
  <c r="J228" i="31"/>
  <c r="B230" i="31" l="1"/>
  <c r="J229" i="31"/>
  <c r="B231" i="31" l="1"/>
  <c r="J230" i="31"/>
  <c r="B232" i="31" l="1"/>
  <c r="J231" i="31"/>
  <c r="B233" i="31" l="1"/>
  <c r="J232" i="31"/>
  <c r="B234" i="31" l="1"/>
  <c r="J233" i="31"/>
  <c r="B235" i="31" l="1"/>
  <c r="J234" i="31"/>
  <c r="B236" i="31" l="1"/>
  <c r="J235" i="31"/>
  <c r="B237" i="31" l="1"/>
  <c r="J236" i="31"/>
  <c r="B238" i="31" l="1"/>
  <c r="J237" i="31"/>
  <c r="B239" i="31" l="1"/>
  <c r="J238" i="31"/>
  <c r="B240" i="31" l="1"/>
  <c r="J239" i="31"/>
  <c r="J240" i="31" l="1"/>
  <c r="B266" i="31" l="1"/>
  <c r="E33" i="25" l="1"/>
  <c r="N36" i="31"/>
  <c r="O36" i="31"/>
  <c r="G33" i="25"/>
  <c r="M36" i="31"/>
  <c r="R36" i="31" l="1"/>
  <c r="Q36" i="31"/>
  <c r="P36" i="31"/>
  <c r="O35" i="31" l="1"/>
  <c r="N35" i="31" l="1"/>
  <c r="R35" i="31" l="1"/>
  <c r="E32" i="25"/>
  <c r="M35" i="31"/>
  <c r="Q35" i="31" l="1"/>
  <c r="P35" i="31"/>
  <c r="G32" i="25"/>
  <c r="K123" i="31" l="1"/>
  <c r="D123" i="31"/>
  <c r="D18" i="31"/>
  <c r="K18" i="31"/>
  <c r="K32" i="31"/>
  <c r="D32" i="31"/>
  <c r="D51" i="31"/>
  <c r="K51" i="31"/>
  <c r="O20" i="31"/>
  <c r="D61" i="31"/>
  <c r="K61" i="31"/>
  <c r="K76" i="31"/>
  <c r="D76" i="31"/>
  <c r="D95" i="31"/>
  <c r="K95" i="31"/>
  <c r="K106" i="31"/>
  <c r="D106" i="31"/>
  <c r="K16" i="31"/>
  <c r="D16" i="31"/>
  <c r="D34" i="31"/>
  <c r="K34" i="31"/>
  <c r="K46" i="31"/>
  <c r="D46" i="31"/>
  <c r="K57" i="31"/>
  <c r="D57" i="31"/>
  <c r="D74" i="31"/>
  <c r="K74" i="31"/>
  <c r="D86" i="31"/>
  <c r="K86" i="31"/>
  <c r="O23" i="31"/>
  <c r="K97" i="31"/>
  <c r="D97" i="31"/>
  <c r="K120" i="31"/>
  <c r="D120" i="31"/>
  <c r="K19" i="31"/>
  <c r="D19" i="31"/>
  <c r="K31" i="31"/>
  <c r="D31" i="31"/>
  <c r="K45" i="31"/>
  <c r="D45" i="31"/>
  <c r="D67" i="31"/>
  <c r="K67" i="31"/>
  <c r="D82" i="31"/>
  <c r="K82" i="31"/>
  <c r="D98" i="31"/>
  <c r="K98" i="31"/>
  <c r="D124" i="31"/>
  <c r="K124" i="31"/>
  <c r="D126" i="31"/>
  <c r="K126" i="31"/>
  <c r="K116" i="31"/>
  <c r="D116" i="31"/>
  <c r="K131" i="31"/>
  <c r="D131" i="31"/>
  <c r="K14" i="31"/>
  <c r="D14" i="31"/>
  <c r="D28" i="31"/>
  <c r="K28" i="31"/>
  <c r="K44" i="31"/>
  <c r="D44" i="31"/>
  <c r="D62" i="31"/>
  <c r="K62" i="31"/>
  <c r="D73" i="31"/>
  <c r="O21" i="31"/>
  <c r="K73" i="31"/>
  <c r="K88" i="31"/>
  <c r="D88" i="31"/>
  <c r="K108" i="31"/>
  <c r="D108" i="31"/>
  <c r="D43" i="31"/>
  <c r="K43" i="31"/>
  <c r="D58" i="31"/>
  <c r="K58" i="31"/>
  <c r="D71" i="31"/>
  <c r="K71" i="31"/>
  <c r="D87" i="31"/>
  <c r="K87" i="31"/>
  <c r="D100" i="31"/>
  <c r="K100" i="31"/>
  <c r="K27" i="31"/>
  <c r="D27" i="31"/>
  <c r="K39" i="31"/>
  <c r="D39" i="31"/>
  <c r="O19" i="31"/>
  <c r="K49" i="31"/>
  <c r="D49" i="31"/>
  <c r="D65" i="31"/>
  <c r="K65" i="31"/>
  <c r="K83" i="31"/>
  <c r="D83" i="31"/>
  <c r="D94" i="31"/>
  <c r="K94" i="31"/>
  <c r="K104" i="31"/>
  <c r="D104" i="31"/>
  <c r="D12" i="31"/>
  <c r="G12" i="31" s="1"/>
  <c r="K25" i="31"/>
  <c r="O17" i="31"/>
  <c r="D25" i="31"/>
  <c r="D36" i="31"/>
  <c r="K36" i="31"/>
  <c r="K56" i="31"/>
  <c r="D56" i="31"/>
  <c r="D75" i="31"/>
  <c r="K75" i="31"/>
  <c r="K89" i="31"/>
  <c r="D89" i="31"/>
  <c r="K117" i="31"/>
  <c r="D117" i="31"/>
  <c r="D114" i="31"/>
  <c r="K114" i="31"/>
  <c r="K132" i="31"/>
  <c r="D132" i="31"/>
  <c r="D107" i="31"/>
  <c r="K107" i="31"/>
  <c r="D122" i="31"/>
  <c r="K122" i="31"/>
  <c r="K22" i="31"/>
  <c r="D22" i="31"/>
  <c r="K54" i="31"/>
  <c r="D54" i="31"/>
  <c r="K69" i="31"/>
  <c r="D69" i="31"/>
  <c r="D81" i="31"/>
  <c r="K81" i="31"/>
  <c r="D99" i="31"/>
  <c r="K99" i="31"/>
  <c r="K24" i="31"/>
  <c r="D24" i="31"/>
  <c r="D40" i="31"/>
  <c r="K40" i="31"/>
  <c r="D59" i="31"/>
  <c r="K59" i="31"/>
  <c r="D72" i="31"/>
  <c r="K72" i="31"/>
  <c r="K102" i="31"/>
  <c r="D102" i="31"/>
  <c r="D129" i="31"/>
  <c r="K129" i="31"/>
  <c r="K21" i="31"/>
  <c r="D21" i="31"/>
  <c r="D38" i="31"/>
  <c r="K38" i="31"/>
  <c r="K55" i="31"/>
  <c r="D55" i="31"/>
  <c r="D64" i="31"/>
  <c r="K64" i="31"/>
  <c r="D80" i="31"/>
  <c r="K80" i="31"/>
  <c r="K113" i="31"/>
  <c r="D113" i="31"/>
  <c r="D20" i="31"/>
  <c r="K20" i="31"/>
  <c r="D37" i="31"/>
  <c r="K37" i="31"/>
  <c r="O18" i="31"/>
  <c r="D48" i="31"/>
  <c r="K48" i="31"/>
  <c r="D79" i="31"/>
  <c r="K79" i="31"/>
  <c r="D90" i="31"/>
  <c r="K90" i="31"/>
  <c r="D101" i="31"/>
  <c r="K101" i="31"/>
  <c r="K125" i="31"/>
  <c r="D125" i="31"/>
  <c r="K23" i="31"/>
  <c r="D23" i="31"/>
  <c r="D35" i="31"/>
  <c r="K35" i="31"/>
  <c r="D52" i="31"/>
  <c r="K52" i="31"/>
  <c r="D70" i="31"/>
  <c r="K70" i="31"/>
  <c r="K84" i="31"/>
  <c r="D84" i="31"/>
  <c r="O24" i="31"/>
  <c r="K109" i="31"/>
  <c r="D109" i="31"/>
  <c r="K111" i="31"/>
  <c r="D111" i="31"/>
  <c r="D130" i="31"/>
  <c r="K130" i="31"/>
  <c r="D105" i="31"/>
  <c r="K105" i="31"/>
  <c r="D119" i="31"/>
  <c r="K119" i="31"/>
  <c r="D17" i="31"/>
  <c r="K17" i="31"/>
  <c r="K33" i="31"/>
  <c r="D33" i="31"/>
  <c r="D50" i="31"/>
  <c r="K50" i="31"/>
  <c r="D66" i="31"/>
  <c r="K66" i="31"/>
  <c r="D77" i="31"/>
  <c r="K77" i="31"/>
  <c r="K93" i="31"/>
  <c r="D93" i="31"/>
  <c r="D115" i="31"/>
  <c r="K115" i="31"/>
  <c r="O16" i="31"/>
  <c r="D13" i="31"/>
  <c r="K13" i="31"/>
  <c r="K29" i="31"/>
  <c r="D29" i="31"/>
  <c r="D47" i="31"/>
  <c r="K47" i="31"/>
  <c r="K60" i="31"/>
  <c r="D60" i="31"/>
  <c r="D91" i="31"/>
  <c r="K91" i="31"/>
  <c r="D103" i="31"/>
  <c r="K103" i="31"/>
  <c r="D128" i="31"/>
  <c r="K128" i="31"/>
  <c r="K30" i="31"/>
  <c r="D30" i="31"/>
  <c r="D42" i="31"/>
  <c r="K42" i="31"/>
  <c r="K53" i="31"/>
  <c r="D53" i="31"/>
  <c r="K68" i="31"/>
  <c r="D68" i="31"/>
  <c r="D85" i="31"/>
  <c r="O22" i="31"/>
  <c r="K85" i="31"/>
  <c r="K96" i="31"/>
  <c r="D96" i="31"/>
  <c r="K110" i="31"/>
  <c r="D110" i="31"/>
  <c r="D15" i="31"/>
  <c r="K15" i="31"/>
  <c r="K26" i="31"/>
  <c r="D26" i="31"/>
  <c r="K41" i="31"/>
  <c r="D41" i="31"/>
  <c r="D63" i="31"/>
  <c r="K63" i="31"/>
  <c r="D78" i="31"/>
  <c r="K78" i="31"/>
  <c r="K92" i="31"/>
  <c r="D92" i="31"/>
  <c r="O25" i="31"/>
  <c r="D121" i="31"/>
  <c r="K121" i="31"/>
  <c r="K118" i="31"/>
  <c r="D118" i="31"/>
  <c r="D112" i="31"/>
  <c r="K112" i="31"/>
  <c r="K127" i="31"/>
  <c r="D127" i="31"/>
  <c r="N25" i="31" l="1"/>
  <c r="R25" i="31" s="1"/>
  <c r="N21" i="31"/>
  <c r="R21" i="31" s="1"/>
  <c r="N16" i="31"/>
  <c r="R16" i="31" s="1"/>
  <c r="K5" i="31"/>
  <c r="N18" i="31"/>
  <c r="R18" i="31" s="1"/>
  <c r="N17" i="31"/>
  <c r="R17" i="31" s="1"/>
  <c r="N23" i="31"/>
  <c r="R23" i="31" s="1"/>
  <c r="N20" i="31"/>
  <c r="R20" i="31" s="1"/>
  <c r="N22" i="31"/>
  <c r="R22" i="31" s="1"/>
  <c r="N24" i="31"/>
  <c r="R24" i="31" s="1"/>
  <c r="N19" i="31"/>
  <c r="R19" i="31" s="1"/>
  <c r="M7" i="31" l="1"/>
  <c r="B5" i="25" l="1"/>
  <c r="G9" i="25"/>
  <c r="C7" i="47" s="1"/>
  <c r="D7" i="47" s="1"/>
  <c r="B4" i="31" l="1"/>
  <c r="B5" i="28"/>
  <c r="E94" i="31" l="1"/>
  <c r="G94" i="31" s="1"/>
  <c r="E118" i="31"/>
  <c r="G118" i="31" s="1"/>
  <c r="E80" i="31"/>
  <c r="G80" i="31" s="1"/>
  <c r="E68" i="31"/>
  <c r="G68" i="31" s="1"/>
  <c r="E108" i="31"/>
  <c r="G108" i="31" s="1"/>
  <c r="E101" i="31"/>
  <c r="G101" i="31" s="1"/>
  <c r="E32" i="31"/>
  <c r="G32" i="31" s="1"/>
  <c r="E71" i="31"/>
  <c r="G71" i="31" s="1"/>
  <c r="E92" i="31"/>
  <c r="G92" i="31" s="1"/>
  <c r="E23" i="31"/>
  <c r="G23" i="31" s="1"/>
  <c r="E122" i="31"/>
  <c r="G122" i="31" s="1"/>
  <c r="E89" i="31"/>
  <c r="G89" i="31" s="1"/>
  <c r="E55" i="31"/>
  <c r="G55" i="31" s="1"/>
  <c r="E115" i="31"/>
  <c r="G115" i="31" s="1"/>
  <c r="E56" i="31"/>
  <c r="G56" i="31" s="1"/>
  <c r="E17" i="31"/>
  <c r="G17" i="31" s="1"/>
  <c r="E51" i="31"/>
  <c r="G51" i="31" s="1"/>
  <c r="E77" i="31"/>
  <c r="G77" i="31" s="1"/>
  <c r="E99" i="31"/>
  <c r="G99" i="31" s="1"/>
  <c r="E53" i="31"/>
  <c r="G53" i="31" s="1"/>
  <c r="E128" i="31"/>
  <c r="G128" i="31" s="1"/>
  <c r="E59" i="31"/>
  <c r="G59" i="31" s="1"/>
  <c r="E105" i="31"/>
  <c r="G105" i="31" s="1"/>
  <c r="E79" i="31"/>
  <c r="G79" i="31" s="1"/>
  <c r="E31" i="31"/>
  <c r="G31" i="31" s="1"/>
  <c r="E36" i="31"/>
  <c r="G36" i="31" s="1"/>
  <c r="E91" i="31"/>
  <c r="G91" i="31" s="1"/>
  <c r="E124" i="31"/>
  <c r="G124" i="31" s="1"/>
  <c r="E14" i="31"/>
  <c r="G14" i="31" s="1"/>
  <c r="E123" i="31"/>
  <c r="G123" i="31" s="1"/>
  <c r="E52" i="31"/>
  <c r="G52" i="31" s="1"/>
  <c r="E76" i="31"/>
  <c r="G76" i="31" s="1"/>
  <c r="E117" i="31"/>
  <c r="G117" i="31" s="1"/>
  <c r="E72" i="31"/>
  <c r="G72" i="31" s="1"/>
  <c r="E70" i="31"/>
  <c r="G70" i="31" s="1"/>
  <c r="E93" i="31"/>
  <c r="G93" i="31" s="1"/>
  <c r="E26" i="31"/>
  <c r="G26" i="31" s="1"/>
  <c r="E127" i="31"/>
  <c r="G127" i="31" s="1"/>
  <c r="E86" i="31"/>
  <c r="G86" i="31" s="1"/>
  <c r="E87" i="31"/>
  <c r="G87" i="31" s="1"/>
  <c r="E30" i="31"/>
  <c r="G30" i="31" s="1"/>
  <c r="E39" i="31"/>
  <c r="G39" i="31" s="1"/>
  <c r="E44" i="31"/>
  <c r="G44" i="31" s="1"/>
  <c r="E100" i="31"/>
  <c r="G100" i="31" s="1"/>
  <c r="E132" i="31"/>
  <c r="G132" i="31" s="1"/>
  <c r="E29" i="31"/>
  <c r="G29" i="31" s="1"/>
  <c r="E120" i="31"/>
  <c r="G120" i="31" s="1"/>
  <c r="E22" i="31"/>
  <c r="G22" i="31" s="1"/>
  <c r="E112" i="31"/>
  <c r="G112" i="31" s="1"/>
  <c r="E82" i="31"/>
  <c r="G82" i="31" s="1"/>
  <c r="E78" i="31"/>
  <c r="G78" i="31" s="1"/>
  <c r="E33" i="31"/>
  <c r="G33" i="31" s="1"/>
  <c r="E28" i="31"/>
  <c r="G28" i="31" s="1"/>
  <c r="E125" i="31"/>
  <c r="G125" i="31" s="1"/>
  <c r="E107" i="31"/>
  <c r="G107" i="31" s="1"/>
  <c r="E54" i="31"/>
  <c r="G54" i="31" s="1"/>
  <c r="E103" i="31"/>
  <c r="G103" i="31" s="1"/>
  <c r="E46" i="31"/>
  <c r="G46" i="31" s="1"/>
  <c r="E64" i="31"/>
  <c r="G64" i="31" s="1"/>
  <c r="E19" i="31"/>
  <c r="G19" i="31" s="1"/>
  <c r="E21" i="31"/>
  <c r="G21" i="31" s="1"/>
  <c r="E88" i="31"/>
  <c r="G88" i="31" s="1"/>
  <c r="E58" i="31"/>
  <c r="G58" i="31" s="1"/>
  <c r="E110" i="31"/>
  <c r="G110" i="31" s="1"/>
  <c r="E106" i="31"/>
  <c r="G106" i="31" s="1"/>
  <c r="E47" i="31"/>
  <c r="G47" i="31" s="1"/>
  <c r="E42" i="31"/>
  <c r="G42" i="31" s="1"/>
  <c r="E24" i="31"/>
  <c r="G24" i="31" s="1"/>
  <c r="E102" i="31"/>
  <c r="G102" i="31" s="1"/>
  <c r="E111" i="31"/>
  <c r="G111" i="31" s="1"/>
  <c r="E84" i="31"/>
  <c r="G84" i="31" s="1"/>
  <c r="E45" i="31"/>
  <c r="G45" i="31" s="1"/>
  <c r="E50" i="31"/>
  <c r="G50" i="31" s="1"/>
  <c r="E104" i="31"/>
  <c r="G104" i="31" s="1"/>
  <c r="E113" i="31"/>
  <c r="G113" i="31" s="1"/>
  <c r="E66" i="31"/>
  <c r="G66" i="31" s="1"/>
  <c r="E38" i="31"/>
  <c r="G38" i="31" s="1"/>
  <c r="E75" i="31"/>
  <c r="G75" i="31" s="1"/>
  <c r="E116" i="31"/>
  <c r="G116" i="31" s="1"/>
  <c r="E20" i="31"/>
  <c r="G20" i="31" s="1"/>
  <c r="E15" i="31"/>
  <c r="G15" i="31" s="1"/>
  <c r="E57" i="31"/>
  <c r="G57" i="31" s="1"/>
  <c r="E96" i="31"/>
  <c r="G96" i="31" s="1"/>
  <c r="E131" i="31"/>
  <c r="G131" i="31" s="1"/>
  <c r="E67" i="31"/>
  <c r="G67" i="31" s="1"/>
  <c r="E41" i="31"/>
  <c r="G41" i="31" s="1"/>
  <c r="E74" i="31"/>
  <c r="G74" i="31" s="1"/>
  <c r="E95" i="31"/>
  <c r="G95" i="31" s="1"/>
  <c r="E98" i="31"/>
  <c r="G98" i="31" s="1"/>
  <c r="E114" i="31"/>
  <c r="G114" i="31" s="1"/>
  <c r="E65" i="31"/>
  <c r="G65" i="31" s="1"/>
  <c r="E35" i="31"/>
  <c r="G35" i="31" s="1"/>
  <c r="E119" i="31"/>
  <c r="G119" i="31" s="1"/>
  <c r="E27" i="31"/>
  <c r="G27" i="31" s="1"/>
  <c r="E43" i="31"/>
  <c r="G43" i="31" s="1"/>
  <c r="E130" i="31"/>
  <c r="G130" i="31" s="1"/>
  <c r="E81" i="31"/>
  <c r="G81" i="31" s="1"/>
  <c r="E34" i="31"/>
  <c r="G34" i="31" s="1"/>
  <c r="E63" i="31"/>
  <c r="G63" i="31" s="1"/>
  <c r="E18" i="31"/>
  <c r="G18" i="31" s="1"/>
  <c r="E16" i="31"/>
  <c r="G16" i="31" s="1"/>
  <c r="E69" i="31"/>
  <c r="G69" i="31" s="1"/>
  <c r="E83" i="31"/>
  <c r="G83" i="31" s="1"/>
  <c r="E90" i="31"/>
  <c r="G90" i="31" s="1"/>
  <c r="E60" i="31"/>
  <c r="G60" i="31" s="1"/>
  <c r="E126" i="31"/>
  <c r="G126" i="31" s="1"/>
  <c r="E129" i="31"/>
  <c r="G129" i="31" s="1"/>
  <c r="E48" i="31"/>
  <c r="G48" i="31" s="1"/>
  <c r="E62" i="31"/>
  <c r="G62" i="31" s="1"/>
  <c r="E40" i="31"/>
  <c r="G40" i="31" s="1"/>
  <c r="M25" i="31" l="1"/>
  <c r="E121" i="31"/>
  <c r="E22" i="25"/>
  <c r="E15" i="25"/>
  <c r="M18" i="31"/>
  <c r="E37" i="31"/>
  <c r="E18" i="25"/>
  <c r="M21" i="31"/>
  <c r="E73" i="31"/>
  <c r="E85" i="31"/>
  <c r="M22" i="31"/>
  <c r="E19" i="25"/>
  <c r="M20" i="31"/>
  <c r="E61" i="31"/>
  <c r="E17" i="25"/>
  <c r="M19" i="31"/>
  <c r="E16" i="25"/>
  <c r="E49" i="31"/>
  <c r="E20" i="25"/>
  <c r="M23" i="31"/>
  <c r="E97" i="31"/>
  <c r="E13" i="25"/>
  <c r="E13" i="31"/>
  <c r="M16" i="31"/>
  <c r="M24" i="31"/>
  <c r="E109" i="31"/>
  <c r="E21" i="25"/>
  <c r="E25" i="31"/>
  <c r="M17" i="31"/>
  <c r="E14" i="25"/>
  <c r="P22" i="31" l="1"/>
  <c r="Q22" i="31"/>
  <c r="G21" i="25"/>
  <c r="G109" i="31"/>
  <c r="P17" i="31"/>
  <c r="Q17" i="31"/>
  <c r="Q24" i="31"/>
  <c r="P24" i="31"/>
  <c r="G16" i="25"/>
  <c r="G49" i="31"/>
  <c r="G17" i="25"/>
  <c r="G61" i="31"/>
  <c r="G19" i="25"/>
  <c r="G85" i="31"/>
  <c r="G15" i="25"/>
  <c r="G37" i="31"/>
  <c r="Q16" i="31"/>
  <c r="P16" i="31"/>
  <c r="G20" i="25"/>
  <c r="G97" i="31"/>
  <c r="P20" i="31"/>
  <c r="Q20" i="31"/>
  <c r="G18" i="25"/>
  <c r="G73" i="31"/>
  <c r="P18" i="31"/>
  <c r="Q18" i="31"/>
  <c r="G22" i="25"/>
  <c r="G121" i="31"/>
  <c r="G14" i="25"/>
  <c r="G25" i="31"/>
  <c r="G13" i="25"/>
  <c r="G13" i="31"/>
  <c r="Q23" i="31"/>
  <c r="P23" i="31"/>
  <c r="P19" i="31"/>
  <c r="Q19" i="31"/>
  <c r="Q21" i="31"/>
  <c r="P21" i="31"/>
  <c r="Q25" i="31"/>
  <c r="P25" i="31"/>
  <c r="C13" i="47" l="1"/>
  <c r="E13" i="47" s="1"/>
  <c r="C14" i="47"/>
  <c r="E14" i="47" s="1"/>
  <c r="C17" i="47"/>
  <c r="E17" i="47" s="1"/>
  <c r="C10" i="47"/>
  <c r="E10" i="47" s="1"/>
  <c r="C16" i="47"/>
  <c r="E16" i="47" s="1"/>
  <c r="C15" i="47"/>
  <c r="E15" i="47" s="1"/>
  <c r="C12" i="47"/>
  <c r="E12" i="47" s="1"/>
  <c r="C8" i="47"/>
  <c r="E8" i="47" s="1"/>
  <c r="C9" i="47"/>
  <c r="E9" i="47" s="1"/>
  <c r="C11" i="47"/>
  <c r="E11" i="47" s="1"/>
  <c r="K183" i="31" l="1"/>
  <c r="D183" i="31"/>
  <c r="D169" i="31"/>
  <c r="K169" i="31"/>
  <c r="O29" i="31"/>
  <c r="D192" i="31"/>
  <c r="K192" i="31"/>
  <c r="K185" i="31"/>
  <c r="D185" i="31"/>
  <c r="K162" i="31"/>
  <c r="D162" i="31"/>
  <c r="D226" i="31"/>
  <c r="K226" i="31"/>
  <c r="K187" i="31"/>
  <c r="D187" i="31"/>
  <c r="K173" i="31"/>
  <c r="D173" i="31"/>
  <c r="K164" i="31"/>
  <c r="D164" i="31"/>
  <c r="K196" i="31"/>
  <c r="D196" i="31"/>
  <c r="K141" i="31"/>
  <c r="D141" i="31"/>
  <c r="D158" i="31"/>
  <c r="K158" i="31"/>
  <c r="K222" i="31"/>
  <c r="D222" i="31"/>
  <c r="O31" i="31"/>
  <c r="K193" i="31"/>
  <c r="D193" i="31"/>
  <c r="K182" i="31"/>
  <c r="D182" i="31"/>
  <c r="D151" i="31"/>
  <c r="K151" i="31"/>
  <c r="D207" i="31"/>
  <c r="K207" i="31"/>
  <c r="K233" i="31"/>
  <c r="D233" i="31"/>
  <c r="D184" i="31"/>
  <c r="K184" i="31"/>
  <c r="K137" i="31"/>
  <c r="D137" i="31"/>
  <c r="D205" i="31"/>
  <c r="K205" i="31"/>
  <c r="O32" i="31"/>
  <c r="D186" i="31"/>
  <c r="K186" i="31"/>
  <c r="D147" i="31"/>
  <c r="K147" i="31"/>
  <c r="D156" i="31"/>
  <c r="K156" i="31"/>
  <c r="K134" i="31"/>
  <c r="D134" i="31"/>
  <c r="K199" i="31"/>
  <c r="D199" i="31"/>
  <c r="D197" i="31"/>
  <c r="K197" i="31"/>
  <c r="D238" i="31"/>
  <c r="K238" i="31"/>
  <c r="D176" i="31"/>
  <c r="K176" i="31"/>
  <c r="D240" i="31"/>
  <c r="K240" i="31"/>
  <c r="D146" i="31"/>
  <c r="K146" i="31"/>
  <c r="K210" i="31"/>
  <c r="D210" i="31"/>
  <c r="K171" i="31"/>
  <c r="D171" i="31"/>
  <c r="D235" i="31"/>
  <c r="K235" i="31"/>
  <c r="D148" i="31"/>
  <c r="K148" i="31"/>
  <c r="D212" i="31"/>
  <c r="K212" i="31"/>
  <c r="K142" i="31"/>
  <c r="D142" i="31"/>
  <c r="K206" i="31"/>
  <c r="D206" i="31"/>
  <c r="K135" i="31"/>
  <c r="D135" i="31"/>
  <c r="K153" i="31"/>
  <c r="D153" i="31"/>
  <c r="D220" i="31"/>
  <c r="K220" i="31"/>
  <c r="K191" i="31"/>
  <c r="D191" i="31"/>
  <c r="D149" i="31"/>
  <c r="K149" i="31"/>
  <c r="O33" i="31"/>
  <c r="K217" i="31"/>
  <c r="D217" i="31"/>
  <c r="K168" i="31"/>
  <c r="D168" i="31"/>
  <c r="K232" i="31"/>
  <c r="D232" i="31"/>
  <c r="K170" i="31"/>
  <c r="D170" i="31"/>
  <c r="K163" i="31"/>
  <c r="D163" i="31"/>
  <c r="D227" i="31"/>
  <c r="K227" i="31"/>
  <c r="K221" i="31"/>
  <c r="D221" i="31"/>
  <c r="D140" i="31"/>
  <c r="K140" i="31"/>
  <c r="D236" i="31"/>
  <c r="K236" i="31"/>
  <c r="K166" i="31"/>
  <c r="D166" i="31"/>
  <c r="D133" i="31"/>
  <c r="K133" i="31"/>
  <c r="O26" i="31"/>
  <c r="F9" i="31"/>
  <c r="F7" i="31"/>
  <c r="K215" i="31"/>
  <c r="D215" i="31"/>
  <c r="D160" i="31"/>
  <c r="K160" i="31"/>
  <c r="K224" i="31"/>
  <c r="D224" i="31"/>
  <c r="K213" i="31"/>
  <c r="D213" i="31"/>
  <c r="K194" i="31"/>
  <c r="D194" i="31"/>
  <c r="D155" i="31"/>
  <c r="K155" i="31"/>
  <c r="D219" i="31"/>
  <c r="K219" i="31"/>
  <c r="D201" i="31"/>
  <c r="K201" i="31"/>
  <c r="D172" i="31"/>
  <c r="K172" i="31"/>
  <c r="D228" i="31"/>
  <c r="K228" i="31"/>
  <c r="O30" i="31"/>
  <c r="K181" i="31"/>
  <c r="D181" i="31"/>
  <c r="K190" i="31"/>
  <c r="D190" i="31"/>
  <c r="D211" i="31"/>
  <c r="K211" i="31"/>
  <c r="K237" i="31"/>
  <c r="D237" i="31"/>
  <c r="D143" i="31"/>
  <c r="K143" i="31"/>
  <c r="K175" i="31"/>
  <c r="D175" i="31"/>
  <c r="K239" i="31"/>
  <c r="D239" i="31"/>
  <c r="D152" i="31"/>
  <c r="K152" i="31"/>
  <c r="K216" i="31"/>
  <c r="D216" i="31"/>
  <c r="K165" i="31"/>
  <c r="D165" i="31"/>
  <c r="D154" i="31"/>
  <c r="K154" i="31"/>
  <c r="D218" i="31"/>
  <c r="K218" i="31"/>
  <c r="K179" i="31"/>
  <c r="D179" i="31"/>
  <c r="K214" i="31"/>
  <c r="D214" i="31"/>
  <c r="D167" i="31"/>
  <c r="K167" i="31"/>
  <c r="K231" i="31"/>
  <c r="D231" i="31"/>
  <c r="D225" i="31"/>
  <c r="K225" i="31"/>
  <c r="K144" i="31"/>
  <c r="D144" i="31"/>
  <c r="K208" i="31"/>
  <c r="D208" i="31"/>
  <c r="K157" i="31"/>
  <c r="D157" i="31"/>
  <c r="O28" i="31"/>
  <c r="K178" i="31"/>
  <c r="D178" i="31"/>
  <c r="K139" i="31"/>
  <c r="D139" i="31"/>
  <c r="D203" i="31"/>
  <c r="K203" i="31"/>
  <c r="O34" i="31"/>
  <c r="K229" i="31"/>
  <c r="D229" i="31"/>
  <c r="K180" i="31"/>
  <c r="D180" i="31"/>
  <c r="K209" i="31"/>
  <c r="D209" i="31"/>
  <c r="D174" i="31"/>
  <c r="K174" i="31"/>
  <c r="K161" i="31"/>
  <c r="D161" i="31"/>
  <c r="K198" i="31"/>
  <c r="D198" i="31"/>
  <c r="D188" i="31"/>
  <c r="K188" i="31"/>
  <c r="D159" i="31"/>
  <c r="K159" i="31"/>
  <c r="D223" i="31"/>
  <c r="K223" i="31"/>
  <c r="D177" i="31"/>
  <c r="K177" i="31"/>
  <c r="K136" i="31"/>
  <c r="D136" i="31"/>
  <c r="D200" i="31"/>
  <c r="K200" i="31"/>
  <c r="K138" i="31"/>
  <c r="D138" i="31"/>
  <c r="K202" i="31"/>
  <c r="D202" i="31"/>
  <c r="D195" i="31"/>
  <c r="K195" i="31"/>
  <c r="O27" i="31"/>
  <c r="K145" i="31"/>
  <c r="D145" i="31"/>
  <c r="K230" i="31"/>
  <c r="D230" i="31"/>
  <c r="D204" i="31"/>
  <c r="K204" i="31"/>
  <c r="K189" i="31"/>
  <c r="D189" i="31"/>
  <c r="K234" i="31"/>
  <c r="D234" i="31"/>
  <c r="K150" i="31"/>
  <c r="D150" i="31"/>
  <c r="N28" i="31" l="1"/>
  <c r="R28" i="31" s="1"/>
  <c r="N30" i="31"/>
  <c r="R30" i="31" s="1"/>
  <c r="N33" i="31"/>
  <c r="R33" i="31" s="1"/>
  <c r="N32" i="31"/>
  <c r="R32" i="31" s="1"/>
  <c r="N31" i="31"/>
  <c r="R31" i="31" s="1"/>
  <c r="N29" i="31"/>
  <c r="R29" i="31" s="1"/>
  <c r="N27" i="31"/>
  <c r="R27" i="31" s="1"/>
  <c r="K6" i="31"/>
  <c r="B5" i="31" s="1"/>
  <c r="N34" i="31"/>
  <c r="R34" i="31" s="1"/>
  <c r="N26" i="31"/>
  <c r="R26" i="31" s="1"/>
  <c r="D9" i="31"/>
  <c r="C42" i="25" s="1"/>
  <c r="D7" i="31"/>
  <c r="C46" i="25" s="1"/>
  <c r="E237" i="31" l="1"/>
  <c r="G237" i="31" s="1"/>
  <c r="E211" i="31"/>
  <c r="G211" i="31" s="1"/>
  <c r="E201" i="31"/>
  <c r="G201" i="31" s="1"/>
  <c r="E239" i="31"/>
  <c r="G239" i="31" s="1"/>
  <c r="E151" i="31"/>
  <c r="G151" i="31" s="1"/>
  <c r="E240" i="31"/>
  <c r="G240" i="31" s="1"/>
  <c r="E226" i="31"/>
  <c r="G226" i="31" s="1"/>
  <c r="E236" i="31"/>
  <c r="G236" i="31" s="1"/>
  <c r="E197" i="31"/>
  <c r="G197" i="31" s="1"/>
  <c r="E204" i="31"/>
  <c r="G204" i="31" s="1"/>
  <c r="E200" i="31"/>
  <c r="G200" i="31" s="1"/>
  <c r="E238" i="31"/>
  <c r="G238" i="31" s="1"/>
  <c r="E199" i="31"/>
  <c r="G199" i="31" s="1"/>
  <c r="E143" i="31"/>
  <c r="G143" i="31" s="1"/>
  <c r="E175" i="31"/>
  <c r="G175" i="31" s="1"/>
  <c r="E161" i="31"/>
  <c r="G161" i="31" s="1"/>
  <c r="E167" i="31"/>
  <c r="G167" i="31" s="1"/>
  <c r="E144" i="31"/>
  <c r="G144" i="31" s="1"/>
  <c r="E137" i="31"/>
  <c r="G137" i="31" s="1"/>
  <c r="E152" i="31"/>
  <c r="G152" i="31" s="1"/>
  <c r="E150" i="31"/>
  <c r="G150" i="31" s="1"/>
  <c r="E173" i="31"/>
  <c r="G173" i="31" s="1"/>
  <c r="E168" i="31"/>
  <c r="G168" i="31" s="1"/>
  <c r="E140" i="31"/>
  <c r="G140" i="31" s="1"/>
  <c r="E188" i="31"/>
  <c r="G188" i="31" s="1"/>
  <c r="E189" i="31"/>
  <c r="G189" i="31" s="1"/>
  <c r="E224" i="31"/>
  <c r="G224" i="31" s="1"/>
  <c r="E228" i="31"/>
  <c r="G228" i="31" s="1"/>
  <c r="E214" i="31"/>
  <c r="G214" i="31" s="1"/>
  <c r="E208" i="31"/>
  <c r="G208" i="31" s="1"/>
  <c r="E183" i="31"/>
  <c r="G183" i="31" s="1"/>
  <c r="E134" i="31"/>
  <c r="G134" i="31" s="1"/>
  <c r="E160" i="31"/>
  <c r="G160" i="31" s="1"/>
  <c r="E156" i="31"/>
  <c r="G156" i="31" s="1"/>
  <c r="E154" i="31" l="1"/>
  <c r="G154" i="31" s="1"/>
  <c r="E191" i="31"/>
  <c r="G191" i="31" s="1"/>
  <c r="E231" i="31"/>
  <c r="G231" i="31" s="1"/>
  <c r="E233" i="31"/>
  <c r="G233" i="31" s="1"/>
  <c r="E221" i="31"/>
  <c r="G221" i="31" s="1"/>
  <c r="E165" i="31"/>
  <c r="G165" i="31" s="1"/>
  <c r="E190" i="31"/>
  <c r="G190" i="31" s="1"/>
  <c r="E159" i="31"/>
  <c r="G159" i="31" s="1"/>
  <c r="E172" i="31"/>
  <c r="G172" i="31" s="1"/>
  <c r="E138" i="31"/>
  <c r="G138" i="31" s="1"/>
  <c r="E184" i="31"/>
  <c r="G184" i="31" s="1"/>
  <c r="E192" i="31"/>
  <c r="G192" i="31" s="1"/>
  <c r="E147" i="31"/>
  <c r="G147" i="31" s="1"/>
  <c r="E166" i="31"/>
  <c r="G166" i="31" s="1"/>
  <c r="E182" i="31"/>
  <c r="G182" i="31" s="1"/>
  <c r="E198" i="31"/>
  <c r="G198" i="31" s="1"/>
  <c r="E213" i="31"/>
  <c r="G213" i="31" s="1"/>
  <c r="E215" i="31"/>
  <c r="G215" i="31" s="1"/>
  <c r="E212" i="31"/>
  <c r="G212" i="31" s="1"/>
  <c r="E203" i="31"/>
  <c r="G203" i="31" s="1"/>
  <c r="E232" i="31"/>
  <c r="G232" i="31" s="1"/>
  <c r="E179" i="31"/>
  <c r="G179" i="31" s="1"/>
  <c r="E186" i="31"/>
  <c r="G186" i="31" s="1"/>
  <c r="E177" i="31"/>
  <c r="G177" i="31" s="1"/>
  <c r="E153" i="31"/>
  <c r="G153" i="31" s="1"/>
  <c r="E180" i="31"/>
  <c r="G180" i="31" s="1"/>
  <c r="E174" i="31"/>
  <c r="G174" i="31" s="1"/>
  <c r="E135" i="31"/>
  <c r="G135" i="31" s="1"/>
  <c r="E196" i="31"/>
  <c r="G196" i="31" s="1"/>
  <c r="E230" i="31"/>
  <c r="G230" i="31" s="1"/>
  <c r="E207" i="31"/>
  <c r="G207" i="31" s="1"/>
  <c r="E234" i="31"/>
  <c r="G234" i="31" s="1"/>
  <c r="E225" i="31"/>
  <c r="G225" i="31" s="1"/>
  <c r="E163" i="31"/>
  <c r="G163" i="31" s="1"/>
  <c r="E158" i="31"/>
  <c r="G158" i="31" s="1"/>
  <c r="E164" i="31"/>
  <c r="G164" i="31" s="1"/>
  <c r="E176" i="31"/>
  <c r="G176" i="31" s="1"/>
  <c r="E170" i="31"/>
  <c r="G170" i="31" s="1"/>
  <c r="E139" i="31"/>
  <c r="G139" i="31" s="1"/>
  <c r="E209" i="31"/>
  <c r="G209" i="31" s="1"/>
  <c r="E219" i="31"/>
  <c r="G219" i="31" s="1"/>
  <c r="E220" i="31"/>
  <c r="G220" i="31" s="1"/>
  <c r="E206" i="31"/>
  <c r="G206" i="31" s="1"/>
  <c r="E218" i="31"/>
  <c r="G218" i="31" s="1"/>
  <c r="E185" i="31"/>
  <c r="G185" i="31" s="1"/>
  <c r="E187" i="31"/>
  <c r="G187" i="31" s="1"/>
  <c r="E141" i="31"/>
  <c r="G141" i="31" s="1"/>
  <c r="E142" i="31"/>
  <c r="G142" i="31" s="1"/>
  <c r="E171" i="31"/>
  <c r="G171" i="31" s="1"/>
  <c r="E149" i="31"/>
  <c r="G149" i="31" s="1"/>
  <c r="E223" i="31"/>
  <c r="G223" i="31" s="1"/>
  <c r="E194" i="31"/>
  <c r="G194" i="31" s="1"/>
  <c r="E202" i="31"/>
  <c r="G202" i="31" s="1"/>
  <c r="E195" i="31"/>
  <c r="G195" i="31" s="1"/>
  <c r="E210" i="31"/>
  <c r="G210" i="31" s="1"/>
  <c r="E235" i="31"/>
  <c r="G235" i="31" s="1"/>
  <c r="E222" i="31"/>
  <c r="G222" i="31" s="1"/>
  <c r="E227" i="31"/>
  <c r="G227" i="31" s="1"/>
  <c r="E146" i="31"/>
  <c r="G146" i="31" s="1"/>
  <c r="E148" i="31"/>
  <c r="G148" i="31" s="1"/>
  <c r="E162" i="31"/>
  <c r="G162" i="31" s="1"/>
  <c r="E178" i="31"/>
  <c r="G178" i="31" s="1"/>
  <c r="E136" i="31"/>
  <c r="G136" i="31" s="1"/>
  <c r="E155" i="31"/>
  <c r="G155" i="31" s="1"/>
  <c r="E216" i="31"/>
  <c r="G216" i="31" s="1"/>
  <c r="E27" i="25" l="1"/>
  <c r="E181" i="31"/>
  <c r="M30" i="31"/>
  <c r="E28" i="25"/>
  <c r="E193" i="31"/>
  <c r="M31" i="31"/>
  <c r="M34" i="31"/>
  <c r="E229" i="31"/>
  <c r="E31" i="25"/>
  <c r="E157" i="31"/>
  <c r="E25" i="25"/>
  <c r="M28" i="31"/>
  <c r="E205" i="31"/>
  <c r="M32" i="31"/>
  <c r="E29" i="25"/>
  <c r="P28" i="31" l="1"/>
  <c r="Q28" i="31"/>
  <c r="Q31" i="31"/>
  <c r="P31" i="31"/>
  <c r="G27" i="25"/>
  <c r="G181" i="31"/>
  <c r="E30" i="25"/>
  <c r="M33" i="31"/>
  <c r="E217" i="31"/>
  <c r="G28" i="25"/>
  <c r="G193" i="31"/>
  <c r="Q32" i="31"/>
  <c r="P32" i="31"/>
  <c r="G25" i="25"/>
  <c r="G157" i="31"/>
  <c r="G31" i="25"/>
  <c r="G229" i="31"/>
  <c r="M27" i="31"/>
  <c r="E145" i="31"/>
  <c r="E24" i="25"/>
  <c r="G205" i="31"/>
  <c r="G29" i="25"/>
  <c r="M29" i="31"/>
  <c r="E26" i="25"/>
  <c r="E169" i="31"/>
  <c r="E23" i="25"/>
  <c r="E133" i="31"/>
  <c r="M26" i="31"/>
  <c r="C7" i="31"/>
  <c r="E47" i="25" s="1"/>
  <c r="C9" i="31"/>
  <c r="E43" i="25" s="1"/>
  <c r="Q34" i="31"/>
  <c r="P34" i="31"/>
  <c r="P30" i="31"/>
  <c r="Q30" i="31"/>
  <c r="C20" i="47" l="1"/>
  <c r="E20" i="47" s="1"/>
  <c r="C22" i="47"/>
  <c r="E22" i="47" s="1"/>
  <c r="G26" i="25"/>
  <c r="G169" i="31"/>
  <c r="G30" i="25"/>
  <c r="G217" i="31"/>
  <c r="Q27" i="31"/>
  <c r="P27" i="31"/>
  <c r="Q26" i="31"/>
  <c r="P26" i="31"/>
  <c r="P33" i="31"/>
  <c r="Q33" i="31"/>
  <c r="G23" i="25"/>
  <c r="E9" i="31"/>
  <c r="G9" i="31" s="1"/>
  <c r="G43" i="25" s="1"/>
  <c r="E7" i="31"/>
  <c r="G7" i="31" s="1"/>
  <c r="G47" i="25" s="1"/>
  <c r="G133" i="31"/>
  <c r="Q29" i="31"/>
  <c r="P29" i="31"/>
  <c r="G24" i="25"/>
  <c r="G145" i="31"/>
  <c r="C19" i="47" l="1"/>
  <c r="E19" i="47" s="1"/>
  <c r="C25" i="47"/>
  <c r="E25" i="47" s="1"/>
  <c r="C21" i="47"/>
  <c r="E21" i="47" s="1"/>
  <c r="C18" i="47"/>
  <c r="E18" i="47" s="1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<sst xmlns="http://schemas.openxmlformats.org/spreadsheetml/2006/main" count="799" uniqueCount="189">
  <si>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</si>
  <si>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</si>
  <si>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</si>
  <si>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</si>
  <si>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</si>
  <si>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</si>
  <si>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</si>
  <si>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</si>
  <si>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</si>
  <si>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</si>
  <si>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</si>
  <si>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</si>
  <si>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</si>
  <si>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</si>
  <si>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</si>
  <si>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</si>
  <si>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</si>
  <si>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</si>
  <si>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</si>
  <si>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</si>
  <si>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</si>
  <si>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</si>
  <si>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</si>
  <si>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</si>
  <si>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</si>
  <si>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</si>
  <si>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</si>
  <si>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$/MMBtu</t>
  </si>
  <si>
    <t>(g)</t>
  </si>
  <si>
    <t>(h)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</si>
  <si>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</si>
  <si>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</si>
  <si>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</si>
  <si>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</si>
  <si>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</si>
  <si>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</si>
  <si>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</si>
  <si>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</si>
  <si>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</si>
  <si>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</si>
  <si>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</si>
  <si>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</si>
  <si>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</si>
  <si>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</si>
  <si>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</si>
  <si>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</si>
  <si>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</si>
  <si>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</si>
  <si>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</si>
  <si>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</si>
  <si>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</si>
  <si>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</si>
  <si>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</si>
  <si>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</si>
  <si>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</si>
  <si>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</si>
  <si>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</si>
  <si>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</si>
  <si>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</si>
  <si>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</si>
  <si>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</si>
  <si>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</si>
  <si>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</si>
  <si>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</si>
  <si>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</si>
  <si>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</si>
  <si>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</si>
  <si>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</si>
  <si>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</si>
  <si>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</si>
  <si>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</si>
  <si>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</si>
  <si>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</si>
  <si>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</si>
  <si>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</si>
  <si>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</si>
  <si>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</si>
  <si>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</si>
  <si>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</si>
  <si>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</si>
  <si>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</si>
  <si>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</si>
  <si>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</si>
  <si>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</si>
  <si>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</si>
  <si>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</si>
  <si>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</si>
  <si>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</si>
  <si>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</si>
  <si>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</si>
  <si>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</si>
  <si>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</si>
  <si>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CCCT Resource Costs - 2017 Integrated Resource Plan</t>
  </si>
  <si>
    <t>Willamette Valley - 436 MW - CCCT Dry "G/H", 1x1 - West Side Resource (1,500')</t>
  </si>
  <si>
    <t>CCCT Dry "G/H", 1x1 - Turbine</t>
  </si>
  <si>
    <t>CCCT Dry "G/H", 1x1 - Duct Firing</t>
  </si>
  <si>
    <t>Discount Rate - 2017 IRP</t>
  </si>
  <si>
    <t>IRP - Utah Greenfield</t>
  </si>
  <si>
    <t>IRP West Side</t>
  </si>
  <si>
    <t>Pacific NW</t>
  </si>
  <si>
    <t>IRP - Wyo NE</t>
  </si>
  <si>
    <t xml:space="preserve">Plant Costs  - 2017 IRP - Table 6.1 &amp; 6.2 </t>
  </si>
  <si>
    <t>2016 $</t>
  </si>
  <si>
    <t>UT N - 200 MW - SCCT Frame "F" x1 - East Side Resource (5,050')</t>
  </si>
  <si>
    <t>SCCT</t>
  </si>
  <si>
    <t>SCCT Dry "F" - Turbine</t>
  </si>
  <si>
    <t>WYNE  DJohns - 477 MW - CCCT Dry "J/HA.02", 1x1 - East Side Resource (5,050')</t>
  </si>
  <si>
    <t>WYNE DJohns- 200 MW - SCCT Frame "F" x1 - East Side Resource (5,050')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</si>
  <si>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</si>
  <si>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</si>
  <si>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</si>
  <si>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</si>
  <si>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</si>
  <si>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</si>
  <si>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</si>
  <si>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</si>
  <si>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</si>
  <si>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</si>
  <si>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</si>
  <si>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</si>
  <si>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</si>
  <si>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</si>
  <si>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</si>
  <si>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Payment Factor</t>
  </si>
  <si>
    <t>Total Capital Cost</t>
  </si>
  <si>
    <t>22% ITC assumption</t>
  </si>
  <si>
    <t>10% ITC assumption</t>
  </si>
  <si>
    <t>Per Dan Swan Payment Factor Corresponding to 10% ITC is 7.350%</t>
  </si>
  <si>
    <t>IRP17 - 2033 - 200 MW SCCT - Wyo NE</t>
  </si>
  <si>
    <t>IRP17 - 2033 - 477 MW CCCT - Wyo NE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</si>
  <si>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</si>
  <si>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</si>
  <si>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</si>
  <si>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</si>
  <si>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</si>
  <si>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</si>
  <si>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Utah South Solar</t>
  </si>
  <si>
    <t>IRP17 Aeolus Wind</t>
  </si>
  <si>
    <t>IRP17 - 2029 - 30 MW Geothermal West</t>
  </si>
  <si>
    <t>IRP17 - 2029 - 200 MW SCCT - Utah N</t>
  </si>
  <si>
    <t>IRP17 - 2030 - 436 MW CCCT - West M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</si>
  <si>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</si>
  <si>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</si>
  <si>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</si>
  <si>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</si>
  <si>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</si>
  <si>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</si>
  <si>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</si>
  <si>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</si>
  <si>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>IRP2017 Chapter 8, page 220</t>
  </si>
  <si>
    <t>Corrected</t>
  </si>
  <si>
    <t>Avoided Cost Prices $/MWh</t>
  </si>
  <si>
    <t>Difference</t>
  </si>
  <si>
    <t>2018-2032</t>
  </si>
  <si>
    <t>15 year sterting 2020</t>
  </si>
  <si>
    <t>15 Year starting 2018</t>
  </si>
  <si>
    <t>2020-2034</t>
  </si>
  <si>
    <t>Utah 2017.Q3 Sch 38</t>
  </si>
  <si>
    <t>2017 IRP Wyoming Wind Resource</t>
  </si>
  <si>
    <t>2017 IRP Wyoming DJ Wind Resource</t>
  </si>
  <si>
    <t>2017 IRP Utah Solar Resource</t>
  </si>
  <si>
    <t>2017 IRP Yakima Solar Resource</t>
  </si>
  <si>
    <t>2017 IRP Geothermal PPA West Side Resource</t>
  </si>
  <si>
    <t>SCCT Resource Costs - 2017 Integrated Resource Plan</t>
  </si>
  <si>
    <t>SCCT Statistics</t>
  </si>
  <si>
    <t>Plant Costs  - 2017 IRP - Table 6.1 &amp; 6.2</t>
  </si>
  <si>
    <t>2017 IRP ID Wind Resource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</si>
  <si>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</si>
  <si>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</si>
  <si>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</si>
  <si>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</si>
  <si>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</si>
  <si>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</si>
  <si>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</si>
  <si>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</si>
  <si>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</si>
  <si>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</si>
  <si>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</si>
  <si>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</si>
  <si>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</si>
  <si>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</si>
  <si>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</si>
  <si>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</si>
  <si>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</si>
  <si>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</si>
  <si>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Utah 2017.Q3 Sch 38 Solar</t>
  </si>
  <si>
    <t>Appendix B.2</t>
  </si>
  <si>
    <t>Utah 2017.Q2 Sch 38 Solar</t>
  </si>
  <si>
    <t>QF - Sch38 - UT - Solar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</si>
</sst>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&quot;$&quot;#,##0.000_);[Red]\(&quot;$&quot;#,##0.000\)"/>
    <numFmt numFmtId="180" formatCode="#,##0\ ;\(#,##0\)"/>
    <numFmt numFmtId="181" formatCode="_(* #,##0.0000_);_(* \(#,##0.0000\);_(* &quot;-&quot;??_);_(@_)"/>
    <numFmt numFmtId="182" formatCode="&quot;$&quot;#,##0.00_)\(\4\)"/>
    <numFmt numFmtId="183" formatCode="&quot;$&quot;#,##0.00_)\(\3\)"/>
  </numFmts>
  <fonts count="35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3" fillId="0" borderId="0" applyFont="0" applyFill="0" applyBorder="0" applyProtection="0">
      <alignment horizontal="right"/>
    </xf>
    <xf numFmtId="177" fontId="14" fillId="0" borderId="0" applyNumberFormat="0" applyFill="0" applyBorder="0" applyAlignment="0" applyProtection="0"/>
    <xf numFmtId="0" fontId="12" fillId="0" borderId="21" applyNumberFormat="0" applyBorder="0" applyAlignment="0"/>
    <xf numFmtId="12" fontId="24" fillId="7" borderId="20">
      <alignment horizontal="left"/>
    </xf>
    <xf numFmtId="37" fontId="12" fillId="8" borderId="0" applyNumberFormat="0" applyBorder="0" applyAlignment="0" applyProtection="0"/>
    <xf numFmtId="37" fontId="12" fillId="0" borderId="0"/>
    <xf numFmtId="3" fontId="20" fillId="9" borderId="22" applyProtection="0"/>
    <xf numFmtId="172" fontId="1" fillId="0" borderId="0"/>
    <xf numFmtId="9" fontId="1" fillId="0" borderId="0" applyFont="0" applyFill="0" applyBorder="0" applyAlignment="0" applyProtection="0"/>
    <xf numFmtId="172" fontId="3" fillId="0" borderId="0"/>
    <xf numFmtId="0" fontId="1" fillId="0" borderId="0"/>
    <xf numFmtId="172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9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7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72" fontId="3" fillId="0" borderId="0" xfId="0" quotePrefix="1" applyFont="1" applyFill="1"/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7" fillId="0" borderId="6" xfId="0" applyFont="1" applyFill="1" applyBorder="1" applyAlignment="1">
      <alignment horizontal="centerContinuous"/>
    </xf>
    <xf numFmtId="172" fontId="10" fillId="0" borderId="6" xfId="0" quotePrefix="1" applyFont="1" applyFill="1" applyBorder="1" applyAlignment="1">
      <alignment horizontal="center" wrapText="1"/>
    </xf>
    <xf numFmtId="172" fontId="10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3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9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2" fillId="2" borderId="0" xfId="0" applyFont="1" applyFill="1" applyAlignment="1">
      <alignment horizontal="centerContinuous"/>
    </xf>
    <xf numFmtId="172" fontId="14" fillId="2" borderId="0" xfId="0" applyFont="1" applyFill="1" applyBorder="1" applyAlignment="1">
      <alignment horizontal="centerContinuous"/>
    </xf>
    <xf numFmtId="171" fontId="12" fillId="2" borderId="0" xfId="1" applyNumberFormat="1" applyFont="1" applyFill="1" applyAlignment="1">
      <alignment horizontal="centerContinuous"/>
    </xf>
    <xf numFmtId="172" fontId="12" fillId="0" borderId="0" xfId="0" applyFont="1" applyFill="1" applyBorder="1"/>
    <xf numFmtId="172" fontId="14" fillId="0" borderId="0" xfId="0" applyFont="1" applyFill="1" applyBorder="1" applyAlignment="1">
      <alignment wrapText="1"/>
    </xf>
    <xf numFmtId="172" fontId="12" fillId="0" borderId="0" xfId="0" applyFont="1" applyFill="1" applyBorder="1" applyAlignment="1">
      <alignment horizontal="center"/>
    </xf>
    <xf numFmtId="168" fontId="12" fillId="0" borderId="0" xfId="0" applyNumberFormat="1" applyFont="1" applyFill="1" applyBorder="1"/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17" fillId="0" borderId="0" xfId="0" applyFont="1" applyFill="1"/>
    <xf numFmtId="167" fontId="17" fillId="0" borderId="0" xfId="8" applyNumberFormat="1" applyFont="1" applyFill="1"/>
    <xf numFmtId="43" fontId="17" fillId="0" borderId="0" xfId="2" applyNumberFormat="1" applyFont="1" applyFill="1"/>
    <xf numFmtId="164" fontId="1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17" fillId="0" borderId="0" xfId="0" applyNumberFormat="1" applyFont="1" applyFill="1"/>
    <xf numFmtId="8" fontId="17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6" xfId="0" applyFont="1" applyFill="1" applyBorder="1" applyAlignment="1">
      <alignment horizontal="centerContinuous"/>
    </xf>
    <xf numFmtId="172" fontId="2" fillId="0" borderId="17" xfId="0" applyFont="1" applyFill="1" applyBorder="1" applyAlignment="1">
      <alignment horizontal="centerContinuous"/>
    </xf>
    <xf numFmtId="172" fontId="2" fillId="0" borderId="18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6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19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2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3" fillId="0" borderId="0" xfId="11"/>
    <xf numFmtId="41" fontId="3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1" fillId="0" borderId="0" xfId="10" applyNumberFormat="1" applyFont="1"/>
    <xf numFmtId="17" fontId="1" fillId="0" borderId="0" xfId="10" applyNumberFormat="1" applyFont="1"/>
    <xf numFmtId="174" fontId="1" fillId="5" borderId="0" xfId="10" applyNumberFormat="1" applyFont="1" applyFill="1"/>
    <xf numFmtId="170" fontId="1" fillId="0" borderId="0" xfId="2" applyNumberFormat="1" applyFont="1"/>
    <xf numFmtId="10" fontId="1" fillId="0" borderId="0" xfId="8" applyNumberFormat="1" applyFont="1"/>
    <xf numFmtId="172" fontId="1" fillId="0" borderId="5" xfId="10" applyNumberFormat="1" applyFont="1" applyBorder="1"/>
    <xf numFmtId="172" fontId="1" fillId="0" borderId="7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Continuous"/>
    </xf>
    <xf numFmtId="172" fontId="1" fillId="0" borderId="4" xfId="10" applyNumberFormat="1" applyFont="1" applyBorder="1" applyAlignment="1">
      <alignment horizontal="centerContinuous"/>
    </xf>
    <xf numFmtId="172" fontId="1" fillId="0" borderId="6" xfId="10" applyNumberFormat="1" applyFont="1" applyBorder="1"/>
    <xf numFmtId="172" fontId="1" fillId="0" borderId="4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"/>
    </xf>
    <xf numFmtId="172" fontId="1" fillId="0" borderId="6" xfId="10" applyNumberFormat="1" applyFont="1" applyBorder="1" applyAlignment="1">
      <alignment horizontal="center"/>
    </xf>
    <xf numFmtId="172" fontId="1" fillId="0" borderId="9" xfId="10" applyNumberFormat="1" applyFont="1" applyBorder="1" applyAlignment="1">
      <alignment horizontal="centerContinuous"/>
    </xf>
    <xf numFmtId="172" fontId="1" fillId="0" borderId="2" xfId="10" applyNumberFormat="1" applyFont="1" applyBorder="1"/>
    <xf numFmtId="41" fontId="1" fillId="0" borderId="8" xfId="10" applyNumberFormat="1" applyFont="1" applyBorder="1"/>
    <xf numFmtId="41" fontId="1" fillId="0" borderId="11" xfId="10" applyNumberFormat="1" applyFont="1" applyBorder="1"/>
    <xf numFmtId="168" fontId="1" fillId="0" borderId="8" xfId="10" applyNumberFormat="1" applyFont="1" applyBorder="1"/>
    <xf numFmtId="0" fontId="1" fillId="0" borderId="0" xfId="10" applyNumberFormat="1" applyFont="1"/>
    <xf numFmtId="17" fontId="1" fillId="0" borderId="5" xfId="10" applyNumberFormat="1" applyFont="1" applyBorder="1" applyAlignment="1">
      <alignment horizontal="center"/>
    </xf>
    <xf numFmtId="172" fontId="1" fillId="0" borderId="0" xfId="10" applyNumberFormat="1" applyFont="1" applyBorder="1"/>
    <xf numFmtId="168" fontId="1" fillId="0" borderId="11" xfId="10" applyNumberFormat="1" applyFont="1" applyBorder="1"/>
    <xf numFmtId="172" fontId="1" fillId="0" borderId="13" xfId="10" applyNumberFormat="1" applyFont="1" applyBorder="1"/>
    <xf numFmtId="17" fontId="1" fillId="0" borderId="13" xfId="10" applyNumberFormat="1" applyFont="1" applyBorder="1" applyAlignment="1">
      <alignment horizontal="center"/>
    </xf>
    <xf numFmtId="172" fontId="1" fillId="0" borderId="1" xfId="10" applyNumberFormat="1" applyFont="1" applyBorder="1"/>
    <xf numFmtId="41" fontId="1" fillId="0" borderId="12" xfId="10" applyNumberFormat="1" applyFont="1" applyBorder="1"/>
    <xf numFmtId="168" fontId="1" fillId="0" borderId="12" xfId="10" applyNumberFormat="1" applyFont="1" applyBorder="1"/>
    <xf numFmtId="17" fontId="1" fillId="0" borderId="6" xfId="10" applyNumberFormat="1" applyFont="1" applyBorder="1" applyAlignment="1">
      <alignment horizontal="center"/>
    </xf>
    <xf numFmtId="172" fontId="1" fillId="0" borderId="0" xfId="10" applyNumberFormat="1" applyFont="1" applyAlignment="1">
      <alignment horizontal="center"/>
    </xf>
    <xf numFmtId="172" fontId="13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19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9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3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17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17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18" fillId="6" borderId="0" xfId="10" applyNumberFormat="1" applyFont="1" applyFill="1"/>
    <xf numFmtId="8" fontId="0" fillId="0" borderId="20" xfId="0" applyNumberFormat="1" applyFont="1" applyFill="1" applyBorder="1"/>
    <xf numFmtId="7" fontId="1" fillId="0" borderId="0" xfId="2" applyNumberFormat="1" applyFont="1"/>
    <xf numFmtId="172" fontId="1" fillId="0" borderId="5" xfId="10" applyNumberFormat="1" applyFont="1" applyBorder="1" applyAlignment="1">
      <alignment horizontal="center"/>
    </xf>
    <xf numFmtId="175" fontId="1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6" fillId="0" borderId="0" xfId="0" applyFont="1" applyFill="1"/>
    <xf numFmtId="172" fontId="14" fillId="2" borderId="0" xfId="0" applyFont="1" applyFill="1" applyBorder="1" applyAlignment="1">
      <alignment horizontal="center"/>
    </xf>
    <xf numFmtId="14" fontId="20" fillId="3" borderId="7" xfId="0" applyNumberFormat="1" applyFont="1" applyFill="1" applyBorder="1" applyAlignment="1">
      <alignment horizontal="center"/>
    </xf>
    <xf numFmtId="172" fontId="14" fillId="2" borderId="0" xfId="0" applyFont="1" applyFill="1" applyAlignment="1">
      <alignment horizontal="centerContinuous"/>
    </xf>
    <xf numFmtId="172" fontId="6" fillId="0" borderId="0" xfId="0" applyFont="1" applyFill="1" applyBorder="1"/>
    <xf numFmtId="14" fontId="21" fillId="2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2" fillId="2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2" fillId="0" borderId="15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4" borderId="14" xfId="0" applyFont="1" applyFill="1" applyBorder="1"/>
    <xf numFmtId="0" fontId="2" fillId="0" borderId="0" xfId="0" applyNumberFormat="1" applyFont="1" applyFill="1" applyAlignment="1"/>
    <xf numFmtId="172" fontId="13" fillId="0" borderId="0" xfId="10" applyNumberFormat="1" applyFont="1"/>
    <xf numFmtId="8" fontId="0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1" fillId="0" borderId="0" xfId="10" applyNumberFormat="1" applyFont="1"/>
    <xf numFmtId="174" fontId="0" fillId="0" borderId="0" xfId="0" applyNumberFormat="1" applyFont="1" applyFill="1"/>
    <xf numFmtId="174" fontId="17" fillId="0" borderId="0" xfId="0" applyNumberFormat="1" applyFont="1" applyFill="1"/>
    <xf numFmtId="167" fontId="1" fillId="5" borderId="0" xfId="8" applyNumberFormat="1" applyFont="1" applyFill="1"/>
    <xf numFmtId="172" fontId="13" fillId="0" borderId="7" xfId="23" applyFont="1" applyFill="1" applyBorder="1" applyAlignment="1">
      <alignment horizontal="centerContinuous"/>
    </xf>
    <xf numFmtId="172" fontId="26" fillId="0" borderId="6" xfId="0" applyFont="1" applyBorder="1" applyAlignment="1">
      <alignment horizontal="center"/>
    </xf>
    <xf numFmtId="172" fontId="26" fillId="0" borderId="0" xfId="0" applyFont="1"/>
    <xf numFmtId="172" fontId="26" fillId="0" borderId="7" xfId="0" applyFont="1" applyBorder="1"/>
    <xf numFmtId="167" fontId="25" fillId="0" borderId="7" xfId="24" applyNumberFormat="1" applyFont="1" applyFill="1" applyBorder="1"/>
    <xf numFmtId="0" fontId="0" fillId="0" borderId="20" xfId="0" applyNumberFormat="1" applyFont="1" applyFill="1" applyBorder="1"/>
    <xf numFmtId="165" fontId="0" fillId="0" borderId="20" xfId="0" applyNumberFormat="1" applyFont="1" applyFill="1" applyBorder="1" applyAlignment="1">
      <alignment horizontal="center"/>
    </xf>
    <xf numFmtId="37" fontId="1" fillId="0" borderId="0" xfId="2" applyNumberFormat="1" applyFont="1"/>
    <xf numFmtId="172" fontId="25" fillId="0" borderId="0" xfId="0" applyFont="1"/>
    <xf numFmtId="9" fontId="25" fillId="0" borderId="0" xfId="8" applyFont="1"/>
    <xf numFmtId="43" fontId="1" fillId="0" borderId="0" xfId="10" applyNumberFormat="1" applyFont="1"/>
    <xf numFmtId="172" fontId="27" fillId="0" borderId="0" xfId="10" applyNumberFormat="1" applyFont="1"/>
    <xf numFmtId="173" fontId="0" fillId="0" borderId="0" xfId="0" applyNumberFormat="1" applyFont="1" applyFill="1"/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8" fontId="0" fillId="0" borderId="1" xfId="5" applyNumberFormat="1" applyFont="1" applyFill="1" applyBorder="1"/>
    <xf numFmtId="172" fontId="4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Continuous"/>
    </xf>
    <xf numFmtId="172" fontId="3" fillId="0" borderId="0" xfId="25" applyFont="1" applyFill="1"/>
    <xf numFmtId="172" fontId="3" fillId="0" borderId="0" xfId="25" applyFont="1" applyFill="1" applyBorder="1" applyAlignment="1">
      <alignment horizontal="centerContinuous"/>
    </xf>
    <xf numFmtId="172" fontId="3" fillId="0" borderId="0" xfId="25" applyFont="1" applyFill="1" applyBorder="1"/>
    <xf numFmtId="172" fontId="2" fillId="0" borderId="5" xfId="25" applyFont="1" applyFill="1" applyBorder="1" applyAlignment="1">
      <alignment horizontal="center"/>
    </xf>
    <xf numFmtId="172" fontId="2" fillId="0" borderId="5" xfId="25" applyFont="1" applyFill="1" applyBorder="1" applyAlignment="1">
      <alignment horizontal="center" wrapText="1"/>
    </xf>
    <xf numFmtId="172" fontId="7" fillId="0" borderId="6" xfId="25" applyFont="1" applyFill="1" applyBorder="1" applyAlignment="1">
      <alignment horizontal="centerContinuous"/>
    </xf>
    <xf numFmtId="172" fontId="10" fillId="0" borderId="6" xfId="25" quotePrefix="1" applyFont="1" applyFill="1" applyBorder="1" applyAlignment="1">
      <alignment horizontal="center" wrapText="1"/>
    </xf>
    <xf numFmtId="172" fontId="10" fillId="0" borderId="6" xfId="25" applyFont="1" applyFill="1" applyBorder="1" applyAlignment="1">
      <alignment horizontal="center" wrapText="1"/>
    </xf>
    <xf numFmtId="172" fontId="6" fillId="0" borderId="0" xfId="25" quotePrefix="1" applyFont="1" applyFill="1" applyBorder="1" applyAlignment="1">
      <alignment horizontal="center"/>
    </xf>
    <xf numFmtId="0" fontId="3" fillId="0" borderId="0" xfId="25" applyNumberFormat="1" applyFont="1" applyFill="1"/>
    <xf numFmtId="6" fontId="3" fillId="0" borderId="0" xfId="25" applyNumberFormat="1" applyFont="1" applyFill="1" applyAlignment="1">
      <alignment horizontal="right"/>
    </xf>
    <xf numFmtId="8" fontId="3" fillId="0" borderId="0" xfId="25" applyNumberFormat="1" applyFont="1" applyFill="1" applyAlignment="1">
      <alignment horizontal="right"/>
    </xf>
    <xf numFmtId="8" fontId="3" fillId="0" borderId="0" xfId="25" applyNumberFormat="1" applyFont="1" applyFill="1"/>
    <xf numFmtId="8" fontId="3" fillId="0" borderId="0" xfId="25" applyNumberFormat="1" applyFont="1" applyFill="1" applyBorder="1"/>
    <xf numFmtId="179" fontId="3" fillId="0" borderId="0" xfId="25" applyNumberFormat="1" applyFont="1" applyFill="1" applyAlignment="1">
      <alignment horizontal="right"/>
    </xf>
    <xf numFmtId="165" fontId="3" fillId="0" borderId="0" xfId="25" applyNumberFormat="1" applyFont="1" applyFill="1" applyAlignment="1">
      <alignment horizontal="center"/>
    </xf>
    <xf numFmtId="165" fontId="3" fillId="0" borderId="1" xfId="25" applyNumberFormat="1" applyFont="1" applyFill="1" applyBorder="1" applyAlignment="1">
      <alignment horizontal="center"/>
    </xf>
    <xf numFmtId="8" fontId="3" fillId="0" borderId="1" xfId="25" applyNumberFormat="1" applyFont="1" applyFill="1" applyBorder="1" applyAlignment="1">
      <alignment horizontal="right"/>
    </xf>
    <xf numFmtId="8" fontId="3" fillId="0" borderId="1" xfId="25" applyNumberFormat="1" applyFont="1" applyFill="1" applyBorder="1"/>
    <xf numFmtId="172" fontId="3" fillId="0" borderId="0" xfId="25" quotePrefix="1" applyFont="1" applyFill="1"/>
    <xf numFmtId="0" fontId="3" fillId="0" borderId="0" xfId="26" applyFont="1"/>
    <xf numFmtId="14" fontId="3" fillId="0" borderId="0" xfId="27" applyNumberFormat="1" applyFont="1"/>
    <xf numFmtId="0" fontId="3" fillId="0" borderId="0" xfId="25" applyNumberFormat="1" applyFont="1" applyFill="1" applyBorder="1"/>
    <xf numFmtId="165" fontId="3" fillId="0" borderId="0" xfId="25" applyNumberFormat="1" applyFont="1" applyFill="1" applyBorder="1" applyAlignment="1">
      <alignment horizontal="center"/>
    </xf>
    <xf numFmtId="8" fontId="3" fillId="0" borderId="0" xfId="25" applyNumberFormat="1" applyFont="1" applyFill="1" applyBorder="1" applyAlignment="1">
      <alignment horizontal="right"/>
    </xf>
    <xf numFmtId="8" fontId="3" fillId="0" borderId="0" xfId="25" applyNumberFormat="1" applyFont="1" applyFill="1" applyAlignment="1">
      <alignment horizontal="center"/>
    </xf>
    <xf numFmtId="172" fontId="5" fillId="0" borderId="0" xfId="25" applyFont="1" applyFill="1" applyAlignment="1">
      <alignment horizontal="centerContinuous"/>
    </xf>
    <xf numFmtId="172" fontId="2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"/>
    </xf>
    <xf numFmtId="41" fontId="3" fillId="0" borderId="0" xfId="4" applyFont="1" applyFill="1"/>
    <xf numFmtId="172" fontId="2" fillId="0" borderId="17" xfId="25" applyFont="1" applyFill="1" applyBorder="1" applyAlignment="1">
      <alignment horizontal="centerContinuous"/>
    </xf>
    <xf numFmtId="172" fontId="3" fillId="0" borderId="17" xfId="25" applyFont="1" applyFill="1" applyBorder="1"/>
    <xf numFmtId="172" fontId="3" fillId="0" borderId="19" xfId="25" applyFont="1" applyFill="1" applyBorder="1"/>
    <xf numFmtId="172" fontId="2" fillId="0" borderId="16" xfId="25" applyFont="1" applyFill="1" applyBorder="1" applyAlignment="1">
      <alignment horizontal="center"/>
    </xf>
    <xf numFmtId="172" fontId="2" fillId="0" borderId="17" xfId="5" applyFont="1" applyFill="1" applyBorder="1" applyAlignment="1">
      <alignment horizontal="centerContinuous"/>
    </xf>
    <xf numFmtId="172" fontId="3" fillId="0" borderId="17" xfId="25" applyFont="1" applyFill="1" applyBorder="1" applyAlignment="1">
      <alignment horizontal="centerContinuous"/>
    </xf>
    <xf numFmtId="6" fontId="3" fillId="0" borderId="0" xfId="2" applyNumberFormat="1" applyFont="1" applyFill="1"/>
    <xf numFmtId="8" fontId="3" fillId="0" borderId="0" xfId="2" applyNumberFormat="1" applyFont="1" applyFill="1"/>
    <xf numFmtId="180" fontId="28" fillId="0" borderId="0" xfId="28" applyNumberFormat="1" applyAlignment="1" applyProtection="1"/>
    <xf numFmtId="1" fontId="3" fillId="0" borderId="0" xfId="6" applyNumberFormat="1" applyFont="1" applyFill="1" applyAlignment="1" applyProtection="1">
      <alignment horizontal="center"/>
      <protection locked="0"/>
    </xf>
    <xf numFmtId="180" fontId="29" fillId="0" borderId="0" xfId="0" applyNumberFormat="1" applyFont="1"/>
    <xf numFmtId="173" fontId="2" fillId="0" borderId="0" xfId="25" applyNumberFormat="1" applyFont="1" applyFill="1"/>
    <xf numFmtId="173" fontId="3" fillId="0" borderId="0" xfId="25" applyNumberFormat="1" applyFont="1" applyFill="1"/>
    <xf numFmtId="167" fontId="3" fillId="0" borderId="0" xfId="8" applyNumberFormat="1" applyFont="1" applyFill="1"/>
    <xf numFmtId="164" fontId="3" fillId="0" borderId="0" xfId="25" applyNumberFormat="1" applyFont="1" applyFill="1"/>
    <xf numFmtId="175" fontId="3" fillId="0" borderId="0" xfId="25" applyNumberFormat="1" applyFont="1" applyFill="1" applyBorder="1"/>
    <xf numFmtId="0" fontId="0" fillId="0" borderId="0" xfId="0" applyNumberFormat="1" applyFont="1"/>
    <xf numFmtId="44" fontId="25" fillId="0" borderId="0" xfId="2" applyFont="1" applyFill="1"/>
    <xf numFmtId="175" fontId="30" fillId="0" borderId="0" xfId="0" applyNumberFormat="1" applyFont="1" applyFill="1" applyProtection="1">
      <protection locked="0"/>
    </xf>
    <xf numFmtId="9" fontId="3" fillId="0" borderId="0" xfId="25" applyNumberFormat="1" applyFont="1" applyFill="1"/>
    <xf numFmtId="43" fontId="3" fillId="0" borderId="0" xfId="2" applyNumberFormat="1" applyFont="1" applyFill="1"/>
    <xf numFmtId="167" fontId="3" fillId="0" borderId="0" xfId="25" applyNumberFormat="1" applyFont="1" applyFill="1"/>
    <xf numFmtId="43" fontId="3" fillId="0" borderId="0" xfId="25" applyNumberFormat="1" applyFont="1" applyFill="1" applyBorder="1" applyAlignment="1">
      <alignment horizontal="right"/>
    </xf>
    <xf numFmtId="10" fontId="3" fillId="0" borderId="0" xfId="8" applyNumberFormat="1" applyFont="1" applyFill="1"/>
    <xf numFmtId="173" fontId="3" fillId="0" borderId="0" xfId="25" applyNumberFormat="1" applyFont="1" applyFill="1" applyBorder="1"/>
    <xf numFmtId="172" fontId="3" fillId="0" borderId="0" xfId="25" applyNumberFormat="1" applyFont="1" applyFill="1"/>
    <xf numFmtId="172" fontId="3" fillId="0" borderId="0" xfId="25" applyNumberFormat="1" applyFont="1" applyFill="1" applyAlignment="1">
      <alignment horizontal="right"/>
    </xf>
    <xf numFmtId="172" fontId="3" fillId="0" borderId="0" xfId="6" applyNumberFormat="1" applyFont="1" applyFill="1" applyAlignment="1" applyProtection="1">
      <alignment horizontal="center"/>
      <protection locked="0"/>
    </xf>
    <xf numFmtId="172" fontId="3" fillId="0" borderId="0" xfId="25" applyNumberFormat="1" applyFont="1" applyFill="1" applyBorder="1"/>
    <xf numFmtId="43" fontId="3" fillId="0" borderId="0" xfId="25" applyNumberFormat="1" applyFont="1" applyFill="1" applyAlignment="1">
      <alignment horizontal="right"/>
    </xf>
    <xf numFmtId="175" fontId="29" fillId="0" borderId="0" xfId="8" applyNumberFormat="1" applyFont="1"/>
    <xf numFmtId="2" fontId="3" fillId="0" borderId="0" xfId="6" applyNumberFormat="1" applyFont="1" applyFill="1" applyAlignment="1" applyProtection="1">
      <alignment horizontal="center"/>
      <protection locked="0"/>
    </xf>
    <xf numFmtId="175" fontId="29" fillId="6" borderId="0" xfId="8" applyNumberFormat="1" applyFont="1" applyFill="1"/>
    <xf numFmtId="172" fontId="3" fillId="6" borderId="0" xfId="25" applyFont="1" applyFill="1"/>
    <xf numFmtId="172" fontId="2" fillId="0" borderId="0" xfId="25" applyFont="1" applyFill="1" applyBorder="1" applyAlignment="1">
      <alignment horizontal="center" wrapText="1"/>
    </xf>
    <xf numFmtId="164" fontId="3" fillId="0" borderId="0" xfId="1" applyNumberFormat="1" applyFont="1"/>
    <xf numFmtId="41" fontId="3" fillId="0" borderId="0" xfId="11" applyAlignment="1">
      <alignment wrapText="1"/>
    </xf>
    <xf numFmtId="173" fontId="1" fillId="0" borderId="0" xfId="10" applyNumberFormat="1" applyFont="1"/>
    <xf numFmtId="172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172" fontId="2" fillId="0" borderId="0" xfId="0" applyFont="1" applyAlignment="1">
      <alignment horizontal="left"/>
    </xf>
    <xf numFmtId="167" fontId="0" fillId="0" borderId="0" xfId="8" applyNumberFormat="1" applyFont="1"/>
    <xf numFmtId="167" fontId="0" fillId="6" borderId="0" xfId="8" applyNumberFormat="1" applyFont="1" applyFill="1"/>
    <xf numFmtId="172" fontId="25" fillId="0" borderId="6" xfId="0" applyFont="1" applyFill="1" applyBorder="1" applyAlignment="1">
      <alignment horizontal="center"/>
    </xf>
    <xf numFmtId="172" fontId="25" fillId="0" borderId="0" xfId="0" applyFont="1" applyFill="1"/>
    <xf numFmtId="172" fontId="0" fillId="0" borderId="0" xfId="0" applyNumberFormat="1"/>
    <xf numFmtId="172" fontId="3" fillId="0" borderId="1" xfId="0" applyFont="1" applyFill="1" applyBorder="1" applyAlignment="1">
      <alignment horizontal="center"/>
    </xf>
    <xf numFmtId="172" fontId="3" fillId="0" borderId="1" xfId="0" quotePrefix="1" applyFont="1" applyFill="1" applyBorder="1" applyAlignment="1">
      <alignment horizontal="center"/>
    </xf>
    <xf numFmtId="167" fontId="22" fillId="0" borderId="0" xfId="8" applyNumberFormat="1" applyFont="1" applyFill="1"/>
    <xf numFmtId="172" fontId="1" fillId="0" borderId="0" xfId="10" applyNumberFormat="1" applyFont="1" applyAlignment="1">
      <alignment horizontal="left" vertical="top"/>
    </xf>
    <xf numFmtId="181" fontId="1" fillId="0" borderId="0" xfId="10" applyNumberFormat="1" applyFont="1"/>
    <xf numFmtId="0" fontId="3" fillId="0" borderId="23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quotePrefix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172" fontId="1" fillId="0" borderId="0" xfId="10" applyNumberFormat="1" applyFont="1" applyFill="1"/>
    <xf numFmtId="17" fontId="1" fillId="10" borderId="5" xfId="10" applyNumberFormat="1" applyFont="1" applyFill="1" applyBorder="1" applyAlignment="1">
      <alignment horizontal="center"/>
    </xf>
    <xf numFmtId="172" fontId="1" fillId="10" borderId="2" xfId="10" applyNumberFormat="1" applyFont="1" applyFill="1" applyBorder="1"/>
    <xf numFmtId="41" fontId="1" fillId="10" borderId="8" xfId="10" applyNumberFormat="1" applyFont="1" applyFill="1" applyBorder="1"/>
    <xf numFmtId="168" fontId="1" fillId="10" borderId="8" xfId="10" applyNumberFormat="1" applyFont="1" applyFill="1" applyBorder="1"/>
    <xf numFmtId="17" fontId="1" fillId="10" borderId="13" xfId="10" applyNumberFormat="1" applyFont="1" applyFill="1" applyBorder="1" applyAlignment="1">
      <alignment horizontal="center"/>
    </xf>
    <xf numFmtId="172" fontId="1" fillId="10" borderId="0" xfId="10" applyNumberFormat="1" applyFont="1" applyFill="1" applyBorder="1"/>
    <xf numFmtId="41" fontId="1" fillId="10" borderId="11" xfId="10" applyNumberFormat="1" applyFont="1" applyFill="1" applyBorder="1"/>
    <xf numFmtId="168" fontId="1" fillId="10" borderId="11" xfId="10" applyNumberFormat="1" applyFont="1" applyFill="1" applyBorder="1"/>
    <xf numFmtId="17" fontId="1" fillId="10" borderId="6" xfId="10" applyNumberFormat="1" applyFont="1" applyFill="1" applyBorder="1" applyAlignment="1">
      <alignment horizontal="center"/>
    </xf>
    <xf numFmtId="172" fontId="1" fillId="10" borderId="1" xfId="10" applyNumberFormat="1" applyFont="1" applyFill="1" applyBorder="1"/>
    <xf numFmtId="41" fontId="1" fillId="10" borderId="12" xfId="10" applyNumberFormat="1" applyFont="1" applyFill="1" applyBorder="1"/>
    <xf numFmtId="168" fontId="1" fillId="10" borderId="12" xfId="10" applyNumberFormat="1" applyFont="1" applyFill="1" applyBorder="1"/>
    <xf numFmtId="174" fontId="0" fillId="0" borderId="0" xfId="0" applyNumberFormat="1"/>
    <xf numFmtId="172" fontId="1" fillId="10" borderId="23" xfId="10" applyNumberFormat="1" applyFont="1" applyFill="1" applyBorder="1"/>
    <xf numFmtId="41" fontId="4" fillId="0" borderId="0" xfId="11" applyFont="1" applyFill="1" applyAlignment="1">
      <alignment horizontal="centerContinuous"/>
    </xf>
    <xf numFmtId="41" fontId="7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5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17" fontId="3" fillId="0" borderId="0" xfId="11" applyNumberFormat="1" applyFont="1" applyFill="1" applyBorder="1" applyAlignment="1"/>
    <xf numFmtId="0" fontId="3" fillId="0" borderId="0" xfId="7" applyFont="1" applyFill="1" applyBorder="1" applyAlignment="1">
      <alignment horizontal="center"/>
    </xf>
    <xf numFmtId="41" fontId="3" fillId="0" borderId="0" xfId="11" applyFont="1" applyFill="1" applyBorder="1" applyAlignment="1">
      <alignment horizontal="center"/>
    </xf>
    <xf numFmtId="41" fontId="3" fillId="0" borderId="0" xfId="11" applyFont="1" applyFill="1" applyAlignment="1"/>
    <xf numFmtId="0" fontId="3" fillId="0" borderId="24" xfId="11" applyNumberFormat="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168" fontId="31" fillId="0" borderId="0" xfId="11" applyNumberFormat="1" applyFont="1" applyFill="1" applyBorder="1" applyAlignment="1">
      <alignment horizontal="centerContinuous"/>
    </xf>
    <xf numFmtId="0" fontId="3" fillId="0" borderId="10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0" fontId="3" fillId="0" borderId="23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41" fontId="22" fillId="0" borderId="0" xfId="11" applyFont="1" applyFill="1"/>
    <xf numFmtId="41" fontId="3" fillId="0" borderId="0" xfId="11" applyFont="1" applyFill="1" applyAlignment="1">
      <alignment horizontal="left" indent="1"/>
    </xf>
    <xf numFmtId="182" fontId="3" fillId="0" borderId="0" xfId="11" applyNumberFormat="1" applyFont="1" applyFill="1" applyBorder="1" applyAlignment="1">
      <alignment horizontal="center"/>
    </xf>
    <xf numFmtId="175" fontId="22" fillId="0" borderId="0" xfId="8" applyNumberFormat="1" applyFont="1" applyFill="1"/>
    <xf numFmtId="8" fontId="3" fillId="0" borderId="0" xfId="11" applyNumberFormat="1"/>
    <xf numFmtId="39" fontId="3" fillId="0" borderId="0" xfId="29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43" fontId="3" fillId="0" borderId="0" xfId="1" applyFont="1" applyFill="1"/>
    <xf numFmtId="8" fontId="3" fillId="0" borderId="0" xfId="11" applyNumberFormat="1" applyFont="1" applyFill="1"/>
    <xf numFmtId="41" fontId="3" fillId="0" borderId="0" xfId="11" quotePrefix="1" applyFont="1" applyFill="1" applyAlignment="1">
      <alignment horizontal="center" vertical="top"/>
    </xf>
    <xf numFmtId="183" fontId="3" fillId="0" borderId="0" xfId="0" applyNumberFormat="1" applyFont="1" applyFill="1" applyBorder="1" applyAlignment="1">
      <alignment horizontal="center"/>
    </xf>
    <xf numFmtId="0" fontId="3" fillId="0" borderId="0" xfId="26" applyFont="1" applyFill="1"/>
    <xf numFmtId="14" fontId="3" fillId="0" borderId="0" xfId="27" applyNumberFormat="1" applyFont="1" applyFill="1"/>
    <xf numFmtId="180" fontId="28" fillId="0" borderId="0" xfId="28" applyNumberFormat="1" applyFill="1" applyAlignment="1" applyProtection="1"/>
    <xf numFmtId="7" fontId="3" fillId="0" borderId="0" xfId="2" applyNumberFormat="1" applyFont="1" applyFill="1"/>
    <xf numFmtId="180" fontId="29" fillId="0" borderId="0" xfId="0" applyNumberFormat="1" applyFont="1" applyFill="1"/>
    <xf numFmtId="172" fontId="32" fillId="0" borderId="0" xfId="0" applyFont="1" applyFill="1" applyAlignment="1">
      <alignment horizontal="centerContinuous"/>
    </xf>
    <xf numFmtId="172" fontId="33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32" fillId="0" borderId="0" xfId="0" applyFont="1" applyFill="1"/>
    <xf numFmtId="172" fontId="5" fillId="0" borderId="0" xfId="0" applyFont="1" applyFill="1" applyBorder="1" applyAlignment="1">
      <alignment horizontal="centerContinuous"/>
    </xf>
    <xf numFmtId="172" fontId="33" fillId="0" borderId="0" xfId="0" applyFont="1" applyFill="1"/>
    <xf numFmtId="172" fontId="3" fillId="0" borderId="0" xfId="0" quotePrefix="1" applyFont="1" applyFill="1" applyBorder="1" applyAlignment="1">
      <alignment horizontal="center"/>
    </xf>
    <xf numFmtId="8" fontId="34" fillId="0" borderId="0" xfId="0" applyNumberFormat="1" applyFont="1" applyFill="1" applyAlignment="1">
      <alignment horizontal="center"/>
    </xf>
    <xf numFmtId="8" fontId="34" fillId="0" borderId="0" xfId="0" applyNumberFormat="1" applyFont="1" applyFill="1" applyBorder="1" applyAlignment="1">
      <alignment horizontal="left"/>
    </xf>
    <xf numFmtId="172" fontId="3" fillId="0" borderId="24" xfId="0" applyFont="1" applyFill="1" applyBorder="1" applyAlignment="1">
      <alignment horizontal="center"/>
    </xf>
    <xf numFmtId="172" fontId="3" fillId="0" borderId="5" xfId="0" applyFont="1" applyFill="1" applyBorder="1" applyAlignment="1">
      <alignment horizontal="centerContinuous"/>
    </xf>
    <xf numFmtId="172" fontId="3" fillId="0" borderId="5" xfId="0" quotePrefix="1" applyFont="1" applyFill="1" applyBorder="1" applyAlignment="1">
      <alignment horizontal="centerContinuous"/>
    </xf>
    <xf numFmtId="172" fontId="3" fillId="0" borderId="4" xfId="0" applyFont="1" applyFill="1" applyBorder="1" applyAlignment="1">
      <alignment horizontal="centerContinuous"/>
    </xf>
    <xf numFmtId="172" fontId="3" fillId="0" borderId="7" xfId="0" applyFont="1" applyFill="1" applyBorder="1" applyAlignment="1">
      <alignment horizontal="centerContinuous"/>
    </xf>
    <xf numFmtId="172" fontId="3" fillId="0" borderId="3" xfId="0" applyFont="1" applyFill="1" applyBorder="1" applyAlignment="1">
      <alignment horizontal="centerContinuous"/>
    </xf>
    <xf numFmtId="172" fontId="3" fillId="0" borderId="24" xfId="0" applyFont="1" applyFill="1" applyBorder="1" applyAlignment="1">
      <alignment horizontal="centerContinuous"/>
    </xf>
    <xf numFmtId="172" fontId="3" fillId="0" borderId="2" xfId="0" applyFont="1" applyFill="1" applyBorder="1" applyAlignment="1">
      <alignment horizontal="centerContinuous"/>
    </xf>
    <xf numFmtId="172" fontId="3" fillId="0" borderId="8" xfId="0" applyFont="1" applyFill="1" applyBorder="1" applyAlignment="1">
      <alignment horizontal="centerContinuous"/>
    </xf>
    <xf numFmtId="172" fontId="3" fillId="0" borderId="23" xfId="0" applyFont="1" applyFill="1" applyBorder="1" applyAlignment="1">
      <alignment horizontal="center"/>
    </xf>
    <xf numFmtId="172" fontId="3" fillId="0" borderId="3" xfId="0" applyFont="1" applyFill="1" applyBorder="1" applyAlignment="1">
      <alignment horizontal="center"/>
    </xf>
    <xf numFmtId="172" fontId="3" fillId="0" borderId="9" xfId="0" applyFont="1" applyFill="1" applyBorder="1" applyAlignment="1">
      <alignment horizontal="center"/>
    </xf>
    <xf numFmtId="172" fontId="3" fillId="0" borderId="4" xfId="0" applyFont="1" applyFill="1" applyBorder="1" applyAlignment="1">
      <alignment horizontal="center"/>
    </xf>
    <xf numFmtId="172" fontId="3" fillId="0" borderId="0" xfId="0" quotePrefix="1" applyFont="1" applyFill="1" applyBorder="1"/>
    <xf numFmtId="172" fontId="2" fillId="0" borderId="0" xfId="0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center"/>
    </xf>
    <xf numFmtId="8" fontId="3" fillId="0" borderId="5" xfId="0" applyNumberFormat="1" applyFont="1" applyFill="1" applyBorder="1"/>
    <xf numFmtId="8" fontId="3" fillId="11" borderId="24" xfId="0" applyNumberFormat="1" applyFont="1" applyFill="1" applyBorder="1" applyAlignment="1">
      <alignment horizontal="center"/>
    </xf>
    <xf numFmtId="8" fontId="3" fillId="11" borderId="2" xfId="0" applyNumberFormat="1" applyFont="1" applyFill="1" applyBorder="1" applyAlignment="1">
      <alignment horizontal="center"/>
    </xf>
    <xf numFmtId="8" fontId="3" fillId="11" borderId="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6" xfId="0" applyNumberFormat="1" applyFont="1" applyFill="1" applyBorder="1"/>
    <xf numFmtId="43" fontId="3" fillId="0" borderId="1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23" xfId="0" applyNumberFormat="1" applyFont="1" applyFill="1" applyBorder="1" applyAlignment="1">
      <alignment horizontal="center"/>
    </xf>
    <xf numFmtId="172" fontId="3" fillId="0" borderId="0" xfId="0" applyFont="1" applyFill="1" applyBorder="1" applyAlignment="1">
      <alignment horizontal="left"/>
    </xf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3" fontId="3" fillId="0" borderId="0" xfId="0" applyNumberFormat="1" applyFont="1" applyFill="1"/>
    <xf numFmtId="17" fontId="3" fillId="0" borderId="0" xfId="11" applyNumberFormat="1" applyFont="1" applyFill="1" applyAlignment="1">
      <alignment horizontal="center" wrapText="1"/>
    </xf>
  </cellXfs>
  <cellStyles count="30">
    <cellStyle name="Comma" xfId="1" builtinId="3"/>
    <cellStyle name="Comma 2" xfId="14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29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3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FFCC"/>
      <color rgb="FFFF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52%20-%20UT%20Compliance%20Filing%202017.Q2%20-%202017%20Aug\Sent%20out%20to%20Regulation\4_Appendix%20B.1%20-%20UT%202017.Q2%20-%20AC%20Study%20NON-CONF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  <row r="7">
          <cell r="M7">
            <v>0.31060683789954335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 refreshError="1"/>
      <sheetData sheetId="1">
        <row r="5">
          <cell r="B5" t="str">
            <v>Utah 2017.Q2 - 100.0 MW and 85.0% CF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T5" t="str">
            <v>HLH/LLH Factors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90" zoomScaleNormal="90" workbookViewId="0">
      <selection activeCell="G37" sqref="G37"/>
    </sheetView>
  </sheetViews>
  <sheetFormatPr defaultRowHeight="12.75"/>
  <cols>
    <col min="1" max="1" width="11.83203125" style="71" customWidth="1"/>
    <col min="2" max="2" width="11.6640625" style="71" customWidth="1"/>
    <col min="3" max="5" width="17.5" style="71" customWidth="1"/>
    <col min="6" max="6" width="9.33203125" style="71" hidden="1" customWidth="1"/>
    <col min="7" max="7" width="9.33203125" style="70" customWidth="1"/>
    <col min="8" max="8" width="10.5" style="70" bestFit="1" customWidth="1"/>
    <col min="9" max="16384" width="9.33203125" style="70"/>
  </cols>
  <sheetData>
    <row r="1" spans="2:6" ht="15.75">
      <c r="B1" s="291" t="s">
        <v>186</v>
      </c>
      <c r="C1" s="292"/>
      <c r="D1" s="292"/>
      <c r="E1" s="293"/>
      <c r="F1" s="295"/>
    </row>
    <row r="2" spans="2:6" ht="5.25" customHeight="1">
      <c r="B2" s="291"/>
      <c r="C2" s="292"/>
      <c r="D2" s="292"/>
      <c r="E2" s="293"/>
      <c r="F2" s="295"/>
    </row>
    <row r="3" spans="2:6" ht="15.75">
      <c r="B3" s="296" t="s">
        <v>151</v>
      </c>
      <c r="C3" s="296"/>
      <c r="D3" s="296"/>
      <c r="E3" s="291"/>
      <c r="F3" s="295"/>
    </row>
    <row r="4" spans="2:6" ht="15.75">
      <c r="B4" s="5" t="s">
        <v>157</v>
      </c>
      <c r="C4" s="296"/>
      <c r="D4" s="296"/>
      <c r="E4" s="291"/>
      <c r="F4" s="295"/>
    </row>
    <row r="5" spans="2:6" ht="25.5" customHeight="1">
      <c r="C5" s="297"/>
      <c r="D5" s="297"/>
      <c r="E5" s="297"/>
      <c r="F5" s="295"/>
    </row>
    <row r="6" spans="2:6" ht="25.5">
      <c r="B6" s="297" t="s">
        <v>0</v>
      </c>
      <c r="C6" s="368" t="str">
        <f>'Table 5'!M4</f>
        <v>Utah 2017.Q3 Sch 38 Solar</v>
      </c>
      <c r="D6" s="368" t="s">
        <v>187</v>
      </c>
      <c r="E6" s="298"/>
      <c r="F6" s="299"/>
    </row>
    <row r="7" spans="2:6">
      <c r="B7" s="297"/>
      <c r="C7" s="300" t="str">
        <f ca="1">TEXT('Table 1'!G9,"0.0%")&amp;" CF (2)"</f>
        <v>31.1% CF (2)</v>
      </c>
      <c r="D7" s="319" t="str">
        <f ca="1">C7</f>
        <v>31.1% CF (2)</v>
      </c>
      <c r="E7" s="301" t="s">
        <v>152</v>
      </c>
      <c r="F7" s="302"/>
    </row>
    <row r="8" spans="2:6">
      <c r="B8" s="303">
        <f>'Table 1'!B13</f>
        <v>2018</v>
      </c>
      <c r="C8" s="304">
        <f>'Table 1'!G13</f>
        <v>20.455461523846051</v>
      </c>
      <c r="D8" s="304">
        <v>20.385791986077976</v>
      </c>
      <c r="E8" s="304">
        <f>C8-D8</f>
        <v>6.9669537768074719E-2</v>
      </c>
      <c r="F8" s="305"/>
    </row>
    <row r="9" spans="2:6">
      <c r="B9" s="306">
        <f>'Table 1'!B14</f>
        <v>2019</v>
      </c>
      <c r="C9" s="307">
        <f>'Table 1'!G14</f>
        <v>17.569226202204746</v>
      </c>
      <c r="D9" s="307">
        <v>19.520693893657395</v>
      </c>
      <c r="E9" s="307">
        <f t="shared" ref="E9:E22" si="0">C9-D9</f>
        <v>-1.951467691452649</v>
      </c>
      <c r="F9" s="305"/>
    </row>
    <row r="10" spans="2:6">
      <c r="B10" s="306">
        <f>'Table 1'!B15</f>
        <v>2020</v>
      </c>
      <c r="C10" s="307">
        <f>'Table 1'!G15</f>
        <v>11.993059926629499</v>
      </c>
      <c r="D10" s="307">
        <v>14.941487237142198</v>
      </c>
      <c r="E10" s="307">
        <f t="shared" si="0"/>
        <v>-2.9484273105126988</v>
      </c>
      <c r="F10" s="305"/>
    </row>
    <row r="11" spans="2:6">
      <c r="B11" s="306">
        <f>'Table 1'!B16</f>
        <v>2021</v>
      </c>
      <c r="C11" s="307">
        <f>'Table 1'!G16</f>
        <v>14.951322406878681</v>
      </c>
      <c r="D11" s="307">
        <v>15.024103824088556</v>
      </c>
      <c r="E11" s="307">
        <f t="shared" si="0"/>
        <v>-7.2781417209874633E-2</v>
      </c>
      <c r="F11" s="305"/>
    </row>
    <row r="12" spans="2:6">
      <c r="B12" s="306">
        <f>'Table 1'!B17</f>
        <v>2022</v>
      </c>
      <c r="C12" s="307">
        <f>'Table 1'!G17</f>
        <v>16.983189059128364</v>
      </c>
      <c r="D12" s="307">
        <v>17.57465261052312</v>
      </c>
      <c r="E12" s="307">
        <f t="shared" si="0"/>
        <v>-0.59146355139475659</v>
      </c>
      <c r="F12" s="305"/>
    </row>
    <row r="13" spans="2:6">
      <c r="B13" s="306">
        <f>'Table 1'!B18</f>
        <v>2023</v>
      </c>
      <c r="C13" s="307">
        <f>'Table 1'!G18</f>
        <v>18.434031179574998</v>
      </c>
      <c r="D13" s="307">
        <v>18.48885839055303</v>
      </c>
      <c r="E13" s="307">
        <f t="shared" si="0"/>
        <v>-5.4827210978032781E-2</v>
      </c>
      <c r="F13" s="305"/>
    </row>
    <row r="14" spans="2:6">
      <c r="B14" s="306">
        <f>'Table 1'!B19</f>
        <v>2024</v>
      </c>
      <c r="C14" s="307">
        <f>'Table 1'!G19</f>
        <v>21.18716125073697</v>
      </c>
      <c r="D14" s="307">
        <v>18.872496278039581</v>
      </c>
      <c r="E14" s="307">
        <f t="shared" si="0"/>
        <v>2.3146649726973898</v>
      </c>
      <c r="F14" s="305"/>
    </row>
    <row r="15" spans="2:6">
      <c r="B15" s="306">
        <f>'Table 1'!B20</f>
        <v>2025</v>
      </c>
      <c r="C15" s="307">
        <f>'Table 1'!G20</f>
        <v>23.583151326863</v>
      </c>
      <c r="D15" s="307">
        <v>19.649666976919629</v>
      </c>
      <c r="E15" s="307">
        <f t="shared" si="0"/>
        <v>3.9334843499433703</v>
      </c>
      <c r="F15" s="305"/>
    </row>
    <row r="16" spans="2:6">
      <c r="B16" s="306">
        <f>'Table 1'!B21</f>
        <v>2026</v>
      </c>
      <c r="C16" s="307">
        <f>'Table 1'!G21</f>
        <v>24.035233724055615</v>
      </c>
      <c r="D16" s="307">
        <v>20.667755981859344</v>
      </c>
      <c r="E16" s="307">
        <f t="shared" si="0"/>
        <v>3.3674777421962716</v>
      </c>
      <c r="F16" s="305"/>
    </row>
    <row r="17" spans="1:6">
      <c r="B17" s="306">
        <f>'Table 1'!B22</f>
        <v>2027</v>
      </c>
      <c r="C17" s="307">
        <f>'Table 1'!G22</f>
        <v>24.372922995815031</v>
      </c>
      <c r="D17" s="307">
        <v>21.488157412968857</v>
      </c>
      <c r="E17" s="307">
        <f t="shared" si="0"/>
        <v>2.8847655828461747</v>
      </c>
      <c r="F17" s="305"/>
    </row>
    <row r="18" spans="1:6">
      <c r="B18" s="306">
        <f>'Table 1'!B23</f>
        <v>2028</v>
      </c>
      <c r="C18" s="307">
        <f>'Table 1'!G23</f>
        <v>25.217618141228918</v>
      </c>
      <c r="D18" s="307">
        <v>23.508945783450649</v>
      </c>
      <c r="E18" s="307">
        <f t="shared" si="0"/>
        <v>1.7086723577782692</v>
      </c>
      <c r="F18" s="305"/>
    </row>
    <row r="19" spans="1:6">
      <c r="B19" s="306">
        <f>'Table 1'!B24</f>
        <v>2029</v>
      </c>
      <c r="C19" s="307">
        <f>'Table 1'!G24</f>
        <v>26.924480758535847</v>
      </c>
      <c r="D19" s="307">
        <v>25.23119762002278</v>
      </c>
      <c r="E19" s="307">
        <f t="shared" si="0"/>
        <v>1.6932831385130669</v>
      </c>
      <c r="F19" s="305"/>
    </row>
    <row r="20" spans="1:6">
      <c r="B20" s="306">
        <f>'Table 1'!B25</f>
        <v>2030</v>
      </c>
      <c r="C20" s="307">
        <f>'Table 1'!G25</f>
        <v>28.2697620998294</v>
      </c>
      <c r="D20" s="307">
        <v>27.380048030263218</v>
      </c>
      <c r="E20" s="307">
        <f t="shared" si="0"/>
        <v>0.88971406956618182</v>
      </c>
      <c r="F20" s="305"/>
    </row>
    <row r="21" spans="1:6">
      <c r="B21" s="306">
        <f>'Table 1'!B26</f>
        <v>2031</v>
      </c>
      <c r="C21" s="307">
        <f>'Table 1'!G26</f>
        <v>29.322643294692874</v>
      </c>
      <c r="D21" s="307">
        <v>28.805968674745213</v>
      </c>
      <c r="E21" s="307">
        <f t="shared" si="0"/>
        <v>0.51667461994766128</v>
      </c>
      <c r="F21" s="305"/>
    </row>
    <row r="22" spans="1:6">
      <c r="B22" s="308">
        <f>'Table 1'!B27</f>
        <v>2032</v>
      </c>
      <c r="C22" s="309">
        <f>'Table 1'!G27</f>
        <v>30.115469641982838</v>
      </c>
      <c r="D22" s="309">
        <v>29.893912975135734</v>
      </c>
      <c r="E22" s="309">
        <f t="shared" si="0"/>
        <v>0.2215566668471034</v>
      </c>
      <c r="F22" s="305"/>
    </row>
    <row r="23" spans="1:6">
      <c r="D23" s="297"/>
    </row>
    <row r="24" spans="1:6">
      <c r="B24" s="72" t="str">
        <f>"15-Year Levelized Prices (Nominal) @ "&amp;TEXT(Discount_Rate,"0.000%")&amp;" Discount Rate (1) (3)"</f>
        <v>15-Year Levelized Prices (Nominal) @ 6.570% Discount Rate (1) (3)</v>
      </c>
      <c r="D24" s="297"/>
      <c r="F24" s="310">
        <f>'Table 1'!I34</f>
        <v>0</v>
      </c>
    </row>
    <row r="25" spans="1:6">
      <c r="A25" s="4" t="s">
        <v>153</v>
      </c>
      <c r="B25" s="311" t="s">
        <v>39</v>
      </c>
      <c r="C25" s="312">
        <f>ROUND('Table 1'!G43,2)</f>
        <v>20.87</v>
      </c>
      <c r="D25" s="312">
        <v>20.37</v>
      </c>
      <c r="E25" s="307">
        <f>C25-D25</f>
        <v>0.5</v>
      </c>
      <c r="F25" s="313">
        <f>'Table 1'!I35</f>
        <v>0</v>
      </c>
    </row>
    <row r="26" spans="1:6" ht="17.25" customHeight="1">
      <c r="B26" s="311"/>
      <c r="C26" s="307"/>
      <c r="D26" s="307"/>
      <c r="E26" s="307"/>
    </row>
    <row r="27" spans="1:6" ht="10.5" customHeight="1">
      <c r="B27" s="311"/>
      <c r="C27" s="307"/>
      <c r="D27" s="307"/>
      <c r="E27" s="307"/>
    </row>
    <row r="28" spans="1:6" s="71" customFormat="1" ht="5.25" customHeight="1">
      <c r="D28" s="314"/>
    </row>
    <row r="29" spans="1:6" s="71" customFormat="1">
      <c r="B29" s="71" t="s">
        <v>19</v>
      </c>
      <c r="C29" s="315"/>
      <c r="D29" s="316"/>
      <c r="E29" s="316"/>
    </row>
    <row r="30" spans="1:6" s="71" customFormat="1">
      <c r="B30" s="317" t="str">
        <f>'Table 1'!B57</f>
        <v/>
      </c>
      <c r="D30" s="294"/>
      <c r="E30" s="294"/>
    </row>
    <row r="31" spans="1:6" s="71" customFormat="1">
      <c r="B31" s="317" t="str">
        <f>"(2)   Total Avoided Costs with Capacity, based on stated CF"</f>
        <v>(2)   Total Avoided Costs with Capacity, based on stated CF</v>
      </c>
    </row>
    <row r="32" spans="1:6" s="71" customFormat="1">
      <c r="B32" s="71" t="str">
        <f>"(3)   15-Years: "&amp;B8&amp;" - "&amp;B22</f>
        <v>(3)   15-Years: 2018 - 2032</v>
      </c>
    </row>
    <row r="33" spans="2:5" s="71" customFormat="1">
      <c r="B33" s="11" t="str">
        <f>"(4)   Levelized Monthly"</f>
        <v>(4)   Levelized Monthly</v>
      </c>
    </row>
    <row r="34" spans="2:5" s="71" customFormat="1">
      <c r="B34" s="11"/>
    </row>
    <row r="35" spans="2:5" s="71" customFormat="1">
      <c r="B35" s="11"/>
    </row>
    <row r="36" spans="2:5" s="71" customFormat="1" hidden="1"/>
    <row r="37" spans="2:5" s="71" customFormat="1">
      <c r="C37" s="307"/>
      <c r="D37" s="307"/>
    </row>
    <row r="39" spans="2:5" s="71" customFormat="1">
      <c r="C39" s="318"/>
      <c r="D39" s="318"/>
      <c r="E39" s="318"/>
    </row>
  </sheetData>
  <conditionalFormatting sqref="D8:D22">
    <cfRule type="expression" dxfId="2" priority="2">
      <formula>ISNA(G8)</formula>
    </cfRule>
  </conditionalFormatting>
  <conditionalFormatting sqref="E8:E22">
    <cfRule type="expression" dxfId="1" priority="1">
      <formula>ISNA(H8)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B2" sqref="B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9" width="12.5" style="190" customWidth="1"/>
    <col min="10" max="10" width="11.6640625" style="190" customWidth="1"/>
    <col min="11" max="12" width="9.33203125" style="190"/>
    <col min="13" max="13" width="17.5" style="190" customWidth="1"/>
    <col min="14" max="14" width="4.83203125" style="190" customWidth="1"/>
    <col min="15" max="15" width="11.5" style="190" customWidth="1"/>
    <col min="16" max="16" width="12.5" style="190" customWidth="1"/>
    <col min="17" max="16384" width="9.33203125" style="190"/>
  </cols>
  <sheetData>
    <row r="1" spans="2:19" ht="15.75">
      <c r="B1" s="188" t="s">
        <v>85</v>
      </c>
      <c r="C1" s="189"/>
      <c r="D1" s="189"/>
      <c r="E1" s="189"/>
      <c r="F1" s="189"/>
      <c r="G1" s="189"/>
      <c r="H1" s="189"/>
      <c r="I1" s="189"/>
    </row>
    <row r="2" spans="2:19" ht="15.75">
      <c r="B2" s="188" t="s">
        <v>162</v>
      </c>
      <c r="C2" s="189"/>
      <c r="D2" s="189"/>
      <c r="E2" s="189"/>
      <c r="F2" s="189"/>
      <c r="G2" s="189"/>
      <c r="H2" s="189"/>
      <c r="I2" s="189"/>
    </row>
    <row r="3" spans="2:19" ht="15.75">
      <c r="B3" s="188" t="str">
        <f>TEXT($C$63,"0%")&amp;" Capacity Factor"</f>
        <v>90% Capacity Factor</v>
      </c>
      <c r="C3" s="189"/>
      <c r="D3" s="189"/>
      <c r="E3" s="189"/>
      <c r="F3" s="189"/>
      <c r="G3" s="189"/>
      <c r="H3" s="189"/>
      <c r="I3" s="189"/>
    </row>
    <row r="4" spans="2:19">
      <c r="B4" s="191"/>
      <c r="C4" s="191"/>
      <c r="D4" s="191"/>
      <c r="E4" s="191"/>
      <c r="F4" s="191"/>
      <c r="G4" s="191"/>
      <c r="H4" s="191"/>
      <c r="I4" s="192"/>
      <c r="J4" s="192"/>
    </row>
    <row r="5" spans="2:19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122</v>
      </c>
      <c r="J5" s="19" t="s">
        <v>73</v>
      </c>
      <c r="K5"/>
      <c r="Q5" s="254"/>
    </row>
    <row r="6" spans="2:19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/>
      <c r="N6" s="256"/>
      <c r="O6" s="256"/>
      <c r="P6" s="70"/>
      <c r="Q6" s="70"/>
      <c r="R6" s="70"/>
    </row>
    <row r="7" spans="2:19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/>
      <c r="N7" s="70"/>
      <c r="O7" s="70"/>
      <c r="P7" s="70"/>
      <c r="Q7" s="70"/>
      <c r="R7" s="70"/>
    </row>
    <row r="8" spans="2:19" ht="6" customHeight="1">
      <c r="K8"/>
    </row>
    <row r="9" spans="2:19" ht="15.75">
      <c r="B9" s="60" t="str">
        <f>C52</f>
        <v>2017 IRP Geothermal PPA West Side Resource - 90% Capacity Factor</v>
      </c>
      <c r="C9" s="192"/>
      <c r="E9" s="192"/>
      <c r="F9" s="192"/>
      <c r="G9" s="192"/>
      <c r="H9" s="192"/>
      <c r="I9" s="192"/>
      <c r="J9" s="192"/>
      <c r="K9"/>
    </row>
    <row r="10" spans="2:19">
      <c r="B10" s="199">
        <v>2016</v>
      </c>
      <c r="C10" s="200">
        <f>C55</f>
        <v>0</v>
      </c>
      <c r="D10" s="201">
        <f>C10*$C$62</f>
        <v>0</v>
      </c>
      <c r="E10" s="201">
        <f>C56</f>
        <v>0</v>
      </c>
      <c r="F10" s="202">
        <f t="shared" ref="F10:F36" si="0">(D10+E10)/(8.76*$C$63)</f>
        <v>0</v>
      </c>
      <c r="G10" s="202">
        <f>$C$58</f>
        <v>77.34</v>
      </c>
      <c r="H10" s="249">
        <f>C59</f>
        <v>0</v>
      </c>
      <c r="I10" s="203">
        <f>F10+H10+G10</f>
        <v>77.34</v>
      </c>
      <c r="J10" s="203">
        <f>ROUND(I10*$C$63*8.76,2)</f>
        <v>611.44000000000005</v>
      </c>
      <c r="K10"/>
      <c r="N10" s="70"/>
      <c r="O10" s="70"/>
      <c r="P10" s="70"/>
      <c r="Q10" s="255"/>
      <c r="R10" s="70"/>
    </row>
    <row r="11" spans="2:19">
      <c r="B11" s="199">
        <f t="shared" ref="B11:B36" si="1">B10+1</f>
        <v>2017</v>
      </c>
      <c r="C11" s="205"/>
      <c r="D11" s="201">
        <f>ROUND(D10*(1+$D66),2)</f>
        <v>0</v>
      </c>
      <c r="E11" s="201">
        <f>ROUND(E10*(1+$D66),2)</f>
        <v>0</v>
      </c>
      <c r="F11" s="202">
        <f t="shared" si="0"/>
        <v>0</v>
      </c>
      <c r="G11" s="110">
        <f>ROUND(G10*(1+$D66),2)</f>
        <v>78.81</v>
      </c>
      <c r="H11" s="201">
        <f>ROUND(H10*(1+$D66),2)</f>
        <v>0</v>
      </c>
      <c r="I11" s="203">
        <f>F11+H11+G11</f>
        <v>78.81</v>
      </c>
      <c r="J11" s="203">
        <f t="shared" ref="J11:J36" si="2">ROUND(I11*$C$63*8.76,2)</f>
        <v>623.05999999999995</v>
      </c>
      <c r="K11"/>
      <c r="N11" s="70"/>
      <c r="O11" s="70"/>
      <c r="P11" s="70"/>
      <c r="Q11" s="255"/>
      <c r="R11" s="70"/>
    </row>
    <row r="12" spans="2:19">
      <c r="B12" s="212">
        <f t="shared" si="1"/>
        <v>2018</v>
      </c>
      <c r="C12" s="213"/>
      <c r="D12" s="201">
        <f t="shared" ref="D12:E19" si="3">ROUND(D11*(1+$D67),2)</f>
        <v>0</v>
      </c>
      <c r="E12" s="201">
        <f t="shared" si="3"/>
        <v>0</v>
      </c>
      <c r="F12" s="203">
        <f t="shared" si="0"/>
        <v>0</v>
      </c>
      <c r="G12" s="201">
        <f t="shared" ref="G12:G19" si="4">ROUND(G11*(1+$D67),2)</f>
        <v>80.23</v>
      </c>
      <c r="H12" s="214">
        <f t="shared" ref="H12" si="5">ROUND(H11*(1+$D67),2)</f>
        <v>0</v>
      </c>
      <c r="I12" s="203">
        <f t="shared" ref="I12:I36" si="6">F12+H12+G12</f>
        <v>80.23</v>
      </c>
      <c r="J12" s="203">
        <f t="shared" si="2"/>
        <v>634.29</v>
      </c>
      <c r="K12"/>
      <c r="L12" s="192"/>
      <c r="N12" s="70"/>
      <c r="O12" s="70"/>
      <c r="P12" s="70"/>
      <c r="Q12" s="255"/>
      <c r="R12" s="70"/>
    </row>
    <row r="13" spans="2:19">
      <c r="B13" s="212">
        <f t="shared" si="1"/>
        <v>2019</v>
      </c>
      <c r="C13" s="213"/>
      <c r="D13" s="201">
        <f t="shared" si="3"/>
        <v>0</v>
      </c>
      <c r="E13" s="201">
        <f t="shared" si="3"/>
        <v>0</v>
      </c>
      <c r="F13" s="203">
        <f t="shared" si="0"/>
        <v>0</v>
      </c>
      <c r="G13" s="201">
        <f t="shared" si="4"/>
        <v>82.08</v>
      </c>
      <c r="H13" s="214">
        <f t="shared" ref="H13" si="7">ROUND(H12*(1+$D68),2)</f>
        <v>0</v>
      </c>
      <c r="I13" s="203">
        <f t="shared" si="6"/>
        <v>82.08</v>
      </c>
      <c r="J13" s="203">
        <f t="shared" si="2"/>
        <v>648.91999999999996</v>
      </c>
      <c r="K13"/>
      <c r="L13" s="192"/>
      <c r="N13" s="70"/>
      <c r="O13" s="70"/>
      <c r="P13" s="70"/>
      <c r="Q13" s="255"/>
      <c r="R13" s="70"/>
    </row>
    <row r="14" spans="2:19">
      <c r="B14" s="212">
        <f t="shared" si="1"/>
        <v>2020</v>
      </c>
      <c r="C14" s="213"/>
      <c r="D14" s="201">
        <f t="shared" si="3"/>
        <v>0</v>
      </c>
      <c r="E14" s="201">
        <f t="shared" si="3"/>
        <v>0</v>
      </c>
      <c r="F14" s="203">
        <f t="shared" si="0"/>
        <v>0</v>
      </c>
      <c r="G14" s="201">
        <f t="shared" si="4"/>
        <v>84.21</v>
      </c>
      <c r="H14" s="214">
        <f t="shared" ref="H14" si="8">ROUND(H13*(1+$D69),2)</f>
        <v>0</v>
      </c>
      <c r="I14" s="203">
        <f t="shared" si="6"/>
        <v>84.21</v>
      </c>
      <c r="J14" s="203">
        <f t="shared" si="2"/>
        <v>665.76</v>
      </c>
      <c r="K14"/>
      <c r="L14" s="192"/>
      <c r="N14" s="70"/>
      <c r="O14" s="70"/>
      <c r="P14" s="70"/>
      <c r="Q14" s="255"/>
      <c r="R14" s="70"/>
      <c r="S14" s="211"/>
    </row>
    <row r="15" spans="2:19">
      <c r="B15" s="212">
        <f t="shared" si="1"/>
        <v>2021</v>
      </c>
      <c r="C15" s="213"/>
      <c r="D15" s="201">
        <f t="shared" si="3"/>
        <v>0</v>
      </c>
      <c r="E15" s="201">
        <f t="shared" si="3"/>
        <v>0</v>
      </c>
      <c r="F15" s="203">
        <f t="shared" si="0"/>
        <v>0</v>
      </c>
      <c r="G15" s="201">
        <f t="shared" si="4"/>
        <v>86.23</v>
      </c>
      <c r="H15" s="214">
        <f t="shared" ref="H15" si="9">ROUND(H14*(1+$D70),2)</f>
        <v>0</v>
      </c>
      <c r="I15" s="203">
        <f t="shared" si="6"/>
        <v>86.23</v>
      </c>
      <c r="J15" s="203">
        <f t="shared" si="2"/>
        <v>681.73</v>
      </c>
      <c r="K15"/>
      <c r="L15" s="192"/>
      <c r="N15" s="70"/>
      <c r="O15" s="70"/>
      <c r="P15" s="70"/>
      <c r="Q15" s="255"/>
      <c r="R15" s="70"/>
      <c r="S15" s="211"/>
    </row>
    <row r="16" spans="2:19">
      <c r="B16" s="212">
        <f t="shared" si="1"/>
        <v>2022</v>
      </c>
      <c r="C16" s="213"/>
      <c r="D16" s="201">
        <f t="shared" si="3"/>
        <v>0</v>
      </c>
      <c r="E16" s="201">
        <f t="shared" si="3"/>
        <v>0</v>
      </c>
      <c r="F16" s="203">
        <f t="shared" si="0"/>
        <v>0</v>
      </c>
      <c r="G16" s="201">
        <f t="shared" si="4"/>
        <v>88.21</v>
      </c>
      <c r="H16" s="214">
        <f t="shared" ref="H16" si="10">ROUND(H15*(1+$D71),2)</f>
        <v>0</v>
      </c>
      <c r="I16" s="203">
        <f t="shared" si="6"/>
        <v>88.21</v>
      </c>
      <c r="J16" s="203">
        <f t="shared" si="2"/>
        <v>697.38</v>
      </c>
      <c r="K16"/>
      <c r="L16" s="192"/>
      <c r="N16" s="70"/>
      <c r="O16" s="70"/>
      <c r="P16" s="70"/>
      <c r="Q16" s="255"/>
      <c r="R16" s="70"/>
    </row>
    <row r="17" spans="2:19">
      <c r="B17" s="212">
        <f t="shared" si="1"/>
        <v>2023</v>
      </c>
      <c r="C17" s="213"/>
      <c r="D17" s="201">
        <f t="shared" si="3"/>
        <v>0</v>
      </c>
      <c r="E17" s="201">
        <f t="shared" si="3"/>
        <v>0</v>
      </c>
      <c r="F17" s="203">
        <f t="shared" si="0"/>
        <v>0</v>
      </c>
      <c r="G17" s="201">
        <f t="shared" si="4"/>
        <v>90.24</v>
      </c>
      <c r="H17" s="214">
        <f t="shared" ref="H17" si="11">ROUND(H16*(1+$D72),2)</f>
        <v>0</v>
      </c>
      <c r="I17" s="203">
        <f t="shared" si="6"/>
        <v>90.24</v>
      </c>
      <c r="J17" s="203">
        <f t="shared" si="2"/>
        <v>713.43</v>
      </c>
      <c r="K17"/>
      <c r="L17" s="192"/>
      <c r="N17" s="70"/>
      <c r="O17" s="70"/>
      <c r="P17" s="70"/>
      <c r="Q17" s="255"/>
      <c r="R17" s="70"/>
    </row>
    <row r="18" spans="2:19">
      <c r="B18" s="212">
        <f t="shared" si="1"/>
        <v>2024</v>
      </c>
      <c r="C18" s="213"/>
      <c r="D18" s="201">
        <f t="shared" si="3"/>
        <v>0</v>
      </c>
      <c r="E18" s="201">
        <f t="shared" si="3"/>
        <v>0</v>
      </c>
      <c r="F18" s="203">
        <f t="shared" si="0"/>
        <v>0</v>
      </c>
      <c r="G18" s="201">
        <f t="shared" si="4"/>
        <v>92.32</v>
      </c>
      <c r="H18" s="214">
        <f t="shared" ref="H18" si="12">ROUND(H17*(1+$D73),2)</f>
        <v>0</v>
      </c>
      <c r="I18" s="203">
        <f t="shared" si="6"/>
        <v>92.32</v>
      </c>
      <c r="J18" s="203">
        <f t="shared" si="2"/>
        <v>729.87</v>
      </c>
      <c r="K18"/>
      <c r="L18" s="192"/>
      <c r="N18" s="70"/>
      <c r="O18" s="70"/>
      <c r="P18" s="70"/>
      <c r="Q18" s="255"/>
      <c r="R18" s="70"/>
    </row>
    <row r="19" spans="2:19">
      <c r="B19" s="212">
        <f t="shared" si="1"/>
        <v>2025</v>
      </c>
      <c r="C19" s="213"/>
      <c r="D19" s="201">
        <f t="shared" si="3"/>
        <v>0</v>
      </c>
      <c r="E19" s="201">
        <f t="shared" si="3"/>
        <v>0</v>
      </c>
      <c r="F19" s="203">
        <f t="shared" si="0"/>
        <v>0</v>
      </c>
      <c r="G19" s="201">
        <f t="shared" si="4"/>
        <v>94.44</v>
      </c>
      <c r="H19" s="214">
        <f t="shared" ref="H19" si="13">ROUND(H18*(1+$D74),2)</f>
        <v>0</v>
      </c>
      <c r="I19" s="203">
        <f t="shared" si="6"/>
        <v>94.44</v>
      </c>
      <c r="J19" s="203">
        <f t="shared" si="2"/>
        <v>746.63</v>
      </c>
      <c r="K19"/>
      <c r="L19" s="192"/>
      <c r="N19" s="70"/>
      <c r="O19" s="70"/>
      <c r="P19" s="70"/>
      <c r="Q19" s="255"/>
      <c r="R19" s="70"/>
    </row>
    <row r="20" spans="2:19">
      <c r="B20" s="212">
        <f t="shared" si="1"/>
        <v>2026</v>
      </c>
      <c r="C20" s="213"/>
      <c r="D20" s="201">
        <f>ROUND(D19*(1+$G66),2)</f>
        <v>0</v>
      </c>
      <c r="E20" s="201">
        <f>ROUND(E19*(1+$G66),2)</f>
        <v>0</v>
      </c>
      <c r="F20" s="203">
        <f t="shared" si="0"/>
        <v>0</v>
      </c>
      <c r="G20" s="201">
        <f>ROUND(G19*(1+$G66),2)</f>
        <v>96.52</v>
      </c>
      <c r="H20" s="214">
        <f>ROUND(H19*(1+$G66),2)</f>
        <v>0</v>
      </c>
      <c r="I20" s="203">
        <f t="shared" si="6"/>
        <v>96.52</v>
      </c>
      <c r="J20" s="203">
        <f t="shared" si="2"/>
        <v>763.08</v>
      </c>
      <c r="K20"/>
      <c r="L20" s="192"/>
      <c r="N20" s="70"/>
      <c r="O20" s="70"/>
      <c r="P20" s="70"/>
      <c r="Q20" s="255"/>
      <c r="R20" s="70"/>
    </row>
    <row r="21" spans="2:19">
      <c r="B21" s="212">
        <f t="shared" si="1"/>
        <v>2027</v>
      </c>
      <c r="C21" s="213"/>
      <c r="D21" s="201">
        <f t="shared" ref="D21:E28" si="14">ROUND(D20*(1+$G67),2)</f>
        <v>0</v>
      </c>
      <c r="E21" s="201">
        <f t="shared" si="14"/>
        <v>0</v>
      </c>
      <c r="F21" s="203">
        <f t="shared" si="0"/>
        <v>0</v>
      </c>
      <c r="G21" s="201">
        <f t="shared" ref="G21:G28" si="15">ROUND(G20*(1+$G67),2)</f>
        <v>98.64</v>
      </c>
      <c r="H21" s="214">
        <f t="shared" ref="H21" si="16">ROUND(H20*(1+$G67),2)</f>
        <v>0</v>
      </c>
      <c r="I21" s="203">
        <f t="shared" si="6"/>
        <v>98.64</v>
      </c>
      <c r="J21" s="203">
        <f t="shared" si="2"/>
        <v>779.84</v>
      </c>
      <c r="K21"/>
      <c r="L21" s="192"/>
      <c r="N21" s="70"/>
      <c r="O21" s="70"/>
      <c r="P21" s="70"/>
      <c r="Q21" s="255"/>
      <c r="R21" s="70"/>
    </row>
    <row r="22" spans="2:19">
      <c r="B22" s="212">
        <f t="shared" si="1"/>
        <v>2028</v>
      </c>
      <c r="C22" s="213"/>
      <c r="D22" s="207">
        <f t="shared" si="14"/>
        <v>0</v>
      </c>
      <c r="E22" s="207">
        <f t="shared" si="14"/>
        <v>0</v>
      </c>
      <c r="F22" s="208">
        <f t="shared" si="0"/>
        <v>0</v>
      </c>
      <c r="G22" s="207">
        <f t="shared" si="15"/>
        <v>100.81</v>
      </c>
      <c r="H22" s="207">
        <f t="shared" ref="H22" si="17">ROUND(H21*(1+$G68),2)</f>
        <v>0</v>
      </c>
      <c r="I22" s="208">
        <f t="shared" si="6"/>
        <v>100.81</v>
      </c>
      <c r="J22" s="208">
        <f t="shared" si="2"/>
        <v>796.99</v>
      </c>
      <c r="K22"/>
      <c r="L22" s="192"/>
      <c r="N22" s="70"/>
      <c r="O22" s="70"/>
      <c r="P22" s="70"/>
      <c r="Q22" s="255"/>
      <c r="R22" s="70"/>
    </row>
    <row r="23" spans="2:19">
      <c r="B23" s="212">
        <f t="shared" si="1"/>
        <v>2029</v>
      </c>
      <c r="C23" s="213"/>
      <c r="D23" s="201">
        <f t="shared" si="14"/>
        <v>0</v>
      </c>
      <c r="E23" s="201">
        <f t="shared" si="14"/>
        <v>0</v>
      </c>
      <c r="F23" s="203">
        <f t="shared" si="0"/>
        <v>0</v>
      </c>
      <c r="G23" s="201">
        <f t="shared" si="15"/>
        <v>103.03</v>
      </c>
      <c r="H23" s="214">
        <f t="shared" ref="H23" si="18">ROUND(H22*(1+$G69),2)</f>
        <v>0</v>
      </c>
      <c r="I23" s="203">
        <f t="shared" si="6"/>
        <v>103.03</v>
      </c>
      <c r="J23" s="203">
        <f t="shared" si="2"/>
        <v>814.54</v>
      </c>
      <c r="K23"/>
      <c r="L23" s="192"/>
      <c r="N23" s="70"/>
      <c r="O23" s="70"/>
      <c r="P23" s="255"/>
      <c r="Q23" s="255"/>
      <c r="R23" s="201"/>
      <c r="S23" s="232"/>
    </row>
    <row r="24" spans="2:19">
      <c r="B24" s="212">
        <f t="shared" si="1"/>
        <v>2030</v>
      </c>
      <c r="C24" s="213"/>
      <c r="D24" s="201">
        <f t="shared" si="14"/>
        <v>0</v>
      </c>
      <c r="E24" s="201">
        <f t="shared" si="14"/>
        <v>0</v>
      </c>
      <c r="F24" s="203">
        <f t="shared" si="0"/>
        <v>0</v>
      </c>
      <c r="G24" s="201">
        <f t="shared" si="15"/>
        <v>105.3</v>
      </c>
      <c r="H24" s="214">
        <f t="shared" ref="H24" si="19">ROUND(H23*(1+$G70),2)</f>
        <v>0</v>
      </c>
      <c r="I24" s="203">
        <f t="shared" si="6"/>
        <v>105.3</v>
      </c>
      <c r="J24" s="203">
        <f t="shared" si="2"/>
        <v>832.49</v>
      </c>
      <c r="K24"/>
      <c r="L24" s="192"/>
      <c r="N24" s="70"/>
      <c r="O24" s="70"/>
      <c r="P24" s="255"/>
      <c r="Q24" s="255"/>
      <c r="R24" s="201"/>
      <c r="S24" s="232"/>
    </row>
    <row r="25" spans="2:19">
      <c r="B25" s="212">
        <f t="shared" si="1"/>
        <v>2031</v>
      </c>
      <c r="C25" s="213"/>
      <c r="D25" s="201">
        <f t="shared" si="14"/>
        <v>0</v>
      </c>
      <c r="E25" s="201">
        <f t="shared" si="14"/>
        <v>0</v>
      </c>
      <c r="F25" s="203">
        <f t="shared" si="0"/>
        <v>0</v>
      </c>
      <c r="G25" s="201">
        <f t="shared" si="15"/>
        <v>107.62</v>
      </c>
      <c r="H25" s="214">
        <f t="shared" ref="H25" si="20">ROUND(H24*(1+$G71),2)</f>
        <v>0</v>
      </c>
      <c r="I25" s="203">
        <f t="shared" si="6"/>
        <v>107.62</v>
      </c>
      <c r="J25" s="203">
        <f t="shared" si="2"/>
        <v>850.83</v>
      </c>
      <c r="K25"/>
      <c r="L25" s="192"/>
      <c r="N25" s="70"/>
      <c r="O25" s="70"/>
      <c r="P25" s="255"/>
      <c r="Q25" s="255"/>
      <c r="R25" s="201"/>
      <c r="S25" s="232"/>
    </row>
    <row r="26" spans="2:19">
      <c r="B26" s="212">
        <f t="shared" si="1"/>
        <v>2032</v>
      </c>
      <c r="C26" s="213"/>
      <c r="D26" s="201">
        <f t="shared" si="14"/>
        <v>0</v>
      </c>
      <c r="E26" s="201">
        <f t="shared" si="14"/>
        <v>0</v>
      </c>
      <c r="F26" s="203">
        <f t="shared" si="0"/>
        <v>0</v>
      </c>
      <c r="G26" s="201">
        <f t="shared" si="15"/>
        <v>109.99</v>
      </c>
      <c r="H26" s="214">
        <f t="shared" ref="H26" si="21">ROUND(H25*(1+$G72),2)</f>
        <v>0</v>
      </c>
      <c r="I26" s="203">
        <f t="shared" si="6"/>
        <v>109.99</v>
      </c>
      <c r="J26" s="203">
        <f t="shared" si="2"/>
        <v>869.57</v>
      </c>
      <c r="K26"/>
      <c r="L26" s="192"/>
      <c r="N26" s="70"/>
      <c r="O26" s="70"/>
      <c r="P26" s="255"/>
      <c r="Q26" s="255"/>
      <c r="R26" s="201"/>
      <c r="S26" s="232"/>
    </row>
    <row r="27" spans="2:19">
      <c r="B27" s="212">
        <f t="shared" si="1"/>
        <v>2033</v>
      </c>
      <c r="C27" s="213"/>
      <c r="D27" s="201">
        <f t="shared" si="14"/>
        <v>0</v>
      </c>
      <c r="E27" s="201">
        <f t="shared" si="14"/>
        <v>0</v>
      </c>
      <c r="F27" s="203">
        <f t="shared" si="0"/>
        <v>0</v>
      </c>
      <c r="G27" s="201">
        <f t="shared" si="15"/>
        <v>112.41</v>
      </c>
      <c r="H27" s="214">
        <f t="shared" ref="H27" si="22">ROUND(H26*(1+$G73),2)</f>
        <v>0</v>
      </c>
      <c r="I27" s="203">
        <f t="shared" si="6"/>
        <v>112.41</v>
      </c>
      <c r="J27" s="203">
        <f t="shared" si="2"/>
        <v>888.7</v>
      </c>
      <c r="K27"/>
      <c r="L27" s="192"/>
      <c r="N27" s="70"/>
      <c r="O27" s="70"/>
      <c r="P27" s="255"/>
      <c r="Q27" s="255"/>
      <c r="R27" s="201"/>
      <c r="S27" s="232"/>
    </row>
    <row r="28" spans="2:19">
      <c r="B28" s="212">
        <f t="shared" si="1"/>
        <v>2034</v>
      </c>
      <c r="C28" s="213"/>
      <c r="D28" s="201">
        <f t="shared" si="14"/>
        <v>0</v>
      </c>
      <c r="E28" s="201">
        <f t="shared" si="14"/>
        <v>0</v>
      </c>
      <c r="F28" s="203">
        <f t="shared" si="0"/>
        <v>0</v>
      </c>
      <c r="G28" s="201">
        <f t="shared" si="15"/>
        <v>114.88</v>
      </c>
      <c r="H28" s="214">
        <f t="shared" ref="H28" si="23">ROUND(H27*(1+$G74),2)</f>
        <v>0</v>
      </c>
      <c r="I28" s="203">
        <f t="shared" si="6"/>
        <v>114.88</v>
      </c>
      <c r="J28" s="203">
        <f t="shared" si="2"/>
        <v>908.23</v>
      </c>
      <c r="K28"/>
      <c r="L28" s="192"/>
      <c r="N28" s="70"/>
      <c r="O28" s="70"/>
      <c r="P28" s="255"/>
      <c r="Q28" s="255"/>
      <c r="R28" s="201"/>
      <c r="S28" s="232"/>
    </row>
    <row r="29" spans="2:19">
      <c r="B29" s="212">
        <f t="shared" si="1"/>
        <v>2035</v>
      </c>
      <c r="C29" s="213"/>
      <c r="D29" s="201">
        <f>ROUND(D28*(1+$J66),2)</f>
        <v>0</v>
      </c>
      <c r="E29" s="201">
        <f>ROUND(E28*(1+$J66),2)</f>
        <v>0</v>
      </c>
      <c r="F29" s="203">
        <f t="shared" si="0"/>
        <v>0</v>
      </c>
      <c r="G29" s="201">
        <f>ROUND(G28*(1+$J66),2)</f>
        <v>117.41</v>
      </c>
      <c r="H29" s="214">
        <f>ROUND(H28*(1+$J66),2)</f>
        <v>0</v>
      </c>
      <c r="I29" s="203">
        <f t="shared" si="6"/>
        <v>117.41</v>
      </c>
      <c r="J29" s="203">
        <f t="shared" si="2"/>
        <v>928.23</v>
      </c>
      <c r="K29"/>
      <c r="L29" s="192"/>
      <c r="N29" s="70"/>
      <c r="O29" s="70"/>
      <c r="P29" s="255"/>
      <c r="Q29" s="255"/>
      <c r="R29" s="201"/>
      <c r="S29" s="232"/>
    </row>
    <row r="30" spans="2:19">
      <c r="B30" s="212">
        <f t="shared" si="1"/>
        <v>2036</v>
      </c>
      <c r="C30" s="213"/>
      <c r="D30" s="201">
        <f t="shared" ref="D30:E36" si="24">ROUND(D29*(1+$J67),2)</f>
        <v>0</v>
      </c>
      <c r="E30" s="201">
        <f t="shared" si="24"/>
        <v>0</v>
      </c>
      <c r="F30" s="203">
        <f t="shared" si="0"/>
        <v>0</v>
      </c>
      <c r="G30" s="201">
        <f t="shared" ref="G30:G36" si="25">ROUND(G29*(1+$J67),2)</f>
        <v>119.99</v>
      </c>
      <c r="H30" s="214">
        <f t="shared" ref="H30" si="26">ROUND(H29*(1+$J67),2)</f>
        <v>0</v>
      </c>
      <c r="I30" s="203">
        <f t="shared" si="6"/>
        <v>119.99</v>
      </c>
      <c r="J30" s="203">
        <f t="shared" si="2"/>
        <v>948.63</v>
      </c>
      <c r="K30"/>
      <c r="L30" s="192"/>
      <c r="N30" s="70"/>
      <c r="O30" s="70"/>
      <c r="P30" s="255"/>
      <c r="Q30" s="255"/>
      <c r="R30" s="201"/>
      <c r="S30" s="232"/>
    </row>
    <row r="31" spans="2:19">
      <c r="B31" s="212">
        <f t="shared" si="1"/>
        <v>2037</v>
      </c>
      <c r="C31" s="213"/>
      <c r="D31" s="201">
        <f t="shared" si="24"/>
        <v>0</v>
      </c>
      <c r="E31" s="201">
        <f t="shared" si="24"/>
        <v>0</v>
      </c>
      <c r="F31" s="203">
        <f t="shared" si="0"/>
        <v>0</v>
      </c>
      <c r="G31" s="201">
        <f t="shared" si="25"/>
        <v>122.63</v>
      </c>
      <c r="H31" s="214">
        <f t="shared" ref="H31" si="27">ROUND(H30*(1+$J68),2)</f>
        <v>0</v>
      </c>
      <c r="I31" s="203">
        <f t="shared" si="6"/>
        <v>122.63</v>
      </c>
      <c r="J31" s="203">
        <f t="shared" si="2"/>
        <v>969.5</v>
      </c>
      <c r="K31"/>
      <c r="L31" s="192"/>
      <c r="N31" s="70"/>
      <c r="O31" s="70"/>
      <c r="P31" s="70"/>
      <c r="Q31" s="255"/>
      <c r="R31" s="201"/>
      <c r="S31" s="201"/>
    </row>
    <row r="32" spans="2:19">
      <c r="B32" s="212">
        <f t="shared" si="1"/>
        <v>2038</v>
      </c>
      <c r="C32" s="213"/>
      <c r="D32" s="201">
        <f t="shared" si="24"/>
        <v>0</v>
      </c>
      <c r="E32" s="201">
        <f t="shared" si="24"/>
        <v>0</v>
      </c>
      <c r="F32" s="203">
        <f t="shared" si="0"/>
        <v>0</v>
      </c>
      <c r="G32" s="201">
        <f t="shared" si="25"/>
        <v>125.33</v>
      </c>
      <c r="H32" s="214">
        <f t="shared" ref="H32" si="28">ROUND(H31*(1+$J69),2)</f>
        <v>0</v>
      </c>
      <c r="I32" s="203">
        <f t="shared" si="6"/>
        <v>125.33</v>
      </c>
      <c r="J32" s="203">
        <f t="shared" si="2"/>
        <v>990.85</v>
      </c>
      <c r="K32"/>
      <c r="L32" s="192"/>
      <c r="N32" s="70"/>
      <c r="O32" s="70"/>
      <c r="Q32" s="242"/>
      <c r="R32" s="201"/>
      <c r="S32" s="201"/>
    </row>
    <row r="33" spans="2:19">
      <c r="B33" s="212">
        <f t="shared" si="1"/>
        <v>2039</v>
      </c>
      <c r="C33" s="213"/>
      <c r="D33" s="201">
        <f t="shared" si="24"/>
        <v>0</v>
      </c>
      <c r="E33" s="201">
        <f t="shared" si="24"/>
        <v>0</v>
      </c>
      <c r="F33" s="203">
        <f t="shared" si="0"/>
        <v>0</v>
      </c>
      <c r="G33" s="201">
        <f t="shared" si="25"/>
        <v>128.09</v>
      </c>
      <c r="H33" s="214">
        <f t="shared" ref="H33" si="29">ROUND(H32*(1+$J70),2)</f>
        <v>0</v>
      </c>
      <c r="I33" s="203">
        <f t="shared" si="6"/>
        <v>128.09</v>
      </c>
      <c r="J33" s="203">
        <f t="shared" si="2"/>
        <v>1012.67</v>
      </c>
      <c r="K33"/>
      <c r="L33" s="192"/>
      <c r="N33" s="70"/>
      <c r="O33" s="70"/>
      <c r="Q33" s="242"/>
      <c r="R33" s="201"/>
      <c r="S33" s="201"/>
    </row>
    <row r="34" spans="2:19">
      <c r="B34" s="212">
        <f t="shared" si="1"/>
        <v>2040</v>
      </c>
      <c r="C34" s="213"/>
      <c r="D34" s="201">
        <f t="shared" si="24"/>
        <v>0</v>
      </c>
      <c r="E34" s="201">
        <f t="shared" si="24"/>
        <v>0</v>
      </c>
      <c r="F34" s="203">
        <f t="shared" si="0"/>
        <v>0</v>
      </c>
      <c r="G34" s="201">
        <f t="shared" si="25"/>
        <v>130.91</v>
      </c>
      <c r="H34" s="214">
        <f t="shared" ref="H34" si="30">ROUND(H33*(1+$J71),2)</f>
        <v>0</v>
      </c>
      <c r="I34" s="203">
        <f t="shared" si="6"/>
        <v>130.91</v>
      </c>
      <c r="J34" s="203">
        <f t="shared" si="2"/>
        <v>1034.96</v>
      </c>
      <c r="K34"/>
      <c r="L34" s="192"/>
      <c r="N34" s="70"/>
      <c r="O34" s="70"/>
      <c r="Q34" s="242"/>
      <c r="R34" s="201"/>
      <c r="S34" s="201"/>
    </row>
    <row r="35" spans="2:19">
      <c r="B35" s="212">
        <f t="shared" si="1"/>
        <v>2041</v>
      </c>
      <c r="C35" s="213"/>
      <c r="D35" s="201">
        <f t="shared" si="24"/>
        <v>0</v>
      </c>
      <c r="E35" s="201">
        <f t="shared" si="24"/>
        <v>0</v>
      </c>
      <c r="F35" s="203">
        <f t="shared" si="0"/>
        <v>0</v>
      </c>
      <c r="G35" s="201">
        <f t="shared" si="25"/>
        <v>133.79</v>
      </c>
      <c r="H35" s="214">
        <f t="shared" ref="H35" si="31">ROUND(H34*(1+$J72),2)</f>
        <v>0</v>
      </c>
      <c r="I35" s="203">
        <f t="shared" si="6"/>
        <v>133.79</v>
      </c>
      <c r="J35" s="203">
        <f t="shared" si="2"/>
        <v>1057.73</v>
      </c>
      <c r="K35"/>
      <c r="L35" s="192"/>
      <c r="N35" s="70"/>
      <c r="O35" s="70"/>
      <c r="Q35" s="242"/>
      <c r="R35" s="201"/>
      <c r="S35" s="201"/>
    </row>
    <row r="36" spans="2:19">
      <c r="B36" s="212">
        <f t="shared" si="1"/>
        <v>2042</v>
      </c>
      <c r="C36" s="213"/>
      <c r="D36" s="201">
        <f t="shared" si="24"/>
        <v>0</v>
      </c>
      <c r="E36" s="201">
        <f t="shared" si="24"/>
        <v>0</v>
      </c>
      <c r="F36" s="203">
        <f t="shared" si="0"/>
        <v>0</v>
      </c>
      <c r="G36" s="201">
        <f t="shared" si="25"/>
        <v>136.72999999999999</v>
      </c>
      <c r="H36" s="214">
        <f t="shared" ref="H36" si="32">ROUND(H35*(1+$J73),2)</f>
        <v>0</v>
      </c>
      <c r="I36" s="203">
        <f t="shared" si="6"/>
        <v>136.72999999999999</v>
      </c>
      <c r="J36" s="203">
        <f t="shared" si="2"/>
        <v>1080.97</v>
      </c>
      <c r="K36"/>
      <c r="L36" s="192"/>
      <c r="N36" s="70"/>
      <c r="O36" s="70"/>
      <c r="Q36" s="242"/>
      <c r="R36" s="201"/>
      <c r="S36" s="201"/>
    </row>
    <row r="37" spans="2:19">
      <c r="B37" s="212"/>
      <c r="C37" s="205"/>
      <c r="D37" s="201"/>
      <c r="E37" s="201"/>
      <c r="F37" s="202"/>
      <c r="G37" s="201"/>
      <c r="H37" s="201"/>
      <c r="I37" s="203"/>
      <c r="J37" s="215"/>
    </row>
    <row r="38" spans="2:19">
      <c r="B38" s="199"/>
      <c r="C38" s="205"/>
      <c r="D38" s="201"/>
      <c r="E38" s="201"/>
      <c r="F38" s="202"/>
      <c r="G38" s="201"/>
      <c r="H38" s="201"/>
      <c r="I38" s="203"/>
      <c r="J38" s="215"/>
    </row>
    <row r="39" spans="2:19">
      <c r="B39" s="199"/>
      <c r="C39" s="205"/>
      <c r="D39" s="201"/>
      <c r="E39" s="201"/>
      <c r="F39" s="202"/>
      <c r="G39" s="201"/>
      <c r="H39" s="201"/>
      <c r="I39" s="203"/>
      <c r="J39" s="215"/>
    </row>
    <row r="40" spans="2:19">
      <c r="B40" s="199"/>
      <c r="C40" s="205"/>
      <c r="D40" s="201"/>
      <c r="E40" s="201"/>
      <c r="F40" s="202"/>
      <c r="G40" s="201"/>
      <c r="H40" s="201"/>
      <c r="I40" s="203"/>
      <c r="J40" s="215"/>
    </row>
    <row r="42" spans="2:19" ht="14.25">
      <c r="B42" s="216" t="s">
        <v>31</v>
      </c>
      <c r="C42" s="217"/>
      <c r="D42" s="217"/>
      <c r="E42" s="217"/>
      <c r="F42" s="217"/>
      <c r="G42" s="217"/>
      <c r="H42" s="217"/>
    </row>
    <row r="44" spans="2:19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9">
      <c r="C45" s="218" t="str">
        <f>C7</f>
        <v>(a)</v>
      </c>
      <c r="D45" s="190" t="s">
        <v>113</v>
      </c>
    </row>
    <row r="46" spans="2:19">
      <c r="C46" s="218" t="str">
        <f>D7</f>
        <v>(b)</v>
      </c>
      <c r="D46" s="203" t="str">
        <f>"= "&amp;C7&amp;" x "&amp;C62</f>
        <v>= (a) x 0.0631141369791985</v>
      </c>
    </row>
    <row r="47" spans="2:19">
      <c r="C47" s="218" t="str">
        <f>F7</f>
        <v>(d)</v>
      </c>
      <c r="D47" s="203" t="str">
        <f>"= ("&amp;$D$7&amp;" + "&amp;$E$7&amp;") /  (8.76 x "&amp;TEXT(C63,"0.0%")&amp;")"</f>
        <v>= ((b) + (c)) /  (8.76 x 90.3%)</v>
      </c>
    </row>
    <row r="48" spans="2:19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J7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Geothermal PPA West Side Resource - 90% Capacity Factor</v>
      </c>
      <c r="D52" s="220"/>
      <c r="E52" s="220"/>
      <c r="F52" s="220"/>
      <c r="G52" s="220"/>
      <c r="H52" s="220"/>
      <c r="I52" s="221"/>
      <c r="J52" s="222"/>
    </row>
    <row r="53" spans="2:24" ht="13.5" thickBot="1">
      <c r="C53" s="223" t="s">
        <v>120</v>
      </c>
      <c r="D53" s="224" t="s">
        <v>115</v>
      </c>
      <c r="E53" s="224"/>
      <c r="F53" s="224"/>
      <c r="G53" s="224"/>
      <c r="H53" s="225"/>
      <c r="I53" s="221"/>
      <c r="J53" s="222"/>
    </row>
    <row r="55" spans="2:24">
      <c r="B55" s="105" t="s">
        <v>102</v>
      </c>
      <c r="C55" s="226">
        <v>0</v>
      </c>
      <c r="D55" s="190" t="s">
        <v>113</v>
      </c>
      <c r="H55" s="190" t="s">
        <v>9</v>
      </c>
    </row>
    <row r="56" spans="2:24">
      <c r="B56" s="105" t="s">
        <v>102</v>
      </c>
      <c r="C56" s="227">
        <v>0</v>
      </c>
      <c r="D56" s="190" t="s">
        <v>116</v>
      </c>
      <c r="H56" s="190" t="s">
        <v>9</v>
      </c>
    </row>
    <row r="57" spans="2:24">
      <c r="B57" s="105" t="s">
        <v>102</v>
      </c>
      <c r="C57" s="232">
        <v>0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77.34</v>
      </c>
      <c r="D58" s="190" t="s">
        <v>117</v>
      </c>
      <c r="H58" s="190" t="s">
        <v>118</v>
      </c>
      <c r="J58" s="192"/>
      <c r="K58" s="228"/>
      <c r="L58" s="69"/>
      <c r="M58" s="22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v>0</v>
      </c>
      <c r="D59" s="190" t="s">
        <v>119</v>
      </c>
      <c r="H59" s="190" t="s">
        <v>118</v>
      </c>
      <c r="J59" s="230"/>
      <c r="K59" s="230"/>
      <c r="L59" s="231"/>
      <c r="M59" s="232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J60" s="230"/>
      <c r="K60" s="230"/>
      <c r="L60" s="230"/>
      <c r="M60" s="192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J61" s="230"/>
      <c r="K61" s="230"/>
      <c r="L61" s="230"/>
      <c r="M61" s="192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6.3114136979198515E-2</v>
      </c>
      <c r="D62" s="190" t="s">
        <v>54</v>
      </c>
      <c r="J62" s="236"/>
      <c r="K62" s="237"/>
      <c r="L62" s="237"/>
      <c r="O62" s="238"/>
    </row>
    <row r="63" spans="2:24">
      <c r="C63" s="241">
        <v>0.90249999999999997</v>
      </c>
      <c r="D63" s="190" t="s">
        <v>55</v>
      </c>
    </row>
    <row r="64" spans="2:24" ht="13.5" thickBot="1">
      <c r="D64" s="233"/>
    </row>
    <row r="65" spans="3:10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2"/>
    </row>
    <row r="66" spans="3:10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57">
        <v>2.1999999999999999E-2</v>
      </c>
    </row>
    <row r="67" spans="3:10">
      <c r="C67" s="130">
        <f t="shared" ref="C67:C74" si="33">C66+1</f>
        <v>2018</v>
      </c>
      <c r="D67" s="57">
        <v>1.7999999999999999E-2</v>
      </c>
      <c r="E67" s="105"/>
      <c r="F67" s="130">
        <f t="shared" ref="F67:F74" si="34">F66+1</f>
        <v>2027</v>
      </c>
      <c r="G67" s="57">
        <v>2.1999999999999999E-2</v>
      </c>
      <c r="H67" s="105"/>
      <c r="I67" s="130">
        <f t="shared" ref="I67:I74" si="35">I66+1</f>
        <v>2036</v>
      </c>
      <c r="J67" s="57">
        <v>2.1999999999999999E-2</v>
      </c>
    </row>
    <row r="68" spans="3:10">
      <c r="C68" s="130">
        <f t="shared" si="33"/>
        <v>2019</v>
      </c>
      <c r="D68" s="57">
        <v>2.3E-2</v>
      </c>
      <c r="E68" s="105"/>
      <c r="F68" s="130">
        <f t="shared" si="34"/>
        <v>2028</v>
      </c>
      <c r="G68" s="57">
        <v>2.1999999999999999E-2</v>
      </c>
      <c r="H68" s="105"/>
      <c r="I68" s="130">
        <f t="shared" si="35"/>
        <v>2037</v>
      </c>
      <c r="J68" s="57">
        <v>2.1999999999999999E-2</v>
      </c>
    </row>
    <row r="69" spans="3:10">
      <c r="C69" s="130">
        <f t="shared" si="33"/>
        <v>2020</v>
      </c>
      <c r="D69" s="57">
        <v>2.5999999999999999E-2</v>
      </c>
      <c r="E69" s="105"/>
      <c r="F69" s="130">
        <f t="shared" si="34"/>
        <v>2029</v>
      </c>
      <c r="G69" s="57">
        <v>2.1999999999999999E-2</v>
      </c>
      <c r="H69" s="105"/>
      <c r="I69" s="130">
        <f t="shared" si="35"/>
        <v>2038</v>
      </c>
      <c r="J69" s="57">
        <v>2.1999999999999999E-2</v>
      </c>
    </row>
    <row r="70" spans="3:10">
      <c r="C70" s="130">
        <f t="shared" si="33"/>
        <v>2021</v>
      </c>
      <c r="D70" s="57">
        <v>2.4E-2</v>
      </c>
      <c r="E70" s="105"/>
      <c r="F70" s="130">
        <f t="shared" si="34"/>
        <v>2030</v>
      </c>
      <c r="G70" s="57">
        <v>2.1999999999999999E-2</v>
      </c>
      <c r="H70" s="105"/>
      <c r="I70" s="130">
        <f t="shared" si="35"/>
        <v>2039</v>
      </c>
      <c r="J70" s="57">
        <v>2.1999999999999999E-2</v>
      </c>
    </row>
    <row r="71" spans="3:10">
      <c r="C71" s="130">
        <f t="shared" si="33"/>
        <v>2022</v>
      </c>
      <c r="D71" s="57">
        <v>2.3E-2</v>
      </c>
      <c r="E71" s="105"/>
      <c r="F71" s="130">
        <f t="shared" si="34"/>
        <v>2031</v>
      </c>
      <c r="G71" s="57">
        <v>2.1999999999999999E-2</v>
      </c>
      <c r="H71" s="105"/>
      <c r="I71" s="130">
        <f t="shared" si="35"/>
        <v>2040</v>
      </c>
      <c r="J71" s="57">
        <v>2.1999999999999999E-2</v>
      </c>
    </row>
    <row r="72" spans="3:10" s="192" customFormat="1">
      <c r="C72" s="130">
        <f t="shared" si="33"/>
        <v>2023</v>
      </c>
      <c r="D72" s="57">
        <v>2.3E-2</v>
      </c>
      <c r="E72" s="107"/>
      <c r="F72" s="130">
        <f t="shared" si="34"/>
        <v>2032</v>
      </c>
      <c r="G72" s="57">
        <v>2.1999999999999999E-2</v>
      </c>
      <c r="H72" s="107"/>
      <c r="I72" s="130">
        <f t="shared" si="35"/>
        <v>2041</v>
      </c>
      <c r="J72" s="57">
        <v>2.1999999999999999E-2</v>
      </c>
    </row>
    <row r="73" spans="3:10" s="192" customFormat="1">
      <c r="C73" s="130">
        <f t="shared" si="33"/>
        <v>2024</v>
      </c>
      <c r="D73" s="57">
        <v>2.3E-2</v>
      </c>
      <c r="E73" s="107"/>
      <c r="F73" s="130">
        <f t="shared" si="34"/>
        <v>2033</v>
      </c>
      <c r="G73" s="57">
        <v>2.1999999999999999E-2</v>
      </c>
      <c r="H73" s="107"/>
      <c r="I73" s="130">
        <f t="shared" si="35"/>
        <v>2042</v>
      </c>
      <c r="J73" s="57">
        <v>2.1999999999999999E-2</v>
      </c>
    </row>
    <row r="74" spans="3:10" s="192" customFormat="1">
      <c r="C74" s="130">
        <f t="shared" si="33"/>
        <v>2025</v>
      </c>
      <c r="D74" s="57">
        <v>2.3E-2</v>
      </c>
      <c r="E74" s="107"/>
      <c r="F74" s="130">
        <f t="shared" si="34"/>
        <v>2034</v>
      </c>
      <c r="G74" s="57">
        <v>2.1999999999999999E-2</v>
      </c>
      <c r="H74" s="107"/>
      <c r="I74" s="130">
        <f t="shared" si="35"/>
        <v>2043</v>
      </c>
      <c r="J74" s="57">
        <v>2.3E-2</v>
      </c>
    </row>
    <row r="75" spans="3:10" s="192" customFormat="1"/>
    <row r="76" spans="3:10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zoomScale="90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C27" sqref="C27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163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UT N - 200 MW - SCCT Frame "F" 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UT N - 200 MW - SCCT Frame "F" 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702</v>
      </c>
      <c r="D14" s="110">
        <f>ROUND(C14*$C$76,2)</f>
        <v>51.76</v>
      </c>
      <c r="E14" s="111">
        <f>$I$60</f>
        <v>30.66</v>
      </c>
      <c r="F14" s="111">
        <f>$J$65</f>
        <v>7.53</v>
      </c>
      <c r="G14" s="112">
        <f t="shared" ref="G14:G24" si="0">ROUND(F14*(8.76*$G$65)+E14,2)</f>
        <v>52.43</v>
      </c>
      <c r="H14" s="112">
        <f t="shared" ref="H14:H24" si="1">ROUND(D14+G14,2)</f>
        <v>104.19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17" si="3">ROUND(D14*(1+$D83),2)</f>
        <v>52.74</v>
      </c>
      <c r="E15" s="110">
        <f t="shared" si="3"/>
        <v>31.24</v>
      </c>
      <c r="F15" s="110">
        <f t="shared" si="3"/>
        <v>7.67</v>
      </c>
      <c r="G15" s="114">
        <f t="shared" si="0"/>
        <v>53.41</v>
      </c>
      <c r="H15" s="114">
        <f t="shared" si="1"/>
        <v>106.15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53.69</v>
      </c>
      <c r="E16" s="110">
        <f t="shared" si="3"/>
        <v>31.8</v>
      </c>
      <c r="F16" s="110">
        <f t="shared" si="3"/>
        <v>7.81</v>
      </c>
      <c r="G16" s="112">
        <f t="shared" si="0"/>
        <v>54.38</v>
      </c>
      <c r="H16" s="112">
        <f t="shared" si="1"/>
        <v>108.07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54.92</v>
      </c>
      <c r="E17" s="110">
        <f t="shared" si="3"/>
        <v>32.53</v>
      </c>
      <c r="F17" s="110">
        <f t="shared" si="3"/>
        <v>7.99</v>
      </c>
      <c r="G17" s="112">
        <f t="shared" si="0"/>
        <v>55.63</v>
      </c>
      <c r="H17" s="112">
        <f t="shared" si="1"/>
        <v>110.55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ref="D18:F18" si="4">ROUND(D17*(1+$D86),2)</f>
        <v>56.35</v>
      </c>
      <c r="E18" s="110">
        <f t="shared" si="4"/>
        <v>33.380000000000003</v>
      </c>
      <c r="F18" s="110">
        <f t="shared" si="4"/>
        <v>8.1999999999999993</v>
      </c>
      <c r="G18" s="112">
        <f t="shared" ref="G18:G23" si="5">ROUND(F18*(8.76*$G$65)+E18,2)</f>
        <v>57.08</v>
      </c>
      <c r="H18" s="112">
        <f t="shared" ref="H18:H23" si="6">ROUND(D18+G18,2)</f>
        <v>113.43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ref="D19:F19" si="7">ROUND(D18*(1+$D87),2)</f>
        <v>57.7</v>
      </c>
      <c r="E19" s="110">
        <f t="shared" si="7"/>
        <v>34.18</v>
      </c>
      <c r="F19" s="110">
        <f t="shared" si="7"/>
        <v>8.4</v>
      </c>
      <c r="G19" s="112">
        <f t="shared" si="5"/>
        <v>58.46</v>
      </c>
      <c r="H19" s="112">
        <f t="shared" si="6"/>
        <v>116.16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ref="D20:F20" si="8">ROUND(D19*(1+$D88),2)</f>
        <v>59.03</v>
      </c>
      <c r="E20" s="110">
        <f t="shared" si="8"/>
        <v>34.97</v>
      </c>
      <c r="F20" s="110">
        <f t="shared" si="8"/>
        <v>8.59</v>
      </c>
      <c r="G20" s="112">
        <f t="shared" si="5"/>
        <v>59.8</v>
      </c>
      <c r="H20" s="112">
        <f t="shared" si="6"/>
        <v>118.83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ref="D21:F21" si="9">ROUND(D20*(1+$D89),2)</f>
        <v>60.39</v>
      </c>
      <c r="E21" s="110">
        <f t="shared" si="9"/>
        <v>35.770000000000003</v>
      </c>
      <c r="F21" s="110">
        <f t="shared" si="9"/>
        <v>8.7899999999999991</v>
      </c>
      <c r="G21" s="112">
        <f t="shared" si="5"/>
        <v>61.18</v>
      </c>
      <c r="H21" s="112">
        <f t="shared" si="6"/>
        <v>121.57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ref="D22:F22" si="10">ROUND(D21*(1+$D90),2)</f>
        <v>61.78</v>
      </c>
      <c r="E22" s="110">
        <f t="shared" si="10"/>
        <v>36.590000000000003</v>
      </c>
      <c r="F22" s="110">
        <f t="shared" si="10"/>
        <v>8.99</v>
      </c>
      <c r="G22" s="112">
        <f t="shared" si="5"/>
        <v>62.58</v>
      </c>
      <c r="H22" s="112">
        <f t="shared" si="6"/>
        <v>124.36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ref="D23:F23" si="11">ROUND(D22*(1+$D91),2)</f>
        <v>63.2</v>
      </c>
      <c r="E23" s="110">
        <f t="shared" si="11"/>
        <v>37.43</v>
      </c>
      <c r="F23" s="110">
        <f t="shared" si="11"/>
        <v>9.1999999999999993</v>
      </c>
      <c r="G23" s="112">
        <f t="shared" si="5"/>
        <v>64.03</v>
      </c>
      <c r="H23" s="112">
        <f t="shared" si="6"/>
        <v>127.23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64.59</v>
      </c>
      <c r="E24" s="114">
        <f>ROUND(E23*(1+$G83),2)</f>
        <v>38.25</v>
      </c>
      <c r="F24" s="114">
        <f>ROUND(F23*(1+$G83),2)</f>
        <v>9.4</v>
      </c>
      <c r="G24" s="112">
        <f t="shared" si="0"/>
        <v>65.42</v>
      </c>
      <c r="H24" s="112">
        <f t="shared" si="1"/>
        <v>130.01</v>
      </c>
      <c r="I24" s="112"/>
      <c r="J24" s="112"/>
      <c r="K24" s="112"/>
      <c r="M24" s="57"/>
    </row>
    <row r="25" spans="2:13">
      <c r="B25" s="108">
        <f t="shared" si="2"/>
        <v>2027</v>
      </c>
      <c r="C25" s="113"/>
      <c r="D25" s="114">
        <f t="shared" ref="D25:F25" si="12">ROUND(D24*(1+$G84),2)</f>
        <v>66.010000000000005</v>
      </c>
      <c r="E25" s="114">
        <f t="shared" si="12"/>
        <v>39.090000000000003</v>
      </c>
      <c r="F25" s="114">
        <f t="shared" si="12"/>
        <v>9.61</v>
      </c>
      <c r="G25" s="112">
        <f t="shared" ref="G25:G30" si="13">ROUND(F25*(8.76*$G$65)+E25,2)</f>
        <v>66.87</v>
      </c>
      <c r="H25" s="112">
        <f t="shared" ref="H25:H30" si="14">ROUND(D25+G25,2)</f>
        <v>132.88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85">
        <f t="shared" ref="D26:F26" si="15">ROUND(D25*(1+$G85),2)</f>
        <v>67.459999999999994</v>
      </c>
      <c r="E26" s="185">
        <f t="shared" si="15"/>
        <v>39.950000000000003</v>
      </c>
      <c r="F26" s="185">
        <f t="shared" si="15"/>
        <v>9.82</v>
      </c>
      <c r="G26" s="186">
        <f t="shared" si="13"/>
        <v>68.34</v>
      </c>
      <c r="H26" s="186">
        <f t="shared" si="14"/>
        <v>135.80000000000001</v>
      </c>
      <c r="I26" s="186"/>
      <c r="J26" s="186"/>
      <c r="K26" s="186"/>
      <c r="M26" s="57"/>
    </row>
    <row r="27" spans="2:13">
      <c r="B27" s="108">
        <f t="shared" si="2"/>
        <v>2029</v>
      </c>
      <c r="C27" s="113"/>
      <c r="D27" s="114">
        <f t="shared" ref="D27:F28" si="16">ROUND(D26*(1+$G86),2)</f>
        <v>68.94</v>
      </c>
      <c r="E27" s="114">
        <f t="shared" si="16"/>
        <v>40.83</v>
      </c>
      <c r="F27" s="114">
        <f t="shared" si="16"/>
        <v>10.039999999999999</v>
      </c>
      <c r="G27" s="112">
        <f t="shared" si="13"/>
        <v>69.849999999999994</v>
      </c>
      <c r="H27" s="112">
        <f t="shared" si="14"/>
        <v>138.79</v>
      </c>
      <c r="I27" s="112">
        <f>VLOOKUP(B27,'Table 4'!$B$13:$D$43,2,FALSE)</f>
        <v>4.53</v>
      </c>
      <c r="J27" s="112">
        <f t="shared" ref="J27" si="17">ROUND($K$65*I27/1000,2)</f>
        <v>43.55</v>
      </c>
      <c r="K27" s="112">
        <f t="shared" ref="K27" si="18">ROUND(H27*1000/8760/$G$65+J27,2)</f>
        <v>91.56</v>
      </c>
      <c r="M27" s="57"/>
    </row>
    <row r="28" spans="2:13" s="146" customFormat="1">
      <c r="B28" s="149">
        <f t="shared" si="2"/>
        <v>2030</v>
      </c>
      <c r="C28" s="150"/>
      <c r="D28" s="144">
        <f t="shared" si="16"/>
        <v>70.459999999999994</v>
      </c>
      <c r="E28" s="144">
        <f t="shared" si="16"/>
        <v>41.73</v>
      </c>
      <c r="F28" s="144">
        <f t="shared" si="16"/>
        <v>10.26</v>
      </c>
      <c r="G28" s="144">
        <f t="shared" ref="G28" si="19">ROUND(F28*(8.76*$G$65)+E28,2)</f>
        <v>71.39</v>
      </c>
      <c r="H28" s="144">
        <f t="shared" ref="H28" si="20">ROUND(D28+G28,2)</f>
        <v>141.85</v>
      </c>
      <c r="I28" s="112">
        <f>VLOOKUP(B28,'Table 4'!$B$13:$D$43,3,FALSE)</f>
        <v>4.78</v>
      </c>
      <c r="J28" s="112">
        <f t="shared" ref="J28" si="21">ROUND($K$65*I28/1000,2)</f>
        <v>45.95</v>
      </c>
      <c r="K28" s="112">
        <f t="shared" ref="K28" si="22">ROUND(H28*1000/8760/$G$65+J28,2)</f>
        <v>95.02</v>
      </c>
      <c r="M28" s="67"/>
    </row>
    <row r="29" spans="2:13" s="146" customFormat="1">
      <c r="B29" s="149">
        <f t="shared" si="2"/>
        <v>2031</v>
      </c>
      <c r="C29" s="150"/>
      <c r="D29" s="144">
        <f t="shared" ref="D29" si="23">ROUND(D28*(1+$G88),2)</f>
        <v>72.010000000000005</v>
      </c>
      <c r="E29" s="144">
        <f t="shared" ref="E29" si="24">ROUND(E28*(1+$G88),2)</f>
        <v>42.65</v>
      </c>
      <c r="F29" s="144">
        <f t="shared" ref="F29" si="25">ROUND(F28*(1+$G88),2)</f>
        <v>10.49</v>
      </c>
      <c r="G29" s="144">
        <f t="shared" ref="G29" si="26">ROUND(F29*(8.76*$G$65)+E29,2)</f>
        <v>72.97</v>
      </c>
      <c r="H29" s="144">
        <f t="shared" ref="H29" si="27">ROUND(D29+G29,2)</f>
        <v>144.97999999999999</v>
      </c>
      <c r="I29" s="112">
        <f>VLOOKUP(B29,'Table 4'!$B$13:$C$43,2,FALSE)</f>
        <v>5.08</v>
      </c>
      <c r="J29" s="112">
        <f t="shared" ref="J29" si="28">ROUND($K$65*I29/1000,2)</f>
        <v>48.84</v>
      </c>
      <c r="K29" s="112">
        <f t="shared" ref="K29" si="29">ROUND(H29*1000/8760/$G$65+J29,2)</f>
        <v>98.99</v>
      </c>
      <c r="M29" s="67"/>
    </row>
    <row r="30" spans="2:13" s="146" customFormat="1">
      <c r="B30" s="149">
        <f t="shared" si="2"/>
        <v>2032</v>
      </c>
      <c r="C30" s="150"/>
      <c r="D30" s="144">
        <f t="shared" ref="D30:F30" si="30">ROUND(D29*(1+$G89),2)</f>
        <v>73.59</v>
      </c>
      <c r="E30" s="144">
        <f t="shared" si="30"/>
        <v>43.59</v>
      </c>
      <c r="F30" s="144">
        <f t="shared" si="30"/>
        <v>10.72</v>
      </c>
      <c r="G30" s="144">
        <f t="shared" si="13"/>
        <v>74.58</v>
      </c>
      <c r="H30" s="144">
        <f t="shared" si="14"/>
        <v>148.16999999999999</v>
      </c>
      <c r="I30" s="112">
        <f>VLOOKUP(B30,'Table 4'!$B$13:$C$43,2,FALSE)</f>
        <v>5.25</v>
      </c>
      <c r="J30" s="112">
        <f t="shared" ref="J30:J40" si="31">ROUND($K$65*I30/1000,2)</f>
        <v>50.47</v>
      </c>
      <c r="K30" s="112">
        <f t="shared" ref="K30:K40" si="32">ROUND(H30*1000/8760/$G$65+J30,2)</f>
        <v>101.73</v>
      </c>
      <c r="M30" s="67"/>
    </row>
    <row r="31" spans="2:13" s="146" customFormat="1">
      <c r="B31" s="149">
        <f t="shared" si="2"/>
        <v>2033</v>
      </c>
      <c r="C31" s="150"/>
      <c r="D31" s="144">
        <f t="shared" ref="D31:D32" si="33">ROUND(D30*(1+$G90),2)</f>
        <v>75.209999999999994</v>
      </c>
      <c r="E31" s="144">
        <f t="shared" ref="E31:E32" si="34">ROUND(E30*(1+$G90),2)</f>
        <v>44.55</v>
      </c>
      <c r="F31" s="144">
        <f t="shared" ref="F31:F32" si="35">ROUND(F30*(1+$G90),2)</f>
        <v>10.96</v>
      </c>
      <c r="G31" s="144">
        <f t="shared" ref="G31:G33" si="36">ROUND(F31*(8.76*$G$65)+E31,2)</f>
        <v>76.23</v>
      </c>
      <c r="H31" s="144">
        <f t="shared" ref="H31:H33" si="37">ROUND(D31+G31,2)</f>
        <v>151.44</v>
      </c>
      <c r="I31" s="112">
        <f>VLOOKUP(B31,'Table 4'!$B$13:$C$43,2,FALSE)</f>
        <v>5.48</v>
      </c>
      <c r="J31" s="112">
        <f t="shared" si="31"/>
        <v>52.68</v>
      </c>
      <c r="K31" s="112">
        <f t="shared" si="32"/>
        <v>105.07</v>
      </c>
      <c r="M31" s="67"/>
    </row>
    <row r="32" spans="2:13" s="146" customFormat="1">
      <c r="B32" s="149">
        <f t="shared" si="2"/>
        <v>2034</v>
      </c>
      <c r="C32" s="150"/>
      <c r="D32" s="144">
        <f t="shared" si="33"/>
        <v>76.86</v>
      </c>
      <c r="E32" s="144">
        <f t="shared" si="34"/>
        <v>45.53</v>
      </c>
      <c r="F32" s="144">
        <f t="shared" si="35"/>
        <v>11.2</v>
      </c>
      <c r="G32" s="144">
        <f t="shared" si="36"/>
        <v>77.91</v>
      </c>
      <c r="H32" s="144">
        <f t="shared" si="37"/>
        <v>154.77000000000001</v>
      </c>
      <c r="I32" s="112">
        <f>VLOOKUP(B32,'Table 4'!$B$13:$C$43,2,FALSE)</f>
        <v>5.71</v>
      </c>
      <c r="J32" s="112">
        <f t="shared" si="31"/>
        <v>54.9</v>
      </c>
      <c r="K32" s="112">
        <f t="shared" si="32"/>
        <v>108.44</v>
      </c>
      <c r="M32" s="67"/>
    </row>
    <row r="33" spans="2:15">
      <c r="B33" s="108">
        <f t="shared" si="2"/>
        <v>2035</v>
      </c>
      <c r="C33" s="113"/>
      <c r="D33" s="112">
        <f>ROUND(D32*(1+$J83),2)</f>
        <v>78.55</v>
      </c>
      <c r="E33" s="110">
        <f>ROUND(E32*(1+$J83),2)</f>
        <v>46.53</v>
      </c>
      <c r="F33" s="110">
        <f>ROUND(F32*(1+$J83),2)</f>
        <v>11.45</v>
      </c>
      <c r="G33" s="112">
        <f t="shared" si="36"/>
        <v>79.63</v>
      </c>
      <c r="H33" s="112">
        <f t="shared" si="37"/>
        <v>158.18</v>
      </c>
      <c r="I33" s="112">
        <f>VLOOKUP(B33,'Table 4'!$B$13:$C$43,2,FALSE)</f>
        <v>5.9</v>
      </c>
      <c r="J33" s="112">
        <f t="shared" si="31"/>
        <v>56.72</v>
      </c>
      <c r="K33" s="112">
        <f t="shared" si="32"/>
        <v>111.44</v>
      </c>
      <c r="M33" s="67"/>
    </row>
    <row r="34" spans="2:15">
      <c r="B34" s="108">
        <f t="shared" si="2"/>
        <v>2036</v>
      </c>
      <c r="C34" s="113"/>
      <c r="D34" s="112">
        <f t="shared" ref="D34:F34" si="38">ROUND(D33*(1+$J84),2)</f>
        <v>80.28</v>
      </c>
      <c r="E34" s="110">
        <f t="shared" si="38"/>
        <v>47.55</v>
      </c>
      <c r="F34" s="110">
        <f t="shared" si="38"/>
        <v>11.7</v>
      </c>
      <c r="G34" s="112">
        <f t="shared" ref="G34:G40" si="39">ROUND(F34*(8.76*$G$65)+E34,2)</f>
        <v>81.37</v>
      </c>
      <c r="H34" s="112">
        <f t="shared" ref="H34:H40" si="40">ROUND(D34+G34,2)</f>
        <v>161.65</v>
      </c>
      <c r="I34" s="112">
        <f>VLOOKUP(B34,'Table 4'!$B$13:$C$43,2,FALSE)</f>
        <v>6.25</v>
      </c>
      <c r="J34" s="112">
        <f t="shared" si="31"/>
        <v>60.09</v>
      </c>
      <c r="K34" s="112">
        <f t="shared" si="32"/>
        <v>116.01</v>
      </c>
      <c r="M34" s="67"/>
    </row>
    <row r="35" spans="2:15">
      <c r="B35" s="108">
        <f t="shared" si="2"/>
        <v>2037</v>
      </c>
      <c r="C35" s="113"/>
      <c r="D35" s="112">
        <f t="shared" ref="D35:F35" si="41">ROUND(D34*(1+$J85),2)</f>
        <v>82.05</v>
      </c>
      <c r="E35" s="110">
        <f t="shared" si="41"/>
        <v>48.6</v>
      </c>
      <c r="F35" s="110">
        <f t="shared" si="41"/>
        <v>11.96</v>
      </c>
      <c r="G35" s="112">
        <f t="shared" si="39"/>
        <v>83.17</v>
      </c>
      <c r="H35" s="112">
        <f t="shared" si="40"/>
        <v>165.22</v>
      </c>
      <c r="I35" s="112">
        <f>VLOOKUP(B35,'Table 4'!$B$13:$C$43,2,FALSE)</f>
        <v>6.43</v>
      </c>
      <c r="J35" s="112">
        <f t="shared" si="31"/>
        <v>61.82</v>
      </c>
      <c r="K35" s="112">
        <f t="shared" si="32"/>
        <v>118.97</v>
      </c>
      <c r="M35" s="67"/>
    </row>
    <row r="36" spans="2:15">
      <c r="B36" s="108">
        <f t="shared" si="2"/>
        <v>2038</v>
      </c>
      <c r="C36" s="113"/>
      <c r="D36" s="112">
        <f t="shared" ref="D36:F36" si="42">ROUND(D35*(1+$J86),2)</f>
        <v>83.86</v>
      </c>
      <c r="E36" s="110">
        <f t="shared" si="42"/>
        <v>49.67</v>
      </c>
      <c r="F36" s="110">
        <f t="shared" si="42"/>
        <v>12.22</v>
      </c>
      <c r="G36" s="112">
        <f t="shared" si="39"/>
        <v>85</v>
      </c>
      <c r="H36" s="112">
        <f t="shared" si="40"/>
        <v>168.86</v>
      </c>
      <c r="I36" s="112">
        <f>VLOOKUP(B36,'Table 4'!$B$13:$C$43,2,FALSE)</f>
        <v>6.71</v>
      </c>
      <c r="J36" s="112">
        <f t="shared" si="31"/>
        <v>64.510000000000005</v>
      </c>
      <c r="K36" s="112">
        <f t="shared" si="32"/>
        <v>122.92</v>
      </c>
      <c r="M36" s="67"/>
    </row>
    <row r="37" spans="2:15">
      <c r="B37" s="108">
        <f t="shared" si="2"/>
        <v>2039</v>
      </c>
      <c r="C37" s="113"/>
      <c r="D37" s="112">
        <f t="shared" ref="D37:F37" si="43">ROUND(D36*(1+$J87),2)</f>
        <v>85.7</v>
      </c>
      <c r="E37" s="110">
        <f t="shared" si="43"/>
        <v>50.76</v>
      </c>
      <c r="F37" s="110">
        <f t="shared" si="43"/>
        <v>12.49</v>
      </c>
      <c r="G37" s="112">
        <f t="shared" si="39"/>
        <v>86.87</v>
      </c>
      <c r="H37" s="112">
        <f t="shared" si="40"/>
        <v>172.57</v>
      </c>
      <c r="I37" s="112">
        <f>VLOOKUP(B37,'Table 4'!$B$13:$C$43,2,FALSE)</f>
        <v>6.86</v>
      </c>
      <c r="J37" s="112">
        <f t="shared" si="31"/>
        <v>65.95</v>
      </c>
      <c r="K37" s="112">
        <f t="shared" si="32"/>
        <v>125.65</v>
      </c>
      <c r="M37" s="67"/>
    </row>
    <row r="38" spans="2:15">
      <c r="B38" s="108">
        <f t="shared" si="2"/>
        <v>2040</v>
      </c>
      <c r="C38" s="113"/>
      <c r="D38" s="112">
        <f t="shared" ref="D38:F38" si="44">ROUND(D37*(1+$J88),2)</f>
        <v>87.59</v>
      </c>
      <c r="E38" s="110">
        <f t="shared" si="44"/>
        <v>51.88</v>
      </c>
      <c r="F38" s="110">
        <f t="shared" si="44"/>
        <v>12.76</v>
      </c>
      <c r="G38" s="112">
        <f t="shared" si="39"/>
        <v>88.77</v>
      </c>
      <c r="H38" s="112">
        <f t="shared" si="40"/>
        <v>176.36</v>
      </c>
      <c r="I38" s="112">
        <f>VLOOKUP(B38,'Table 4'!$B$13:$C$43,2,FALSE)</f>
        <v>7.03</v>
      </c>
      <c r="J38" s="112">
        <f t="shared" si="31"/>
        <v>67.59</v>
      </c>
      <c r="K38" s="112">
        <f t="shared" si="32"/>
        <v>128.6</v>
      </c>
      <c r="M38" s="67"/>
    </row>
    <row r="39" spans="2:15">
      <c r="B39" s="108">
        <f t="shared" si="2"/>
        <v>2041</v>
      </c>
      <c r="C39" s="113"/>
      <c r="D39" s="112">
        <f t="shared" ref="D39:F39" si="45">ROUND(D38*(1+$J89),2)</f>
        <v>89.52</v>
      </c>
      <c r="E39" s="110">
        <f t="shared" si="45"/>
        <v>53.02</v>
      </c>
      <c r="F39" s="110">
        <f t="shared" si="45"/>
        <v>13.04</v>
      </c>
      <c r="G39" s="112">
        <f t="shared" si="39"/>
        <v>90.72</v>
      </c>
      <c r="H39" s="112">
        <f t="shared" si="40"/>
        <v>180.24</v>
      </c>
      <c r="I39" s="112">
        <f>VLOOKUP(B39,'Table 4'!$B$13:$C$43,2,FALSE)</f>
        <v>7.19</v>
      </c>
      <c r="J39" s="112">
        <f t="shared" si="31"/>
        <v>69.12</v>
      </c>
      <c r="K39" s="112">
        <f t="shared" si="32"/>
        <v>131.47</v>
      </c>
      <c r="M39" s="67"/>
    </row>
    <row r="40" spans="2:15">
      <c r="B40" s="108">
        <f t="shared" si="2"/>
        <v>2042</v>
      </c>
      <c r="C40" s="113"/>
      <c r="D40" s="112">
        <f t="shared" ref="D40:F40" si="46">ROUND(D39*(1+$J90),2)</f>
        <v>91.49</v>
      </c>
      <c r="E40" s="110">
        <f t="shared" si="46"/>
        <v>54.19</v>
      </c>
      <c r="F40" s="110">
        <f t="shared" si="46"/>
        <v>13.33</v>
      </c>
      <c r="G40" s="112">
        <f t="shared" si="39"/>
        <v>92.72</v>
      </c>
      <c r="H40" s="112">
        <f t="shared" si="40"/>
        <v>184.21</v>
      </c>
      <c r="I40" s="112">
        <f>VLOOKUP(B40,'Table 4'!$B$13:$C$43,2,FALSE)</f>
        <v>4.91</v>
      </c>
      <c r="J40" s="112">
        <f t="shared" si="31"/>
        <v>47.2</v>
      </c>
      <c r="K40" s="112">
        <f t="shared" si="32"/>
        <v>110.92</v>
      </c>
      <c r="M40" s="6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tr">
        <f>'Table 3 436MW (West M) 2030'!D46</f>
        <v xml:space="preserve">Plant Costs  - 2017 IRP - Table 6.1 &amp; 6.2 </v>
      </c>
    </row>
    <row r="47" spans="2:15">
      <c r="C47" s="117" t="str">
        <f>D10</f>
        <v>(b)</v>
      </c>
      <c r="D47" s="112" t="str">
        <f>"= "&amp;C10&amp;" x "&amp;C76</f>
        <v>= (a) x 0.0737263117964292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33.0%)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9,614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103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164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105</v>
      </c>
      <c r="F58" s="119">
        <f>C69</f>
        <v>199.924125</v>
      </c>
      <c r="G58" s="57">
        <f>F58/F60</f>
        <v>1</v>
      </c>
      <c r="H58" s="133">
        <f>C70</f>
        <v>701.59905041057641</v>
      </c>
      <c r="I58" s="135">
        <f>C73</f>
        <v>30.657239904849501</v>
      </c>
    </row>
    <row r="59" spans="3:11">
      <c r="C59" s="146"/>
      <c r="F59" s="48">
        <f>D69</f>
        <v>0</v>
      </c>
      <c r="G59" s="44">
        <f>1-G58</f>
        <v>0</v>
      </c>
      <c r="H59" s="134">
        <f>D70</f>
        <v>0</v>
      </c>
      <c r="I59" s="136">
        <f>D73</f>
        <v>0</v>
      </c>
    </row>
    <row r="60" spans="3:11">
      <c r="C60" s="146" t="s">
        <v>45</v>
      </c>
      <c r="F60" s="119">
        <f>F58+F59</f>
        <v>199.924125</v>
      </c>
      <c r="G60" s="57">
        <f>G58+G59</f>
        <v>1</v>
      </c>
      <c r="H60" s="133">
        <f>ROUND(((F58*H58)+(F59*H59))/F60,0)</f>
        <v>702</v>
      </c>
      <c r="I60" s="135">
        <f>ROUND(((F58*I58)+(F59*I59))/F60,2)</f>
        <v>30.66</v>
      </c>
    </row>
    <row r="61" spans="3:11">
      <c r="C61" s="146"/>
      <c r="F61" s="119"/>
      <c r="G61" s="57"/>
      <c r="H61" s="120"/>
      <c r="I61" s="121"/>
    </row>
    <row r="62" spans="3:11">
      <c r="C62" s="147" t="s">
        <v>164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SCCT Dry "F" - Turbine</v>
      </c>
      <c r="D63" s="122"/>
      <c r="E63" s="122"/>
      <c r="F63" s="105">
        <f>C69</f>
        <v>199.924125</v>
      </c>
      <c r="G63" s="57">
        <f>C77</f>
        <v>0.33</v>
      </c>
      <c r="H63" s="169">
        <f>G63*F63</f>
        <v>65.974961250000007</v>
      </c>
      <c r="I63" s="57">
        <f>H63/H65</f>
        <v>1</v>
      </c>
      <c r="J63" s="121">
        <f>C74</f>
        <v>7.5299874286936257</v>
      </c>
      <c r="K63" s="123">
        <f>C75</f>
        <v>9614</v>
      </c>
    </row>
    <row r="64" spans="3:11">
      <c r="C64" s="148">
        <f>C59</f>
        <v>0</v>
      </c>
      <c r="D64" s="122"/>
      <c r="E64" s="122"/>
      <c r="F64" s="43">
        <f>D69</f>
        <v>0</v>
      </c>
      <c r="G64" s="44">
        <f>D77</f>
        <v>0</v>
      </c>
      <c r="H64" s="170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6" t="s">
        <v>50</v>
      </c>
      <c r="F65" s="105">
        <f>F63+F64</f>
        <v>199.924125</v>
      </c>
      <c r="G65" s="124">
        <f>ROUND(H65/F65,3)</f>
        <v>0.33</v>
      </c>
      <c r="H65" s="169">
        <f>SUM(H63:H64)</f>
        <v>65.974961250000007</v>
      </c>
      <c r="I65" s="57">
        <f>I63+I64</f>
        <v>1</v>
      </c>
      <c r="J65" s="121">
        <f>ROUND(($I63*J63)+($I64*J64),2)</f>
        <v>7.53</v>
      </c>
      <c r="K65" s="125">
        <f>ROUND(($I63*K63)+($I64*K64),0)</f>
        <v>9614</v>
      </c>
    </row>
    <row r="66" spans="2:11">
      <c r="G66" s="124"/>
      <c r="I66" s="57"/>
      <c r="J66" s="121"/>
      <c r="K66" s="47" t="s">
        <v>51</v>
      </c>
    </row>
    <row r="68" spans="2:11">
      <c r="C68" s="41" t="s">
        <v>104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1">
      <c r="C69" s="105">
        <v>199.924125</v>
      </c>
      <c r="E69" s="105" t="s">
        <v>77</v>
      </c>
      <c r="H69" s="128"/>
    </row>
    <row r="70" spans="2:11">
      <c r="B70" s="105" t="s">
        <v>102</v>
      </c>
      <c r="C70" s="120">
        <v>701.59905041057641</v>
      </c>
      <c r="D70" s="120"/>
      <c r="E70" s="105" t="s">
        <v>78</v>
      </c>
    </row>
    <row r="71" spans="2:11">
      <c r="B71" s="105" t="s">
        <v>102</v>
      </c>
      <c r="C71" s="121">
        <v>16.0158293408495</v>
      </c>
      <c r="D71" s="121"/>
      <c r="E71" s="105" t="s">
        <v>79</v>
      </c>
    </row>
    <row r="72" spans="2:11">
      <c r="B72" s="105" t="s">
        <v>102</v>
      </c>
      <c r="C72" s="49">
        <v>14.641410564000001</v>
      </c>
      <c r="D72" s="49"/>
      <c r="E72" s="105" t="s">
        <v>75</v>
      </c>
    </row>
    <row r="73" spans="2:11">
      <c r="B73" s="105" t="s">
        <v>102</v>
      </c>
      <c r="C73" s="121">
        <f>C71+C72</f>
        <v>30.657239904849501</v>
      </c>
      <c r="D73" s="121"/>
      <c r="E73" s="105" t="s">
        <v>80</v>
      </c>
    </row>
    <row r="74" spans="2:11">
      <c r="B74" s="105" t="s">
        <v>102</v>
      </c>
      <c r="C74" s="121">
        <v>7.5299874286936257</v>
      </c>
      <c r="D74" s="121"/>
      <c r="E74" s="105" t="s">
        <v>81</v>
      </c>
    </row>
    <row r="75" spans="2:11">
      <c r="C75" s="125">
        <v>9614</v>
      </c>
      <c r="D75" s="125"/>
      <c r="E75" s="105" t="s">
        <v>53</v>
      </c>
    </row>
    <row r="76" spans="2:11">
      <c r="C76" s="143">
        <v>7.3726311796429175E-2</v>
      </c>
      <c r="D76" s="143"/>
      <c r="E76" s="105" t="s">
        <v>54</v>
      </c>
    </row>
    <row r="77" spans="2:11">
      <c r="C77" s="129">
        <v>0.33</v>
      </c>
      <c r="D77" s="129"/>
      <c r="E77" s="105" t="s">
        <v>55</v>
      </c>
    </row>
    <row r="78" spans="2:11">
      <c r="D78" s="57">
        <f>ROUND(H65/F65,3)</f>
        <v>0.33</v>
      </c>
      <c r="E78" s="105" t="s">
        <v>56</v>
      </c>
    </row>
    <row r="79" spans="2:11">
      <c r="D79" s="124"/>
      <c r="E79" s="67"/>
    </row>
    <row r="80" spans="2:11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47">C83+1</f>
        <v>2018</v>
      </c>
      <c r="D84" s="57">
        <v>1.7999999999999999E-2</v>
      </c>
      <c r="F84" s="130">
        <f t="shared" ref="F84:F91" si="48">F83+1</f>
        <v>2027</v>
      </c>
      <c r="G84" s="57">
        <v>2.1999999999999999E-2</v>
      </c>
      <c r="I84" s="130">
        <f t="shared" ref="I84:I91" si="49">I83+1</f>
        <v>2036</v>
      </c>
      <c r="J84" s="57">
        <v>2.1999999999999999E-2</v>
      </c>
    </row>
    <row r="85" spans="3:15">
      <c r="C85" s="130">
        <f t="shared" si="47"/>
        <v>2019</v>
      </c>
      <c r="D85" s="57">
        <v>2.3E-2</v>
      </c>
      <c r="F85" s="130">
        <f t="shared" si="48"/>
        <v>2028</v>
      </c>
      <c r="G85" s="57">
        <v>2.1999999999999999E-2</v>
      </c>
      <c r="I85" s="130">
        <f t="shared" si="49"/>
        <v>2037</v>
      </c>
      <c r="J85" s="57">
        <v>2.1999999999999999E-2</v>
      </c>
    </row>
    <row r="86" spans="3:15">
      <c r="C86" s="130">
        <f t="shared" si="47"/>
        <v>2020</v>
      </c>
      <c r="D86" s="57">
        <v>2.5999999999999999E-2</v>
      </c>
      <c r="F86" s="130">
        <f t="shared" si="48"/>
        <v>2029</v>
      </c>
      <c r="G86" s="57">
        <v>2.1999999999999999E-2</v>
      </c>
      <c r="I86" s="130">
        <f t="shared" si="49"/>
        <v>2038</v>
      </c>
      <c r="J86" s="57">
        <v>2.1999999999999999E-2</v>
      </c>
    </row>
    <row r="87" spans="3:15">
      <c r="C87" s="130">
        <f t="shared" si="47"/>
        <v>2021</v>
      </c>
      <c r="D87" s="57">
        <v>2.4E-2</v>
      </c>
      <c r="F87" s="130">
        <f t="shared" si="48"/>
        <v>2030</v>
      </c>
      <c r="G87" s="57">
        <v>2.1999999999999999E-2</v>
      </c>
      <c r="I87" s="130">
        <f t="shared" si="49"/>
        <v>2039</v>
      </c>
      <c r="J87" s="57">
        <v>2.1999999999999999E-2</v>
      </c>
    </row>
    <row r="88" spans="3:15">
      <c r="C88" s="130">
        <f t="shared" si="47"/>
        <v>2022</v>
      </c>
      <c r="D88" s="57">
        <v>2.3E-2</v>
      </c>
      <c r="F88" s="130">
        <f t="shared" si="48"/>
        <v>2031</v>
      </c>
      <c r="G88" s="57">
        <v>2.1999999999999999E-2</v>
      </c>
      <c r="I88" s="130">
        <f t="shared" si="49"/>
        <v>2040</v>
      </c>
      <c r="J88" s="57">
        <v>2.1999999999999999E-2</v>
      </c>
    </row>
    <row r="89" spans="3:15" s="107" customFormat="1">
      <c r="C89" s="130">
        <f t="shared" si="47"/>
        <v>2023</v>
      </c>
      <c r="D89" s="57">
        <v>2.3E-2</v>
      </c>
      <c r="F89" s="130">
        <f t="shared" si="48"/>
        <v>2032</v>
      </c>
      <c r="G89" s="57">
        <v>2.1999999999999999E-2</v>
      </c>
      <c r="I89" s="130">
        <f t="shared" si="49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47"/>
        <v>2024</v>
      </c>
      <c r="D90" s="57">
        <v>2.3E-2</v>
      </c>
      <c r="F90" s="130">
        <f t="shared" si="48"/>
        <v>2033</v>
      </c>
      <c r="G90" s="57">
        <v>2.1999999999999999E-2</v>
      </c>
      <c r="I90" s="130">
        <f t="shared" si="49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47"/>
        <v>2025</v>
      </c>
      <c r="D91" s="57">
        <v>2.3E-2</v>
      </c>
      <c r="F91" s="130">
        <f t="shared" si="48"/>
        <v>2034</v>
      </c>
      <c r="G91" s="57">
        <v>2.1999999999999999E-2</v>
      </c>
      <c r="I91" s="130">
        <f t="shared" si="49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honeticPr fontId="6" type="noConversion"/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95"/>
  <sheetViews>
    <sheetView topLeftCell="A3" zoomScale="85" zoomScaleNormal="85" zoomScaleSheetLayoutView="85" workbookViewId="0">
      <pane xSplit="3" ySplit="8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B4" sqref="B4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26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92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Willamette Valley - 436 MW - CCCT Dry "G/H", 1x1 - West Side Resource (1,500')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Willamette Valley - 436 MW - CCCT Dry "G/H", 1x1 - West Side Resource (1,500')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1363</v>
      </c>
      <c r="D14" s="110">
        <f>ROUND(C14*$C$76,2)</f>
        <v>98.9</v>
      </c>
      <c r="E14" s="111">
        <f>$I$60</f>
        <v>43.7</v>
      </c>
      <c r="F14" s="111">
        <f>$J$65</f>
        <v>2.02</v>
      </c>
      <c r="G14" s="112">
        <f t="shared" ref="G14:G24" si="0">ROUND(F14*(8.76*$G$65)+E14,2)</f>
        <v>56.14</v>
      </c>
      <c r="H14" s="112">
        <f t="shared" ref="H14:H24" si="1">ROUND(D14+G14,2)</f>
        <v>155.04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>ROUND(D14*(1+$D83),2)</f>
        <v>100.78</v>
      </c>
      <c r="E15" s="110">
        <f t="shared" ref="D15:F17" si="3">ROUND(E14*(1+$D83),2)</f>
        <v>44.53</v>
      </c>
      <c r="F15" s="110">
        <f t="shared" si="3"/>
        <v>2.06</v>
      </c>
      <c r="G15" s="114">
        <f t="shared" si="0"/>
        <v>57.22</v>
      </c>
      <c r="H15" s="114">
        <f t="shared" si="1"/>
        <v>158</v>
      </c>
      <c r="I15" s="112"/>
      <c r="J15" s="112"/>
      <c r="K15" s="112"/>
    </row>
    <row r="16" spans="2:14">
      <c r="B16" s="108">
        <f t="shared" si="2"/>
        <v>2018</v>
      </c>
      <c r="C16" s="113"/>
      <c r="D16" s="110">
        <f t="shared" si="3"/>
        <v>102.59</v>
      </c>
      <c r="E16" s="110">
        <f t="shared" si="3"/>
        <v>45.33</v>
      </c>
      <c r="F16" s="110">
        <f t="shared" si="3"/>
        <v>2.1</v>
      </c>
      <c r="G16" s="112">
        <f t="shared" si="0"/>
        <v>58.26</v>
      </c>
      <c r="H16" s="112">
        <f t="shared" si="1"/>
        <v>160.85</v>
      </c>
      <c r="I16" s="112"/>
      <c r="J16" s="112"/>
      <c r="K16" s="112"/>
    </row>
    <row r="17" spans="2:13">
      <c r="B17" s="108">
        <f t="shared" si="2"/>
        <v>2019</v>
      </c>
      <c r="C17" s="113"/>
      <c r="D17" s="110">
        <f t="shared" si="3"/>
        <v>104.95</v>
      </c>
      <c r="E17" s="110">
        <f t="shared" si="3"/>
        <v>46.37</v>
      </c>
      <c r="F17" s="110">
        <f t="shared" si="3"/>
        <v>2.15</v>
      </c>
      <c r="G17" s="112">
        <f t="shared" si="0"/>
        <v>59.61</v>
      </c>
      <c r="H17" s="112">
        <f t="shared" si="1"/>
        <v>164.56</v>
      </c>
      <c r="I17" s="112"/>
      <c r="J17" s="112"/>
      <c r="K17" s="112"/>
    </row>
    <row r="18" spans="2:13">
      <c r="B18" s="108">
        <f t="shared" si="2"/>
        <v>2020</v>
      </c>
      <c r="C18" s="113"/>
      <c r="D18" s="110">
        <f t="shared" ref="D18:F18" si="4">ROUND(D17*(1+$D86),2)</f>
        <v>107.68</v>
      </c>
      <c r="E18" s="110">
        <f t="shared" si="4"/>
        <v>47.58</v>
      </c>
      <c r="F18" s="110">
        <f t="shared" si="4"/>
        <v>2.21</v>
      </c>
      <c r="G18" s="112">
        <f t="shared" ref="G18:G23" si="5">ROUND(F18*(8.76*$G$65)+E18,2)</f>
        <v>61.19</v>
      </c>
      <c r="H18" s="112">
        <f t="shared" ref="H18:H23" si="6">ROUND(D18+G18,2)</f>
        <v>168.87</v>
      </c>
      <c r="I18" s="112"/>
      <c r="J18" s="112"/>
      <c r="K18" s="112"/>
    </row>
    <row r="19" spans="2:13">
      <c r="B19" s="108">
        <f t="shared" si="2"/>
        <v>2021</v>
      </c>
      <c r="C19" s="113"/>
      <c r="D19" s="110">
        <f t="shared" ref="D19:F19" si="7">ROUND(D18*(1+$D87),2)</f>
        <v>110.26</v>
      </c>
      <c r="E19" s="110">
        <f t="shared" si="7"/>
        <v>48.72</v>
      </c>
      <c r="F19" s="110">
        <f t="shared" si="7"/>
        <v>2.2599999999999998</v>
      </c>
      <c r="G19" s="112">
        <f t="shared" si="5"/>
        <v>62.64</v>
      </c>
      <c r="H19" s="112">
        <f t="shared" si="6"/>
        <v>172.9</v>
      </c>
      <c r="I19" s="112"/>
      <c r="J19" s="112"/>
      <c r="K19" s="112"/>
    </row>
    <row r="20" spans="2:13">
      <c r="B20" s="108">
        <f t="shared" si="2"/>
        <v>2022</v>
      </c>
      <c r="C20" s="113"/>
      <c r="D20" s="110">
        <f t="shared" ref="D20:F20" si="8">ROUND(D19*(1+$D88),2)</f>
        <v>112.8</v>
      </c>
      <c r="E20" s="110">
        <f t="shared" si="8"/>
        <v>49.84</v>
      </c>
      <c r="F20" s="110">
        <f t="shared" si="8"/>
        <v>2.31</v>
      </c>
      <c r="G20" s="112">
        <f t="shared" si="5"/>
        <v>64.069999999999993</v>
      </c>
      <c r="H20" s="112">
        <f t="shared" si="6"/>
        <v>176.87</v>
      </c>
      <c r="I20" s="112"/>
      <c r="J20" s="112"/>
      <c r="K20" s="112"/>
    </row>
    <row r="21" spans="2:13">
      <c r="B21" s="108">
        <f t="shared" si="2"/>
        <v>2023</v>
      </c>
      <c r="C21" s="113"/>
      <c r="D21" s="110">
        <f t="shared" ref="D21:F21" si="9">ROUND(D20*(1+$D89),2)</f>
        <v>115.39</v>
      </c>
      <c r="E21" s="110">
        <f t="shared" si="9"/>
        <v>50.99</v>
      </c>
      <c r="F21" s="110">
        <f t="shared" si="9"/>
        <v>2.36</v>
      </c>
      <c r="G21" s="112">
        <f t="shared" si="5"/>
        <v>65.52</v>
      </c>
      <c r="H21" s="112">
        <f t="shared" si="6"/>
        <v>180.91</v>
      </c>
      <c r="I21" s="112"/>
      <c r="J21" s="112"/>
      <c r="K21" s="112"/>
    </row>
    <row r="22" spans="2:13">
      <c r="B22" s="108">
        <f t="shared" si="2"/>
        <v>2024</v>
      </c>
      <c r="C22" s="113"/>
      <c r="D22" s="110">
        <f t="shared" ref="D22:F22" si="10">ROUND(D21*(1+$D90),2)</f>
        <v>118.04</v>
      </c>
      <c r="E22" s="110">
        <f t="shared" si="10"/>
        <v>52.16</v>
      </c>
      <c r="F22" s="110">
        <f t="shared" si="10"/>
        <v>2.41</v>
      </c>
      <c r="G22" s="112">
        <f t="shared" si="5"/>
        <v>67</v>
      </c>
      <c r="H22" s="112">
        <f t="shared" si="6"/>
        <v>185.04</v>
      </c>
      <c r="I22" s="112"/>
      <c r="J22" s="112"/>
      <c r="K22" s="112"/>
    </row>
    <row r="23" spans="2:13">
      <c r="B23" s="108">
        <f t="shared" si="2"/>
        <v>2025</v>
      </c>
      <c r="C23" s="113"/>
      <c r="D23" s="110">
        <f t="shared" ref="D23:F23" si="11">ROUND(D22*(1+$D91),2)</f>
        <v>120.75</v>
      </c>
      <c r="E23" s="110">
        <f t="shared" si="11"/>
        <v>53.36</v>
      </c>
      <c r="F23" s="110">
        <f t="shared" si="11"/>
        <v>2.4700000000000002</v>
      </c>
      <c r="G23" s="112">
        <f t="shared" si="5"/>
        <v>68.569999999999993</v>
      </c>
      <c r="H23" s="112">
        <f t="shared" si="6"/>
        <v>189.32</v>
      </c>
      <c r="I23" s="112"/>
      <c r="J23" s="112"/>
      <c r="K23" s="112"/>
    </row>
    <row r="24" spans="2:13">
      <c r="B24" s="108">
        <f t="shared" si="2"/>
        <v>2026</v>
      </c>
      <c r="C24" s="113"/>
      <c r="D24" s="114">
        <f>ROUND(D23*(1+$G83),2)</f>
        <v>123.41</v>
      </c>
      <c r="E24" s="114">
        <f>ROUND(E23*(1+$G83),2)</f>
        <v>54.53</v>
      </c>
      <c r="F24" s="114">
        <f>ROUND(F23*(1+$G83),2)</f>
        <v>2.52</v>
      </c>
      <c r="G24" s="112">
        <f t="shared" si="0"/>
        <v>70.05</v>
      </c>
      <c r="H24" s="112">
        <f t="shared" si="1"/>
        <v>193.46</v>
      </c>
      <c r="I24" s="112"/>
      <c r="J24" s="112"/>
      <c r="K24" s="112"/>
    </row>
    <row r="25" spans="2:13">
      <c r="B25" s="108">
        <f t="shared" si="2"/>
        <v>2027</v>
      </c>
      <c r="C25" s="113"/>
      <c r="D25" s="114">
        <f t="shared" ref="D25:F25" si="12">ROUND(D24*(1+$G84),2)</f>
        <v>126.13</v>
      </c>
      <c r="E25" s="114">
        <f t="shared" si="12"/>
        <v>55.73</v>
      </c>
      <c r="F25" s="114">
        <f t="shared" si="12"/>
        <v>2.58</v>
      </c>
      <c r="G25" s="112">
        <f t="shared" ref="G25:G30" si="13">ROUND(F25*(8.76*$G$65)+E25,2)</f>
        <v>71.62</v>
      </c>
      <c r="H25" s="112">
        <f t="shared" ref="H25:H30" si="14">ROUND(D25+G25,2)</f>
        <v>197.75</v>
      </c>
      <c r="I25" s="112"/>
      <c r="J25" s="112"/>
      <c r="K25" s="112"/>
    </row>
    <row r="26" spans="2:13">
      <c r="B26" s="108">
        <f t="shared" si="2"/>
        <v>2028</v>
      </c>
      <c r="C26" s="113"/>
      <c r="D26" s="114">
        <f t="shared" ref="D26:F26" si="15">ROUND(D25*(1+$G85),2)</f>
        <v>128.9</v>
      </c>
      <c r="E26" s="114">
        <f t="shared" si="15"/>
        <v>56.96</v>
      </c>
      <c r="F26" s="114">
        <f t="shared" si="15"/>
        <v>2.64</v>
      </c>
      <c r="G26" s="112">
        <f t="shared" si="13"/>
        <v>73.22</v>
      </c>
      <c r="H26" s="112">
        <f t="shared" si="14"/>
        <v>202.12</v>
      </c>
      <c r="I26" s="112"/>
      <c r="J26" s="112"/>
      <c r="K26" s="112"/>
    </row>
    <row r="27" spans="2:13">
      <c r="B27" s="108">
        <f t="shared" si="2"/>
        <v>2029</v>
      </c>
      <c r="C27" s="113"/>
      <c r="D27" s="114">
        <f t="shared" ref="D27:F27" si="16">ROUND(D26*(1+$G86),2)</f>
        <v>131.74</v>
      </c>
      <c r="E27" s="114">
        <f t="shared" si="16"/>
        <v>58.21</v>
      </c>
      <c r="F27" s="114">
        <f t="shared" si="16"/>
        <v>2.7</v>
      </c>
      <c r="G27" s="112">
        <f t="shared" si="13"/>
        <v>74.84</v>
      </c>
      <c r="H27" s="112">
        <f t="shared" si="14"/>
        <v>206.58</v>
      </c>
      <c r="I27" s="112"/>
      <c r="J27" s="112"/>
      <c r="K27" s="112"/>
    </row>
    <row r="28" spans="2:13">
      <c r="B28" s="108">
        <f t="shared" si="2"/>
        <v>2030</v>
      </c>
      <c r="C28" s="113"/>
      <c r="D28" s="114">
        <f t="shared" ref="D28:D29" si="17">ROUND(D27*(1+$G87),2)</f>
        <v>134.63999999999999</v>
      </c>
      <c r="E28" s="114">
        <f t="shared" ref="E28:E29" si="18">ROUND(E27*(1+$G87),2)</f>
        <v>59.49</v>
      </c>
      <c r="F28" s="114">
        <f t="shared" ref="F28:F29" si="19">ROUND(F27*(1+$G87),2)</f>
        <v>2.76</v>
      </c>
      <c r="G28" s="112">
        <f t="shared" ref="G28:G29" si="20">ROUND(F28*(8.76*$G$65)+E28,2)</f>
        <v>76.489999999999995</v>
      </c>
      <c r="H28" s="112">
        <f t="shared" ref="H28:H29" si="21">ROUND(D28+G28,2)</f>
        <v>211.13</v>
      </c>
      <c r="I28" s="112"/>
      <c r="J28" s="112"/>
      <c r="K28" s="112"/>
    </row>
    <row r="29" spans="2:13" ht="13.5" thickBot="1">
      <c r="B29" s="177">
        <f t="shared" si="2"/>
        <v>2031</v>
      </c>
      <c r="C29" s="178"/>
      <c r="D29" s="165">
        <f t="shared" si="17"/>
        <v>137.6</v>
      </c>
      <c r="E29" s="165">
        <f t="shared" si="18"/>
        <v>60.8</v>
      </c>
      <c r="F29" s="165">
        <f t="shared" si="19"/>
        <v>2.82</v>
      </c>
      <c r="G29" s="139">
        <f t="shared" si="20"/>
        <v>78.17</v>
      </c>
      <c r="H29" s="139">
        <f t="shared" si="21"/>
        <v>215.77</v>
      </c>
      <c r="I29" s="139"/>
      <c r="J29" s="139"/>
      <c r="K29" s="139"/>
    </row>
    <row r="30" spans="2:13" s="146" customFormat="1">
      <c r="B30" s="149">
        <f t="shared" si="2"/>
        <v>2032</v>
      </c>
      <c r="C30" s="150"/>
      <c r="D30" s="114">
        <f t="shared" ref="D30:F30" si="22">ROUND(D29*(1+$G89),2)</f>
        <v>140.63</v>
      </c>
      <c r="E30" s="114">
        <f t="shared" si="22"/>
        <v>62.14</v>
      </c>
      <c r="F30" s="114">
        <f t="shared" si="22"/>
        <v>2.88</v>
      </c>
      <c r="G30" s="112">
        <f t="shared" si="13"/>
        <v>79.88</v>
      </c>
      <c r="H30" s="112">
        <f t="shared" si="14"/>
        <v>220.51</v>
      </c>
      <c r="I30" s="112">
        <f>VLOOKUP(B30,'Table 4'!$B$13:$D$43,3,FALSE)</f>
        <v>5.19</v>
      </c>
      <c r="J30" s="112">
        <f t="shared" ref="J30:J32" si="23">ROUND($K$65*I30/1000,2)</f>
        <v>33.29</v>
      </c>
      <c r="K30" s="112">
        <f t="shared" ref="K30:K32" si="24">ROUND(H30*1000/8760/$G$65+J30,2)</f>
        <v>69.099999999999994</v>
      </c>
      <c r="M30" s="105"/>
    </row>
    <row r="31" spans="2:13" s="146" customFormat="1">
      <c r="B31" s="149">
        <f t="shared" si="2"/>
        <v>2033</v>
      </c>
      <c r="C31" s="150"/>
      <c r="D31" s="114">
        <f t="shared" ref="D31:D32" si="25">ROUND(D30*(1+$G90),2)</f>
        <v>143.72</v>
      </c>
      <c r="E31" s="114">
        <f t="shared" ref="E31:E32" si="26">ROUND(E30*(1+$G90),2)</f>
        <v>63.51</v>
      </c>
      <c r="F31" s="114">
        <f t="shared" ref="F31:F32" si="27">ROUND(F30*(1+$G90),2)</f>
        <v>2.94</v>
      </c>
      <c r="G31" s="112">
        <f t="shared" ref="G31:G32" si="28">ROUND(F31*(8.76*$G$65)+E31,2)</f>
        <v>81.62</v>
      </c>
      <c r="H31" s="112">
        <f t="shared" ref="H31:H32" si="29">ROUND(D31+G31,2)</f>
        <v>225.34</v>
      </c>
      <c r="I31" s="112">
        <f>VLOOKUP(B31,'Table 4'!$B$13:$D$43,3,FALSE)</f>
        <v>5.42</v>
      </c>
      <c r="J31" s="112">
        <f t="shared" si="23"/>
        <v>34.770000000000003</v>
      </c>
      <c r="K31" s="112">
        <f t="shared" si="24"/>
        <v>71.36</v>
      </c>
      <c r="M31" s="105"/>
    </row>
    <row r="32" spans="2:13" s="146" customFormat="1">
      <c r="B32" s="108">
        <f t="shared" si="2"/>
        <v>2034</v>
      </c>
      <c r="C32" s="113"/>
      <c r="D32" s="112">
        <f t="shared" si="25"/>
        <v>146.88</v>
      </c>
      <c r="E32" s="110">
        <f t="shared" si="26"/>
        <v>64.91</v>
      </c>
      <c r="F32" s="110">
        <f t="shared" si="27"/>
        <v>3</v>
      </c>
      <c r="G32" s="112">
        <f t="shared" si="28"/>
        <v>83.38</v>
      </c>
      <c r="H32" s="112">
        <f t="shared" si="29"/>
        <v>230.26</v>
      </c>
      <c r="I32" s="112">
        <f>VLOOKUP(B32,'Table 4'!$B$13:$D$43,3,FALSE)</f>
        <v>5.65</v>
      </c>
      <c r="J32" s="112">
        <f t="shared" si="23"/>
        <v>36.24</v>
      </c>
      <c r="K32" s="112">
        <f t="shared" si="24"/>
        <v>73.63</v>
      </c>
      <c r="M32" s="105"/>
    </row>
    <row r="33" spans="2:15">
      <c r="B33" s="108">
        <f t="shared" si="2"/>
        <v>2035</v>
      </c>
      <c r="C33" s="113"/>
      <c r="D33" s="112">
        <f>ROUND(D32*(1+$J83),2)</f>
        <v>150.11000000000001</v>
      </c>
      <c r="E33" s="110">
        <f>ROUND(E32*(1+$J83),2)</f>
        <v>66.34</v>
      </c>
      <c r="F33" s="110">
        <f>ROUND(F32*(1+$J83),2)</f>
        <v>3.07</v>
      </c>
      <c r="G33" s="112">
        <f t="shared" ref="G33" si="30">ROUND(F33*(8.76*$G$65)+E33,2)</f>
        <v>85.25</v>
      </c>
      <c r="H33" s="112">
        <f t="shared" ref="H33" si="31">ROUND(D33+G33,2)</f>
        <v>235.36</v>
      </c>
      <c r="I33" s="112">
        <f>VLOOKUP(B33,'Table 4'!$B$13:$D$43,3,FALSE)</f>
        <v>5.84</v>
      </c>
      <c r="J33" s="112">
        <f t="shared" ref="J33:J35" si="32">ROUND($K$65*I33/1000,2)</f>
        <v>37.46</v>
      </c>
      <c r="K33" s="112">
        <f t="shared" ref="K33:K35" si="33">ROUND(H33*1000/8760/$G$65+J33,2)</f>
        <v>75.680000000000007</v>
      </c>
    </row>
    <row r="34" spans="2:15">
      <c r="B34" s="108">
        <f t="shared" si="2"/>
        <v>2036</v>
      </c>
      <c r="C34" s="113"/>
      <c r="D34" s="112">
        <f t="shared" ref="D34:F34" si="34">ROUND(D33*(1+$J84),2)</f>
        <v>153.41</v>
      </c>
      <c r="E34" s="110">
        <f t="shared" si="34"/>
        <v>67.8</v>
      </c>
      <c r="F34" s="110">
        <f t="shared" si="34"/>
        <v>3.14</v>
      </c>
      <c r="G34" s="112">
        <f t="shared" ref="G34:G39" si="35">ROUND(F34*(8.76*$G$65)+E34,2)</f>
        <v>87.14</v>
      </c>
      <c r="H34" s="112">
        <f t="shared" ref="H34:H39" si="36">ROUND(D34+G34,2)</f>
        <v>240.55</v>
      </c>
      <c r="I34" s="112">
        <f>VLOOKUP(B34,'Table 4'!$B$13:$D$43,3,FALSE)</f>
        <v>6.19</v>
      </c>
      <c r="J34" s="112">
        <f t="shared" si="32"/>
        <v>39.71</v>
      </c>
      <c r="K34" s="112">
        <f t="shared" si="33"/>
        <v>78.77</v>
      </c>
    </row>
    <row r="35" spans="2:15">
      <c r="B35" s="108">
        <f t="shared" si="2"/>
        <v>2037</v>
      </c>
      <c r="C35" s="113"/>
      <c r="D35" s="112">
        <f t="shared" ref="D35:F35" si="37">ROUND(D34*(1+$J85),2)</f>
        <v>156.79</v>
      </c>
      <c r="E35" s="110">
        <f t="shared" si="37"/>
        <v>69.290000000000006</v>
      </c>
      <c r="F35" s="110">
        <f t="shared" si="37"/>
        <v>3.21</v>
      </c>
      <c r="G35" s="112">
        <f t="shared" si="35"/>
        <v>89.06</v>
      </c>
      <c r="H35" s="112">
        <f t="shared" si="36"/>
        <v>245.85</v>
      </c>
      <c r="I35" s="112">
        <f>VLOOKUP(B35,'Table 4'!$B$13:$D$43,3,FALSE)</f>
        <v>6.35</v>
      </c>
      <c r="J35" s="112">
        <f t="shared" si="32"/>
        <v>40.74</v>
      </c>
      <c r="K35" s="112">
        <f t="shared" si="33"/>
        <v>80.66</v>
      </c>
    </row>
    <row r="36" spans="2:15">
      <c r="B36" s="108">
        <f t="shared" si="2"/>
        <v>2038</v>
      </c>
      <c r="C36" s="113"/>
      <c r="D36" s="112">
        <f t="shared" ref="D36:F36" si="38">ROUND(D35*(1+$J86),2)</f>
        <v>160.24</v>
      </c>
      <c r="E36" s="110">
        <f t="shared" si="38"/>
        <v>70.81</v>
      </c>
      <c r="F36" s="110">
        <f t="shared" si="38"/>
        <v>3.28</v>
      </c>
      <c r="G36" s="112">
        <f t="shared" si="35"/>
        <v>91.01</v>
      </c>
      <c r="H36" s="112">
        <f t="shared" si="36"/>
        <v>251.25</v>
      </c>
      <c r="I36" s="112">
        <f>VLOOKUP(B36,'Table 4'!$B$13:$D$43,3,FALSE)</f>
        <v>6.62</v>
      </c>
      <c r="J36" s="112">
        <f t="shared" ref="J36:J39" si="39">ROUND($K$65*I36/1000,2)</f>
        <v>42.47</v>
      </c>
      <c r="K36" s="112">
        <f t="shared" ref="K36:K39" si="40">ROUND(H36*1000/8760/$G$65+J36,2)</f>
        <v>83.27</v>
      </c>
    </row>
    <row r="37" spans="2:15">
      <c r="B37" s="108">
        <f t="shared" si="2"/>
        <v>2039</v>
      </c>
      <c r="C37" s="113"/>
      <c r="D37" s="112">
        <f t="shared" ref="D37:F37" si="41">ROUND(D36*(1+$J87),2)</f>
        <v>163.77000000000001</v>
      </c>
      <c r="E37" s="110">
        <f t="shared" si="41"/>
        <v>72.37</v>
      </c>
      <c r="F37" s="110">
        <f t="shared" si="41"/>
        <v>3.35</v>
      </c>
      <c r="G37" s="112">
        <f t="shared" si="35"/>
        <v>93</v>
      </c>
      <c r="H37" s="112">
        <f t="shared" si="36"/>
        <v>256.77</v>
      </c>
      <c r="I37" s="112">
        <f>VLOOKUP(B37,'Table 4'!$B$13:$D$43,3,FALSE)</f>
        <v>6.77</v>
      </c>
      <c r="J37" s="112">
        <f t="shared" si="39"/>
        <v>43.43</v>
      </c>
      <c r="K37" s="112">
        <f t="shared" si="40"/>
        <v>85.13</v>
      </c>
    </row>
    <row r="38" spans="2:15">
      <c r="B38" s="108">
        <f t="shared" si="2"/>
        <v>2040</v>
      </c>
      <c r="C38" s="113"/>
      <c r="D38" s="112">
        <f t="shared" ref="D38:F38" si="42">ROUND(D37*(1+$J88),2)</f>
        <v>167.37</v>
      </c>
      <c r="E38" s="110">
        <f t="shared" si="42"/>
        <v>73.959999999999994</v>
      </c>
      <c r="F38" s="110">
        <f t="shared" si="42"/>
        <v>3.42</v>
      </c>
      <c r="G38" s="112">
        <f t="shared" si="35"/>
        <v>95.02</v>
      </c>
      <c r="H38" s="112">
        <f t="shared" si="36"/>
        <v>262.39</v>
      </c>
      <c r="I38" s="112">
        <f>VLOOKUP(B38,'Table 4'!$B$13:$D$43,3,FALSE)</f>
        <v>6.95</v>
      </c>
      <c r="J38" s="112">
        <f t="shared" si="39"/>
        <v>44.58</v>
      </c>
      <c r="K38" s="112">
        <f t="shared" si="40"/>
        <v>87.19</v>
      </c>
    </row>
    <row r="39" spans="2:15">
      <c r="B39" s="108">
        <f t="shared" si="2"/>
        <v>2041</v>
      </c>
      <c r="C39" s="113"/>
      <c r="D39" s="112">
        <f t="shared" ref="D39:F40" si="43">ROUND(D38*(1+$J89),2)</f>
        <v>171.05</v>
      </c>
      <c r="E39" s="110">
        <f t="shared" si="43"/>
        <v>75.59</v>
      </c>
      <c r="F39" s="110">
        <f t="shared" si="43"/>
        <v>3.5</v>
      </c>
      <c r="G39" s="112">
        <f t="shared" si="35"/>
        <v>97.14</v>
      </c>
      <c r="H39" s="112">
        <f t="shared" si="36"/>
        <v>268.19</v>
      </c>
      <c r="I39" s="112">
        <f>VLOOKUP(B39,'Table 4'!$B$13:$D$43,3,FALSE)</f>
        <v>7.1</v>
      </c>
      <c r="J39" s="112">
        <f t="shared" si="39"/>
        <v>45.55</v>
      </c>
      <c r="K39" s="112">
        <f t="shared" si="40"/>
        <v>89.1</v>
      </c>
    </row>
    <row r="40" spans="2:15">
      <c r="B40" s="108">
        <f t="shared" si="2"/>
        <v>2042</v>
      </c>
      <c r="C40" s="113"/>
      <c r="D40" s="112">
        <f t="shared" si="43"/>
        <v>174.81</v>
      </c>
      <c r="E40" s="110">
        <f t="shared" si="43"/>
        <v>77.25</v>
      </c>
      <c r="F40" s="110">
        <f t="shared" si="43"/>
        <v>3.58</v>
      </c>
      <c r="G40" s="112">
        <f t="shared" ref="G40" si="44">ROUND(F40*(8.76*$G$65)+E40,2)</f>
        <v>99.3</v>
      </c>
      <c r="H40" s="112">
        <f t="shared" ref="H40" si="45">ROUND(D40+G40,2)</f>
        <v>274.11</v>
      </c>
      <c r="I40" s="112">
        <f>VLOOKUP(B40,'Table 4'!$B$13:$D$43,3,FALSE)</f>
        <v>4.8600000000000003</v>
      </c>
      <c r="J40" s="112">
        <f t="shared" ref="J40" si="46">ROUND($K$65*I40/1000,2)</f>
        <v>31.18</v>
      </c>
      <c r="K40" s="112">
        <f t="shared" ref="K40" si="47">ROUND(H40*1000/8760/$G$65+J40,2)</f>
        <v>75.69</v>
      </c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">
        <v>101</v>
      </c>
    </row>
    <row r="47" spans="2:15">
      <c r="C47" s="117" t="str">
        <f>D10</f>
        <v>(b)</v>
      </c>
      <c r="D47" s="112" t="str">
        <f>"= "&amp;C10&amp;" x "&amp;C76</f>
        <v>= (a) x 0.0725628795024555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70.3%) + (c)</v>
      </c>
    </row>
    <row r="49" spans="3:15">
      <c r="C49" s="117" t="str">
        <f>H10</f>
        <v>(f)</v>
      </c>
      <c r="D49" s="112" t="str">
        <f>"= "&amp;D10&amp;" + "&amp;G10</f>
        <v>= (b) + (e)</v>
      </c>
    </row>
    <row r="50" spans="3:15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5">
      <c r="C51" s="117" t="str">
        <f>J10</f>
        <v>(h)</v>
      </c>
      <c r="D51" s="112" t="str">
        <f>"= "&amp;TEXT(K65,"?,0")&amp;" MMBtu/MWH x "&amp;I9</f>
        <v>= 6,415 MMBtu/MWH x $/MMBtu</v>
      </c>
    </row>
    <row r="52" spans="3:15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5" ht="13.5" thickBot="1"/>
    <row r="54" spans="3:15" ht="13.5" thickBot="1">
      <c r="C54" s="58" t="s">
        <v>93</v>
      </c>
      <c r="D54" s="55"/>
      <c r="E54" s="55"/>
      <c r="F54" s="55"/>
      <c r="G54" s="55"/>
      <c r="H54" s="55"/>
      <c r="I54" s="55"/>
      <c r="J54" s="56"/>
      <c r="K54" s="118"/>
    </row>
    <row r="55" spans="3:15" ht="5.25" customHeight="1"/>
    <row r="56" spans="3:15" ht="5.25" customHeight="1"/>
    <row r="57" spans="3:15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5">
      <c r="C58" s="146" t="s">
        <v>94</v>
      </c>
      <c r="F58" s="119">
        <f>C69</f>
        <v>385.35346874999999</v>
      </c>
      <c r="G58" s="57">
        <f>F58/F60</f>
        <v>0.88311475045887722</v>
      </c>
      <c r="H58" s="133">
        <f>C70</f>
        <v>1484.338135058779</v>
      </c>
      <c r="I58" s="135">
        <f>C73</f>
        <v>44.501635407885907</v>
      </c>
      <c r="O58" s="184"/>
    </row>
    <row r="59" spans="3:15">
      <c r="C59" s="146" t="s">
        <v>95</v>
      </c>
      <c r="F59" s="48">
        <f>D69</f>
        <v>51.003718749999997</v>
      </c>
      <c r="G59" s="44">
        <f>1-G58</f>
        <v>0.11688524954112278</v>
      </c>
      <c r="H59" s="134">
        <f>D70</f>
        <v>443.00439708045104</v>
      </c>
      <c r="I59" s="136">
        <f>D73</f>
        <v>37.670659567999998</v>
      </c>
    </row>
    <row r="60" spans="3:15">
      <c r="C60" s="146" t="s">
        <v>45</v>
      </c>
      <c r="F60" s="119">
        <f>F58+F59</f>
        <v>436.35718750000001</v>
      </c>
      <c r="G60" s="57">
        <f>G58+G59</f>
        <v>1</v>
      </c>
      <c r="H60" s="133">
        <f>ROUND(((F58*H58)+(F59*H59))/F60,0)</f>
        <v>1363</v>
      </c>
      <c r="I60" s="135">
        <f>ROUND(((F58*I58)+(F59*I59))/F60,2)</f>
        <v>43.7</v>
      </c>
    </row>
    <row r="61" spans="3:15">
      <c r="C61" s="146"/>
      <c r="F61" s="119"/>
      <c r="G61" s="57"/>
      <c r="H61" s="120"/>
      <c r="I61" s="121"/>
    </row>
    <row r="62" spans="3:15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5">
      <c r="C63" s="148" t="str">
        <f>C58</f>
        <v>CCCT Dry "G/H", 1x1 - Turbine</v>
      </c>
      <c r="D63" s="122"/>
      <c r="E63" s="122"/>
      <c r="F63" s="105">
        <f>C69</f>
        <v>385.35346874999999</v>
      </c>
      <c r="G63" s="57">
        <f>C77</f>
        <v>0.78</v>
      </c>
      <c r="H63" s="169">
        <f>G63*F63</f>
        <v>300.57570562500001</v>
      </c>
      <c r="I63" s="57">
        <f>H63/H65</f>
        <v>0.98004394182130306</v>
      </c>
      <c r="J63" s="121">
        <f>C74</f>
        <v>2.0592662948867351</v>
      </c>
      <c r="K63" s="123">
        <f>C75</f>
        <v>6362</v>
      </c>
    </row>
    <row r="64" spans="3:15">
      <c r="C64" s="148" t="str">
        <f>C59</f>
        <v>CCCT Dry "G/H", 1x1 - Duct Firing</v>
      </c>
      <c r="D64" s="122"/>
      <c r="E64" s="122"/>
      <c r="F64" s="43">
        <f>D69</f>
        <v>51.003718749999997</v>
      </c>
      <c r="G64" s="44">
        <f>D77</f>
        <v>0.12</v>
      </c>
      <c r="H64" s="170">
        <f>G64*F64</f>
        <v>6.1204462499999996</v>
      </c>
      <c r="I64" s="44">
        <f>1-I63</f>
        <v>1.9956058178696945E-2</v>
      </c>
      <c r="J64" s="45">
        <f>D74</f>
        <v>0.15</v>
      </c>
      <c r="K64" s="46">
        <f>D75</f>
        <v>9012</v>
      </c>
    </row>
    <row r="65" spans="2:12">
      <c r="C65" s="146" t="s">
        <v>50</v>
      </c>
      <c r="F65" s="105">
        <f>F63+F64</f>
        <v>436.35718750000001</v>
      </c>
      <c r="G65" s="124">
        <f>ROUND(H65/F65,3)</f>
        <v>0.70299999999999996</v>
      </c>
      <c r="H65" s="169">
        <f>SUM(H63:H64)</f>
        <v>306.696151875</v>
      </c>
      <c r="I65" s="57">
        <f>I63+I64</f>
        <v>1</v>
      </c>
      <c r="J65" s="121">
        <f>ROUND(($I63*J63)+($I64*J64),2)</f>
        <v>2.02</v>
      </c>
      <c r="K65" s="125">
        <f>ROUND(($I63*K63)+($I64*K64),0)</f>
        <v>6415</v>
      </c>
    </row>
    <row r="66" spans="2:12">
      <c r="G66" s="124"/>
      <c r="I66" s="57"/>
      <c r="J66" s="121"/>
      <c r="K66" s="47" t="s">
        <v>51</v>
      </c>
    </row>
    <row r="68" spans="2:12">
      <c r="C68" s="41" t="s">
        <v>34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2">
      <c r="C69" s="105">
        <v>385.35346874999999</v>
      </c>
      <c r="D69" s="105">
        <v>51.003718749999997</v>
      </c>
      <c r="E69" s="105" t="s">
        <v>77</v>
      </c>
      <c r="H69" s="128"/>
    </row>
    <row r="70" spans="2:12">
      <c r="B70" s="105" t="s">
        <v>102</v>
      </c>
      <c r="C70" s="120">
        <v>1484.338135058779</v>
      </c>
      <c r="D70" s="120">
        <v>443.00439708045104</v>
      </c>
      <c r="E70" s="105" t="s">
        <v>78</v>
      </c>
      <c r="L70" s="68"/>
    </row>
    <row r="71" spans="2:12">
      <c r="B71" s="105" t="s">
        <v>102</v>
      </c>
      <c r="C71" s="121">
        <v>21.713180439885903</v>
      </c>
      <c r="D71" s="121">
        <v>5.39</v>
      </c>
      <c r="E71" s="105" t="s">
        <v>79</v>
      </c>
      <c r="L71" s="68"/>
    </row>
    <row r="72" spans="2:12">
      <c r="B72" s="105" t="s">
        <v>102</v>
      </c>
      <c r="C72" s="49">
        <v>22.788454968000003</v>
      </c>
      <c r="D72" s="49">
        <v>32.280659567999997</v>
      </c>
      <c r="E72" s="105" t="s">
        <v>75</v>
      </c>
      <c r="L72" s="68"/>
    </row>
    <row r="73" spans="2:12">
      <c r="B73" s="105" t="s">
        <v>102</v>
      </c>
      <c r="C73" s="121">
        <f>C71+C72</f>
        <v>44.501635407885907</v>
      </c>
      <c r="D73" s="121">
        <f>D71+D72</f>
        <v>37.670659567999998</v>
      </c>
      <c r="E73" s="105" t="s">
        <v>80</v>
      </c>
    </row>
    <row r="74" spans="2:12">
      <c r="C74" s="121">
        <v>2.0592662948867351</v>
      </c>
      <c r="D74" s="121">
        <v>0.15</v>
      </c>
      <c r="E74" s="105" t="s">
        <v>81</v>
      </c>
    </row>
    <row r="75" spans="2:12">
      <c r="C75" s="125">
        <v>6362</v>
      </c>
      <c r="D75" s="125">
        <v>9012</v>
      </c>
      <c r="E75" s="105" t="s">
        <v>53</v>
      </c>
    </row>
    <row r="76" spans="2:12">
      <c r="C76" s="143">
        <v>7.2562879502455491E-2</v>
      </c>
      <c r="D76" s="143">
        <v>7.2562879502455491E-2</v>
      </c>
      <c r="E76" s="105" t="s">
        <v>54</v>
      </c>
    </row>
    <row r="77" spans="2:12">
      <c r="C77" s="129">
        <v>0.78</v>
      </c>
      <c r="D77" s="129">
        <v>0.12</v>
      </c>
      <c r="E77" s="105" t="s">
        <v>55</v>
      </c>
    </row>
    <row r="78" spans="2:12">
      <c r="D78" s="57">
        <f>ROUND(H65/F65,3)</f>
        <v>0.70299999999999996</v>
      </c>
      <c r="E78" s="105" t="s">
        <v>56</v>
      </c>
    </row>
    <row r="79" spans="2:12">
      <c r="D79" s="124"/>
      <c r="E79" s="67"/>
    </row>
    <row r="80" spans="2:12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48">C83+1</f>
        <v>2018</v>
      </c>
      <c r="D84" s="57">
        <v>1.7999999999999999E-2</v>
      </c>
      <c r="F84" s="130">
        <f t="shared" ref="F84:F91" si="49">F83+1</f>
        <v>2027</v>
      </c>
      <c r="G84" s="57">
        <v>2.1999999999999999E-2</v>
      </c>
      <c r="I84" s="130">
        <f t="shared" ref="I84:I91" si="50">I83+1</f>
        <v>2036</v>
      </c>
      <c r="J84" s="57">
        <v>2.1999999999999999E-2</v>
      </c>
    </row>
    <row r="85" spans="3:15">
      <c r="C85" s="130">
        <f t="shared" si="48"/>
        <v>2019</v>
      </c>
      <c r="D85" s="57">
        <v>2.3E-2</v>
      </c>
      <c r="F85" s="130">
        <f t="shared" si="49"/>
        <v>2028</v>
      </c>
      <c r="G85" s="57">
        <v>2.1999999999999999E-2</v>
      </c>
      <c r="I85" s="130">
        <f t="shared" si="50"/>
        <v>2037</v>
      </c>
      <c r="J85" s="57">
        <v>2.1999999999999999E-2</v>
      </c>
    </row>
    <row r="86" spans="3:15">
      <c r="C86" s="130">
        <f t="shared" si="48"/>
        <v>2020</v>
      </c>
      <c r="D86" s="57">
        <v>2.5999999999999999E-2</v>
      </c>
      <c r="F86" s="130">
        <f t="shared" si="49"/>
        <v>2029</v>
      </c>
      <c r="G86" s="57">
        <v>2.1999999999999999E-2</v>
      </c>
      <c r="I86" s="130">
        <f t="shared" si="50"/>
        <v>2038</v>
      </c>
      <c r="J86" s="57">
        <v>2.1999999999999999E-2</v>
      </c>
    </row>
    <row r="87" spans="3:15">
      <c r="C87" s="130">
        <f t="shared" si="48"/>
        <v>2021</v>
      </c>
      <c r="D87" s="57">
        <v>2.4E-2</v>
      </c>
      <c r="F87" s="130">
        <f t="shared" si="49"/>
        <v>2030</v>
      </c>
      <c r="G87" s="57">
        <v>2.1999999999999999E-2</v>
      </c>
      <c r="I87" s="130">
        <f t="shared" si="50"/>
        <v>2039</v>
      </c>
      <c r="J87" s="57">
        <v>2.1999999999999999E-2</v>
      </c>
    </row>
    <row r="88" spans="3:15">
      <c r="C88" s="130">
        <f t="shared" si="48"/>
        <v>2022</v>
      </c>
      <c r="D88" s="57">
        <v>2.3E-2</v>
      </c>
      <c r="F88" s="130">
        <f t="shared" si="49"/>
        <v>2031</v>
      </c>
      <c r="G88" s="57">
        <v>2.1999999999999999E-2</v>
      </c>
      <c r="I88" s="130">
        <f t="shared" si="50"/>
        <v>2040</v>
      </c>
      <c r="J88" s="57">
        <v>2.1999999999999999E-2</v>
      </c>
    </row>
    <row r="89" spans="3:15" s="107" customFormat="1">
      <c r="C89" s="130">
        <f t="shared" si="48"/>
        <v>2023</v>
      </c>
      <c r="D89" s="57">
        <v>2.3E-2</v>
      </c>
      <c r="F89" s="130">
        <f t="shared" si="49"/>
        <v>2032</v>
      </c>
      <c r="G89" s="57">
        <v>2.1999999999999999E-2</v>
      </c>
      <c r="I89" s="130">
        <f t="shared" si="50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48"/>
        <v>2024</v>
      </c>
      <c r="D90" s="57">
        <v>2.3E-2</v>
      </c>
      <c r="F90" s="130">
        <f t="shared" si="49"/>
        <v>2033</v>
      </c>
      <c r="G90" s="57">
        <v>2.1999999999999999E-2</v>
      </c>
      <c r="I90" s="130">
        <f t="shared" si="50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48"/>
        <v>2025</v>
      </c>
      <c r="D91" s="57">
        <v>2.3E-2</v>
      </c>
      <c r="F91" s="130">
        <f t="shared" si="49"/>
        <v>2034</v>
      </c>
      <c r="G91" s="57">
        <v>2.1999999999999999E-2</v>
      </c>
      <c r="I91" s="130">
        <f t="shared" si="50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topLeftCell="A2" zoomScale="90" zoomScaleNormal="90" zoomScaleSheetLayoutView="85" workbookViewId="0">
      <pane xSplit="2" ySplit="9" topLeftCell="C11" activePane="bottomRight" state="frozen"/>
      <selection activeCell="E17" sqref="E17"/>
      <selection pane="topRight" activeCell="E17" sqref="E17"/>
      <selection pane="bottomLeft" activeCell="E17" sqref="E17"/>
      <selection pane="bottomRight" activeCell="B3" sqref="B3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5.25" hidden="1" customHeight="1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92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WYNE  DJohns - 477 MW - CCCT Dry "J/HA.02", 1x1 -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 DJohns - 477 MW - CCCT Dry "J/HA.02", 1x1 -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1203</v>
      </c>
      <c r="D14" s="110">
        <f>ROUND(C14*$C$76,2)</f>
        <v>87.29</v>
      </c>
      <c r="E14" s="111">
        <f>$I$60</f>
        <v>57.97</v>
      </c>
      <c r="F14" s="111">
        <f>$J$65</f>
        <v>2.2200000000000002</v>
      </c>
      <c r="G14" s="112">
        <f t="shared" ref="G14:G24" si="0">ROUND(F14*(8.76*$G$65)+E14,2)</f>
        <v>71.45</v>
      </c>
      <c r="H14" s="112">
        <f t="shared" ref="H14:H24" si="1">ROUND(D14+G14,2)</f>
        <v>158.74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17" si="3">ROUND(D14*(1+$D83),2)</f>
        <v>88.95</v>
      </c>
      <c r="E15" s="110">
        <f t="shared" si="3"/>
        <v>59.07</v>
      </c>
      <c r="F15" s="110">
        <f t="shared" si="3"/>
        <v>2.2599999999999998</v>
      </c>
      <c r="G15" s="114">
        <f t="shared" si="0"/>
        <v>72.790000000000006</v>
      </c>
      <c r="H15" s="114">
        <f t="shared" si="1"/>
        <v>161.74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90.55</v>
      </c>
      <c r="E16" s="110">
        <f t="shared" si="3"/>
        <v>60.13</v>
      </c>
      <c r="F16" s="110">
        <f t="shared" si="3"/>
        <v>2.2999999999999998</v>
      </c>
      <c r="G16" s="112">
        <f t="shared" si="0"/>
        <v>74.09</v>
      </c>
      <c r="H16" s="112">
        <f t="shared" si="1"/>
        <v>164.64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92.63</v>
      </c>
      <c r="E17" s="110">
        <f t="shared" si="3"/>
        <v>61.51</v>
      </c>
      <c r="F17" s="110">
        <f t="shared" si="3"/>
        <v>2.35</v>
      </c>
      <c r="G17" s="112">
        <f t="shared" si="0"/>
        <v>75.78</v>
      </c>
      <c r="H17" s="112">
        <f t="shared" si="1"/>
        <v>168.41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ref="D18:F18" si="4">ROUND(D17*(1+$D86),2)</f>
        <v>95.04</v>
      </c>
      <c r="E18" s="110">
        <f t="shared" si="4"/>
        <v>63.11</v>
      </c>
      <c r="F18" s="110">
        <f t="shared" si="4"/>
        <v>2.41</v>
      </c>
      <c r="G18" s="112">
        <f t="shared" ref="G18:G23" si="5">ROUND(F18*(8.76*$G$65)+E18,2)</f>
        <v>77.739999999999995</v>
      </c>
      <c r="H18" s="112">
        <f t="shared" ref="H18:H23" si="6">ROUND(D18+G18,2)</f>
        <v>172.78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ref="D19:F19" si="7">ROUND(D18*(1+$D87),2)</f>
        <v>97.32</v>
      </c>
      <c r="E19" s="110">
        <f t="shared" si="7"/>
        <v>64.62</v>
      </c>
      <c r="F19" s="110">
        <f t="shared" si="7"/>
        <v>2.4700000000000002</v>
      </c>
      <c r="G19" s="112">
        <f t="shared" si="5"/>
        <v>79.61</v>
      </c>
      <c r="H19" s="112">
        <f t="shared" si="6"/>
        <v>176.93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ref="D20:F20" si="8">ROUND(D19*(1+$D88),2)</f>
        <v>99.56</v>
      </c>
      <c r="E20" s="110">
        <f t="shared" si="8"/>
        <v>66.11</v>
      </c>
      <c r="F20" s="110">
        <f t="shared" si="8"/>
        <v>2.5299999999999998</v>
      </c>
      <c r="G20" s="112">
        <f t="shared" si="5"/>
        <v>81.47</v>
      </c>
      <c r="H20" s="112">
        <f t="shared" si="6"/>
        <v>181.03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ref="D21:F21" si="9">ROUND(D20*(1+$D89),2)</f>
        <v>101.85</v>
      </c>
      <c r="E21" s="110">
        <f t="shared" si="9"/>
        <v>67.63</v>
      </c>
      <c r="F21" s="110">
        <f t="shared" si="9"/>
        <v>2.59</v>
      </c>
      <c r="G21" s="112">
        <f t="shared" si="5"/>
        <v>83.35</v>
      </c>
      <c r="H21" s="112">
        <f t="shared" si="6"/>
        <v>185.2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ref="D22:F22" si="10">ROUND(D21*(1+$D90),2)</f>
        <v>104.19</v>
      </c>
      <c r="E22" s="110">
        <f t="shared" si="10"/>
        <v>69.19</v>
      </c>
      <c r="F22" s="110">
        <f t="shared" si="10"/>
        <v>2.65</v>
      </c>
      <c r="G22" s="112">
        <f t="shared" si="5"/>
        <v>85.28</v>
      </c>
      <c r="H22" s="112">
        <f t="shared" si="6"/>
        <v>189.47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ref="D23:F23" si="11">ROUND(D22*(1+$D91),2)</f>
        <v>106.59</v>
      </c>
      <c r="E23" s="110">
        <f t="shared" si="11"/>
        <v>70.78</v>
      </c>
      <c r="F23" s="110">
        <f t="shared" si="11"/>
        <v>2.71</v>
      </c>
      <c r="G23" s="112">
        <f t="shared" si="5"/>
        <v>87.23</v>
      </c>
      <c r="H23" s="112">
        <f t="shared" si="6"/>
        <v>193.82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108.93</v>
      </c>
      <c r="E24" s="114">
        <f>ROUND(E23*(1+$G83),2)</f>
        <v>72.34</v>
      </c>
      <c r="F24" s="114">
        <f>ROUND(F23*(1+$G83),2)</f>
        <v>2.77</v>
      </c>
      <c r="G24" s="112">
        <f t="shared" si="0"/>
        <v>89.16</v>
      </c>
      <c r="H24" s="112">
        <f t="shared" si="1"/>
        <v>198.09</v>
      </c>
      <c r="I24" s="112"/>
      <c r="J24" s="112"/>
      <c r="K24" s="112"/>
      <c r="M24" s="57"/>
    </row>
    <row r="25" spans="2:13" ht="12" customHeight="1">
      <c r="B25" s="108">
        <f t="shared" si="2"/>
        <v>2027</v>
      </c>
      <c r="C25" s="113"/>
      <c r="D25" s="114">
        <f t="shared" ref="D25:F25" si="12">ROUND(D24*(1+$G84),2)</f>
        <v>111.33</v>
      </c>
      <c r="E25" s="114">
        <f t="shared" si="12"/>
        <v>73.930000000000007</v>
      </c>
      <c r="F25" s="114">
        <f t="shared" si="12"/>
        <v>2.83</v>
      </c>
      <c r="G25" s="112">
        <f t="shared" ref="G25:G30" si="13">ROUND(F25*(8.76*$G$65)+E25,2)</f>
        <v>91.11</v>
      </c>
      <c r="H25" s="112">
        <f t="shared" ref="H25:H30" si="14">ROUND(D25+G25,2)</f>
        <v>202.44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14">
        <f t="shared" ref="D26:F26" si="15">ROUND(D25*(1+$G85),2)</f>
        <v>113.78</v>
      </c>
      <c r="E26" s="114">
        <f t="shared" si="15"/>
        <v>75.56</v>
      </c>
      <c r="F26" s="114">
        <f t="shared" si="15"/>
        <v>2.89</v>
      </c>
      <c r="G26" s="112">
        <f t="shared" si="13"/>
        <v>93.1</v>
      </c>
      <c r="H26" s="112">
        <f t="shared" si="14"/>
        <v>206.88</v>
      </c>
      <c r="I26" s="112"/>
      <c r="J26" s="112"/>
      <c r="K26" s="112"/>
      <c r="M26" s="57"/>
    </row>
    <row r="27" spans="2:13">
      <c r="B27" s="108">
        <f t="shared" si="2"/>
        <v>2029</v>
      </c>
      <c r="C27" s="113"/>
      <c r="D27" s="114">
        <f t="shared" ref="D27:F27" si="16">ROUND(D26*(1+$G86),2)</f>
        <v>116.28</v>
      </c>
      <c r="E27" s="114">
        <f t="shared" si="16"/>
        <v>77.22</v>
      </c>
      <c r="F27" s="114">
        <f t="shared" si="16"/>
        <v>2.95</v>
      </c>
      <c r="G27" s="112">
        <f t="shared" si="13"/>
        <v>95.13</v>
      </c>
      <c r="H27" s="112">
        <f t="shared" si="14"/>
        <v>211.41</v>
      </c>
      <c r="I27" s="112"/>
      <c r="J27" s="112"/>
      <c r="K27" s="112"/>
      <c r="M27" s="57"/>
    </row>
    <row r="28" spans="2:13">
      <c r="B28" s="108">
        <f t="shared" si="2"/>
        <v>2030</v>
      </c>
      <c r="C28" s="113"/>
      <c r="D28" s="114">
        <f t="shared" ref="D28:D29" si="17">ROUND(D27*(1+$G87),2)</f>
        <v>118.84</v>
      </c>
      <c r="E28" s="114">
        <f t="shared" ref="E28:E29" si="18">ROUND(E27*(1+$G87),2)</f>
        <v>78.92</v>
      </c>
      <c r="F28" s="114">
        <f t="shared" ref="F28:F29" si="19">ROUND(F27*(1+$G87),2)</f>
        <v>3.01</v>
      </c>
      <c r="G28" s="112">
        <f t="shared" ref="G28:G29" si="20">ROUND(F28*(8.76*$G$65)+E28,2)</f>
        <v>97.19</v>
      </c>
      <c r="H28" s="112">
        <f t="shared" ref="H28:H29" si="21">ROUND(D28+G28,2)</f>
        <v>216.03</v>
      </c>
      <c r="I28" s="112"/>
      <c r="J28" s="112"/>
      <c r="K28" s="112"/>
      <c r="M28" s="57"/>
    </row>
    <row r="29" spans="2:13">
      <c r="B29" s="149">
        <f t="shared" si="2"/>
        <v>2031</v>
      </c>
      <c r="C29" s="150"/>
      <c r="D29" s="144">
        <f t="shared" si="17"/>
        <v>121.45</v>
      </c>
      <c r="E29" s="144">
        <f t="shared" si="18"/>
        <v>80.66</v>
      </c>
      <c r="F29" s="144">
        <f t="shared" si="19"/>
        <v>3.08</v>
      </c>
      <c r="G29" s="144">
        <f t="shared" si="20"/>
        <v>99.36</v>
      </c>
      <c r="H29" s="144">
        <f t="shared" si="21"/>
        <v>220.81</v>
      </c>
      <c r="I29" s="112"/>
      <c r="J29" s="112"/>
      <c r="K29" s="112"/>
      <c r="M29" s="57"/>
    </row>
    <row r="30" spans="2:13" s="146" customFormat="1">
      <c r="B30" s="149">
        <f t="shared" si="2"/>
        <v>2032</v>
      </c>
      <c r="C30" s="150"/>
      <c r="D30" s="187">
        <f t="shared" ref="D30:F30" si="22">ROUND(D29*(1+$G89),2)</f>
        <v>124.12</v>
      </c>
      <c r="E30" s="187">
        <f t="shared" si="22"/>
        <v>82.43</v>
      </c>
      <c r="F30" s="187">
        <f t="shared" si="22"/>
        <v>3.15</v>
      </c>
      <c r="G30" s="187">
        <f t="shared" si="13"/>
        <v>101.55</v>
      </c>
      <c r="H30" s="187">
        <f t="shared" si="14"/>
        <v>225.67</v>
      </c>
      <c r="I30" s="186"/>
      <c r="J30" s="186"/>
      <c r="K30" s="186"/>
      <c r="M30" s="57"/>
    </row>
    <row r="31" spans="2:13" s="146" customFormat="1">
      <c r="B31" s="149">
        <f t="shared" si="2"/>
        <v>2033</v>
      </c>
      <c r="C31" s="150"/>
      <c r="D31" s="144">
        <f t="shared" ref="D31:D32" si="23">ROUND(D30*(1+$G90),2)</f>
        <v>126.85</v>
      </c>
      <c r="E31" s="144">
        <f t="shared" ref="E31:E32" si="24">ROUND(E30*(1+$G90),2)</f>
        <v>84.24</v>
      </c>
      <c r="F31" s="144">
        <f t="shared" ref="F31:F32" si="25">ROUND(F30*(1+$G90),2)</f>
        <v>3.22</v>
      </c>
      <c r="G31" s="144">
        <f t="shared" ref="G31:G33" si="26">ROUND(F31*(8.76*$G$65)+E31,2)</f>
        <v>103.79</v>
      </c>
      <c r="H31" s="144">
        <f t="shared" ref="H31:H33" si="27">ROUND(D31+G31,2)</f>
        <v>230.64</v>
      </c>
      <c r="I31" s="112">
        <f>VLOOKUP(B31,'Table 4'!$B$13:$E$43,4,FALSE)</f>
        <v>5.52</v>
      </c>
      <c r="J31" s="112">
        <f t="shared" ref="J31:J40" si="28">ROUND($K$65*I31/1000,2)</f>
        <v>35.28</v>
      </c>
      <c r="K31" s="112">
        <f t="shared" ref="K31:K40" si="29">ROUND(H31*1000/8760/$G$65+J31,2)</f>
        <v>73.27</v>
      </c>
      <c r="M31" s="57"/>
    </row>
    <row r="32" spans="2:13" s="146" customFormat="1">
      <c r="B32" s="149">
        <f t="shared" si="2"/>
        <v>2034</v>
      </c>
      <c r="C32" s="150"/>
      <c r="D32" s="144">
        <f t="shared" si="23"/>
        <v>129.63999999999999</v>
      </c>
      <c r="E32" s="144">
        <f t="shared" si="24"/>
        <v>86.09</v>
      </c>
      <c r="F32" s="144">
        <f t="shared" si="25"/>
        <v>3.29</v>
      </c>
      <c r="G32" s="144">
        <f t="shared" si="26"/>
        <v>106.06</v>
      </c>
      <c r="H32" s="144">
        <f t="shared" si="27"/>
        <v>235.7</v>
      </c>
      <c r="I32" s="112">
        <f>VLOOKUP(B32,'Table 4'!$B$13:$E$43,4,FALSE)</f>
        <v>5.74</v>
      </c>
      <c r="J32" s="112">
        <f t="shared" si="28"/>
        <v>36.69</v>
      </c>
      <c r="K32" s="112">
        <f t="shared" si="29"/>
        <v>75.52</v>
      </c>
      <c r="M32" s="57"/>
    </row>
    <row r="33" spans="2:15">
      <c r="B33" s="108">
        <f t="shared" si="2"/>
        <v>2035</v>
      </c>
      <c r="C33" s="113"/>
      <c r="D33" s="112">
        <f>ROUND(D32*(1+$J83),2)</f>
        <v>132.49</v>
      </c>
      <c r="E33" s="110">
        <f>ROUND(E32*(1+$J83),2)</f>
        <v>87.98</v>
      </c>
      <c r="F33" s="110">
        <f>ROUND(F32*(1+$J83),2)</f>
        <v>3.36</v>
      </c>
      <c r="G33" s="112">
        <f t="shared" si="26"/>
        <v>108.38</v>
      </c>
      <c r="H33" s="112">
        <f t="shared" si="27"/>
        <v>240.87</v>
      </c>
      <c r="I33" s="112">
        <f>VLOOKUP(B33,'Table 4'!$B$13:$E$43,4,FALSE)</f>
        <v>5.94</v>
      </c>
      <c r="J33" s="112">
        <f t="shared" si="28"/>
        <v>37.97</v>
      </c>
      <c r="K33" s="112">
        <f t="shared" si="29"/>
        <v>77.650000000000006</v>
      </c>
      <c r="M33" s="57"/>
    </row>
    <row r="34" spans="2:15">
      <c r="B34" s="108">
        <f t="shared" si="2"/>
        <v>2036</v>
      </c>
      <c r="C34" s="113"/>
      <c r="D34" s="112">
        <f t="shared" ref="D34:F34" si="30">ROUND(D33*(1+$J84),2)</f>
        <v>135.4</v>
      </c>
      <c r="E34" s="110">
        <f t="shared" si="30"/>
        <v>89.92</v>
      </c>
      <c r="F34" s="110">
        <f t="shared" si="30"/>
        <v>3.43</v>
      </c>
      <c r="G34" s="112">
        <f t="shared" ref="G34:G40" si="31">ROUND(F34*(8.76*$G$65)+E34,2)</f>
        <v>110.74</v>
      </c>
      <c r="H34" s="112">
        <f t="shared" ref="H34:H40" si="32">ROUND(D34+G34,2)</f>
        <v>246.14</v>
      </c>
      <c r="I34" s="112">
        <f>VLOOKUP(B34,'Table 4'!$B$13:$E$43,4,FALSE)</f>
        <v>6.29</v>
      </c>
      <c r="J34" s="112">
        <f t="shared" si="28"/>
        <v>40.21</v>
      </c>
      <c r="K34" s="112">
        <f t="shared" si="29"/>
        <v>80.760000000000005</v>
      </c>
      <c r="M34" s="57"/>
    </row>
    <row r="35" spans="2:15">
      <c r="B35" s="108">
        <f t="shared" si="2"/>
        <v>2037</v>
      </c>
      <c r="C35" s="113"/>
      <c r="D35" s="112">
        <f t="shared" ref="D35:F35" si="33">ROUND(D34*(1+$J85),2)</f>
        <v>138.38</v>
      </c>
      <c r="E35" s="110">
        <f t="shared" si="33"/>
        <v>91.9</v>
      </c>
      <c r="F35" s="110">
        <f t="shared" si="33"/>
        <v>3.51</v>
      </c>
      <c r="G35" s="112">
        <f t="shared" si="31"/>
        <v>113.21</v>
      </c>
      <c r="H35" s="112">
        <f t="shared" si="32"/>
        <v>251.59</v>
      </c>
      <c r="I35" s="112">
        <f>VLOOKUP(B35,'Table 4'!$B$13:$E$43,4,FALSE)</f>
        <v>6.47</v>
      </c>
      <c r="J35" s="112">
        <f t="shared" si="28"/>
        <v>41.36</v>
      </c>
      <c r="K35" s="112">
        <f t="shared" si="29"/>
        <v>82.8</v>
      </c>
      <c r="M35" s="57"/>
    </row>
    <row r="36" spans="2:15">
      <c r="B36" s="108">
        <f t="shared" si="2"/>
        <v>2038</v>
      </c>
      <c r="C36" s="113"/>
      <c r="D36" s="112">
        <f t="shared" ref="D36:F36" si="34">ROUND(D35*(1+$J86),2)</f>
        <v>141.41999999999999</v>
      </c>
      <c r="E36" s="110">
        <f t="shared" si="34"/>
        <v>93.92</v>
      </c>
      <c r="F36" s="110">
        <f t="shared" si="34"/>
        <v>3.59</v>
      </c>
      <c r="G36" s="112">
        <f t="shared" si="31"/>
        <v>115.71</v>
      </c>
      <c r="H36" s="112">
        <f t="shared" si="32"/>
        <v>257.13</v>
      </c>
      <c r="I36" s="112">
        <f>VLOOKUP(B36,'Table 4'!$B$13:$E$43,4,FALSE)</f>
        <v>6.75</v>
      </c>
      <c r="J36" s="112">
        <f t="shared" si="28"/>
        <v>43.15</v>
      </c>
      <c r="K36" s="112">
        <f t="shared" si="29"/>
        <v>85.51</v>
      </c>
      <c r="M36" s="57"/>
    </row>
    <row r="37" spans="2:15">
      <c r="B37" s="108">
        <f t="shared" si="2"/>
        <v>2039</v>
      </c>
      <c r="C37" s="113"/>
      <c r="D37" s="112">
        <f t="shared" ref="D37:F37" si="35">ROUND(D36*(1+$J87),2)</f>
        <v>144.53</v>
      </c>
      <c r="E37" s="110">
        <f t="shared" si="35"/>
        <v>95.99</v>
      </c>
      <c r="F37" s="110">
        <f t="shared" si="35"/>
        <v>3.67</v>
      </c>
      <c r="G37" s="112">
        <f t="shared" si="31"/>
        <v>118.27</v>
      </c>
      <c r="H37" s="112">
        <f t="shared" si="32"/>
        <v>262.8</v>
      </c>
      <c r="I37" s="112">
        <f>VLOOKUP(B37,'Table 4'!$B$13:$E$43,4,FALSE)</f>
        <v>6.9</v>
      </c>
      <c r="J37" s="112">
        <f t="shared" si="28"/>
        <v>44.1</v>
      </c>
      <c r="K37" s="112">
        <f t="shared" si="29"/>
        <v>87.39</v>
      </c>
      <c r="M37" s="57"/>
    </row>
    <row r="38" spans="2:15">
      <c r="B38" s="108">
        <f t="shared" si="2"/>
        <v>2040</v>
      </c>
      <c r="C38" s="113"/>
      <c r="D38" s="112">
        <f t="shared" ref="D38:F38" si="36">ROUND(D37*(1+$J88),2)</f>
        <v>147.71</v>
      </c>
      <c r="E38" s="110">
        <f t="shared" si="36"/>
        <v>98.1</v>
      </c>
      <c r="F38" s="110">
        <f t="shared" si="36"/>
        <v>3.75</v>
      </c>
      <c r="G38" s="112">
        <f t="shared" si="31"/>
        <v>120.87</v>
      </c>
      <c r="H38" s="112">
        <f t="shared" si="32"/>
        <v>268.58</v>
      </c>
      <c r="I38" s="112">
        <f>VLOOKUP(B38,'Table 4'!$B$13:$E$43,4,FALSE)</f>
        <v>7.08</v>
      </c>
      <c r="J38" s="112">
        <f t="shared" si="28"/>
        <v>45.26</v>
      </c>
      <c r="K38" s="112">
        <f t="shared" si="29"/>
        <v>89.5</v>
      </c>
      <c r="M38" s="57"/>
    </row>
    <row r="39" spans="2:15">
      <c r="B39" s="108">
        <f t="shared" si="2"/>
        <v>2041</v>
      </c>
      <c r="C39" s="113"/>
      <c r="D39" s="112">
        <f t="shared" ref="D39:F39" si="37">ROUND(D38*(1+$J89),2)</f>
        <v>150.96</v>
      </c>
      <c r="E39" s="110">
        <f t="shared" si="37"/>
        <v>100.26</v>
      </c>
      <c r="F39" s="110">
        <f t="shared" si="37"/>
        <v>3.83</v>
      </c>
      <c r="G39" s="112">
        <f t="shared" si="31"/>
        <v>123.51</v>
      </c>
      <c r="H39" s="112">
        <f t="shared" si="32"/>
        <v>274.47000000000003</v>
      </c>
      <c r="I39" s="112">
        <f>VLOOKUP(B39,'Table 4'!$B$13:$E$43,4,FALSE)</f>
        <v>7.23</v>
      </c>
      <c r="J39" s="112">
        <f t="shared" si="28"/>
        <v>46.21</v>
      </c>
      <c r="K39" s="112">
        <f t="shared" si="29"/>
        <v>91.42</v>
      </c>
      <c r="M39" s="57"/>
    </row>
    <row r="40" spans="2:15">
      <c r="B40" s="108">
        <f t="shared" si="2"/>
        <v>2042</v>
      </c>
      <c r="C40" s="113"/>
      <c r="D40" s="112">
        <f t="shared" ref="D40:F40" si="38">ROUND(D39*(1+$J90),2)</f>
        <v>154.28</v>
      </c>
      <c r="E40" s="110">
        <f t="shared" si="38"/>
        <v>102.47</v>
      </c>
      <c r="F40" s="110">
        <f t="shared" si="38"/>
        <v>3.91</v>
      </c>
      <c r="G40" s="112">
        <f t="shared" si="31"/>
        <v>126.21</v>
      </c>
      <c r="H40" s="112">
        <f t="shared" si="32"/>
        <v>280.49</v>
      </c>
      <c r="I40" s="112">
        <f>VLOOKUP(B40,'Table 4'!$B$13:$E$43,4,FALSE)</f>
        <v>4.9400000000000004</v>
      </c>
      <c r="J40" s="112">
        <f t="shared" si="28"/>
        <v>31.58</v>
      </c>
      <c r="K40" s="112">
        <f t="shared" si="29"/>
        <v>77.78</v>
      </c>
      <c r="M40" s="5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">
        <v>165</v>
      </c>
    </row>
    <row r="47" spans="2:15">
      <c r="C47" s="117" t="str">
        <f>D10</f>
        <v>(b)</v>
      </c>
      <c r="D47" s="112" t="str">
        <f>"= "&amp;C10&amp;" x "&amp;C76</f>
        <v>= (a) x 0.0725628795024555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69.3%)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6,392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106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82</v>
      </c>
      <c r="F58" s="119">
        <f>C69</f>
        <v>413.5678125</v>
      </c>
      <c r="G58" s="57">
        <f>F58/F60</f>
        <v>0.86778904695639725</v>
      </c>
      <c r="H58" s="133">
        <f>C70</f>
        <v>1334.2100235755099</v>
      </c>
      <c r="I58" s="135">
        <f>C73</f>
        <v>57.933984723786267</v>
      </c>
    </row>
    <row r="59" spans="3:11">
      <c r="C59" s="146" t="s">
        <v>83</v>
      </c>
      <c r="F59" s="48">
        <f>D69</f>
        <v>63.008625000000002</v>
      </c>
      <c r="G59" s="44">
        <f>1-G58</f>
        <v>0.13221095304360275</v>
      </c>
      <c r="H59" s="134">
        <f>D70</f>
        <v>341.60689307865113</v>
      </c>
      <c r="I59" s="136">
        <f>D73</f>
        <v>58.211939462399997</v>
      </c>
    </row>
    <row r="60" spans="3:11">
      <c r="C60" s="146" t="s">
        <v>45</v>
      </c>
      <c r="F60" s="119">
        <f>F58+F59</f>
        <v>476.5764375</v>
      </c>
      <c r="G60" s="57">
        <f>G58+G59</f>
        <v>1</v>
      </c>
      <c r="H60" s="133">
        <f>ROUND(((F58*H58)+(F59*H59))/F60,0)</f>
        <v>1203</v>
      </c>
      <c r="I60" s="135">
        <f>ROUND(((F58*I58)+(F59*I59))/F60,2)</f>
        <v>57.97</v>
      </c>
    </row>
    <row r="61" spans="3:11">
      <c r="C61" s="146"/>
      <c r="F61" s="119"/>
      <c r="G61" s="57"/>
      <c r="H61" s="120"/>
      <c r="I61" s="121"/>
    </row>
    <row r="62" spans="3:11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CCCT Dry "J" - Turbine</v>
      </c>
      <c r="D63" s="122"/>
      <c r="E63" s="122"/>
      <c r="F63" s="105">
        <f>C69</f>
        <v>413.5678125</v>
      </c>
      <c r="G63" s="57">
        <f>C77</f>
        <v>0.78</v>
      </c>
      <c r="H63" s="169">
        <f>G63*F63</f>
        <v>322.58289375000004</v>
      </c>
      <c r="I63" s="57">
        <f>H63/H65</f>
        <v>0.97709776148654981</v>
      </c>
      <c r="J63" s="121">
        <f>C74</f>
        <v>2.2696214540418311</v>
      </c>
      <c r="K63" s="123">
        <f>C75</f>
        <v>6326</v>
      </c>
    </row>
    <row r="64" spans="3:11">
      <c r="C64" s="148" t="str">
        <f>C59</f>
        <v>CCCT Dry "J" - Duct Firing</v>
      </c>
      <c r="D64" s="122"/>
      <c r="E64" s="122"/>
      <c r="F64" s="43">
        <f>D69</f>
        <v>63.008625000000002</v>
      </c>
      <c r="G64" s="44">
        <f>D77</f>
        <v>0.12</v>
      </c>
      <c r="H64" s="170">
        <f>G64*F64</f>
        <v>7.5610350000000004</v>
      </c>
      <c r="I64" s="44">
        <f>1-I63</f>
        <v>2.290223851345019E-2</v>
      </c>
      <c r="J64" s="45">
        <f>D74</f>
        <v>0.16</v>
      </c>
      <c r="K64" s="46">
        <f>D75</f>
        <v>9211</v>
      </c>
    </row>
    <row r="65" spans="3:11">
      <c r="C65" s="146" t="s">
        <v>50</v>
      </c>
      <c r="F65" s="105">
        <f>F63+F64</f>
        <v>476.5764375</v>
      </c>
      <c r="G65" s="124">
        <f>ROUND(H65/F65,3)</f>
        <v>0.69299999999999995</v>
      </c>
      <c r="H65" s="169">
        <f>SUM(H63:H64)</f>
        <v>330.14392875000004</v>
      </c>
      <c r="I65" s="57">
        <f>I63+I64</f>
        <v>1</v>
      </c>
      <c r="J65" s="121">
        <f>ROUND(($I63*J63)+($I64*J64),2)</f>
        <v>2.2200000000000002</v>
      </c>
      <c r="K65" s="125">
        <f>ROUND(($I63*K63)+($I64*K64),0)</f>
        <v>6392</v>
      </c>
    </row>
    <row r="66" spans="3:11">
      <c r="G66" s="124"/>
      <c r="I66" s="57"/>
      <c r="J66" s="121"/>
      <c r="K66" s="47" t="s">
        <v>51</v>
      </c>
    </row>
    <row r="68" spans="3:11">
      <c r="C68" s="41" t="s">
        <v>34</v>
      </c>
      <c r="D68" s="41" t="s">
        <v>35</v>
      </c>
      <c r="E68" s="59" t="str">
        <f>D46</f>
        <v>Plant Costs  - 2017 IRP - Table 6.1 &amp; 6.2</v>
      </c>
      <c r="F68" s="126"/>
      <c r="G68" s="126"/>
      <c r="H68" s="126"/>
      <c r="I68" s="126"/>
      <c r="J68" s="126"/>
      <c r="K68" s="127"/>
    </row>
    <row r="69" spans="3:11">
      <c r="C69" s="105">
        <v>413.5678125</v>
      </c>
      <c r="D69" s="105">
        <v>63.008625000000002</v>
      </c>
      <c r="E69" s="105" t="s">
        <v>77</v>
      </c>
      <c r="H69" s="128"/>
    </row>
    <row r="70" spans="3:11">
      <c r="C70" s="120">
        <v>1334.2100235755099</v>
      </c>
      <c r="D70" s="120">
        <v>341.60689307865113</v>
      </c>
      <c r="E70" s="105" t="s">
        <v>78</v>
      </c>
    </row>
    <row r="71" spans="3:11">
      <c r="C71" s="121">
        <v>21.292537645386268</v>
      </c>
      <c r="D71" s="121">
        <v>4.8600000000000003</v>
      </c>
      <c r="E71" s="105" t="s">
        <v>79</v>
      </c>
    </row>
    <row r="72" spans="3:11">
      <c r="C72" s="49">
        <v>36.641447078399999</v>
      </c>
      <c r="D72" s="49">
        <v>53.351939462399997</v>
      </c>
      <c r="E72" s="105" t="s">
        <v>75</v>
      </c>
    </row>
    <row r="73" spans="3:11">
      <c r="C73" s="121">
        <f>C71+C72</f>
        <v>57.933984723786267</v>
      </c>
      <c r="D73" s="121">
        <f>D71+D72</f>
        <v>58.211939462399997</v>
      </c>
      <c r="E73" s="105" t="s">
        <v>80</v>
      </c>
    </row>
    <row r="74" spans="3:11">
      <c r="C74" s="121">
        <v>2.2696214540418311</v>
      </c>
      <c r="D74" s="121">
        <v>0.16</v>
      </c>
      <c r="E74" s="105" t="s">
        <v>81</v>
      </c>
    </row>
    <row r="75" spans="3:11">
      <c r="C75" s="125">
        <v>6326</v>
      </c>
      <c r="D75" s="125">
        <v>9211</v>
      </c>
      <c r="E75" s="105" t="s">
        <v>53</v>
      </c>
    </row>
    <row r="76" spans="3:11">
      <c r="C76" s="143">
        <v>7.2562879502455491E-2</v>
      </c>
      <c r="D76" s="143">
        <v>7.2562879502455491E-2</v>
      </c>
      <c r="E76" s="105" t="s">
        <v>54</v>
      </c>
    </row>
    <row r="77" spans="3:11">
      <c r="C77" s="129">
        <v>0.78</v>
      </c>
      <c r="D77" s="129">
        <v>0.12</v>
      </c>
      <c r="E77" s="105" t="s">
        <v>55</v>
      </c>
    </row>
    <row r="78" spans="3:11">
      <c r="D78" s="57">
        <f>ROUND(H65/F65,3)</f>
        <v>0.69299999999999995</v>
      </c>
      <c r="E78" s="105" t="s">
        <v>56</v>
      </c>
    </row>
    <row r="79" spans="3:11">
      <c r="D79" s="124"/>
      <c r="E79" s="67"/>
    </row>
    <row r="80" spans="3:11">
      <c r="C80" s="129"/>
      <c r="D80" s="129"/>
    </row>
    <row r="82" spans="3:15" ht="13.5" thickBot="1">
      <c r="C82" s="54" t="str">
        <f>"Company Official Inflation Forecast Dated "&amp;TEXT('Table 4'!G5,"mmmm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39">C83+1</f>
        <v>2018</v>
      </c>
      <c r="D84" s="57">
        <v>1.7999999999999999E-2</v>
      </c>
      <c r="F84" s="130">
        <f t="shared" ref="F84:F91" si="40">F83+1</f>
        <v>2027</v>
      </c>
      <c r="G84" s="57">
        <v>2.1999999999999999E-2</v>
      </c>
      <c r="I84" s="130">
        <f t="shared" ref="I84:I91" si="41">I83+1</f>
        <v>2036</v>
      </c>
      <c r="J84" s="57">
        <v>2.1999999999999999E-2</v>
      </c>
    </row>
    <row r="85" spans="3:15">
      <c r="C85" s="130">
        <f t="shared" si="39"/>
        <v>2019</v>
      </c>
      <c r="D85" s="57">
        <v>2.3E-2</v>
      </c>
      <c r="F85" s="130">
        <f t="shared" si="40"/>
        <v>2028</v>
      </c>
      <c r="G85" s="57">
        <v>2.1999999999999999E-2</v>
      </c>
      <c r="I85" s="130">
        <f t="shared" si="41"/>
        <v>2037</v>
      </c>
      <c r="J85" s="57">
        <v>2.1999999999999999E-2</v>
      </c>
    </row>
    <row r="86" spans="3:15">
      <c r="C86" s="130">
        <f t="shared" si="39"/>
        <v>2020</v>
      </c>
      <c r="D86" s="57">
        <v>2.5999999999999999E-2</v>
      </c>
      <c r="F86" s="130">
        <f t="shared" si="40"/>
        <v>2029</v>
      </c>
      <c r="G86" s="57">
        <v>2.1999999999999999E-2</v>
      </c>
      <c r="I86" s="130">
        <f t="shared" si="41"/>
        <v>2038</v>
      </c>
      <c r="J86" s="57">
        <v>2.1999999999999999E-2</v>
      </c>
    </row>
    <row r="87" spans="3:15">
      <c r="C87" s="130">
        <f t="shared" si="39"/>
        <v>2021</v>
      </c>
      <c r="D87" s="57">
        <v>2.4E-2</v>
      </c>
      <c r="F87" s="130">
        <f t="shared" si="40"/>
        <v>2030</v>
      </c>
      <c r="G87" s="57">
        <v>2.1999999999999999E-2</v>
      </c>
      <c r="I87" s="130">
        <f t="shared" si="41"/>
        <v>2039</v>
      </c>
      <c r="J87" s="57">
        <v>2.1999999999999999E-2</v>
      </c>
    </row>
    <row r="88" spans="3:15">
      <c r="C88" s="130">
        <f t="shared" si="39"/>
        <v>2022</v>
      </c>
      <c r="D88" s="57">
        <v>2.3E-2</v>
      </c>
      <c r="F88" s="130">
        <f t="shared" si="40"/>
        <v>2031</v>
      </c>
      <c r="G88" s="57">
        <v>2.1999999999999999E-2</v>
      </c>
      <c r="I88" s="130">
        <f t="shared" si="41"/>
        <v>2040</v>
      </c>
      <c r="J88" s="57">
        <v>2.1999999999999999E-2</v>
      </c>
    </row>
    <row r="89" spans="3:15" s="107" customFormat="1">
      <c r="C89" s="130">
        <f t="shared" si="39"/>
        <v>2023</v>
      </c>
      <c r="D89" s="57">
        <v>2.3E-2</v>
      </c>
      <c r="F89" s="130">
        <f t="shared" si="40"/>
        <v>2032</v>
      </c>
      <c r="G89" s="57">
        <v>2.1999999999999999E-2</v>
      </c>
      <c r="I89" s="130">
        <f t="shared" si="41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39"/>
        <v>2024</v>
      </c>
      <c r="D90" s="57">
        <v>2.3E-2</v>
      </c>
      <c r="F90" s="130">
        <f t="shared" si="40"/>
        <v>2033</v>
      </c>
      <c r="G90" s="57">
        <v>2.1999999999999999E-2</v>
      </c>
      <c r="I90" s="130">
        <f t="shared" si="41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39"/>
        <v>2025</v>
      </c>
      <c r="D91" s="57">
        <v>2.3E-2</v>
      </c>
      <c r="F91" s="130">
        <f t="shared" si="40"/>
        <v>2034</v>
      </c>
      <c r="G91" s="57">
        <v>2.1999999999999999E-2</v>
      </c>
      <c r="I91" s="130">
        <f t="shared" si="41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zoomScale="90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B2" sqref="B2"/>
    </sheetView>
  </sheetViews>
  <sheetFormatPr defaultColWidth="9.33203125" defaultRowHeight="12.75"/>
  <cols>
    <col min="1" max="1" width="2.83203125" style="105" customWidth="1"/>
    <col min="2" max="2" width="10.83203125" style="105" customWidth="1"/>
    <col min="3" max="3" width="14.1640625" style="105" customWidth="1"/>
    <col min="4" max="4" width="12.33203125" style="105" customWidth="1"/>
    <col min="5" max="5" width="9.1640625" style="105" customWidth="1"/>
    <col min="6" max="6" width="10.5" style="105" customWidth="1"/>
    <col min="7" max="7" width="10.5" style="105" bestFit="1" customWidth="1"/>
    <col min="8" max="8" width="11.6640625" style="105" bestFit="1" customWidth="1"/>
    <col min="9" max="9" width="11.1640625" style="105" customWidth="1"/>
    <col min="10" max="10" width="12" style="105" bestFit="1" customWidth="1"/>
    <col min="11" max="11" width="12" style="105" customWidth="1"/>
    <col min="12" max="13" width="9.33203125" style="105"/>
    <col min="14" max="15" width="9.33203125" style="105" customWidth="1"/>
    <col min="16" max="16384" width="9.33203125" style="105"/>
  </cols>
  <sheetData>
    <row r="1" spans="2:14" ht="15.75" hidden="1">
      <c r="B1" s="1" t="s">
        <v>52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4" ht="15.75">
      <c r="B2" s="1"/>
      <c r="C2" s="104"/>
      <c r="D2" s="104"/>
      <c r="E2" s="104"/>
      <c r="F2" s="104"/>
      <c r="G2" s="104"/>
      <c r="H2" s="104"/>
      <c r="I2" s="104"/>
      <c r="J2" s="104"/>
      <c r="K2" s="104"/>
    </row>
    <row r="3" spans="2:14" ht="15.75">
      <c r="B3" s="1" t="s">
        <v>85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4" ht="15.75">
      <c r="B4" s="1" t="s">
        <v>163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2:14" ht="15.75">
      <c r="B5" s="1" t="str">
        <f>C54</f>
        <v>WYNE DJohns- 200 MW - SCCT Frame "F" x1 - East Side Resource (5,050')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4" ht="15.75">
      <c r="B6" s="1"/>
      <c r="C6" s="104"/>
      <c r="D6" s="104"/>
      <c r="E6" s="104"/>
      <c r="F6" s="104"/>
      <c r="G6" s="104"/>
      <c r="H6" s="104"/>
      <c r="I6" s="104"/>
      <c r="K6" s="17"/>
    </row>
    <row r="7" spans="2:14">
      <c r="B7" s="106"/>
      <c r="C7" s="106"/>
      <c r="D7" s="106"/>
      <c r="E7" s="106"/>
      <c r="F7" s="106"/>
      <c r="G7" s="106"/>
      <c r="H7" s="106"/>
      <c r="I7" s="104"/>
      <c r="J7" s="107"/>
      <c r="K7" s="107"/>
      <c r="L7" s="107"/>
      <c r="M7" s="107"/>
      <c r="N7" s="107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7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7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DJohns- 200 MW - SCCT Frame "F" x1 - East Side Resource (5,050')</v>
      </c>
      <c r="C12" s="107"/>
      <c r="E12" s="107"/>
      <c r="F12" s="107"/>
      <c r="G12" s="107"/>
      <c r="H12" s="107"/>
      <c r="I12" s="106"/>
      <c r="J12" s="106"/>
      <c r="K12" s="106"/>
      <c r="L12" s="107"/>
    </row>
    <row r="13" spans="2:14" ht="4.5" customHeight="1">
      <c r="B13" s="108"/>
      <c r="C13" s="109"/>
      <c r="D13" s="110"/>
      <c r="E13" s="111"/>
      <c r="F13" s="111"/>
      <c r="G13" s="112"/>
      <c r="H13" s="112"/>
      <c r="I13" s="112"/>
      <c r="J13" s="112"/>
      <c r="K13" s="112"/>
    </row>
    <row r="14" spans="2:14">
      <c r="B14" s="108">
        <v>2016</v>
      </c>
      <c r="C14" s="109">
        <f>$H$60</f>
        <v>589</v>
      </c>
      <c r="D14" s="110">
        <f>ROUND(C14*$C$76,2)</f>
        <v>43.42</v>
      </c>
      <c r="E14" s="111">
        <f>$I$60</f>
        <v>71.7</v>
      </c>
      <c r="F14" s="111">
        <f>$J$65</f>
        <v>7.53</v>
      </c>
      <c r="G14" s="112">
        <f t="shared" ref="G14:G40" si="0">ROUND(F14*(8.76*$G$65)+E14,2)</f>
        <v>93.47</v>
      </c>
      <c r="H14" s="112">
        <f t="shared" ref="H14:H40" si="1">ROUND(D14+G14,2)</f>
        <v>136.88999999999999</v>
      </c>
      <c r="I14" s="112"/>
      <c r="J14" s="112"/>
      <c r="K14" s="112"/>
    </row>
    <row r="15" spans="2:14">
      <c r="B15" s="108">
        <f t="shared" ref="B15:B40" si="2">B14+1</f>
        <v>2017</v>
      </c>
      <c r="C15" s="113"/>
      <c r="D15" s="110">
        <f t="shared" ref="D15:F23" si="3">ROUND(D14*(1+$D83),2)</f>
        <v>44.24</v>
      </c>
      <c r="E15" s="110">
        <f t="shared" si="3"/>
        <v>73.06</v>
      </c>
      <c r="F15" s="110">
        <f t="shared" si="3"/>
        <v>7.67</v>
      </c>
      <c r="G15" s="114">
        <f t="shared" si="0"/>
        <v>95.23</v>
      </c>
      <c r="H15" s="114">
        <f t="shared" si="1"/>
        <v>139.47</v>
      </c>
      <c r="I15" s="112"/>
      <c r="J15" s="112"/>
      <c r="K15" s="112"/>
      <c r="M15" s="57"/>
    </row>
    <row r="16" spans="2:14">
      <c r="B16" s="108">
        <f t="shared" si="2"/>
        <v>2018</v>
      </c>
      <c r="C16" s="113"/>
      <c r="D16" s="110">
        <f t="shared" si="3"/>
        <v>45.04</v>
      </c>
      <c r="E16" s="110">
        <f t="shared" si="3"/>
        <v>74.38</v>
      </c>
      <c r="F16" s="110">
        <f t="shared" si="3"/>
        <v>7.81</v>
      </c>
      <c r="G16" s="112">
        <f t="shared" si="0"/>
        <v>96.96</v>
      </c>
      <c r="H16" s="112">
        <f t="shared" si="1"/>
        <v>142</v>
      </c>
      <c r="I16" s="112"/>
      <c r="J16" s="112"/>
      <c r="K16" s="112"/>
      <c r="M16" s="57"/>
    </row>
    <row r="17" spans="2:13">
      <c r="B17" s="108">
        <f t="shared" si="2"/>
        <v>2019</v>
      </c>
      <c r="C17" s="113"/>
      <c r="D17" s="110">
        <f t="shared" si="3"/>
        <v>46.08</v>
      </c>
      <c r="E17" s="110">
        <f t="shared" si="3"/>
        <v>76.09</v>
      </c>
      <c r="F17" s="110">
        <f t="shared" si="3"/>
        <v>7.99</v>
      </c>
      <c r="G17" s="112">
        <f t="shared" si="0"/>
        <v>99.19</v>
      </c>
      <c r="H17" s="112">
        <f t="shared" si="1"/>
        <v>145.27000000000001</v>
      </c>
      <c r="I17" s="112"/>
      <c r="J17" s="112"/>
      <c r="K17" s="112"/>
      <c r="M17" s="57"/>
    </row>
    <row r="18" spans="2:13">
      <c r="B18" s="108">
        <f t="shared" si="2"/>
        <v>2020</v>
      </c>
      <c r="C18" s="113"/>
      <c r="D18" s="110">
        <f t="shared" si="3"/>
        <v>47.28</v>
      </c>
      <c r="E18" s="110">
        <f t="shared" si="3"/>
        <v>78.069999999999993</v>
      </c>
      <c r="F18" s="110">
        <f t="shared" si="3"/>
        <v>8.1999999999999993</v>
      </c>
      <c r="G18" s="112">
        <f t="shared" si="0"/>
        <v>101.77</v>
      </c>
      <c r="H18" s="112">
        <f t="shared" si="1"/>
        <v>149.05000000000001</v>
      </c>
      <c r="I18" s="112"/>
      <c r="J18" s="112"/>
      <c r="K18" s="112"/>
      <c r="M18" s="57"/>
    </row>
    <row r="19" spans="2:13">
      <c r="B19" s="108">
        <f t="shared" si="2"/>
        <v>2021</v>
      </c>
      <c r="C19" s="113"/>
      <c r="D19" s="110">
        <f t="shared" si="3"/>
        <v>48.41</v>
      </c>
      <c r="E19" s="110">
        <f t="shared" si="3"/>
        <v>79.94</v>
      </c>
      <c r="F19" s="110">
        <f t="shared" si="3"/>
        <v>8.4</v>
      </c>
      <c r="G19" s="112">
        <f t="shared" si="0"/>
        <v>104.22</v>
      </c>
      <c r="H19" s="112">
        <f t="shared" si="1"/>
        <v>152.63</v>
      </c>
      <c r="I19" s="112"/>
      <c r="J19" s="112"/>
      <c r="K19" s="112"/>
      <c r="M19" s="57"/>
    </row>
    <row r="20" spans="2:13">
      <c r="B20" s="108">
        <f t="shared" si="2"/>
        <v>2022</v>
      </c>
      <c r="C20" s="113"/>
      <c r="D20" s="110">
        <f t="shared" si="3"/>
        <v>49.52</v>
      </c>
      <c r="E20" s="110">
        <f t="shared" si="3"/>
        <v>81.78</v>
      </c>
      <c r="F20" s="110">
        <f t="shared" si="3"/>
        <v>8.59</v>
      </c>
      <c r="G20" s="112">
        <f t="shared" si="0"/>
        <v>106.61</v>
      </c>
      <c r="H20" s="112">
        <f t="shared" si="1"/>
        <v>156.13</v>
      </c>
      <c r="I20" s="112"/>
      <c r="J20" s="112"/>
      <c r="K20" s="112"/>
      <c r="M20" s="57"/>
    </row>
    <row r="21" spans="2:13">
      <c r="B21" s="108">
        <f t="shared" si="2"/>
        <v>2023</v>
      </c>
      <c r="C21" s="113"/>
      <c r="D21" s="110">
        <f t="shared" si="3"/>
        <v>50.66</v>
      </c>
      <c r="E21" s="110">
        <f t="shared" si="3"/>
        <v>83.66</v>
      </c>
      <c r="F21" s="110">
        <f t="shared" si="3"/>
        <v>8.7899999999999991</v>
      </c>
      <c r="G21" s="112">
        <f t="shared" si="0"/>
        <v>109.07</v>
      </c>
      <c r="H21" s="112">
        <f t="shared" si="1"/>
        <v>159.72999999999999</v>
      </c>
      <c r="I21" s="112"/>
      <c r="J21" s="112"/>
      <c r="K21" s="112"/>
      <c r="M21" s="57"/>
    </row>
    <row r="22" spans="2:13">
      <c r="B22" s="108">
        <f t="shared" si="2"/>
        <v>2024</v>
      </c>
      <c r="C22" s="113"/>
      <c r="D22" s="110">
        <f t="shared" si="3"/>
        <v>51.83</v>
      </c>
      <c r="E22" s="110">
        <f t="shared" si="3"/>
        <v>85.58</v>
      </c>
      <c r="F22" s="110">
        <f t="shared" si="3"/>
        <v>8.99</v>
      </c>
      <c r="G22" s="112">
        <f t="shared" si="0"/>
        <v>111.57</v>
      </c>
      <c r="H22" s="112">
        <f t="shared" si="1"/>
        <v>163.4</v>
      </c>
      <c r="I22" s="112"/>
      <c r="J22" s="112"/>
      <c r="K22" s="112"/>
      <c r="M22" s="57"/>
    </row>
    <row r="23" spans="2:13">
      <c r="B23" s="108">
        <f t="shared" si="2"/>
        <v>2025</v>
      </c>
      <c r="C23" s="113"/>
      <c r="D23" s="110">
        <f t="shared" si="3"/>
        <v>53.02</v>
      </c>
      <c r="E23" s="110">
        <f t="shared" si="3"/>
        <v>87.55</v>
      </c>
      <c r="F23" s="110">
        <f t="shared" si="3"/>
        <v>9.1999999999999993</v>
      </c>
      <c r="G23" s="112">
        <f t="shared" si="0"/>
        <v>114.15</v>
      </c>
      <c r="H23" s="112">
        <f t="shared" si="1"/>
        <v>167.17</v>
      </c>
      <c r="I23" s="112"/>
      <c r="J23" s="112"/>
      <c r="K23" s="112"/>
      <c r="M23" s="57"/>
    </row>
    <row r="24" spans="2:13">
      <c r="B24" s="108">
        <f t="shared" si="2"/>
        <v>2026</v>
      </c>
      <c r="C24" s="113"/>
      <c r="D24" s="114">
        <f>ROUND(D23*(1+$G83),2)</f>
        <v>54.19</v>
      </c>
      <c r="E24" s="114">
        <f>ROUND(E23*(1+$G83),2)</f>
        <v>89.48</v>
      </c>
      <c r="F24" s="114">
        <f>ROUND(F23*(1+$G83),2)</f>
        <v>9.4</v>
      </c>
      <c r="G24" s="112">
        <f t="shared" si="0"/>
        <v>116.65</v>
      </c>
      <c r="H24" s="112">
        <f t="shared" si="1"/>
        <v>170.84</v>
      </c>
      <c r="I24" s="112"/>
      <c r="J24" s="112"/>
      <c r="K24" s="112"/>
      <c r="M24" s="57"/>
    </row>
    <row r="25" spans="2:13">
      <c r="B25" s="108">
        <f t="shared" si="2"/>
        <v>2027</v>
      </c>
      <c r="C25" s="113"/>
      <c r="D25" s="114">
        <f t="shared" ref="D25:F32" si="4">ROUND(D24*(1+$G84),2)</f>
        <v>55.38</v>
      </c>
      <c r="E25" s="114">
        <f t="shared" si="4"/>
        <v>91.45</v>
      </c>
      <c r="F25" s="114">
        <f t="shared" si="4"/>
        <v>9.61</v>
      </c>
      <c r="G25" s="112">
        <f t="shared" si="0"/>
        <v>119.23</v>
      </c>
      <c r="H25" s="112">
        <f t="shared" si="1"/>
        <v>174.61</v>
      </c>
      <c r="I25" s="112"/>
      <c r="J25" s="112"/>
      <c r="K25" s="112"/>
      <c r="M25" s="57"/>
    </row>
    <row r="26" spans="2:13">
      <c r="B26" s="108">
        <f t="shared" si="2"/>
        <v>2028</v>
      </c>
      <c r="C26" s="113"/>
      <c r="D26" s="114">
        <f t="shared" si="4"/>
        <v>56.6</v>
      </c>
      <c r="E26" s="114">
        <f t="shared" si="4"/>
        <v>93.46</v>
      </c>
      <c r="F26" s="114">
        <f t="shared" si="4"/>
        <v>9.82</v>
      </c>
      <c r="G26" s="112">
        <f t="shared" si="0"/>
        <v>121.85</v>
      </c>
      <c r="H26" s="112">
        <f t="shared" si="1"/>
        <v>178.45</v>
      </c>
      <c r="I26" s="112"/>
      <c r="J26" s="112"/>
      <c r="K26" s="112"/>
      <c r="M26" s="57"/>
    </row>
    <row r="27" spans="2:13">
      <c r="B27" s="108">
        <f t="shared" si="2"/>
        <v>2029</v>
      </c>
      <c r="C27" s="113"/>
      <c r="D27" s="114">
        <f t="shared" si="4"/>
        <v>57.85</v>
      </c>
      <c r="E27" s="114">
        <f t="shared" si="4"/>
        <v>95.52</v>
      </c>
      <c r="F27" s="114">
        <f t="shared" si="4"/>
        <v>10.039999999999999</v>
      </c>
      <c r="G27" s="112">
        <f t="shared" si="0"/>
        <v>124.54</v>
      </c>
      <c r="H27" s="112">
        <f t="shared" si="1"/>
        <v>182.39</v>
      </c>
      <c r="I27" s="112"/>
      <c r="J27" s="112"/>
      <c r="K27" s="112"/>
      <c r="M27" s="57"/>
    </row>
    <row r="28" spans="2:13" s="146" customFormat="1">
      <c r="B28" s="149">
        <f t="shared" si="2"/>
        <v>2030</v>
      </c>
      <c r="C28" s="150"/>
      <c r="D28" s="144">
        <f t="shared" si="4"/>
        <v>59.12</v>
      </c>
      <c r="E28" s="144">
        <f t="shared" si="4"/>
        <v>97.62</v>
      </c>
      <c r="F28" s="144">
        <f t="shared" si="4"/>
        <v>10.26</v>
      </c>
      <c r="G28" s="144">
        <f t="shared" si="0"/>
        <v>127.28</v>
      </c>
      <c r="H28" s="144">
        <f t="shared" si="1"/>
        <v>186.4</v>
      </c>
      <c r="I28" s="112"/>
      <c r="J28" s="112"/>
      <c r="K28" s="112"/>
      <c r="M28" s="67"/>
    </row>
    <row r="29" spans="2:13" s="146" customFormat="1">
      <c r="B29" s="149">
        <f t="shared" si="2"/>
        <v>2031</v>
      </c>
      <c r="C29" s="150"/>
      <c r="D29" s="144">
        <f t="shared" si="4"/>
        <v>60.42</v>
      </c>
      <c r="E29" s="144">
        <f t="shared" si="4"/>
        <v>99.77</v>
      </c>
      <c r="F29" s="144">
        <f t="shared" si="4"/>
        <v>10.49</v>
      </c>
      <c r="G29" s="144">
        <f t="shared" si="0"/>
        <v>130.09</v>
      </c>
      <c r="H29" s="144">
        <f t="shared" si="1"/>
        <v>190.51</v>
      </c>
      <c r="I29" s="112"/>
      <c r="J29" s="112"/>
      <c r="K29" s="112"/>
      <c r="M29" s="67"/>
    </row>
    <row r="30" spans="2:13" s="146" customFormat="1">
      <c r="B30" s="149">
        <f t="shared" si="2"/>
        <v>2032</v>
      </c>
      <c r="C30" s="150"/>
      <c r="D30" s="187">
        <f t="shared" si="4"/>
        <v>61.75</v>
      </c>
      <c r="E30" s="187">
        <f t="shared" si="4"/>
        <v>101.96</v>
      </c>
      <c r="F30" s="187">
        <f t="shared" si="4"/>
        <v>10.72</v>
      </c>
      <c r="G30" s="187">
        <f t="shared" si="0"/>
        <v>132.94999999999999</v>
      </c>
      <c r="H30" s="187">
        <f t="shared" si="1"/>
        <v>194.7</v>
      </c>
      <c r="I30" s="186"/>
      <c r="J30" s="186"/>
      <c r="K30" s="186"/>
      <c r="M30" s="67"/>
    </row>
    <row r="31" spans="2:13" s="146" customFormat="1">
      <c r="B31" s="149">
        <f t="shared" si="2"/>
        <v>2033</v>
      </c>
      <c r="C31" s="150"/>
      <c r="D31" s="144">
        <f t="shared" si="4"/>
        <v>63.11</v>
      </c>
      <c r="E31" s="144">
        <f t="shared" si="4"/>
        <v>104.2</v>
      </c>
      <c r="F31" s="144">
        <f t="shared" si="4"/>
        <v>10.96</v>
      </c>
      <c r="G31" s="144">
        <f t="shared" si="0"/>
        <v>135.88</v>
      </c>
      <c r="H31" s="144">
        <f t="shared" si="1"/>
        <v>198.99</v>
      </c>
      <c r="I31" s="112">
        <f>VLOOKUP(B31,'Table 4'!$B$13:$E$43,4,FALSE)</f>
        <v>5.52</v>
      </c>
      <c r="J31" s="112">
        <f t="shared" ref="J31:J40" si="5">ROUND($K$65*I31/1000,2)</f>
        <v>53.07</v>
      </c>
      <c r="K31" s="112">
        <f t="shared" ref="K31:K40" si="6">ROUND(H31*1000/8760/$G$65+J31,2)</f>
        <v>121.91</v>
      </c>
      <c r="M31" s="67"/>
    </row>
    <row r="32" spans="2:13" s="146" customFormat="1">
      <c r="B32" s="149">
        <f t="shared" si="2"/>
        <v>2034</v>
      </c>
      <c r="C32" s="150"/>
      <c r="D32" s="144">
        <f t="shared" si="4"/>
        <v>64.5</v>
      </c>
      <c r="E32" s="144">
        <f t="shared" si="4"/>
        <v>106.49</v>
      </c>
      <c r="F32" s="144">
        <f t="shared" si="4"/>
        <v>11.2</v>
      </c>
      <c r="G32" s="144">
        <f t="shared" si="0"/>
        <v>138.87</v>
      </c>
      <c r="H32" s="144">
        <f t="shared" si="1"/>
        <v>203.37</v>
      </c>
      <c r="I32" s="112">
        <f>VLOOKUP(B32,'Table 4'!$B$13:$E$43,4,FALSE)</f>
        <v>5.74</v>
      </c>
      <c r="J32" s="112">
        <f t="shared" si="5"/>
        <v>55.18</v>
      </c>
      <c r="K32" s="112">
        <f t="shared" si="6"/>
        <v>125.53</v>
      </c>
      <c r="M32" s="67"/>
    </row>
    <row r="33" spans="2:15">
      <c r="B33" s="108">
        <f t="shared" si="2"/>
        <v>2035</v>
      </c>
      <c r="C33" s="113"/>
      <c r="D33" s="112">
        <f>ROUND(D32*(1+$J83),2)</f>
        <v>65.92</v>
      </c>
      <c r="E33" s="110">
        <f>ROUND(E32*(1+$J83),2)</f>
        <v>108.83</v>
      </c>
      <c r="F33" s="110">
        <f>ROUND(F32*(1+$J83),2)</f>
        <v>11.45</v>
      </c>
      <c r="G33" s="112">
        <f t="shared" si="0"/>
        <v>141.93</v>
      </c>
      <c r="H33" s="112">
        <f t="shared" si="1"/>
        <v>207.85</v>
      </c>
      <c r="I33" s="112">
        <f>VLOOKUP(B33,'Table 4'!$B$13:$E$43,4,FALSE)</f>
        <v>5.94</v>
      </c>
      <c r="J33" s="112">
        <f t="shared" si="5"/>
        <v>57.11</v>
      </c>
      <c r="K33" s="112">
        <f t="shared" si="6"/>
        <v>129.01</v>
      </c>
      <c r="M33" s="67"/>
    </row>
    <row r="34" spans="2:15">
      <c r="B34" s="108">
        <f t="shared" si="2"/>
        <v>2036</v>
      </c>
      <c r="C34" s="113"/>
      <c r="D34" s="112">
        <f t="shared" ref="D34:F40" si="7">ROUND(D33*(1+$J84),2)</f>
        <v>67.37</v>
      </c>
      <c r="E34" s="110">
        <f t="shared" si="7"/>
        <v>111.22</v>
      </c>
      <c r="F34" s="110">
        <f t="shared" si="7"/>
        <v>11.7</v>
      </c>
      <c r="G34" s="112">
        <f t="shared" si="0"/>
        <v>145.04</v>
      </c>
      <c r="H34" s="112">
        <f t="shared" si="1"/>
        <v>212.41</v>
      </c>
      <c r="I34" s="112">
        <f>VLOOKUP(B34,'Table 4'!$B$13:$E$43,4,FALSE)</f>
        <v>6.29</v>
      </c>
      <c r="J34" s="112">
        <f t="shared" si="5"/>
        <v>60.47</v>
      </c>
      <c r="K34" s="112">
        <f t="shared" si="6"/>
        <v>133.94999999999999</v>
      </c>
      <c r="M34" s="67"/>
    </row>
    <row r="35" spans="2:15">
      <c r="B35" s="108">
        <f t="shared" si="2"/>
        <v>2037</v>
      </c>
      <c r="C35" s="113"/>
      <c r="D35" s="112">
        <f t="shared" si="7"/>
        <v>68.849999999999994</v>
      </c>
      <c r="E35" s="110">
        <f t="shared" si="7"/>
        <v>113.67</v>
      </c>
      <c r="F35" s="110">
        <f t="shared" si="7"/>
        <v>11.96</v>
      </c>
      <c r="G35" s="112">
        <f t="shared" si="0"/>
        <v>148.24</v>
      </c>
      <c r="H35" s="112">
        <f t="shared" si="1"/>
        <v>217.09</v>
      </c>
      <c r="I35" s="112">
        <f>VLOOKUP(B35,'Table 4'!$B$13:$E$43,4,FALSE)</f>
        <v>6.47</v>
      </c>
      <c r="J35" s="112">
        <f t="shared" si="5"/>
        <v>62.2</v>
      </c>
      <c r="K35" s="112">
        <f t="shared" si="6"/>
        <v>137.30000000000001</v>
      </c>
      <c r="M35" s="67"/>
    </row>
    <row r="36" spans="2:15">
      <c r="B36" s="108">
        <f t="shared" si="2"/>
        <v>2038</v>
      </c>
      <c r="C36" s="113"/>
      <c r="D36" s="112">
        <f t="shared" si="7"/>
        <v>70.36</v>
      </c>
      <c r="E36" s="110">
        <f t="shared" si="7"/>
        <v>116.17</v>
      </c>
      <c r="F36" s="110">
        <f t="shared" si="7"/>
        <v>12.22</v>
      </c>
      <c r="G36" s="112">
        <f t="shared" si="0"/>
        <v>151.5</v>
      </c>
      <c r="H36" s="112">
        <f t="shared" si="1"/>
        <v>221.86</v>
      </c>
      <c r="I36" s="112">
        <f>VLOOKUP(B36,'Table 4'!$B$13:$E$43,4,FALSE)</f>
        <v>6.75</v>
      </c>
      <c r="J36" s="112">
        <f t="shared" si="5"/>
        <v>64.89</v>
      </c>
      <c r="K36" s="112">
        <f t="shared" si="6"/>
        <v>141.63999999999999</v>
      </c>
      <c r="M36" s="67"/>
    </row>
    <row r="37" spans="2:15">
      <c r="B37" s="108">
        <f t="shared" si="2"/>
        <v>2039</v>
      </c>
      <c r="C37" s="113"/>
      <c r="D37" s="112">
        <f t="shared" si="7"/>
        <v>71.91</v>
      </c>
      <c r="E37" s="110">
        <f t="shared" si="7"/>
        <v>118.73</v>
      </c>
      <c r="F37" s="110">
        <f t="shared" si="7"/>
        <v>12.49</v>
      </c>
      <c r="G37" s="112">
        <f t="shared" si="0"/>
        <v>154.84</v>
      </c>
      <c r="H37" s="112">
        <f t="shared" si="1"/>
        <v>226.75</v>
      </c>
      <c r="I37" s="112">
        <f>VLOOKUP(B37,'Table 4'!$B$13:$E$43,4,FALSE)</f>
        <v>6.9</v>
      </c>
      <c r="J37" s="112">
        <f t="shared" si="5"/>
        <v>66.34</v>
      </c>
      <c r="K37" s="112">
        <f t="shared" si="6"/>
        <v>144.78</v>
      </c>
      <c r="M37" s="67"/>
    </row>
    <row r="38" spans="2:15">
      <c r="B38" s="108">
        <f t="shared" si="2"/>
        <v>2040</v>
      </c>
      <c r="C38" s="113"/>
      <c r="D38" s="112">
        <f t="shared" si="7"/>
        <v>73.489999999999995</v>
      </c>
      <c r="E38" s="110">
        <f t="shared" si="7"/>
        <v>121.34</v>
      </c>
      <c r="F38" s="110">
        <f t="shared" si="7"/>
        <v>12.76</v>
      </c>
      <c r="G38" s="112">
        <f t="shared" si="0"/>
        <v>158.22999999999999</v>
      </c>
      <c r="H38" s="112">
        <f t="shared" si="1"/>
        <v>231.72</v>
      </c>
      <c r="I38" s="112">
        <f>VLOOKUP(B38,'Table 4'!$B$13:$E$43,4,FALSE)</f>
        <v>7.08</v>
      </c>
      <c r="J38" s="112">
        <f t="shared" si="5"/>
        <v>68.069999999999993</v>
      </c>
      <c r="K38" s="112">
        <f t="shared" si="6"/>
        <v>148.22999999999999</v>
      </c>
      <c r="M38" s="67"/>
    </row>
    <row r="39" spans="2:15">
      <c r="B39" s="108">
        <f t="shared" si="2"/>
        <v>2041</v>
      </c>
      <c r="C39" s="113"/>
      <c r="D39" s="112">
        <f t="shared" si="7"/>
        <v>75.11</v>
      </c>
      <c r="E39" s="110">
        <f t="shared" si="7"/>
        <v>124.01</v>
      </c>
      <c r="F39" s="110">
        <f t="shared" si="7"/>
        <v>13.04</v>
      </c>
      <c r="G39" s="112">
        <f t="shared" si="0"/>
        <v>161.71</v>
      </c>
      <c r="H39" s="112">
        <f t="shared" si="1"/>
        <v>236.82</v>
      </c>
      <c r="I39" s="112">
        <f>VLOOKUP(B39,'Table 4'!$B$13:$E$43,4,FALSE)</f>
        <v>7.23</v>
      </c>
      <c r="J39" s="112">
        <f t="shared" si="5"/>
        <v>69.510000000000005</v>
      </c>
      <c r="K39" s="112">
        <f t="shared" si="6"/>
        <v>151.43</v>
      </c>
      <c r="M39" s="67"/>
    </row>
    <row r="40" spans="2:15">
      <c r="B40" s="108">
        <f t="shared" si="2"/>
        <v>2042</v>
      </c>
      <c r="C40" s="113"/>
      <c r="D40" s="112">
        <f t="shared" si="7"/>
        <v>76.760000000000005</v>
      </c>
      <c r="E40" s="110">
        <f t="shared" si="7"/>
        <v>126.74</v>
      </c>
      <c r="F40" s="110">
        <f t="shared" si="7"/>
        <v>13.33</v>
      </c>
      <c r="G40" s="112">
        <f t="shared" si="0"/>
        <v>165.27</v>
      </c>
      <c r="H40" s="112">
        <f t="shared" si="1"/>
        <v>242.03</v>
      </c>
      <c r="I40" s="112">
        <f>VLOOKUP(B40,'Table 4'!$B$13:$E$43,4,FALSE)</f>
        <v>4.9400000000000004</v>
      </c>
      <c r="J40" s="112">
        <f t="shared" si="5"/>
        <v>47.49</v>
      </c>
      <c r="K40" s="112">
        <f t="shared" si="6"/>
        <v>131.21</v>
      </c>
      <c r="M40" s="67"/>
    </row>
    <row r="41" spans="2:15">
      <c r="B41" s="108"/>
      <c r="C41" s="113"/>
      <c r="D41" s="112"/>
      <c r="E41" s="110"/>
      <c r="F41" s="110"/>
      <c r="G41" s="112"/>
      <c r="H41" s="112"/>
      <c r="I41" s="112"/>
      <c r="J41" s="112"/>
      <c r="K41" s="112"/>
    </row>
    <row r="42" spans="2:15">
      <c r="B42" s="108"/>
      <c r="C42" s="113"/>
      <c r="D42" s="112"/>
      <c r="E42" s="110"/>
      <c r="F42" s="110"/>
      <c r="G42" s="112"/>
      <c r="H42" s="112"/>
      <c r="I42" s="112"/>
      <c r="J42" s="112"/>
      <c r="K42" s="112"/>
    </row>
    <row r="43" spans="2:15">
      <c r="M43" s="108"/>
      <c r="O43" s="115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8"/>
      <c r="N44" s="115"/>
      <c r="O44" s="115"/>
    </row>
    <row r="46" spans="2:15">
      <c r="B46" s="105" t="s">
        <v>16</v>
      </c>
      <c r="D46" s="116" t="str">
        <f>'Table 3 436MW (West M) 2030'!D46</f>
        <v xml:space="preserve">Plant Costs  - 2017 IRP - Table 6.1 &amp; 6.2 </v>
      </c>
    </row>
    <row r="47" spans="2:15">
      <c r="C47" s="117" t="str">
        <f>D10</f>
        <v>(b)</v>
      </c>
      <c r="D47" s="112" t="str">
        <f>"= "&amp;C10&amp;" x "&amp;C76</f>
        <v>= (a) x 0.0737263117964292</v>
      </c>
    </row>
    <row r="48" spans="2:15">
      <c r="C48" s="117" t="str">
        <f>G10</f>
        <v>(e)</v>
      </c>
      <c r="D48" s="112" t="str">
        <f>"= "&amp;$F$10&amp;" x  (8.76 x "&amp;TEXT(G65,"0.0%")&amp;") + "&amp;$E$10</f>
        <v>= (d) x  (8.76 x 33.0%) + (c)</v>
      </c>
    </row>
    <row r="49" spans="3:11">
      <c r="C49" s="117" t="str">
        <f>H10</f>
        <v>(f)</v>
      </c>
      <c r="D49" s="112" t="str">
        <f>"= "&amp;D10&amp;" + "&amp;G10</f>
        <v>= (b) + (e)</v>
      </c>
    </row>
    <row r="50" spans="3:11">
      <c r="C50" s="117" t="str">
        <f>I10</f>
        <v>(g)</v>
      </c>
      <c r="D50" s="145" t="str">
        <f>'Table 4'!B3&amp;" - "&amp;'Table 4'!B4</f>
        <v>Table 4 - Burnertip Natural Gas Price Forecast</v>
      </c>
    </row>
    <row r="51" spans="3:11">
      <c r="C51" s="117" t="str">
        <f>J10</f>
        <v>(h)</v>
      </c>
      <c r="D51" s="112" t="str">
        <f>"= "&amp;TEXT(K65,"?,0")&amp;" MMBtu/MWH x "&amp;I9</f>
        <v>= 9,614 MMBtu/MWH x $/MMBtu</v>
      </c>
    </row>
    <row r="52" spans="3:11">
      <c r="C52" s="117" t="str">
        <f>K10</f>
        <v>(i)</v>
      </c>
      <c r="D52" s="112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107</v>
      </c>
      <c r="D54" s="55"/>
      <c r="E54" s="55"/>
      <c r="F54" s="55"/>
      <c r="G54" s="55"/>
      <c r="H54" s="55"/>
      <c r="I54" s="55"/>
      <c r="J54" s="56"/>
      <c r="K54" s="118"/>
    </row>
    <row r="55" spans="3:11" ht="5.25" customHeight="1"/>
    <row r="56" spans="3:11" ht="5.25" customHeight="1"/>
    <row r="57" spans="3:11">
      <c r="C57" s="42" t="s">
        <v>164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6" t="s">
        <v>105</v>
      </c>
      <c r="F58" s="119">
        <f>C69</f>
        <v>199.924125</v>
      </c>
      <c r="G58" s="57">
        <f>F58/F60</f>
        <v>1</v>
      </c>
      <c r="H58" s="133">
        <f>C70</f>
        <v>589.49609575732859</v>
      </c>
      <c r="I58" s="135">
        <f>C73</f>
        <v>71.702024758449483</v>
      </c>
    </row>
    <row r="59" spans="3:11">
      <c r="C59" s="146"/>
      <c r="F59" s="48">
        <f>D69</f>
        <v>0</v>
      </c>
      <c r="G59" s="44">
        <f>1-G58</f>
        <v>0</v>
      </c>
      <c r="H59" s="134">
        <f>D70</f>
        <v>0</v>
      </c>
      <c r="I59" s="136">
        <f>D73</f>
        <v>0</v>
      </c>
    </row>
    <row r="60" spans="3:11">
      <c r="C60" s="146" t="s">
        <v>45</v>
      </c>
      <c r="F60" s="119">
        <f>F58+F59</f>
        <v>199.924125</v>
      </c>
      <c r="G60" s="57">
        <f>G58+G59</f>
        <v>1</v>
      </c>
      <c r="H60" s="133">
        <f>ROUND(((F58*H58)+(F59*H59))/F60,0)</f>
        <v>589</v>
      </c>
      <c r="I60" s="135">
        <f>ROUND(((F58*I58)+(F59*I59))/F60,2)</f>
        <v>71.7</v>
      </c>
    </row>
    <row r="61" spans="3:11">
      <c r="C61" s="146"/>
      <c r="F61" s="119"/>
      <c r="G61" s="57"/>
      <c r="H61" s="120"/>
      <c r="I61" s="121"/>
    </row>
    <row r="62" spans="3:11">
      <c r="C62" s="147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8" t="str">
        <f>C58</f>
        <v>SCCT Dry "F" - Turbine</v>
      </c>
      <c r="D63" s="122"/>
      <c r="E63" s="122"/>
      <c r="F63" s="105">
        <f>C69</f>
        <v>199.924125</v>
      </c>
      <c r="G63" s="57">
        <f>C77</f>
        <v>0.33</v>
      </c>
      <c r="H63" s="169">
        <f>G63*F63</f>
        <v>65.974961250000007</v>
      </c>
      <c r="I63" s="57">
        <f>H63/H65</f>
        <v>1</v>
      </c>
      <c r="J63" s="121">
        <f>C74</f>
        <v>7.5299874286936257</v>
      </c>
      <c r="K63" s="123">
        <f>C75</f>
        <v>9614</v>
      </c>
    </row>
    <row r="64" spans="3:11">
      <c r="C64" s="148">
        <f>C59</f>
        <v>0</v>
      </c>
      <c r="D64" s="122"/>
      <c r="E64" s="122"/>
      <c r="F64" s="43">
        <f>D69</f>
        <v>0</v>
      </c>
      <c r="G64" s="44">
        <f>D77</f>
        <v>0</v>
      </c>
      <c r="H64" s="170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6" t="s">
        <v>50</v>
      </c>
      <c r="F65" s="105">
        <f>F63+F64</f>
        <v>199.924125</v>
      </c>
      <c r="G65" s="124">
        <f>ROUND(H65/F65,3)</f>
        <v>0.33</v>
      </c>
      <c r="H65" s="169">
        <f>SUM(H63:H64)</f>
        <v>65.974961250000007</v>
      </c>
      <c r="I65" s="57">
        <f>I63+I64</f>
        <v>1</v>
      </c>
      <c r="J65" s="121">
        <f>ROUND(($I63*J63)+($I64*J64),2)</f>
        <v>7.53</v>
      </c>
      <c r="K65" s="125">
        <f>ROUND(($I63*K63)+($I64*K64),0)</f>
        <v>9614</v>
      </c>
    </row>
    <row r="66" spans="2:11">
      <c r="G66" s="124"/>
      <c r="I66" s="57"/>
      <c r="J66" s="121"/>
      <c r="K66" s="47" t="s">
        <v>51</v>
      </c>
    </row>
    <row r="68" spans="2:11">
      <c r="C68" s="41" t="s">
        <v>104</v>
      </c>
      <c r="D68" s="41" t="s">
        <v>35</v>
      </c>
      <c r="E68" s="59" t="str">
        <f>D46</f>
        <v xml:space="preserve">Plant Costs  - 2017 IRP - Table 6.1 &amp; 6.2 </v>
      </c>
      <c r="F68" s="126"/>
      <c r="G68" s="126"/>
      <c r="H68" s="126"/>
      <c r="I68" s="126"/>
      <c r="J68" s="126"/>
      <c r="K68" s="127"/>
    </row>
    <row r="69" spans="2:11">
      <c r="C69" s="105">
        <v>199.924125</v>
      </c>
      <c r="E69" s="105" t="s">
        <v>77</v>
      </c>
      <c r="H69" s="128"/>
    </row>
    <row r="70" spans="2:11">
      <c r="B70" s="105" t="s">
        <v>102</v>
      </c>
      <c r="C70" s="120">
        <v>589.49609575732859</v>
      </c>
      <c r="D70" s="120"/>
      <c r="E70" s="105" t="s">
        <v>78</v>
      </c>
    </row>
    <row r="71" spans="2:11">
      <c r="B71" s="105" t="s">
        <v>102</v>
      </c>
      <c r="C71" s="121">
        <v>16.0158293408495</v>
      </c>
      <c r="D71" s="121"/>
      <c r="E71" s="105" t="s">
        <v>79</v>
      </c>
    </row>
    <row r="72" spans="2:11">
      <c r="B72" s="105" t="s">
        <v>102</v>
      </c>
      <c r="C72" s="49">
        <v>55.68619541759999</v>
      </c>
      <c r="D72" s="49"/>
      <c r="E72" s="105" t="s">
        <v>75</v>
      </c>
    </row>
    <row r="73" spans="2:11">
      <c r="B73" s="105" t="s">
        <v>102</v>
      </c>
      <c r="C73" s="121">
        <f>C71+C72</f>
        <v>71.702024758449483</v>
      </c>
      <c r="D73" s="121"/>
      <c r="E73" s="105" t="s">
        <v>80</v>
      </c>
    </row>
    <row r="74" spans="2:11">
      <c r="B74" s="105" t="s">
        <v>102</v>
      </c>
      <c r="C74" s="121">
        <v>7.5299874286936257</v>
      </c>
      <c r="D74" s="121"/>
      <c r="E74" s="105" t="s">
        <v>81</v>
      </c>
    </row>
    <row r="75" spans="2:11">
      <c r="C75" s="125">
        <v>9614</v>
      </c>
      <c r="D75" s="125"/>
      <c r="E75" s="105" t="s">
        <v>53</v>
      </c>
    </row>
    <row r="76" spans="2:11">
      <c r="C76" s="143">
        <v>7.3726311796429175E-2</v>
      </c>
      <c r="D76" s="143"/>
      <c r="E76" s="105" t="s">
        <v>54</v>
      </c>
    </row>
    <row r="77" spans="2:11">
      <c r="C77" s="129">
        <v>0.33</v>
      </c>
      <c r="D77" s="129"/>
      <c r="E77" s="105" t="s">
        <v>55</v>
      </c>
    </row>
    <row r="78" spans="2:11">
      <c r="D78" s="57">
        <f>ROUND(H65/F65,3)</f>
        <v>0.33</v>
      </c>
      <c r="E78" s="105" t="s">
        <v>56</v>
      </c>
    </row>
    <row r="79" spans="2:11">
      <c r="D79" s="124"/>
      <c r="E79" s="67"/>
    </row>
    <row r="80" spans="2:11">
      <c r="C80" s="129"/>
      <c r="D80" s="129"/>
    </row>
    <row r="82" spans="3:15" ht="13.5" thickBot="1">
      <c r="C82" s="54" t="str">
        <f>"Company Official Inflation Forecast Dated "&amp;TEXT('Table 4'!$G$5,"mmmm dd, yyyy")</f>
        <v>Company Official Inflation Forecast Dated September 29, 2017</v>
      </c>
      <c r="D82" s="55"/>
      <c r="E82" s="55"/>
      <c r="F82" s="55"/>
      <c r="G82" s="55"/>
      <c r="H82" s="55"/>
      <c r="I82" s="55"/>
      <c r="J82" s="56"/>
      <c r="K82" s="118"/>
    </row>
    <row r="83" spans="3:15">
      <c r="C83" s="130">
        <v>2017</v>
      </c>
      <c r="D83" s="57">
        <v>1.9E-2</v>
      </c>
      <c r="F83" s="130">
        <f>C91+1</f>
        <v>2026</v>
      </c>
      <c r="G83" s="57">
        <v>2.1999999999999999E-2</v>
      </c>
      <c r="I83" s="130">
        <f>F91+1</f>
        <v>2035</v>
      </c>
      <c r="J83" s="57">
        <v>2.1999999999999999E-2</v>
      </c>
    </row>
    <row r="84" spans="3:15">
      <c r="C84" s="130">
        <f t="shared" ref="C84:C91" si="8">C83+1</f>
        <v>2018</v>
      </c>
      <c r="D84" s="57">
        <v>1.7999999999999999E-2</v>
      </c>
      <c r="F84" s="130">
        <f t="shared" ref="F84:F91" si="9">F83+1</f>
        <v>2027</v>
      </c>
      <c r="G84" s="57">
        <v>2.1999999999999999E-2</v>
      </c>
      <c r="I84" s="130">
        <f t="shared" ref="I84:I91" si="10">I83+1</f>
        <v>2036</v>
      </c>
      <c r="J84" s="57">
        <v>2.1999999999999999E-2</v>
      </c>
    </row>
    <row r="85" spans="3:15">
      <c r="C85" s="130">
        <f t="shared" si="8"/>
        <v>2019</v>
      </c>
      <c r="D85" s="57">
        <v>2.3E-2</v>
      </c>
      <c r="F85" s="130">
        <f t="shared" si="9"/>
        <v>2028</v>
      </c>
      <c r="G85" s="57">
        <v>2.1999999999999999E-2</v>
      </c>
      <c r="I85" s="130">
        <f t="shared" si="10"/>
        <v>2037</v>
      </c>
      <c r="J85" s="57">
        <v>2.1999999999999999E-2</v>
      </c>
    </row>
    <row r="86" spans="3:15">
      <c r="C86" s="130">
        <f t="shared" si="8"/>
        <v>2020</v>
      </c>
      <c r="D86" s="57">
        <v>2.5999999999999999E-2</v>
      </c>
      <c r="F86" s="130">
        <f t="shared" si="9"/>
        <v>2029</v>
      </c>
      <c r="G86" s="57">
        <v>2.1999999999999999E-2</v>
      </c>
      <c r="I86" s="130">
        <f t="shared" si="10"/>
        <v>2038</v>
      </c>
      <c r="J86" s="57">
        <v>2.1999999999999999E-2</v>
      </c>
    </row>
    <row r="87" spans="3:15">
      <c r="C87" s="130">
        <f t="shared" si="8"/>
        <v>2021</v>
      </c>
      <c r="D87" s="57">
        <v>2.4E-2</v>
      </c>
      <c r="F87" s="130">
        <f t="shared" si="9"/>
        <v>2030</v>
      </c>
      <c r="G87" s="57">
        <v>2.1999999999999999E-2</v>
      </c>
      <c r="I87" s="130">
        <f t="shared" si="10"/>
        <v>2039</v>
      </c>
      <c r="J87" s="57">
        <v>2.1999999999999999E-2</v>
      </c>
    </row>
    <row r="88" spans="3:15">
      <c r="C88" s="130">
        <f t="shared" si="8"/>
        <v>2022</v>
      </c>
      <c r="D88" s="57">
        <v>2.3E-2</v>
      </c>
      <c r="F88" s="130">
        <f t="shared" si="9"/>
        <v>2031</v>
      </c>
      <c r="G88" s="57">
        <v>2.1999999999999999E-2</v>
      </c>
      <c r="I88" s="130">
        <f t="shared" si="10"/>
        <v>2040</v>
      </c>
      <c r="J88" s="57">
        <v>2.1999999999999999E-2</v>
      </c>
    </row>
    <row r="89" spans="3:15" s="107" customFormat="1">
      <c r="C89" s="130">
        <f t="shared" si="8"/>
        <v>2023</v>
      </c>
      <c r="D89" s="57">
        <v>2.3E-2</v>
      </c>
      <c r="F89" s="130">
        <f t="shared" si="9"/>
        <v>2032</v>
      </c>
      <c r="G89" s="57">
        <v>2.1999999999999999E-2</v>
      </c>
      <c r="I89" s="130">
        <f t="shared" si="10"/>
        <v>2041</v>
      </c>
      <c r="J89" s="57">
        <v>2.1999999999999999E-2</v>
      </c>
      <c r="N89" s="105"/>
      <c r="O89" s="105"/>
    </row>
    <row r="90" spans="3:15" s="107" customFormat="1">
      <c r="C90" s="130">
        <f t="shared" si="8"/>
        <v>2024</v>
      </c>
      <c r="D90" s="57">
        <v>2.3E-2</v>
      </c>
      <c r="F90" s="130">
        <f t="shared" si="9"/>
        <v>2033</v>
      </c>
      <c r="G90" s="57">
        <v>2.1999999999999999E-2</v>
      </c>
      <c r="I90" s="130">
        <f t="shared" si="10"/>
        <v>2042</v>
      </c>
      <c r="J90" s="57">
        <v>2.1999999999999999E-2</v>
      </c>
      <c r="N90" s="105"/>
      <c r="O90" s="105"/>
    </row>
    <row r="91" spans="3:15" s="107" customFormat="1">
      <c r="C91" s="130">
        <f t="shared" si="8"/>
        <v>2025</v>
      </c>
      <c r="D91" s="57">
        <v>2.3E-2</v>
      </c>
      <c r="F91" s="130">
        <f t="shared" si="9"/>
        <v>2034</v>
      </c>
      <c r="G91" s="57">
        <v>2.1999999999999999E-2</v>
      </c>
      <c r="I91" s="130">
        <f t="shared" si="10"/>
        <v>2043</v>
      </c>
      <c r="J91" s="57">
        <v>2.3E-2</v>
      </c>
      <c r="N91" s="105"/>
      <c r="O91" s="105"/>
    </row>
    <row r="92" spans="3:15" s="107" customFormat="1">
      <c r="N92" s="105"/>
      <c r="O92" s="105"/>
    </row>
    <row r="93" spans="3:15" s="107" customFormat="1">
      <c r="N93" s="105"/>
      <c r="O93" s="105"/>
    </row>
    <row r="94" spans="3:15">
      <c r="D94" s="137"/>
    </row>
    <row r="95" spans="3:15">
      <c r="D95" s="1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B3" sqref="B3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0" style="190" hidden="1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166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38%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" t="s">
        <v>73</v>
      </c>
      <c r="J5" s="19" t="s">
        <v>73</v>
      </c>
      <c r="K5" s="194" t="s">
        <v>110</v>
      </c>
      <c r="P5" s="194" t="s">
        <v>109</v>
      </c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ID Wind Resource - 38%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1811.0329095752811</v>
      </c>
      <c r="D10" s="201">
        <f>C10*$C$62</f>
        <v>127.99449484849457</v>
      </c>
      <c r="E10" s="201">
        <f>C56</f>
        <v>37.565582271006477</v>
      </c>
      <c r="F10" s="202">
        <f t="shared" ref="F10:F36" si="0">(D10+E10)/(8.76*$C$63)</f>
        <v>49.735663638398542</v>
      </c>
      <c r="G10" s="202">
        <f>C58</f>
        <v>0</v>
      </c>
      <c r="H10" s="249">
        <f>C59</f>
        <v>0</v>
      </c>
      <c r="I10" s="203">
        <f>F10+H10+G10</f>
        <v>49.735663638398542</v>
      </c>
      <c r="J10" s="203">
        <f>ROUND(I10*$C$63*8.76,2)</f>
        <v>165.56</v>
      </c>
      <c r="K10" s="201">
        <f>$C$57</f>
        <v>0.57299999999999995</v>
      </c>
      <c r="N10" s="204"/>
      <c r="P10" s="242">
        <f>$C$59</f>
        <v>0</v>
      </c>
    </row>
    <row r="11" spans="2:18">
      <c r="B11" s="199">
        <f t="shared" ref="B11:B36" si="1">B10+1</f>
        <v>2017</v>
      </c>
      <c r="C11" s="205"/>
      <c r="D11" s="201">
        <f>ROUND(D10*(1+$D66),2)</f>
        <v>130.43</v>
      </c>
      <c r="E11" s="201">
        <f>ROUND(E10*(1+$D66),2)</f>
        <v>38.28</v>
      </c>
      <c r="F11" s="202">
        <f t="shared" si="0"/>
        <v>50.681927421292961</v>
      </c>
      <c r="G11" s="201">
        <f>ROUND(G10*(1+$D66),2)</f>
        <v>0</v>
      </c>
      <c r="H11" s="201">
        <f>ROUND(H10*(1+$D66),2)</f>
        <v>0</v>
      </c>
      <c r="I11" s="203">
        <f>F11+H11+G11</f>
        <v>50.681927421292961</v>
      </c>
      <c r="J11" s="203">
        <f t="shared" ref="J11:J36" si="2">ROUND(I11*$C$63*8.76,2)</f>
        <v>168.71</v>
      </c>
      <c r="K11" s="201">
        <f>ROUND(K10*(1+$D66),2)</f>
        <v>0.57999999999999996</v>
      </c>
      <c r="N11" s="204"/>
      <c r="P11" s="242">
        <f>ROUND(P10*(1+$D66),2)</f>
        <v>0</v>
      </c>
    </row>
    <row r="12" spans="2:18">
      <c r="B12" s="212">
        <f t="shared" si="1"/>
        <v>2018</v>
      </c>
      <c r="C12" s="213"/>
      <c r="D12" s="201">
        <f t="shared" ref="D12:G19" si="3">ROUND(D11*(1+$D67),2)</f>
        <v>132.78</v>
      </c>
      <c r="E12" s="201">
        <f t="shared" si="3"/>
        <v>38.97</v>
      </c>
      <c r="F12" s="203">
        <f t="shared" si="0"/>
        <v>51.595169430425379</v>
      </c>
      <c r="G12" s="201">
        <f t="shared" si="3"/>
        <v>0</v>
      </c>
      <c r="H12" s="201">
        <f t="shared" ref="H12" si="4">ROUND(H11*(1+$D67),2)</f>
        <v>0</v>
      </c>
      <c r="I12" s="203">
        <f t="shared" ref="I12:I36" si="5">F12+H12+G12</f>
        <v>51.595169430425379</v>
      </c>
      <c r="J12" s="203">
        <f t="shared" si="2"/>
        <v>171.75</v>
      </c>
      <c r="K12" s="201">
        <f t="shared" ref="K12:K19" si="6">ROUND(K11*(1+$D67),2)</f>
        <v>0.59</v>
      </c>
      <c r="L12" s="192"/>
      <c r="N12" s="204"/>
      <c r="P12" s="242">
        <f t="shared" ref="P12:P19" si="7">ROUND(P11*(1+$D67),2)</f>
        <v>0</v>
      </c>
    </row>
    <row r="13" spans="2:18">
      <c r="B13" s="212">
        <f t="shared" si="1"/>
        <v>2019</v>
      </c>
      <c r="C13" s="213"/>
      <c r="D13" s="201">
        <f t="shared" si="3"/>
        <v>135.83000000000001</v>
      </c>
      <c r="E13" s="201">
        <f t="shared" si="3"/>
        <v>39.869999999999997</v>
      </c>
      <c r="F13" s="203">
        <f t="shared" si="0"/>
        <v>52.78178322518626</v>
      </c>
      <c r="G13" s="201">
        <f t="shared" si="3"/>
        <v>0</v>
      </c>
      <c r="H13" s="201">
        <f t="shared" ref="H13" si="8">ROUND(H12*(1+$D68),2)</f>
        <v>0</v>
      </c>
      <c r="I13" s="203">
        <f t="shared" si="5"/>
        <v>52.78178322518626</v>
      </c>
      <c r="J13" s="203">
        <f t="shared" si="2"/>
        <v>175.7</v>
      </c>
      <c r="K13" s="201">
        <f t="shared" si="6"/>
        <v>0.6</v>
      </c>
      <c r="L13" s="192"/>
      <c r="N13" s="204"/>
      <c r="P13" s="242">
        <f t="shared" si="7"/>
        <v>0</v>
      </c>
    </row>
    <row r="14" spans="2:18">
      <c r="B14" s="212">
        <f t="shared" si="1"/>
        <v>2020</v>
      </c>
      <c r="C14" s="213"/>
      <c r="D14" s="201">
        <f t="shared" si="3"/>
        <v>139.36000000000001</v>
      </c>
      <c r="E14" s="201">
        <f t="shared" si="3"/>
        <v>40.909999999999997</v>
      </c>
      <c r="F14" s="203">
        <f t="shared" si="0"/>
        <v>54.154650324441249</v>
      </c>
      <c r="G14" s="201">
        <f t="shared" si="3"/>
        <v>0</v>
      </c>
      <c r="H14" s="201">
        <f t="shared" ref="H14" si="9">ROUND(H13*(1+$D69),2)</f>
        <v>0</v>
      </c>
      <c r="I14" s="203">
        <f t="shared" si="5"/>
        <v>54.154650324441249</v>
      </c>
      <c r="J14" s="203">
        <f t="shared" si="2"/>
        <v>180.27</v>
      </c>
      <c r="K14" s="201">
        <f t="shared" si="6"/>
        <v>0.62</v>
      </c>
      <c r="L14" s="192"/>
      <c r="N14" s="204"/>
      <c r="O14" s="209"/>
      <c r="P14" s="242">
        <f t="shared" si="7"/>
        <v>0</v>
      </c>
      <c r="Q14" s="210"/>
      <c r="R14" s="211"/>
    </row>
    <row r="15" spans="2:18">
      <c r="B15" s="212">
        <f t="shared" si="1"/>
        <v>2021</v>
      </c>
      <c r="C15" s="213"/>
      <c r="D15" s="201">
        <f t="shared" si="3"/>
        <v>142.69999999999999</v>
      </c>
      <c r="E15" s="201">
        <f t="shared" si="3"/>
        <v>41.89</v>
      </c>
      <c r="F15" s="203">
        <f t="shared" si="0"/>
        <v>55.452415284787307</v>
      </c>
      <c r="G15" s="201">
        <f t="shared" si="3"/>
        <v>0</v>
      </c>
      <c r="H15" s="201">
        <f t="shared" ref="H15" si="10">ROUND(H14*(1+$D70),2)</f>
        <v>0</v>
      </c>
      <c r="I15" s="203">
        <f t="shared" si="5"/>
        <v>55.452415284787307</v>
      </c>
      <c r="J15" s="203">
        <f t="shared" si="2"/>
        <v>184.59</v>
      </c>
      <c r="K15" s="201">
        <f t="shared" si="6"/>
        <v>0.63</v>
      </c>
      <c r="L15" s="192"/>
      <c r="N15" s="210"/>
      <c r="O15" s="210"/>
      <c r="P15" s="242">
        <f t="shared" si="7"/>
        <v>0</v>
      </c>
      <c r="Q15" s="210"/>
      <c r="R15" s="211"/>
    </row>
    <row r="16" spans="2:18">
      <c r="B16" s="212">
        <f t="shared" si="1"/>
        <v>2022</v>
      </c>
      <c r="C16" s="213"/>
      <c r="D16" s="201">
        <f t="shared" si="3"/>
        <v>145.97999999999999</v>
      </c>
      <c r="E16" s="201">
        <f t="shared" si="3"/>
        <v>42.85</v>
      </c>
      <c r="F16" s="203">
        <f t="shared" si="0"/>
        <v>56.726147560682527</v>
      </c>
      <c r="G16" s="201">
        <f t="shared" si="3"/>
        <v>0</v>
      </c>
      <c r="H16" s="201">
        <f t="shared" ref="H16" si="11">ROUND(H15*(1+$D71),2)</f>
        <v>0</v>
      </c>
      <c r="I16" s="203">
        <f t="shared" si="5"/>
        <v>56.726147560682527</v>
      </c>
      <c r="J16" s="203">
        <f t="shared" si="2"/>
        <v>188.83</v>
      </c>
      <c r="K16" s="201">
        <f t="shared" si="6"/>
        <v>0.64</v>
      </c>
      <c r="L16" s="192"/>
      <c r="N16" s="204"/>
      <c r="P16" s="242">
        <f t="shared" si="7"/>
        <v>0</v>
      </c>
    </row>
    <row r="17" spans="2:16">
      <c r="B17" s="212">
        <f t="shared" si="1"/>
        <v>2023</v>
      </c>
      <c r="C17" s="213"/>
      <c r="D17" s="201">
        <f t="shared" si="3"/>
        <v>149.34</v>
      </c>
      <c r="E17" s="201">
        <f t="shared" si="3"/>
        <v>43.84</v>
      </c>
      <c r="F17" s="203">
        <f t="shared" si="0"/>
        <v>58.032924777697673</v>
      </c>
      <c r="G17" s="201">
        <f t="shared" si="3"/>
        <v>0</v>
      </c>
      <c r="H17" s="201">
        <f t="shared" ref="H17" si="12">ROUND(H16*(1+$D72),2)</f>
        <v>0</v>
      </c>
      <c r="I17" s="203">
        <f t="shared" si="5"/>
        <v>58.032924777697673</v>
      </c>
      <c r="J17" s="203">
        <f t="shared" si="2"/>
        <v>193.18</v>
      </c>
      <c r="K17" s="201">
        <f t="shared" si="6"/>
        <v>0.65</v>
      </c>
      <c r="L17" s="192"/>
      <c r="N17" s="204"/>
      <c r="O17" s="209"/>
      <c r="P17" s="242">
        <f t="shared" si="7"/>
        <v>0</v>
      </c>
    </row>
    <row r="18" spans="2:16">
      <c r="B18" s="212">
        <f t="shared" si="1"/>
        <v>2024</v>
      </c>
      <c r="C18" s="213"/>
      <c r="D18" s="201">
        <f t="shared" si="3"/>
        <v>152.77000000000001</v>
      </c>
      <c r="E18" s="201">
        <f t="shared" si="3"/>
        <v>44.85</v>
      </c>
      <c r="F18" s="203">
        <f t="shared" si="0"/>
        <v>59.366738764720026</v>
      </c>
      <c r="G18" s="201">
        <f t="shared" si="3"/>
        <v>0</v>
      </c>
      <c r="H18" s="201">
        <f t="shared" ref="H18" si="13">ROUND(H17*(1+$D73),2)</f>
        <v>0</v>
      </c>
      <c r="I18" s="203">
        <f t="shared" si="5"/>
        <v>59.366738764720026</v>
      </c>
      <c r="J18" s="203">
        <f t="shared" si="2"/>
        <v>197.62</v>
      </c>
      <c r="K18" s="201">
        <f t="shared" si="6"/>
        <v>0.66</v>
      </c>
      <c r="L18" s="192"/>
      <c r="N18" s="204"/>
      <c r="O18" s="209"/>
      <c r="P18" s="242">
        <f t="shared" si="7"/>
        <v>0</v>
      </c>
    </row>
    <row r="19" spans="2:16">
      <c r="B19" s="212">
        <f t="shared" si="1"/>
        <v>2025</v>
      </c>
      <c r="C19" s="213"/>
      <c r="D19" s="201">
        <f t="shared" si="3"/>
        <v>156.28</v>
      </c>
      <c r="E19" s="201">
        <f t="shared" si="3"/>
        <v>45.88</v>
      </c>
      <c r="F19" s="203">
        <f t="shared" si="0"/>
        <v>60.730593607305941</v>
      </c>
      <c r="G19" s="201">
        <f t="shared" si="3"/>
        <v>0</v>
      </c>
      <c r="H19" s="201">
        <f t="shared" ref="H19" si="14">ROUND(H18*(1+$D74),2)</f>
        <v>0</v>
      </c>
      <c r="I19" s="203">
        <f t="shared" si="5"/>
        <v>60.730593607305941</v>
      </c>
      <c r="J19" s="203">
        <f t="shared" si="2"/>
        <v>202.16</v>
      </c>
      <c r="K19" s="201">
        <f t="shared" si="6"/>
        <v>0.68</v>
      </c>
      <c r="L19" s="192"/>
      <c r="N19" s="204"/>
      <c r="O19" s="209"/>
      <c r="P19" s="242">
        <f t="shared" si="7"/>
        <v>0</v>
      </c>
    </row>
    <row r="20" spans="2:16">
      <c r="B20" s="212">
        <f t="shared" si="1"/>
        <v>2026</v>
      </c>
      <c r="C20" s="213"/>
      <c r="D20" s="201">
        <f>ROUND(D19*(1+$G66),2)</f>
        <v>159.72</v>
      </c>
      <c r="E20" s="201">
        <f>ROUND(E19*(1+$G66),2)</f>
        <v>46.89</v>
      </c>
      <c r="F20" s="203">
        <f t="shared" si="0"/>
        <v>62.06741167988465</v>
      </c>
      <c r="G20" s="201">
        <f>ROUND(G19*(1+$G66),2)</f>
        <v>0</v>
      </c>
      <c r="H20" s="201">
        <f>ROUND(H19*(1+$G66),2)</f>
        <v>0</v>
      </c>
      <c r="I20" s="203">
        <f t="shared" si="5"/>
        <v>62.06741167988465</v>
      </c>
      <c r="J20" s="203">
        <f t="shared" si="2"/>
        <v>206.61</v>
      </c>
      <c r="K20" s="201">
        <f>ROUND(K19*(1+$G66),2)</f>
        <v>0.69</v>
      </c>
      <c r="L20" s="192"/>
      <c r="N20" s="204"/>
      <c r="O20" s="209"/>
      <c r="P20" s="242">
        <f>ROUND(P19*(1+$G66),2)</f>
        <v>0</v>
      </c>
    </row>
    <row r="21" spans="2:16">
      <c r="B21" s="212">
        <f t="shared" si="1"/>
        <v>2027</v>
      </c>
      <c r="C21" s="213"/>
      <c r="D21" s="201">
        <f t="shared" ref="D21:G28" si="15">ROUND(D20*(1+$G67),2)</f>
        <v>163.22999999999999</v>
      </c>
      <c r="E21" s="201">
        <f t="shared" si="15"/>
        <v>47.92</v>
      </c>
      <c r="F21" s="203">
        <f t="shared" si="0"/>
        <v>63.431266522470558</v>
      </c>
      <c r="G21" s="201">
        <f t="shared" si="15"/>
        <v>0</v>
      </c>
      <c r="H21" s="201">
        <f t="shared" ref="H21" si="16">ROUND(H20*(1+$G67),2)</f>
        <v>0</v>
      </c>
      <c r="I21" s="203">
        <f t="shared" si="5"/>
        <v>63.431266522470558</v>
      </c>
      <c r="J21" s="203">
        <f t="shared" si="2"/>
        <v>211.15</v>
      </c>
      <c r="K21" s="201">
        <f t="shared" ref="K21:K28" si="17">ROUND(K20*(1+$G67),2)</f>
        <v>0.71</v>
      </c>
      <c r="L21" s="192"/>
      <c r="N21" s="204"/>
      <c r="O21" s="209"/>
      <c r="P21" s="242">
        <f t="shared" ref="P21:P28" si="18">ROUND(P20*(1+$G67),2)</f>
        <v>0</v>
      </c>
    </row>
    <row r="22" spans="2:16">
      <c r="B22" s="212">
        <f t="shared" si="1"/>
        <v>2028</v>
      </c>
      <c r="C22" s="213"/>
      <c r="D22" s="201">
        <f t="shared" si="15"/>
        <v>166.82</v>
      </c>
      <c r="E22" s="201">
        <f t="shared" si="15"/>
        <v>48.97</v>
      </c>
      <c r="F22" s="203">
        <f t="shared" si="0"/>
        <v>64.825162220620044</v>
      </c>
      <c r="G22" s="201">
        <f t="shared" si="15"/>
        <v>0</v>
      </c>
      <c r="H22" s="201">
        <f t="shared" ref="H22" si="19">ROUND(H21*(1+$G68),2)</f>
        <v>0</v>
      </c>
      <c r="I22" s="203">
        <f t="shared" si="5"/>
        <v>64.825162220620044</v>
      </c>
      <c r="J22" s="203">
        <f t="shared" si="2"/>
        <v>215.79</v>
      </c>
      <c r="K22" s="201">
        <f t="shared" si="17"/>
        <v>0.73</v>
      </c>
      <c r="L22" s="192"/>
      <c r="N22" s="204"/>
      <c r="O22" s="209"/>
      <c r="P22" s="242">
        <f t="shared" si="18"/>
        <v>0</v>
      </c>
    </row>
    <row r="23" spans="2:16">
      <c r="B23" s="212">
        <f t="shared" si="1"/>
        <v>2029</v>
      </c>
      <c r="C23" s="213"/>
      <c r="D23" s="201">
        <f t="shared" si="15"/>
        <v>170.49</v>
      </c>
      <c r="E23" s="201">
        <f t="shared" si="15"/>
        <v>50.05</v>
      </c>
      <c r="F23" s="203">
        <f t="shared" si="0"/>
        <v>66.252102859889462</v>
      </c>
      <c r="G23" s="201">
        <f t="shared" si="15"/>
        <v>0</v>
      </c>
      <c r="H23" s="201">
        <f t="shared" ref="H23" si="20">ROUND(H22*(1+$G69),2)</f>
        <v>0</v>
      </c>
      <c r="I23" s="203">
        <f t="shared" si="5"/>
        <v>66.252102859889462</v>
      </c>
      <c r="J23" s="203">
        <f t="shared" si="2"/>
        <v>220.54</v>
      </c>
      <c r="K23" s="201">
        <f t="shared" si="17"/>
        <v>0.75</v>
      </c>
      <c r="L23" s="192"/>
      <c r="N23" s="204"/>
      <c r="O23" s="209"/>
      <c r="P23" s="242">
        <f t="shared" si="18"/>
        <v>0</v>
      </c>
    </row>
    <row r="24" spans="2:16">
      <c r="B24" s="212">
        <f t="shared" si="1"/>
        <v>2030</v>
      </c>
      <c r="C24" s="213"/>
      <c r="D24" s="201">
        <f t="shared" si="15"/>
        <v>174.24</v>
      </c>
      <c r="E24" s="201">
        <f t="shared" si="15"/>
        <v>51.15</v>
      </c>
      <c r="F24" s="203">
        <f t="shared" si="0"/>
        <v>67.709084354722435</v>
      </c>
      <c r="G24" s="201">
        <f t="shared" si="15"/>
        <v>0</v>
      </c>
      <c r="H24" s="201">
        <f t="shared" ref="H24" si="21">ROUND(H23*(1+$G70),2)</f>
        <v>0</v>
      </c>
      <c r="I24" s="203">
        <f t="shared" si="5"/>
        <v>67.709084354722435</v>
      </c>
      <c r="J24" s="203">
        <f t="shared" si="2"/>
        <v>225.39</v>
      </c>
      <c r="K24" s="201">
        <f t="shared" si="17"/>
        <v>0.77</v>
      </c>
      <c r="L24" s="192"/>
      <c r="N24" s="204"/>
      <c r="O24" s="209"/>
      <c r="P24" s="242">
        <f t="shared" si="18"/>
        <v>0</v>
      </c>
    </row>
    <row r="25" spans="2:16">
      <c r="B25" s="212">
        <f t="shared" si="1"/>
        <v>2031</v>
      </c>
      <c r="C25" s="213"/>
      <c r="D25" s="201">
        <f t="shared" si="15"/>
        <v>178.07</v>
      </c>
      <c r="E25" s="201">
        <f t="shared" si="15"/>
        <v>52.28</v>
      </c>
      <c r="F25" s="203">
        <f t="shared" si="0"/>
        <v>69.19911079067532</v>
      </c>
      <c r="G25" s="201">
        <f t="shared" si="15"/>
        <v>0</v>
      </c>
      <c r="H25" s="201">
        <f t="shared" ref="H25" si="22">ROUND(H24*(1+$G71),2)</f>
        <v>0</v>
      </c>
      <c r="I25" s="203">
        <f t="shared" si="5"/>
        <v>69.19911079067532</v>
      </c>
      <c r="J25" s="203">
        <f t="shared" si="2"/>
        <v>230.35</v>
      </c>
      <c r="K25" s="201">
        <f t="shared" si="17"/>
        <v>0.79</v>
      </c>
      <c r="L25" s="192"/>
      <c r="N25" s="204"/>
      <c r="O25" s="209"/>
      <c r="P25" s="242">
        <f t="shared" si="18"/>
        <v>0</v>
      </c>
    </row>
    <row r="26" spans="2:16">
      <c r="B26" s="212">
        <f t="shared" si="1"/>
        <v>2032</v>
      </c>
      <c r="C26" s="213"/>
      <c r="D26" s="201">
        <f t="shared" si="15"/>
        <v>181.99</v>
      </c>
      <c r="E26" s="201">
        <f t="shared" si="15"/>
        <v>53.43</v>
      </c>
      <c r="F26" s="203">
        <f t="shared" si="0"/>
        <v>70.722182167748144</v>
      </c>
      <c r="G26" s="201">
        <f t="shared" si="15"/>
        <v>0</v>
      </c>
      <c r="H26" s="201">
        <f t="shared" ref="H26" si="23">ROUND(H25*(1+$G72),2)</f>
        <v>0</v>
      </c>
      <c r="I26" s="203">
        <f t="shared" si="5"/>
        <v>70.722182167748144</v>
      </c>
      <c r="J26" s="203">
        <f t="shared" si="2"/>
        <v>235.42</v>
      </c>
      <c r="K26" s="201">
        <f t="shared" si="17"/>
        <v>0.81</v>
      </c>
      <c r="L26" s="192"/>
      <c r="N26" s="204"/>
      <c r="O26" s="209"/>
      <c r="P26" s="242">
        <f t="shared" si="18"/>
        <v>0</v>
      </c>
    </row>
    <row r="27" spans="2:16">
      <c r="B27" s="212">
        <f t="shared" si="1"/>
        <v>2033</v>
      </c>
      <c r="C27" s="213"/>
      <c r="D27" s="201">
        <f t="shared" si="15"/>
        <v>185.99</v>
      </c>
      <c r="E27" s="201">
        <f t="shared" si="15"/>
        <v>54.61</v>
      </c>
      <c r="F27" s="203">
        <f t="shared" si="0"/>
        <v>72.278298485940894</v>
      </c>
      <c r="G27" s="201">
        <f t="shared" si="15"/>
        <v>0</v>
      </c>
      <c r="H27" s="201">
        <f t="shared" ref="H27" si="24">ROUND(H26*(1+$G73),2)</f>
        <v>0</v>
      </c>
      <c r="I27" s="203">
        <f t="shared" si="5"/>
        <v>72.278298485940894</v>
      </c>
      <c r="J27" s="203">
        <f t="shared" si="2"/>
        <v>240.6</v>
      </c>
      <c r="K27" s="201">
        <f t="shared" si="17"/>
        <v>0.83</v>
      </c>
      <c r="L27" s="192"/>
      <c r="P27" s="242">
        <f t="shared" si="18"/>
        <v>0</v>
      </c>
    </row>
    <row r="28" spans="2:16">
      <c r="B28" s="212">
        <f t="shared" si="1"/>
        <v>2034</v>
      </c>
      <c r="C28" s="213"/>
      <c r="D28" s="201">
        <f t="shared" si="15"/>
        <v>190.08</v>
      </c>
      <c r="E28" s="201">
        <f t="shared" si="15"/>
        <v>55.81</v>
      </c>
      <c r="F28" s="203">
        <f t="shared" si="0"/>
        <v>73.867459745253555</v>
      </c>
      <c r="G28" s="201">
        <f t="shared" si="15"/>
        <v>0</v>
      </c>
      <c r="H28" s="201">
        <f t="shared" ref="H28" si="25">ROUND(H27*(1+$G74),2)</f>
        <v>0</v>
      </c>
      <c r="I28" s="203">
        <f t="shared" si="5"/>
        <v>73.867459745253555</v>
      </c>
      <c r="J28" s="203">
        <f t="shared" si="2"/>
        <v>245.89</v>
      </c>
      <c r="K28" s="201">
        <f t="shared" si="17"/>
        <v>0.85</v>
      </c>
      <c r="L28" s="192"/>
      <c r="P28" s="242">
        <f t="shared" si="18"/>
        <v>0</v>
      </c>
    </row>
    <row r="29" spans="2:16">
      <c r="B29" s="212">
        <f t="shared" si="1"/>
        <v>2035</v>
      </c>
      <c r="C29" s="213"/>
      <c r="D29" s="201">
        <f t="shared" ref="D29:E36" si="26">ROUND(D28*(1+$K66),2)</f>
        <v>194.26</v>
      </c>
      <c r="E29" s="201">
        <f t="shared" si="26"/>
        <v>57.04</v>
      </c>
      <c r="F29" s="203">
        <f t="shared" si="0"/>
        <v>75.492670031242497</v>
      </c>
      <c r="G29" s="201">
        <f t="shared" ref="G29:H36" si="27">ROUND(G28*(1+$K66),2)</f>
        <v>0</v>
      </c>
      <c r="H29" s="201">
        <f t="shared" si="27"/>
        <v>0</v>
      </c>
      <c r="I29" s="203">
        <f t="shared" si="5"/>
        <v>75.492670031242497</v>
      </c>
      <c r="J29" s="203">
        <f t="shared" si="2"/>
        <v>251.3</v>
      </c>
      <c r="K29" s="201">
        <f>ROUND(K28*(1+$K66),2)</f>
        <v>0.87</v>
      </c>
      <c r="L29" s="192"/>
      <c r="P29" s="242">
        <f>ROUND(P28*(1+$K66),2)</f>
        <v>0</v>
      </c>
    </row>
    <row r="30" spans="2:16">
      <c r="B30" s="212">
        <f t="shared" si="1"/>
        <v>2036</v>
      </c>
      <c r="C30" s="213"/>
      <c r="D30" s="201">
        <f t="shared" si="26"/>
        <v>198.53</v>
      </c>
      <c r="E30" s="201">
        <f t="shared" si="26"/>
        <v>58.29</v>
      </c>
      <c r="F30" s="203">
        <f t="shared" si="0"/>
        <v>77.150925258351364</v>
      </c>
      <c r="G30" s="201">
        <f t="shared" si="27"/>
        <v>0</v>
      </c>
      <c r="H30" s="201">
        <f t="shared" si="27"/>
        <v>0</v>
      </c>
      <c r="I30" s="203">
        <f t="shared" si="5"/>
        <v>77.150925258351364</v>
      </c>
      <c r="J30" s="203">
        <f t="shared" si="2"/>
        <v>256.82</v>
      </c>
      <c r="K30" s="201">
        <f t="shared" ref="K30:K36" si="28">ROUND(K29*(1+$K67),2)</f>
        <v>0.89</v>
      </c>
      <c r="L30" s="192"/>
      <c r="P30" s="242">
        <f t="shared" ref="P30:P36" si="29">ROUND(P29*(1+$K67),2)</f>
        <v>0</v>
      </c>
    </row>
    <row r="31" spans="2:16">
      <c r="B31" s="212">
        <f t="shared" si="1"/>
        <v>2037</v>
      </c>
      <c r="C31" s="213"/>
      <c r="D31" s="201">
        <f t="shared" si="26"/>
        <v>202.9</v>
      </c>
      <c r="E31" s="201">
        <f t="shared" si="26"/>
        <v>59.57</v>
      </c>
      <c r="F31" s="203">
        <f t="shared" si="0"/>
        <v>78.848233597692882</v>
      </c>
      <c r="G31" s="201">
        <f t="shared" si="27"/>
        <v>0</v>
      </c>
      <c r="H31" s="201">
        <f t="shared" si="27"/>
        <v>0</v>
      </c>
      <c r="I31" s="203">
        <f t="shared" si="5"/>
        <v>78.848233597692882</v>
      </c>
      <c r="J31" s="203">
        <f t="shared" si="2"/>
        <v>262.47000000000003</v>
      </c>
      <c r="K31" s="201">
        <f t="shared" si="28"/>
        <v>0.91</v>
      </c>
      <c r="L31" s="192"/>
      <c r="P31" s="242">
        <f t="shared" si="29"/>
        <v>0</v>
      </c>
    </row>
    <row r="32" spans="2:16">
      <c r="B32" s="212">
        <f t="shared" si="1"/>
        <v>2038</v>
      </c>
      <c r="C32" s="213"/>
      <c r="D32" s="201">
        <f t="shared" si="26"/>
        <v>207.36</v>
      </c>
      <c r="E32" s="201">
        <f t="shared" si="26"/>
        <v>60.88</v>
      </c>
      <c r="F32" s="203">
        <f t="shared" si="0"/>
        <v>80.581590963710653</v>
      </c>
      <c r="G32" s="201">
        <f t="shared" si="27"/>
        <v>0</v>
      </c>
      <c r="H32" s="201">
        <f t="shared" si="27"/>
        <v>0</v>
      </c>
      <c r="I32" s="203">
        <f t="shared" si="5"/>
        <v>80.581590963710653</v>
      </c>
      <c r="J32" s="203">
        <f t="shared" si="2"/>
        <v>268.24</v>
      </c>
      <c r="K32" s="201">
        <f t="shared" si="28"/>
        <v>0.93</v>
      </c>
      <c r="L32" s="192"/>
      <c r="P32" s="242">
        <f t="shared" si="29"/>
        <v>0</v>
      </c>
    </row>
    <row r="33" spans="2:16">
      <c r="B33" s="212">
        <f t="shared" si="1"/>
        <v>2039</v>
      </c>
      <c r="C33" s="213"/>
      <c r="D33" s="201">
        <f t="shared" si="26"/>
        <v>211.92</v>
      </c>
      <c r="E33" s="201">
        <f t="shared" si="26"/>
        <v>62.22</v>
      </c>
      <c r="F33" s="203">
        <f t="shared" si="0"/>
        <v>82.354001441961074</v>
      </c>
      <c r="G33" s="201">
        <f t="shared" si="27"/>
        <v>0</v>
      </c>
      <c r="H33" s="201">
        <f t="shared" si="27"/>
        <v>0</v>
      </c>
      <c r="I33" s="203">
        <f t="shared" si="5"/>
        <v>82.354001441961074</v>
      </c>
      <c r="J33" s="203">
        <f t="shared" si="2"/>
        <v>274.14</v>
      </c>
      <c r="K33" s="201">
        <f t="shared" si="28"/>
        <v>0.95</v>
      </c>
      <c r="L33" s="192"/>
      <c r="P33" s="242">
        <f t="shared" si="29"/>
        <v>0</v>
      </c>
    </row>
    <row r="34" spans="2:16">
      <c r="B34" s="212">
        <f t="shared" si="1"/>
        <v>2040</v>
      </c>
      <c r="C34" s="213"/>
      <c r="D34" s="201">
        <f t="shared" si="26"/>
        <v>216.58</v>
      </c>
      <c r="E34" s="201">
        <f t="shared" si="26"/>
        <v>63.59</v>
      </c>
      <c r="F34" s="203">
        <f t="shared" si="0"/>
        <v>84.165465032444132</v>
      </c>
      <c r="G34" s="201">
        <f t="shared" si="27"/>
        <v>0</v>
      </c>
      <c r="H34" s="201">
        <f t="shared" si="27"/>
        <v>0</v>
      </c>
      <c r="I34" s="203">
        <f t="shared" si="5"/>
        <v>84.165465032444132</v>
      </c>
      <c r="J34" s="203">
        <f t="shared" si="2"/>
        <v>280.17</v>
      </c>
      <c r="K34" s="201">
        <f t="shared" si="28"/>
        <v>0.97</v>
      </c>
      <c r="L34" s="192"/>
      <c r="P34" s="242">
        <f t="shared" si="29"/>
        <v>0</v>
      </c>
    </row>
    <row r="35" spans="2:16">
      <c r="B35" s="212">
        <f t="shared" si="1"/>
        <v>2041</v>
      </c>
      <c r="C35" s="213"/>
      <c r="D35" s="201">
        <f t="shared" si="26"/>
        <v>221.34</v>
      </c>
      <c r="E35" s="201">
        <f t="shared" si="26"/>
        <v>64.989999999999995</v>
      </c>
      <c r="F35" s="203">
        <f t="shared" si="0"/>
        <v>86.015981735159812</v>
      </c>
      <c r="G35" s="201">
        <f t="shared" si="27"/>
        <v>0</v>
      </c>
      <c r="H35" s="201">
        <f t="shared" si="27"/>
        <v>0</v>
      </c>
      <c r="I35" s="203">
        <f t="shared" si="5"/>
        <v>86.015981735159812</v>
      </c>
      <c r="J35" s="203">
        <f t="shared" si="2"/>
        <v>286.33</v>
      </c>
      <c r="K35" s="201">
        <f t="shared" si="28"/>
        <v>0.99</v>
      </c>
      <c r="L35" s="192"/>
      <c r="P35" s="242">
        <f t="shared" si="29"/>
        <v>0</v>
      </c>
    </row>
    <row r="36" spans="2:16">
      <c r="B36" s="212">
        <f t="shared" si="1"/>
        <v>2042</v>
      </c>
      <c r="C36" s="213"/>
      <c r="D36" s="201">
        <f t="shared" si="26"/>
        <v>226.21</v>
      </c>
      <c r="E36" s="201">
        <f t="shared" si="26"/>
        <v>66.42</v>
      </c>
      <c r="F36" s="203">
        <f t="shared" si="0"/>
        <v>87.908555635664513</v>
      </c>
      <c r="G36" s="201">
        <f t="shared" si="27"/>
        <v>0</v>
      </c>
      <c r="H36" s="201">
        <f t="shared" si="27"/>
        <v>0</v>
      </c>
      <c r="I36" s="203">
        <f t="shared" si="5"/>
        <v>87.908555635664513</v>
      </c>
      <c r="J36" s="203">
        <f t="shared" si="2"/>
        <v>292.63</v>
      </c>
      <c r="K36" s="201">
        <f t="shared" si="28"/>
        <v>1.01</v>
      </c>
      <c r="L36" s="192"/>
      <c r="P36" s="242">
        <f t="shared" si="29"/>
        <v>0</v>
      </c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0.0706748586244695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38.0%)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ID Wind Resource - 38%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1811.0329095752811</v>
      </c>
      <c r="D55" s="190" t="s">
        <v>113</v>
      </c>
      <c r="H55" s="190" t="s">
        <v>9</v>
      </c>
    </row>
    <row r="56" spans="2:24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/>
      <c r="D59" s="190" t="s">
        <v>119</v>
      </c>
      <c r="H59" s="190" t="s">
        <v>118</v>
      </c>
      <c r="K59" s="230"/>
      <c r="L59" s="230"/>
      <c r="M59" s="231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7.0674858624469455E-2</v>
      </c>
      <c r="D62" s="190" t="s">
        <v>54</v>
      </c>
      <c r="K62" s="236"/>
      <c r="L62" s="237"/>
      <c r="M62" s="237"/>
      <c r="O62" s="238"/>
    </row>
    <row r="63" spans="2:24">
      <c r="C63" s="239">
        <v>0.38</v>
      </c>
      <c r="D63" s="190" t="s">
        <v>55</v>
      </c>
    </row>
    <row r="64" spans="2:24" ht="13.5" thickBot="1">
      <c r="D64" s="233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30">C66+1</f>
        <v>2018</v>
      </c>
      <c r="D67" s="57">
        <v>1.7999999999999999E-2</v>
      </c>
      <c r="E67" s="105"/>
      <c r="F67" s="130">
        <f t="shared" ref="F67:F74" si="31">F66+1</f>
        <v>2027</v>
      </c>
      <c r="G67" s="57">
        <v>2.1999999999999999E-2</v>
      </c>
      <c r="H67" s="105"/>
      <c r="I67" s="130">
        <f t="shared" ref="I67:I74" si="32">I66+1</f>
        <v>2036</v>
      </c>
      <c r="J67" s="130"/>
      <c r="K67" s="57">
        <v>2.1999999999999999E-2</v>
      </c>
    </row>
    <row r="68" spans="3:11">
      <c r="C68" s="130">
        <f t="shared" si="30"/>
        <v>2019</v>
      </c>
      <c r="D68" s="57">
        <v>2.3E-2</v>
      </c>
      <c r="E68" s="105"/>
      <c r="F68" s="130">
        <f t="shared" si="31"/>
        <v>2028</v>
      </c>
      <c r="G68" s="57">
        <v>2.1999999999999999E-2</v>
      </c>
      <c r="H68" s="105"/>
      <c r="I68" s="130">
        <f t="shared" si="32"/>
        <v>2037</v>
      </c>
      <c r="J68" s="130"/>
      <c r="K68" s="57">
        <v>2.1999999999999999E-2</v>
      </c>
    </row>
    <row r="69" spans="3:11">
      <c r="C69" s="130">
        <f t="shared" si="30"/>
        <v>2020</v>
      </c>
      <c r="D69" s="57">
        <v>2.5999999999999999E-2</v>
      </c>
      <c r="E69" s="105"/>
      <c r="F69" s="130">
        <f t="shared" si="31"/>
        <v>2029</v>
      </c>
      <c r="G69" s="57">
        <v>2.1999999999999999E-2</v>
      </c>
      <c r="H69" s="105"/>
      <c r="I69" s="130">
        <f t="shared" si="32"/>
        <v>2038</v>
      </c>
      <c r="J69" s="130"/>
      <c r="K69" s="57">
        <v>2.1999999999999999E-2</v>
      </c>
    </row>
    <row r="70" spans="3:11">
      <c r="C70" s="130">
        <f t="shared" si="30"/>
        <v>2021</v>
      </c>
      <c r="D70" s="57">
        <v>2.4E-2</v>
      </c>
      <c r="E70" s="105"/>
      <c r="F70" s="130">
        <f t="shared" si="31"/>
        <v>2030</v>
      </c>
      <c r="G70" s="57">
        <v>2.1999999999999999E-2</v>
      </c>
      <c r="H70" s="105"/>
      <c r="I70" s="130">
        <f t="shared" si="32"/>
        <v>2039</v>
      </c>
      <c r="J70" s="130"/>
      <c r="K70" s="57">
        <v>2.1999999999999999E-2</v>
      </c>
    </row>
    <row r="71" spans="3:11">
      <c r="C71" s="130">
        <f t="shared" si="30"/>
        <v>2022</v>
      </c>
      <c r="D71" s="57">
        <v>2.3E-2</v>
      </c>
      <c r="E71" s="105"/>
      <c r="F71" s="130">
        <f t="shared" si="31"/>
        <v>2031</v>
      </c>
      <c r="G71" s="57">
        <v>2.1999999999999999E-2</v>
      </c>
      <c r="H71" s="105"/>
      <c r="I71" s="130">
        <f t="shared" si="32"/>
        <v>2040</v>
      </c>
      <c r="J71" s="130"/>
      <c r="K71" s="57">
        <v>2.1999999999999999E-2</v>
      </c>
    </row>
    <row r="72" spans="3:11" s="192" customFormat="1">
      <c r="C72" s="130">
        <f t="shared" si="30"/>
        <v>2023</v>
      </c>
      <c r="D72" s="57">
        <v>2.3E-2</v>
      </c>
      <c r="E72" s="107"/>
      <c r="F72" s="130">
        <f t="shared" si="31"/>
        <v>2032</v>
      </c>
      <c r="G72" s="57">
        <v>2.1999999999999999E-2</v>
      </c>
      <c r="H72" s="107"/>
      <c r="I72" s="130">
        <f t="shared" si="32"/>
        <v>2041</v>
      </c>
      <c r="J72" s="130"/>
      <c r="K72" s="57">
        <v>2.1999999999999999E-2</v>
      </c>
    </row>
    <row r="73" spans="3:11" s="192" customFormat="1">
      <c r="C73" s="130">
        <f t="shared" si="30"/>
        <v>2024</v>
      </c>
      <c r="D73" s="57">
        <v>2.3E-2</v>
      </c>
      <c r="E73" s="107"/>
      <c r="F73" s="130">
        <f t="shared" si="31"/>
        <v>2033</v>
      </c>
      <c r="G73" s="57">
        <v>2.1999999999999999E-2</v>
      </c>
      <c r="H73" s="107"/>
      <c r="I73" s="130">
        <f t="shared" si="32"/>
        <v>2042</v>
      </c>
      <c r="J73" s="130"/>
      <c r="K73" s="57">
        <v>2.1999999999999999E-2</v>
      </c>
    </row>
    <row r="74" spans="3:11" s="192" customFormat="1">
      <c r="C74" s="130">
        <f t="shared" si="30"/>
        <v>2025</v>
      </c>
      <c r="D74" s="57">
        <v>2.3E-2</v>
      </c>
      <c r="E74" s="107"/>
      <c r="F74" s="130">
        <f t="shared" si="31"/>
        <v>2034</v>
      </c>
      <c r="G74" s="57">
        <v>2.1999999999999999E-2</v>
      </c>
      <c r="H74" s="107"/>
      <c r="I74" s="130">
        <f t="shared" si="32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J70"/>
  <sheetViews>
    <sheetView topLeftCell="A2" zoomScale="70" zoomScaleNormal="70" zoomScaleSheetLayoutView="100" workbookViewId="0">
      <selection activeCell="Y9" sqref="Y9"/>
    </sheetView>
  </sheetViews>
  <sheetFormatPr defaultRowHeight="12.75"/>
  <cols>
    <col min="1" max="1" width="21.33203125" style="4" customWidth="1"/>
    <col min="2" max="2" width="10.83203125" style="4" customWidth="1"/>
    <col min="3" max="3" width="18.83203125" style="4" customWidth="1"/>
    <col min="4" max="4" width="6.5" style="4" customWidth="1"/>
    <col min="5" max="5" width="18.83203125" style="4" customWidth="1"/>
    <col min="6" max="6" width="3.5" style="4" bestFit="1" customWidth="1"/>
    <col min="7" max="7" width="27.83203125" style="4" customWidth="1"/>
    <col min="8" max="8" width="8.33203125" style="4" bestFit="1" customWidth="1"/>
    <col min="9" max="9" width="14.1640625" style="4" customWidth="1"/>
    <col min="10" max="10" width="14.5" customWidth="1"/>
    <col min="11" max="11" width="16.6640625" customWidth="1"/>
    <col min="12" max="12" width="19.1640625" customWidth="1"/>
    <col min="62" max="62" width="11" customWidth="1"/>
  </cols>
  <sheetData>
    <row r="1" spans="2:62" customFormat="1" ht="15.75" hidden="1">
      <c r="B1" s="1" t="s">
        <v>52</v>
      </c>
      <c r="C1" s="3"/>
      <c r="D1" s="3"/>
      <c r="E1" s="3"/>
      <c r="F1" s="3"/>
      <c r="G1" s="12"/>
      <c r="H1" s="50"/>
      <c r="I1" s="6"/>
    </row>
    <row r="2" spans="2:62" customFormat="1" ht="5.25" customHeight="1">
      <c r="B2" s="1"/>
      <c r="C2" s="3"/>
      <c r="D2" s="3"/>
      <c r="E2" s="3"/>
      <c r="F2" s="4"/>
      <c r="G2" s="12"/>
      <c r="H2" s="50"/>
      <c r="I2" s="6"/>
    </row>
    <row r="3" spans="2:62" customFormat="1" ht="15.75">
      <c r="B3" s="1" t="s">
        <v>24</v>
      </c>
      <c r="C3" s="3"/>
      <c r="D3" s="3"/>
      <c r="E3" s="3"/>
      <c r="F3" s="3"/>
      <c r="G3" s="12"/>
      <c r="H3" s="50"/>
      <c r="I3" s="6"/>
    </row>
    <row r="4" spans="2:62" customFormat="1" ht="15.75">
      <c r="B4" s="5" t="s">
        <v>21</v>
      </c>
      <c r="C4" s="5"/>
      <c r="D4" s="5"/>
      <c r="E4" s="5"/>
      <c r="F4" s="5"/>
      <c r="G4" s="1"/>
      <c r="H4" s="50"/>
      <c r="I4" s="6"/>
      <c r="P4" s="260" t="s">
        <v>86</v>
      </c>
    </row>
    <row r="5" spans="2:62" customFormat="1" ht="15.75">
      <c r="B5" s="5" t="str">
        <f ca="1">'Table 5'!M4&amp; " - "&amp;TEXT(Study_MW,"#.0")&amp;" MW and "&amp;TEXT(Study_CF,"#.0%")&amp;" CF"</f>
        <v>Utah 2017.Q3 Sch 38 Solar - 80.0 MW and 31.1% CF</v>
      </c>
      <c r="C5" s="5"/>
      <c r="D5" s="5"/>
      <c r="E5" s="5"/>
      <c r="F5" s="5"/>
      <c r="G5" s="1"/>
      <c r="H5" s="50"/>
      <c r="I5" s="6"/>
      <c r="P5" s="261">
        <v>0.158</v>
      </c>
      <c r="Q5" s="261">
        <v>0.158</v>
      </c>
      <c r="R5" s="261">
        <v>0.158</v>
      </c>
      <c r="S5" s="262">
        <v>1</v>
      </c>
      <c r="T5" s="262">
        <v>1</v>
      </c>
      <c r="U5" s="262">
        <v>1</v>
      </c>
      <c r="V5" s="262">
        <v>1</v>
      </c>
      <c r="W5" s="262">
        <v>1</v>
      </c>
      <c r="X5" s="261">
        <v>0.53861399146353772</v>
      </c>
      <c r="Y5" s="261">
        <v>0.59672377662708742</v>
      </c>
    </row>
    <row r="6" spans="2:62" customFormat="1" ht="14.25" hidden="1">
      <c r="B6" s="24"/>
      <c r="C6" s="5"/>
      <c r="D6" s="5"/>
      <c r="E6" s="5"/>
      <c r="F6" s="5"/>
      <c r="G6" s="12"/>
      <c r="H6" s="50"/>
      <c r="I6" s="6"/>
    </row>
    <row r="7" spans="2:62" customFormat="1">
      <c r="B7" s="4"/>
      <c r="C7" s="8"/>
      <c r="D7" s="8"/>
      <c r="E7" s="4"/>
      <c r="F7" s="4"/>
      <c r="G7" s="4"/>
      <c r="H7" s="50"/>
      <c r="I7" s="66"/>
    </row>
    <row r="8" spans="2:62" customFormat="1">
      <c r="B8" s="4"/>
      <c r="C8" s="4"/>
      <c r="D8" s="4"/>
      <c r="E8" s="13"/>
      <c r="F8" s="53"/>
      <c r="G8" s="7" t="s">
        <v>17</v>
      </c>
      <c r="H8" s="50"/>
      <c r="I8" s="268"/>
      <c r="K8" s="172" t="s">
        <v>86</v>
      </c>
      <c r="L8" s="172"/>
      <c r="P8" s="258" t="s">
        <v>141</v>
      </c>
      <c r="AB8" s="258" t="s">
        <v>142</v>
      </c>
      <c r="AN8" s="258" t="s">
        <v>143</v>
      </c>
      <c r="AZ8" s="258" t="s">
        <v>144</v>
      </c>
    </row>
    <row r="9" spans="2:62" customFormat="1">
      <c r="B9" s="4"/>
      <c r="C9" s="7" t="s">
        <v>6</v>
      </c>
      <c r="D9" s="7"/>
      <c r="E9" s="13" t="s">
        <v>22</v>
      </c>
      <c r="F9" s="53"/>
      <c r="G9" s="69">
        <f ca="1">Study_CF</f>
        <v>0.31060559218036532</v>
      </c>
      <c r="H9" s="50"/>
      <c r="I9" s="66"/>
      <c r="K9" s="173" t="s">
        <v>87</v>
      </c>
      <c r="L9" s="173" t="s">
        <v>71</v>
      </c>
      <c r="M9" s="263" t="s">
        <v>145</v>
      </c>
      <c r="P9" t="s">
        <v>137</v>
      </c>
      <c r="Q9" t="s">
        <v>132</v>
      </c>
      <c r="R9" t="s">
        <v>133</v>
      </c>
      <c r="S9" t="s">
        <v>138</v>
      </c>
      <c r="T9" t="s">
        <v>139</v>
      </c>
      <c r="U9" t="s">
        <v>140</v>
      </c>
      <c r="V9" t="s">
        <v>129</v>
      </c>
      <c r="W9" t="s">
        <v>128</v>
      </c>
      <c r="X9" t="s">
        <v>135</v>
      </c>
      <c r="Y9" t="s">
        <v>136</v>
      </c>
      <c r="AB9" t="s">
        <v>137</v>
      </c>
      <c r="AC9" t="s">
        <v>132</v>
      </c>
      <c r="AD9" t="s">
        <v>133</v>
      </c>
      <c r="AE9" t="s">
        <v>138</v>
      </c>
      <c r="AF9" t="s">
        <v>139</v>
      </c>
      <c r="AG9" t="s">
        <v>140</v>
      </c>
      <c r="AH9" t="s">
        <v>129</v>
      </c>
      <c r="AI9" t="s">
        <v>128</v>
      </c>
      <c r="AJ9" t="s">
        <v>135</v>
      </c>
      <c r="AK9" t="s">
        <v>136</v>
      </c>
      <c r="AN9" t="s">
        <v>137</v>
      </c>
      <c r="AO9" t="s">
        <v>132</v>
      </c>
      <c r="AP9" t="s">
        <v>133</v>
      </c>
      <c r="AQ9" t="s">
        <v>138</v>
      </c>
      <c r="AR9" t="s">
        <v>139</v>
      </c>
      <c r="AS9" t="s">
        <v>140</v>
      </c>
      <c r="AT9" t="s">
        <v>129</v>
      </c>
      <c r="AU9" t="s">
        <v>128</v>
      </c>
      <c r="AV9" t="s">
        <v>135</v>
      </c>
      <c r="AW9" t="s">
        <v>136</v>
      </c>
      <c r="AZ9" t="s">
        <v>137</v>
      </c>
      <c r="BA9" t="s">
        <v>132</v>
      </c>
      <c r="BB9" t="s">
        <v>133</v>
      </c>
      <c r="BC9" t="s">
        <v>138</v>
      </c>
      <c r="BD9" t="s">
        <v>139</v>
      </c>
      <c r="BE9" t="s">
        <v>140</v>
      </c>
      <c r="BF9" t="s">
        <v>129</v>
      </c>
      <c r="BG9" t="s">
        <v>128</v>
      </c>
      <c r="BH9" t="s">
        <v>135</v>
      </c>
      <c r="BI9" t="s">
        <v>136</v>
      </c>
      <c r="BJ9" t="s">
        <v>146</v>
      </c>
    </row>
    <row r="10" spans="2:62" customFormat="1">
      <c r="B10" s="7" t="s">
        <v>0</v>
      </c>
      <c r="C10" s="7" t="str">
        <f>"Price"&amp;IF(I8&lt;&gt;1," ","")</f>
        <v xml:space="preserve">Price </v>
      </c>
      <c r="D10" s="7"/>
      <c r="E10" s="13" t="s">
        <v>23</v>
      </c>
      <c r="F10" s="53"/>
      <c r="G10" s="13" t="s">
        <v>18</v>
      </c>
      <c r="H10" s="50"/>
      <c r="I10" s="132"/>
      <c r="K10" s="174"/>
      <c r="L10" s="174"/>
      <c r="M10" s="264"/>
    </row>
    <row r="11" spans="2:62" customFormat="1" ht="13.5">
      <c r="B11" s="7"/>
      <c r="C11" s="7" t="s">
        <v>20</v>
      </c>
      <c r="D11" s="7"/>
      <c r="E11" s="103" t="s">
        <v>74</v>
      </c>
      <c r="F11" s="53"/>
      <c r="G11" s="13" t="s">
        <v>39</v>
      </c>
      <c r="H11" s="50"/>
      <c r="I11" s="132"/>
      <c r="K11" s="175" t="s">
        <v>88</v>
      </c>
      <c r="L11" s="176">
        <v>0.158</v>
      </c>
      <c r="M11" s="176">
        <v>0.11776428835036618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N11" t="s">
        <v>147</v>
      </c>
      <c r="AO11" t="s">
        <v>147</v>
      </c>
      <c r="AP11" t="s">
        <v>147</v>
      </c>
      <c r="AQ11" t="s">
        <v>147</v>
      </c>
      <c r="AR11" t="s">
        <v>147</v>
      </c>
      <c r="AS11" t="s">
        <v>147</v>
      </c>
      <c r="AT11" t="s">
        <v>147</v>
      </c>
      <c r="AU11" t="s">
        <v>147</v>
      </c>
      <c r="AV11" t="s">
        <v>147</v>
      </c>
      <c r="AW11" t="s">
        <v>147</v>
      </c>
      <c r="AZ11" t="s">
        <v>148</v>
      </c>
      <c r="BA11" t="s">
        <v>148</v>
      </c>
      <c r="BB11" t="s">
        <v>148</v>
      </c>
      <c r="BC11" t="s">
        <v>148</v>
      </c>
      <c r="BD11" t="s">
        <v>148</v>
      </c>
      <c r="BE11" t="s">
        <v>148</v>
      </c>
      <c r="BF11" t="s">
        <v>148</v>
      </c>
      <c r="BG11" t="s">
        <v>148</v>
      </c>
      <c r="BH11" t="s">
        <v>148</v>
      </c>
      <c r="BI11" t="s">
        <v>148</v>
      </c>
      <c r="BJ11" t="s">
        <v>148</v>
      </c>
    </row>
    <row r="12" spans="2:62" customFormat="1">
      <c r="B12" s="266"/>
      <c r="C12" s="267"/>
      <c r="D12" s="266"/>
      <c r="E12" s="13"/>
      <c r="F12" s="13"/>
      <c r="G12" s="4"/>
      <c r="H12" s="50"/>
      <c r="I12" s="132"/>
      <c r="K12" s="175" t="s">
        <v>44</v>
      </c>
      <c r="L12" s="176">
        <v>0.37912293315598289</v>
      </c>
      <c r="M12" s="176">
        <v>0.53861399146353772</v>
      </c>
    </row>
    <row r="13" spans="2:62" customFormat="1">
      <c r="B13" s="16">
        <f>'Table 5'!J13</f>
        <v>2018</v>
      </c>
      <c r="C13" s="10">
        <f t="shared" ref="C13:C28" si="0">INDEX($BJ:$BJ,MATCH(B13,$O:$O,0),1)*1000/Study_MW</f>
        <v>0</v>
      </c>
      <c r="D13" s="62"/>
      <c r="E13" s="9">
        <f>SUMIF('Table 5'!$J$13:$J$264,B13,'Table 5'!$C$13:$C$264)/SUMIF('Table 5'!$J$13:$J$264,B13,'Table 5'!$F$13:$F$264)</f>
        <v>20.455461523846051</v>
      </c>
      <c r="F13" s="61"/>
      <c r="G13" s="14">
        <f>IFERROR(SUMIF('Table 5'!$J$13:$J$264,B13,'Table 5'!$E$13:$E$264)/SUMIF('Table 5'!$J$13:$J$264,B13,'Table 5'!$F$13:$F$264),0)</f>
        <v>20.455461523846051</v>
      </c>
      <c r="H13" s="50"/>
      <c r="K13" s="175" t="s">
        <v>89</v>
      </c>
      <c r="L13" s="176">
        <v>0.59672377662708742</v>
      </c>
      <c r="M13" s="176">
        <v>0.64803174039612643</v>
      </c>
      <c r="O13">
        <f t="shared" ref="O13:O32" si="1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B13">
        <f>P13/P$5</f>
        <v>0</v>
      </c>
      <c r="AC13">
        <f t="shared" ref="AC13:AK32" si="2">Q13/Q$5</f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2"/>
        <v>0</v>
      </c>
      <c r="AN13">
        <f>VLOOKUP($O13,'Table 3 WY Wind 2021'!$B$10:$J$36,9,FALSE)</f>
        <v>161.4</v>
      </c>
      <c r="AO13">
        <f>VLOOKUP($O13,'Table 3 DJ Wind 2031'!$B$10:$J$36,9,FALSE)</f>
        <v>168.85</v>
      </c>
      <c r="AP13">
        <f>VLOOKUP($O13,'Table 3 ID Wind 2036'!$B$10:$J$36,9,FALSE)</f>
        <v>171.75</v>
      </c>
      <c r="AQ13">
        <f>VLOOKUP($O13,'Table 3 30 MW Geoth 2029'!$B$10:$J$36,9,FALSE)</f>
        <v>634.29</v>
      </c>
      <c r="AR13">
        <f>VLOOKUP($O13,'Table 3 200 MW (UT N) 2029)'!$B$11:$H$41,7,FALSE)</f>
        <v>108.07</v>
      </c>
      <c r="AS13">
        <f>VLOOKUP($O13,'Table 3 436MW (West M) 2030'!$B$11:$I$41,7,FALSE)</f>
        <v>160.85</v>
      </c>
      <c r="AT13">
        <f>VLOOKUP($O13,'Table 3 477 MW (Wyo) 2033'!$B$11:$I$41,7,FALSE)</f>
        <v>164.64</v>
      </c>
      <c r="AU13">
        <f>VLOOKUP($O13,'Table 3 200 MW (Wyo) 2033'!$B$11:$I$41,7,FALSE)</f>
        <v>142</v>
      </c>
      <c r="AV13">
        <f>VLOOKUP($O13,'Table 3 Yakima Solar 2028'!$B$10:$K$36,9,FALSE)</f>
        <v>153.79</v>
      </c>
      <c r="AW13">
        <f>VLOOKUP($O13,'Table 3 UT Solar 2031'!$B$10:$K$36,9,FALSE)</f>
        <v>159.4</v>
      </c>
      <c r="AZ13">
        <f>SUM(AB$13:AB13)*AN13/1000</f>
        <v>0</v>
      </c>
      <c r="BA13">
        <f>SUM(AC$13:AC13)*AO13/1000</f>
        <v>0</v>
      </c>
      <c r="BB13">
        <f>SUM(AD$13:AD13)*AP13/1000</f>
        <v>0</v>
      </c>
      <c r="BC13">
        <f>SUM(AE$13:AE13)*AQ13/1000</f>
        <v>0</v>
      </c>
      <c r="BD13">
        <f>SUM(AF$13:AF13)*AR13/1000</f>
        <v>0</v>
      </c>
      <c r="BE13">
        <f>SUM(AG$13:AG13)*AS13/1000</f>
        <v>0</v>
      </c>
      <c r="BF13">
        <f>SUM(AH$13:AH13)*AT13/1000</f>
        <v>0</v>
      </c>
      <c r="BG13">
        <f>SUM(AI$13:AI13)*AU13/1000</f>
        <v>0</v>
      </c>
      <c r="BH13">
        <f>SUM(AJ$13:AJ13)*AV13/1000</f>
        <v>0</v>
      </c>
      <c r="BI13">
        <f>SUM(AK$13:AK13)*AW13/1000</f>
        <v>0</v>
      </c>
      <c r="BJ13">
        <f t="shared" ref="BJ13:BJ14" si="3">SUM(AZ13:BI13)</f>
        <v>0</v>
      </c>
    </row>
    <row r="14" spans="2:62" customFormat="1">
      <c r="B14" s="16">
        <f t="shared" ref="B14:B33" si="4">B13+1</f>
        <v>2019</v>
      </c>
      <c r="C14" s="10">
        <f t="shared" si="0"/>
        <v>0</v>
      </c>
      <c r="D14" s="62"/>
      <c r="E14" s="10">
        <f>SUMIF('Table 5'!$J$13:$J$264,B14,'Table 5'!$C$13:$C$264)/SUMIF('Table 5'!$J$13:$J$264,B14,'Table 5'!$F$13:$F$264)</f>
        <v>17.569226202204746</v>
      </c>
      <c r="F14" s="51"/>
      <c r="G14" s="15">
        <f>IFERROR(SUMIF('Table 5'!$J$13:$J$264,B14,'Table 5'!$E$13:$E$264)/SUMIF('Table 5'!$J$13:$J$264,B14,'Table 5'!$F$13:$F$264),0)</f>
        <v>17.569226202204746</v>
      </c>
      <c r="H14" s="50"/>
      <c r="K14" s="175" t="s">
        <v>90</v>
      </c>
      <c r="L14" s="176">
        <v>1</v>
      </c>
      <c r="M14" s="176">
        <v>1</v>
      </c>
      <c r="O14">
        <f t="shared" si="1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B14">
        <f t="shared" ref="AB14:AB32" si="5">P14/P$5</f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2"/>
        <v>0</v>
      </c>
      <c r="AN14">
        <f>VLOOKUP($O14,'Table 3 WY Wind 2021'!$B$10:$J$36,9,FALSE)</f>
        <v>165.13</v>
      </c>
      <c r="AO14">
        <f>VLOOKUP($O14,'Table 3 DJ Wind 2031'!$B$10:$J$36,9,FALSE)</f>
        <v>172.76</v>
      </c>
      <c r="AP14">
        <f>VLOOKUP($O14,'Table 3 ID Wind 2036'!$B$10:$J$36,9,FALSE)</f>
        <v>175.7</v>
      </c>
      <c r="AQ14">
        <f>VLOOKUP($O14,'Table 3 30 MW Geoth 2029'!$B$10:$J$36,9,FALSE)</f>
        <v>648.91999999999996</v>
      </c>
      <c r="AR14">
        <f>VLOOKUP($O14,'Table 3 200 MW (UT N) 2029)'!$B$11:$H$41,7,FALSE)</f>
        <v>110.55</v>
      </c>
      <c r="AS14">
        <f>VLOOKUP($O14,'Table 3 436MW (West M) 2030'!$B$11:$I$41,7,FALSE)</f>
        <v>164.56</v>
      </c>
      <c r="AT14">
        <f>VLOOKUP($O14,'Table 3 477 MW (Wyo) 2033'!$B$11:$I$41,7,FALSE)</f>
        <v>168.41</v>
      </c>
      <c r="AU14">
        <f>VLOOKUP($O14,'Table 3 200 MW (Wyo) 2033'!$B$11:$I$41,7,FALSE)</f>
        <v>145.27000000000001</v>
      </c>
      <c r="AV14">
        <f>VLOOKUP($O14,'Table 3 Yakima Solar 2028'!$B$10:$K$36,9,FALSE)</f>
        <v>157.32</v>
      </c>
      <c r="AW14">
        <f>VLOOKUP($O14,'Table 3 UT Solar 2031'!$B$10:$K$36,9,FALSE)</f>
        <v>163.05000000000001</v>
      </c>
      <c r="AZ14">
        <f>SUM(AB$13:AB14)*AN14/1000</f>
        <v>0</v>
      </c>
      <c r="BA14">
        <f>SUM(AC$13:AC14)*AO14/1000</f>
        <v>0</v>
      </c>
      <c r="BB14">
        <f>SUM(AD$13:AD14)*AP14/1000</f>
        <v>0</v>
      </c>
      <c r="BC14">
        <f>SUM(AE$13:AE14)*AQ14/1000</f>
        <v>0</v>
      </c>
      <c r="BD14">
        <f>SUM(AF$13:AF14)*AR14/1000</f>
        <v>0</v>
      </c>
      <c r="BE14">
        <f>SUM(AG$13:AG14)*AS14/1000</f>
        <v>0</v>
      </c>
      <c r="BF14">
        <f>SUM(AH$13:AH14)*AT14/1000</f>
        <v>0</v>
      </c>
      <c r="BG14">
        <f>SUM(AI$13:AI14)*AU14/1000</f>
        <v>0</v>
      </c>
      <c r="BH14">
        <f>SUM(AJ$13:AJ14)*AV14/1000</f>
        <v>0</v>
      </c>
      <c r="BI14">
        <f>SUM(AK$13:AK14)*AW14/1000</f>
        <v>0</v>
      </c>
      <c r="BJ14">
        <f t="shared" si="3"/>
        <v>0</v>
      </c>
    </row>
    <row r="15" spans="2:62" customFormat="1">
      <c r="B15" s="16">
        <f t="shared" si="4"/>
        <v>2020</v>
      </c>
      <c r="C15" s="10">
        <f t="shared" si="0"/>
        <v>0</v>
      </c>
      <c r="D15" s="62"/>
      <c r="E15" s="10">
        <f>SUMIF('Table 5'!$J$13:$J$264,B15,'Table 5'!$C$13:$C$264)/SUMIF('Table 5'!$J$13:$J$264,B15,'Table 5'!$F$13:$F$264)</f>
        <v>11.993059926629499</v>
      </c>
      <c r="F15" s="51"/>
      <c r="G15" s="15">
        <f>IFERROR(SUMIF('Table 5'!$J$13:$J$264,B15,'Table 5'!$E$13:$E$264)/SUMIF('Table 5'!$J$13:$J$264,B15,'Table 5'!$F$13:$F$264),0)</f>
        <v>11.993059926629499</v>
      </c>
      <c r="H15" s="50"/>
      <c r="K15" s="175" t="s">
        <v>91</v>
      </c>
      <c r="L15" s="176">
        <v>1</v>
      </c>
      <c r="M15" s="176">
        <v>1</v>
      </c>
      <c r="O15">
        <f t="shared" si="1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B15">
        <f t="shared" si="5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2"/>
        <v>0</v>
      </c>
      <c r="AN15">
        <f>VLOOKUP($O15,'Table 3 WY Wind 2021'!$B$10:$J$36,9,FALSE)</f>
        <v>169.43</v>
      </c>
      <c r="AO15">
        <f>VLOOKUP($O15,'Table 3 DJ Wind 2031'!$B$10:$J$36,9,FALSE)</f>
        <v>177.26</v>
      </c>
      <c r="AP15">
        <f>VLOOKUP($O15,'Table 3 ID Wind 2036'!$B$10:$J$36,9,FALSE)</f>
        <v>180.27</v>
      </c>
      <c r="AQ15">
        <f>VLOOKUP($O15,'Table 3 30 MW Geoth 2029'!$B$10:$J$36,9,FALSE)</f>
        <v>665.76</v>
      </c>
      <c r="AR15">
        <f>VLOOKUP($O15,'Table 3 200 MW (UT N) 2029)'!$B$11:$H$41,7,FALSE)</f>
        <v>113.43</v>
      </c>
      <c r="AS15">
        <f>VLOOKUP($O15,'Table 3 436MW (West M) 2030'!$B$11:$I$41,7,FALSE)</f>
        <v>168.87</v>
      </c>
      <c r="AT15">
        <f>VLOOKUP($O15,'Table 3 477 MW (Wyo) 2033'!$B$11:$I$41,7,FALSE)</f>
        <v>172.78</v>
      </c>
      <c r="AU15">
        <f>VLOOKUP($O15,'Table 3 200 MW (Wyo) 2033'!$B$11:$I$41,7,FALSE)</f>
        <v>149.05000000000001</v>
      </c>
      <c r="AV15">
        <f>VLOOKUP($O15,'Table 3 Yakima Solar 2028'!$B$10:$K$36,9,FALSE)</f>
        <v>161.41999999999999</v>
      </c>
      <c r="AW15">
        <f>VLOOKUP($O15,'Table 3 UT Solar 2031'!$B$10:$K$36,9,FALSE)</f>
        <v>167.28</v>
      </c>
      <c r="AZ15">
        <f>SUM(AB$13:AB15)*AN15/1000</f>
        <v>0</v>
      </c>
      <c r="BA15">
        <f>SUM(AC$13:AC15)*AO15/1000</f>
        <v>0</v>
      </c>
      <c r="BB15">
        <f>SUM(AD$13:AD15)*AP15/1000</f>
        <v>0</v>
      </c>
      <c r="BC15">
        <f>SUM(AE$13:AE15)*AQ15/1000</f>
        <v>0</v>
      </c>
      <c r="BD15">
        <f>SUM(AF$13:AF15)*AR15/1000</f>
        <v>0</v>
      </c>
      <c r="BE15">
        <f>SUM(AG$13:AG15)*AS15/1000</f>
        <v>0</v>
      </c>
      <c r="BF15">
        <f>SUM(AH$13:AH15)*AT15/1000</f>
        <v>0</v>
      </c>
      <c r="BG15">
        <f>SUM(AI$13:AI15)*AU15/1000</f>
        <v>0</v>
      </c>
      <c r="BH15">
        <f>SUM(AJ$13:AJ15)*AV15/1000</f>
        <v>0</v>
      </c>
      <c r="BI15">
        <f>SUM(AK$13:AK15)*AW15/1000</f>
        <v>0</v>
      </c>
      <c r="BJ15">
        <f>SUM(AZ15:BI15)</f>
        <v>0</v>
      </c>
    </row>
    <row r="16" spans="2:62" customFormat="1">
      <c r="B16" s="16">
        <f t="shared" si="4"/>
        <v>2021</v>
      </c>
      <c r="C16" s="10">
        <f t="shared" si="0"/>
        <v>0</v>
      </c>
      <c r="D16" s="62"/>
      <c r="E16" s="10">
        <f>SUMIF('Table 5'!$J$13:$J$264,B16,'Table 5'!$C$13:$C$264)/SUMIF('Table 5'!$J$13:$J$264,B16,'Table 5'!$F$13:$F$264)</f>
        <v>14.951322406878681</v>
      </c>
      <c r="F16" s="51"/>
      <c r="G16" s="15">
        <f>IFERROR(SUMIF('Table 5'!$J$13:$J$264,B16,'Table 5'!$E$13:$E$264)/SUMIF('Table 5'!$J$13:$J$264,B16,'Table 5'!$F$13:$F$264),0)</f>
        <v>14.951322406878681</v>
      </c>
      <c r="H16" s="50"/>
      <c r="M16" s="180"/>
      <c r="O16">
        <f t="shared" si="1"/>
        <v>2021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B16">
        <f t="shared" si="5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2"/>
        <v>0</v>
      </c>
      <c r="AN16">
        <f>VLOOKUP($O16,'Table 3 WY Wind 2021'!$B$10:$J$36,9,FALSE)</f>
        <v>22.27</v>
      </c>
      <c r="AO16">
        <f>VLOOKUP($O16,'Table 3 DJ Wind 2031'!$B$10:$J$36,9,FALSE)</f>
        <v>181.53</v>
      </c>
      <c r="AP16">
        <f>VLOOKUP($O16,'Table 3 ID Wind 2036'!$B$10:$J$36,9,FALSE)</f>
        <v>184.59</v>
      </c>
      <c r="AQ16">
        <f>VLOOKUP($O16,'Table 3 30 MW Geoth 2029'!$B$10:$J$36,9,FALSE)</f>
        <v>681.73</v>
      </c>
      <c r="AR16">
        <f>VLOOKUP($O16,'Table 3 200 MW (UT N) 2029)'!$B$11:$H$41,7,FALSE)</f>
        <v>116.16</v>
      </c>
      <c r="AS16">
        <f>VLOOKUP($O16,'Table 3 436MW (West M) 2030'!$B$11:$I$41,7,FALSE)</f>
        <v>172.9</v>
      </c>
      <c r="AT16">
        <f>VLOOKUP($O16,'Table 3 477 MW (Wyo) 2033'!$B$11:$I$41,7,FALSE)</f>
        <v>176.93</v>
      </c>
      <c r="AU16">
        <f>VLOOKUP($O16,'Table 3 200 MW (Wyo) 2033'!$B$11:$I$41,7,FALSE)</f>
        <v>152.63</v>
      </c>
      <c r="AV16">
        <f>VLOOKUP($O16,'Table 3 Yakima Solar 2028'!$B$10:$K$36,9,FALSE)</f>
        <v>165.28</v>
      </c>
      <c r="AW16">
        <f>VLOOKUP($O16,'Table 3 UT Solar 2031'!$B$10:$K$36,9,FALSE)</f>
        <v>171.3</v>
      </c>
      <c r="AZ16">
        <f>SUM(AB$13:AB16)*AN16/1000</f>
        <v>0</v>
      </c>
      <c r="BA16">
        <f>SUM(AC$13:AC16)*AO16/1000</f>
        <v>0</v>
      </c>
      <c r="BB16">
        <f>SUM(AD$13:AD16)*AP16/1000</f>
        <v>0</v>
      </c>
      <c r="BC16">
        <f>SUM(AE$13:AE16)*AQ16/1000</f>
        <v>0</v>
      </c>
      <c r="BD16">
        <f>SUM(AF$13:AF16)*AR16/1000</f>
        <v>0</v>
      </c>
      <c r="BE16">
        <f>SUM(AG$13:AG16)*AS16/1000</f>
        <v>0</v>
      </c>
      <c r="BF16">
        <f>SUM(AH$13:AH16)*AT16/1000</f>
        <v>0</v>
      </c>
      <c r="BG16">
        <f>SUM(AI$13:AI16)*AU16/1000</f>
        <v>0</v>
      </c>
      <c r="BH16">
        <f>SUM(AJ$13:AJ16)*AV16/1000</f>
        <v>0</v>
      </c>
      <c r="BI16">
        <f>SUM(AK$13:AK16)*AW16/1000</f>
        <v>0</v>
      </c>
      <c r="BJ16">
        <f t="shared" ref="BJ16:BJ32" si="6">SUM(AZ16:BI16)</f>
        <v>0</v>
      </c>
    </row>
    <row r="17" spans="2:62">
      <c r="B17" s="16">
        <f t="shared" si="4"/>
        <v>2022</v>
      </c>
      <c r="C17" s="10">
        <f t="shared" si="0"/>
        <v>0</v>
      </c>
      <c r="D17" s="62"/>
      <c r="E17" s="10">
        <f>SUMIF('Table 5'!$J$13:$J$264,B17,'Table 5'!$C$13:$C$264)/SUMIF('Table 5'!$J$13:$J$264,B17,'Table 5'!$F$13:$F$264)</f>
        <v>16.983189059128364</v>
      </c>
      <c r="F17" s="51"/>
      <c r="G17" s="15">
        <f>IFERROR(SUMIF('Table 5'!$J$13:$J$264,B17,'Table 5'!$E$13:$E$264)/SUMIF('Table 5'!$J$13:$J$264,B17,'Table 5'!$F$13:$F$264),0)</f>
        <v>16.983189059128364</v>
      </c>
      <c r="H17" s="50"/>
      <c r="I17"/>
      <c r="M17" s="181"/>
      <c r="O17">
        <f t="shared" si="1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B17">
        <f t="shared" si="5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N17">
        <f>VLOOKUP($O17,'Table 3 WY Wind 2021'!$B$10:$J$36,9,FALSE)</f>
        <v>26.28</v>
      </c>
      <c r="AO17">
        <f>VLOOKUP($O17,'Table 3 DJ Wind 2031'!$B$10:$J$36,9,FALSE)</f>
        <v>185.72</v>
      </c>
      <c r="AP17">
        <f>VLOOKUP($O17,'Table 3 ID Wind 2036'!$B$10:$J$36,9,FALSE)</f>
        <v>188.83</v>
      </c>
      <c r="AQ17">
        <f>VLOOKUP($O17,'Table 3 30 MW Geoth 2029'!$B$10:$J$36,9,FALSE)</f>
        <v>697.38</v>
      </c>
      <c r="AR17">
        <f>VLOOKUP($O17,'Table 3 200 MW (UT N) 2029)'!$B$11:$H$41,7,FALSE)</f>
        <v>118.83</v>
      </c>
      <c r="AS17">
        <f>VLOOKUP($O17,'Table 3 436MW (West M) 2030'!$B$11:$I$41,7,FALSE)</f>
        <v>176.87</v>
      </c>
      <c r="AT17">
        <f>VLOOKUP($O17,'Table 3 477 MW (Wyo) 2033'!$B$11:$I$41,7,FALSE)</f>
        <v>181.03</v>
      </c>
      <c r="AU17">
        <f>VLOOKUP($O17,'Table 3 200 MW (Wyo) 2033'!$B$11:$I$41,7,FALSE)</f>
        <v>156.13</v>
      </c>
      <c r="AV17">
        <f>VLOOKUP($O17,'Table 3 Yakima Solar 2028'!$B$10:$K$36,9,FALSE)</f>
        <v>169.08</v>
      </c>
      <c r="AW17">
        <f>VLOOKUP($O17,'Table 3 UT Solar 2031'!$B$10:$K$36,9,FALSE)</f>
        <v>175.25</v>
      </c>
      <c r="AZ17">
        <f>SUM(AB$13:AB17)*AN17/1000</f>
        <v>0</v>
      </c>
      <c r="BA17">
        <f>SUM(AC$13:AC17)*AO17/1000</f>
        <v>0</v>
      </c>
      <c r="BB17">
        <f>SUM(AD$13:AD17)*AP17/1000</f>
        <v>0</v>
      </c>
      <c r="BC17">
        <f>SUM(AE$13:AE17)*AQ17/1000</f>
        <v>0</v>
      </c>
      <c r="BD17">
        <f>SUM(AF$13:AF17)*AR17/1000</f>
        <v>0</v>
      </c>
      <c r="BE17">
        <f>SUM(AG$13:AG17)*AS17/1000</f>
        <v>0</v>
      </c>
      <c r="BF17">
        <f>SUM(AH$13:AH17)*AT17/1000</f>
        <v>0</v>
      </c>
      <c r="BG17">
        <f>SUM(AI$13:AI17)*AU17/1000</f>
        <v>0</v>
      </c>
      <c r="BH17">
        <f>SUM(AJ$13:AJ17)*AV17/1000</f>
        <v>0</v>
      </c>
      <c r="BI17">
        <f>SUM(AK$13:AK17)*AW17/1000</f>
        <v>0</v>
      </c>
      <c r="BJ17">
        <f t="shared" si="6"/>
        <v>0</v>
      </c>
    </row>
    <row r="18" spans="2:62">
      <c r="B18" s="16">
        <f t="shared" si="4"/>
        <v>2023</v>
      </c>
      <c r="C18" s="10">
        <f t="shared" si="0"/>
        <v>0</v>
      </c>
      <c r="D18" s="62"/>
      <c r="E18" s="10">
        <f>SUMIF('Table 5'!$J$13:$J$264,B18,'Table 5'!$C$13:$C$264)/SUMIF('Table 5'!$J$13:$J$264,B18,'Table 5'!$F$13:$F$264)</f>
        <v>18.434031179574998</v>
      </c>
      <c r="F18" s="51"/>
      <c r="G18" s="15">
        <f>IFERROR(SUMIF('Table 5'!$J$13:$J$264,B18,'Table 5'!$E$13:$E$264)/SUMIF('Table 5'!$J$13:$J$264,B18,'Table 5'!$F$13:$F$264),0)</f>
        <v>18.434031179574998</v>
      </c>
      <c r="H18" s="50"/>
      <c r="I18"/>
      <c r="M18" s="181"/>
      <c r="O18">
        <f t="shared" si="1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B18">
        <f t="shared" si="5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2"/>
        <v>0</v>
      </c>
      <c r="AN18">
        <f>VLOOKUP($O18,'Table 3 WY Wind 2021'!$B$10:$J$36,9,FALSE)</f>
        <v>24.55</v>
      </c>
      <c r="AO18">
        <f>VLOOKUP($O18,'Table 3 DJ Wind 2031'!$B$10:$J$36,9,FALSE)</f>
        <v>190</v>
      </c>
      <c r="AP18">
        <f>VLOOKUP($O18,'Table 3 ID Wind 2036'!$B$10:$J$36,9,FALSE)</f>
        <v>193.18</v>
      </c>
      <c r="AQ18">
        <f>VLOOKUP($O18,'Table 3 30 MW Geoth 2029'!$B$10:$J$36,9,FALSE)</f>
        <v>713.43</v>
      </c>
      <c r="AR18">
        <f>VLOOKUP($O18,'Table 3 200 MW (UT N) 2029)'!$B$11:$H$41,7,FALSE)</f>
        <v>121.57</v>
      </c>
      <c r="AS18">
        <f>VLOOKUP($O18,'Table 3 436MW (West M) 2030'!$B$11:$I$41,7,FALSE)</f>
        <v>180.91</v>
      </c>
      <c r="AT18">
        <f>VLOOKUP($O18,'Table 3 477 MW (Wyo) 2033'!$B$11:$I$41,7,FALSE)</f>
        <v>185.2</v>
      </c>
      <c r="AU18">
        <f>VLOOKUP($O18,'Table 3 200 MW (Wyo) 2033'!$B$11:$I$41,7,FALSE)</f>
        <v>159.72999999999999</v>
      </c>
      <c r="AV18">
        <f>VLOOKUP($O18,'Table 3 Yakima Solar 2028'!$B$10:$K$36,9,FALSE)</f>
        <v>172.96</v>
      </c>
      <c r="AW18">
        <f>VLOOKUP($O18,'Table 3 UT Solar 2031'!$B$10:$K$36,9,FALSE)</f>
        <v>179.29</v>
      </c>
      <c r="AZ18">
        <f>SUM(AB$13:AB18)*AN18/1000</f>
        <v>0</v>
      </c>
      <c r="BA18">
        <f>SUM(AC$13:AC18)*AO18/1000</f>
        <v>0</v>
      </c>
      <c r="BB18">
        <f>SUM(AD$13:AD18)*AP18/1000</f>
        <v>0</v>
      </c>
      <c r="BC18">
        <f>SUM(AE$13:AE18)*AQ18/1000</f>
        <v>0</v>
      </c>
      <c r="BD18">
        <f>SUM(AF$13:AF18)*AR18/1000</f>
        <v>0</v>
      </c>
      <c r="BE18">
        <f>SUM(AG$13:AG18)*AS18/1000</f>
        <v>0</v>
      </c>
      <c r="BF18">
        <f>SUM(AH$13:AH18)*AT18/1000</f>
        <v>0</v>
      </c>
      <c r="BG18">
        <f>SUM(AI$13:AI18)*AU18/1000</f>
        <v>0</v>
      </c>
      <c r="BH18">
        <f>SUM(AJ$13:AJ18)*AV18/1000</f>
        <v>0</v>
      </c>
      <c r="BI18">
        <f>SUM(AK$13:AK18)*AW18/1000</f>
        <v>0</v>
      </c>
      <c r="BJ18">
        <f t="shared" si="6"/>
        <v>0</v>
      </c>
    </row>
    <row r="19" spans="2:62">
      <c r="B19" s="16">
        <f t="shared" si="4"/>
        <v>2024</v>
      </c>
      <c r="C19" s="10">
        <f t="shared" si="0"/>
        <v>0</v>
      </c>
      <c r="D19" s="62"/>
      <c r="E19" s="10">
        <f>SUMIF('Table 5'!$J$13:$J$264,B19,'Table 5'!$C$13:$C$264)/SUMIF('Table 5'!$J$13:$J$264,B19,'Table 5'!$F$13:$F$264)</f>
        <v>21.18716125073697</v>
      </c>
      <c r="F19" s="51"/>
      <c r="G19" s="15">
        <f>IFERROR(SUMIF('Table 5'!$J$13:$J$264,B19,'Table 5'!$E$13:$E$264)/SUMIF('Table 5'!$J$13:$J$264,B19,'Table 5'!$F$13:$F$264),0)</f>
        <v>21.18716125073697</v>
      </c>
      <c r="H19" s="50"/>
      <c r="I19"/>
      <c r="M19" s="181"/>
      <c r="O19">
        <f t="shared" si="1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B19">
        <f t="shared" si="5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N19">
        <f>VLOOKUP($O19,'Table 3 WY Wind 2021'!$B$10:$J$36,9,FALSE)</f>
        <v>28.73</v>
      </c>
      <c r="AO19">
        <f>VLOOKUP($O19,'Table 3 DJ Wind 2031'!$B$10:$J$36,9,FALSE)</f>
        <v>194.38</v>
      </c>
      <c r="AP19">
        <f>VLOOKUP($O19,'Table 3 ID Wind 2036'!$B$10:$J$36,9,FALSE)</f>
        <v>197.62</v>
      </c>
      <c r="AQ19">
        <f>VLOOKUP($O19,'Table 3 30 MW Geoth 2029'!$B$10:$J$36,9,FALSE)</f>
        <v>729.87</v>
      </c>
      <c r="AR19">
        <f>VLOOKUP($O19,'Table 3 200 MW (UT N) 2029)'!$B$11:$H$41,7,FALSE)</f>
        <v>124.36</v>
      </c>
      <c r="AS19">
        <f>VLOOKUP($O19,'Table 3 436MW (West M) 2030'!$B$11:$I$41,7,FALSE)</f>
        <v>185.04</v>
      </c>
      <c r="AT19">
        <f>VLOOKUP($O19,'Table 3 477 MW (Wyo) 2033'!$B$11:$I$41,7,FALSE)</f>
        <v>189.47</v>
      </c>
      <c r="AU19">
        <f>VLOOKUP($O19,'Table 3 200 MW (Wyo) 2033'!$B$11:$I$41,7,FALSE)</f>
        <v>163.4</v>
      </c>
      <c r="AV19">
        <f>VLOOKUP($O19,'Table 3 Yakima Solar 2028'!$B$10:$K$36,9,FALSE)</f>
        <v>176.94</v>
      </c>
      <c r="AW19">
        <f>VLOOKUP($O19,'Table 3 UT Solar 2031'!$B$10:$K$36,9,FALSE)</f>
        <v>183.4</v>
      </c>
      <c r="AZ19">
        <f>SUM(AB$13:AB19)*AN19/1000</f>
        <v>0</v>
      </c>
      <c r="BA19">
        <f>SUM(AC$13:AC19)*AO19/1000</f>
        <v>0</v>
      </c>
      <c r="BB19">
        <f>SUM(AD$13:AD19)*AP19/1000</f>
        <v>0</v>
      </c>
      <c r="BC19">
        <f>SUM(AE$13:AE19)*AQ19/1000</f>
        <v>0</v>
      </c>
      <c r="BD19">
        <f>SUM(AF$13:AF19)*AR19/1000</f>
        <v>0</v>
      </c>
      <c r="BE19">
        <f>SUM(AG$13:AG19)*AS19/1000</f>
        <v>0</v>
      </c>
      <c r="BF19">
        <f>SUM(AH$13:AH19)*AT19/1000</f>
        <v>0</v>
      </c>
      <c r="BG19">
        <f>SUM(AI$13:AI19)*AU19/1000</f>
        <v>0</v>
      </c>
      <c r="BH19">
        <f>SUM(AJ$13:AJ19)*AV19/1000</f>
        <v>0</v>
      </c>
      <c r="BI19">
        <f>SUM(AK$13:AK19)*AW19/1000</f>
        <v>0</v>
      </c>
      <c r="BJ19">
        <f t="shared" si="6"/>
        <v>0</v>
      </c>
    </row>
    <row r="20" spans="2:62">
      <c r="B20" s="16">
        <f t="shared" si="4"/>
        <v>2025</v>
      </c>
      <c r="C20" s="10">
        <f t="shared" si="0"/>
        <v>0</v>
      </c>
      <c r="D20" s="62"/>
      <c r="E20" s="10">
        <f>SUMIF('Table 5'!$J$13:$J$264,B20,'Table 5'!$C$13:$C$264)/SUMIF('Table 5'!$J$13:$J$264,B20,'Table 5'!$F$13:$F$264)</f>
        <v>23.583151326863</v>
      </c>
      <c r="F20" s="51"/>
      <c r="G20" s="15">
        <f>IFERROR(SUMIF('Table 5'!$J$13:$J$264,B20,'Table 5'!$E$13:$E$264)/SUMIF('Table 5'!$J$13:$J$264,B20,'Table 5'!$F$13:$F$264),0)</f>
        <v>23.583151326863</v>
      </c>
      <c r="H20" s="50"/>
      <c r="I20"/>
      <c r="M20" s="181"/>
      <c r="O20">
        <f t="shared" si="1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B20">
        <f t="shared" si="5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N20">
        <f>VLOOKUP($O20,'Table 3 WY Wind 2021'!$B$10:$J$36,9,FALSE)</f>
        <v>27.2</v>
      </c>
      <c r="AO20">
        <f>VLOOKUP($O20,'Table 3 DJ Wind 2031'!$B$10:$J$36,9,FALSE)</f>
        <v>198.85</v>
      </c>
      <c r="AP20">
        <f>VLOOKUP($O20,'Table 3 ID Wind 2036'!$B$10:$J$36,9,FALSE)</f>
        <v>202.16</v>
      </c>
      <c r="AQ20">
        <f>VLOOKUP($O20,'Table 3 30 MW Geoth 2029'!$B$10:$J$36,9,FALSE)</f>
        <v>746.63</v>
      </c>
      <c r="AR20">
        <f>VLOOKUP($O20,'Table 3 200 MW (UT N) 2029)'!$B$11:$H$41,7,FALSE)</f>
        <v>127.23</v>
      </c>
      <c r="AS20">
        <f>VLOOKUP($O20,'Table 3 436MW (West M) 2030'!$B$11:$I$41,7,FALSE)</f>
        <v>189.32</v>
      </c>
      <c r="AT20">
        <f>VLOOKUP($O20,'Table 3 477 MW (Wyo) 2033'!$B$11:$I$41,7,FALSE)</f>
        <v>193.82</v>
      </c>
      <c r="AU20">
        <f>VLOOKUP($O20,'Table 3 200 MW (Wyo) 2033'!$B$11:$I$41,7,FALSE)</f>
        <v>167.17</v>
      </c>
      <c r="AV20">
        <f>VLOOKUP($O20,'Table 3 Yakima Solar 2028'!$B$10:$K$36,9,FALSE)</f>
        <v>181.01</v>
      </c>
      <c r="AW20">
        <f>VLOOKUP($O20,'Table 3 UT Solar 2031'!$B$10:$K$36,9,FALSE)</f>
        <v>187.61</v>
      </c>
      <c r="AZ20">
        <f>SUM(AB$13:AB20)*AN20/1000</f>
        <v>0</v>
      </c>
      <c r="BA20">
        <f>SUM(AC$13:AC20)*AO20/1000</f>
        <v>0</v>
      </c>
      <c r="BB20">
        <f>SUM(AD$13:AD20)*AP20/1000</f>
        <v>0</v>
      </c>
      <c r="BC20">
        <f>SUM(AE$13:AE20)*AQ20/1000</f>
        <v>0</v>
      </c>
      <c r="BD20">
        <f>SUM(AF$13:AF20)*AR20/1000</f>
        <v>0</v>
      </c>
      <c r="BE20">
        <f>SUM(AG$13:AG20)*AS20/1000</f>
        <v>0</v>
      </c>
      <c r="BF20">
        <f>SUM(AH$13:AH20)*AT20/1000</f>
        <v>0</v>
      </c>
      <c r="BG20">
        <f>SUM(AI$13:AI20)*AU20/1000</f>
        <v>0</v>
      </c>
      <c r="BH20">
        <f>SUM(AJ$13:AJ20)*AV20/1000</f>
        <v>0</v>
      </c>
      <c r="BI20">
        <f>SUM(AK$13:AK20)*AW20/1000</f>
        <v>0</v>
      </c>
      <c r="BJ20">
        <f t="shared" si="6"/>
        <v>0</v>
      </c>
    </row>
    <row r="21" spans="2:62">
      <c r="B21" s="16">
        <f t="shared" si="4"/>
        <v>2026</v>
      </c>
      <c r="C21" s="10">
        <f t="shared" si="0"/>
        <v>0</v>
      </c>
      <c r="D21" s="62"/>
      <c r="E21" s="10">
        <f>SUMIF('Table 5'!$J$13:$J$264,B21,'Table 5'!$C$13:$C$264)/SUMIF('Table 5'!$J$13:$J$264,B21,'Table 5'!$F$13:$F$264)</f>
        <v>24.035233724055615</v>
      </c>
      <c r="F21" s="51"/>
      <c r="G21" s="15">
        <f>IFERROR(SUMIF('Table 5'!$J$13:$J$264,B21,'Table 5'!$E$13:$E$264)/SUMIF('Table 5'!$J$13:$J$264,B21,'Table 5'!$F$13:$F$264),0)</f>
        <v>24.035233724055615</v>
      </c>
      <c r="H21" s="50"/>
      <c r="I21"/>
      <c r="M21" s="181"/>
      <c r="O21">
        <f t="shared" si="1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B21">
        <f t="shared" si="5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2"/>
        <v>0</v>
      </c>
      <c r="AN21">
        <f>VLOOKUP($O21,'Table 3 WY Wind 2021'!$B$10:$J$36,9,FALSE)</f>
        <v>31.39</v>
      </c>
      <c r="AO21">
        <f>VLOOKUP($O21,'Table 3 DJ Wind 2031'!$B$10:$J$36,9,FALSE)</f>
        <v>203.24</v>
      </c>
      <c r="AP21">
        <f>VLOOKUP($O21,'Table 3 ID Wind 2036'!$B$10:$J$36,9,FALSE)</f>
        <v>206.61</v>
      </c>
      <c r="AQ21">
        <f>VLOOKUP($O21,'Table 3 30 MW Geoth 2029'!$B$10:$J$36,9,FALSE)</f>
        <v>763.08</v>
      </c>
      <c r="AR21">
        <f>VLOOKUP($O21,'Table 3 200 MW (UT N) 2029)'!$B$11:$H$41,7,FALSE)</f>
        <v>130.01</v>
      </c>
      <c r="AS21">
        <f>VLOOKUP($O21,'Table 3 436MW (West M) 2030'!$B$11:$I$41,7,FALSE)</f>
        <v>193.46</v>
      </c>
      <c r="AT21">
        <f>VLOOKUP($O21,'Table 3 477 MW (Wyo) 2033'!$B$11:$I$41,7,FALSE)</f>
        <v>198.09</v>
      </c>
      <c r="AU21">
        <f>VLOOKUP($O21,'Table 3 200 MW (Wyo) 2033'!$B$11:$I$41,7,FALSE)</f>
        <v>170.84</v>
      </c>
      <c r="AV21">
        <f>VLOOKUP($O21,'Table 3 Yakima Solar 2028'!$B$10:$K$36,9,FALSE)</f>
        <v>184.98</v>
      </c>
      <c r="AW21">
        <f>VLOOKUP($O21,'Table 3 UT Solar 2031'!$B$10:$K$36,9,FALSE)</f>
        <v>191.73</v>
      </c>
      <c r="AZ21">
        <f>SUM(AB$13:AB21)*AN21/1000</f>
        <v>0</v>
      </c>
      <c r="BA21">
        <f>SUM(AC$13:AC21)*AO21/1000</f>
        <v>0</v>
      </c>
      <c r="BB21">
        <f>SUM(AD$13:AD21)*AP21/1000</f>
        <v>0</v>
      </c>
      <c r="BC21">
        <f>SUM(AE$13:AE21)*AQ21/1000</f>
        <v>0</v>
      </c>
      <c r="BD21">
        <f>SUM(AF$13:AF21)*AR21/1000</f>
        <v>0</v>
      </c>
      <c r="BE21">
        <f>SUM(AG$13:AG21)*AS21/1000</f>
        <v>0</v>
      </c>
      <c r="BF21">
        <f>SUM(AH$13:AH21)*AT21/1000</f>
        <v>0</v>
      </c>
      <c r="BG21">
        <f>SUM(AI$13:AI21)*AU21/1000</f>
        <v>0</v>
      </c>
      <c r="BH21">
        <f>SUM(AJ$13:AJ21)*AV21/1000</f>
        <v>0</v>
      </c>
      <c r="BI21">
        <f>SUM(AK$13:AK21)*AW21/1000</f>
        <v>0</v>
      </c>
      <c r="BJ21">
        <f t="shared" si="6"/>
        <v>0</v>
      </c>
    </row>
    <row r="22" spans="2:62">
      <c r="B22" s="16">
        <f t="shared" si="4"/>
        <v>2027</v>
      </c>
      <c r="C22" s="10">
        <f t="shared" si="0"/>
        <v>0</v>
      </c>
      <c r="D22" s="62"/>
      <c r="E22" s="10">
        <f>SUMIF('Table 5'!$J$13:$J$264,B22,'Table 5'!$C$13:$C$264)/SUMIF('Table 5'!$J$13:$J$264,B22,'Table 5'!$F$13:$F$264)</f>
        <v>24.372922995815031</v>
      </c>
      <c r="F22" s="51"/>
      <c r="G22" s="15">
        <f>IFERROR(SUMIF('Table 5'!$J$13:$J$264,B22,'Table 5'!$E$13:$E$264)/SUMIF('Table 5'!$J$13:$J$264,B22,'Table 5'!$F$13:$F$264),0)</f>
        <v>24.372922995815031</v>
      </c>
      <c r="H22" s="50"/>
      <c r="I22"/>
      <c r="M22" s="181"/>
      <c r="O22">
        <f t="shared" si="1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B22">
        <f t="shared" si="5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0</v>
      </c>
      <c r="AK22">
        <f t="shared" si="2"/>
        <v>0</v>
      </c>
      <c r="AN22">
        <f>VLOOKUP($O22,'Table 3 WY Wind 2021'!$B$10:$J$36,9,FALSE)</f>
        <v>29.86</v>
      </c>
      <c r="AO22">
        <f>VLOOKUP($O22,'Table 3 DJ Wind 2031'!$B$10:$J$36,9,FALSE)</f>
        <v>207.71</v>
      </c>
      <c r="AP22">
        <f>VLOOKUP($O22,'Table 3 ID Wind 2036'!$B$10:$J$36,9,FALSE)</f>
        <v>211.15</v>
      </c>
      <c r="AQ22">
        <f>VLOOKUP($O22,'Table 3 30 MW Geoth 2029'!$B$10:$J$36,9,FALSE)</f>
        <v>779.84</v>
      </c>
      <c r="AR22">
        <f>VLOOKUP($O22,'Table 3 200 MW (UT N) 2029)'!$B$11:$H$41,7,FALSE)</f>
        <v>132.88</v>
      </c>
      <c r="AS22">
        <f>VLOOKUP($O22,'Table 3 436MW (West M) 2030'!$B$11:$I$41,7,FALSE)</f>
        <v>197.75</v>
      </c>
      <c r="AT22">
        <f>VLOOKUP($O22,'Table 3 477 MW (Wyo) 2033'!$B$11:$I$41,7,FALSE)</f>
        <v>202.44</v>
      </c>
      <c r="AU22">
        <f>VLOOKUP($O22,'Table 3 200 MW (Wyo) 2033'!$B$11:$I$41,7,FALSE)</f>
        <v>174.61</v>
      </c>
      <c r="AV22">
        <f>VLOOKUP($O22,'Table 3 Yakima Solar 2028'!$B$10:$K$36,9,FALSE)</f>
        <v>189.05</v>
      </c>
      <c r="AW22">
        <f>VLOOKUP($O22,'Table 3 UT Solar 2031'!$B$10:$K$36,9,FALSE)</f>
        <v>195.94</v>
      </c>
      <c r="AZ22">
        <f>SUM(AB$13:AB22)*AN22/1000</f>
        <v>0</v>
      </c>
      <c r="BA22">
        <f>SUM(AC$13:AC22)*AO22/1000</f>
        <v>0</v>
      </c>
      <c r="BB22">
        <f>SUM(AD$13:AD22)*AP22/1000</f>
        <v>0</v>
      </c>
      <c r="BC22">
        <f>SUM(AE$13:AE22)*AQ22/1000</f>
        <v>0</v>
      </c>
      <c r="BD22">
        <f>SUM(AF$13:AF22)*AR22/1000</f>
        <v>0</v>
      </c>
      <c r="BE22">
        <f>SUM(AG$13:AG22)*AS22/1000</f>
        <v>0</v>
      </c>
      <c r="BF22">
        <f>SUM(AH$13:AH22)*AT22/1000</f>
        <v>0</v>
      </c>
      <c r="BG22">
        <f>SUM(AI$13:AI22)*AU22/1000</f>
        <v>0</v>
      </c>
      <c r="BH22">
        <f>SUM(AJ$13:AJ22)*AV22/1000</f>
        <v>0</v>
      </c>
      <c r="BI22">
        <f>SUM(AK$13:AK22)*AW22/1000</f>
        <v>0</v>
      </c>
      <c r="BJ22">
        <f t="shared" si="6"/>
        <v>0</v>
      </c>
    </row>
    <row r="23" spans="2:62">
      <c r="B23" s="16">
        <f t="shared" si="4"/>
        <v>2028</v>
      </c>
      <c r="C23" s="10">
        <f t="shared" si="0"/>
        <v>0</v>
      </c>
      <c r="D23" s="62"/>
      <c r="E23" s="10">
        <f>SUMIF('Table 5'!$J$13:$J$264,B23,'Table 5'!$C$13:$C$264)/SUMIF('Table 5'!$J$13:$J$264,B23,'Table 5'!$F$13:$F$264)</f>
        <v>25.217618141228918</v>
      </c>
      <c r="F23" s="51"/>
      <c r="G23" s="15">
        <f>IFERROR(SUMIF('Table 5'!$J$13:$J$264,B23,'Table 5'!$E$13:$E$264)/SUMIF('Table 5'!$J$13:$J$264,B23,'Table 5'!$F$13:$F$264),0)</f>
        <v>25.217618141228918</v>
      </c>
      <c r="H23" s="50"/>
      <c r="I23"/>
      <c r="M23" s="181"/>
      <c r="O23">
        <f t="shared" si="1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B23">
        <f t="shared" si="5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J23">
        <f t="shared" si="2"/>
        <v>0</v>
      </c>
      <c r="AK23">
        <f t="shared" si="2"/>
        <v>0</v>
      </c>
      <c r="AN23">
        <f>VLOOKUP($O23,'Table 3 WY Wind 2021'!$B$10:$J$36,9,FALSE)</f>
        <v>34.229999999999997</v>
      </c>
      <c r="AO23">
        <f>VLOOKUP($O23,'Table 3 DJ Wind 2031'!$B$10:$J$36,9,FALSE)</f>
        <v>212.28</v>
      </c>
      <c r="AP23">
        <f>VLOOKUP($O23,'Table 3 ID Wind 2036'!$B$10:$J$36,9,FALSE)</f>
        <v>215.79</v>
      </c>
      <c r="AQ23">
        <f>VLOOKUP($O23,'Table 3 30 MW Geoth 2029'!$B$10:$J$36,9,FALSE)</f>
        <v>796.99</v>
      </c>
      <c r="AR23">
        <f>VLOOKUP($O23,'Table 3 200 MW (UT N) 2029)'!$B$11:$H$41,7,FALSE)</f>
        <v>135.80000000000001</v>
      </c>
      <c r="AS23">
        <f>VLOOKUP($O23,'Table 3 436MW (West M) 2030'!$B$11:$I$41,7,FALSE)</f>
        <v>202.12</v>
      </c>
      <c r="AT23">
        <f>VLOOKUP($O23,'Table 3 477 MW (Wyo) 2033'!$B$11:$I$41,7,FALSE)</f>
        <v>206.88</v>
      </c>
      <c r="AU23">
        <f>VLOOKUP($O23,'Table 3 200 MW (Wyo) 2033'!$B$11:$I$41,7,FALSE)</f>
        <v>178.45</v>
      </c>
      <c r="AV23">
        <f>VLOOKUP($O23,'Table 3 Yakima Solar 2028'!$B$10:$K$36,9,FALSE)</f>
        <v>193.21</v>
      </c>
      <c r="AW23">
        <f>VLOOKUP($O23,'Table 3 UT Solar 2031'!$B$10:$K$36,9,FALSE)</f>
        <v>200.25</v>
      </c>
      <c r="AZ23">
        <f>SUM(AB$13:AB23)*AN23/1000</f>
        <v>0</v>
      </c>
      <c r="BA23">
        <f>SUM(AC$13:AC23)*AO23/1000</f>
        <v>0</v>
      </c>
      <c r="BB23">
        <f>SUM(AD$13:AD23)*AP23/1000</f>
        <v>0</v>
      </c>
      <c r="BC23">
        <f>SUM(AE$13:AE23)*AQ23/1000</f>
        <v>0</v>
      </c>
      <c r="BD23">
        <f>SUM(AF$13:AF23)*AR23/1000</f>
        <v>0</v>
      </c>
      <c r="BE23">
        <f>SUM(AG$13:AG23)*AS23/1000</f>
        <v>0</v>
      </c>
      <c r="BF23">
        <f>SUM(AH$13:AH23)*AT23/1000</f>
        <v>0</v>
      </c>
      <c r="BG23">
        <f>SUM(AI$13:AI23)*AU23/1000</f>
        <v>0</v>
      </c>
      <c r="BH23">
        <f>SUM(AJ$13:AJ23)*AV23/1000</f>
        <v>0</v>
      </c>
      <c r="BI23">
        <f>SUM(AK$13:AK23)*AW23/1000</f>
        <v>0</v>
      </c>
      <c r="BJ23">
        <f t="shared" si="6"/>
        <v>0</v>
      </c>
    </row>
    <row r="24" spans="2:62">
      <c r="B24" s="16">
        <f t="shared" si="4"/>
        <v>2029</v>
      </c>
      <c r="C24" s="10">
        <f t="shared" si="0"/>
        <v>0</v>
      </c>
      <c r="D24" s="62"/>
      <c r="E24" s="10">
        <f>SUMIF('Table 5'!$J$13:$J$264,B24,'Table 5'!$C$13:$C$264)/SUMIF('Table 5'!$J$13:$J$264,B24,'Table 5'!$F$13:$F$264)</f>
        <v>26.924480758535847</v>
      </c>
      <c r="F24" s="51"/>
      <c r="G24" s="15">
        <f>IFERROR(SUMIF('Table 5'!$J$13:$J$264,B24,'Table 5'!$E$13:$E$264)/SUMIF('Table 5'!$J$13:$J$264,B24,'Table 5'!$F$13:$F$264),0)</f>
        <v>26.924480758535847</v>
      </c>
      <c r="H24" s="50"/>
      <c r="I24"/>
      <c r="M24" s="181"/>
      <c r="O24">
        <f t="shared" si="1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B24">
        <f t="shared" si="5"/>
        <v>0</v>
      </c>
      <c r="AC24">
        <f t="shared" si="2"/>
        <v>0</v>
      </c>
      <c r="AD24">
        <f t="shared" si="2"/>
        <v>0</v>
      </c>
      <c r="AE24">
        <f t="shared" si="2"/>
        <v>0</v>
      </c>
      <c r="AF24">
        <f t="shared" si="2"/>
        <v>0</v>
      </c>
      <c r="AG24">
        <f t="shared" si="2"/>
        <v>0</v>
      </c>
      <c r="AH24">
        <f t="shared" si="2"/>
        <v>0</v>
      </c>
      <c r="AI24">
        <f t="shared" si="2"/>
        <v>0</v>
      </c>
      <c r="AJ24">
        <f t="shared" si="2"/>
        <v>0</v>
      </c>
      <c r="AK24">
        <f t="shared" si="2"/>
        <v>0</v>
      </c>
      <c r="AN24">
        <f>VLOOKUP($O24,'Table 3 WY Wind 2021'!$B$10:$J$36,9,FALSE)</f>
        <v>32.89</v>
      </c>
      <c r="AO24">
        <f>VLOOKUP($O24,'Table 3 DJ Wind 2031'!$B$10:$J$36,9,FALSE)</f>
        <v>216.95</v>
      </c>
      <c r="AP24">
        <f>VLOOKUP($O24,'Table 3 ID Wind 2036'!$B$10:$J$36,9,FALSE)</f>
        <v>220.54</v>
      </c>
      <c r="AQ24">
        <f>VLOOKUP($O24,'Table 3 30 MW Geoth 2029'!$B$10:$J$36,9,FALSE)</f>
        <v>814.54</v>
      </c>
      <c r="AR24">
        <f>VLOOKUP($O24,'Table 3 200 MW (UT N) 2029)'!$B$11:$H$41,7,FALSE)</f>
        <v>138.79</v>
      </c>
      <c r="AS24">
        <f>VLOOKUP($O24,'Table 3 436MW (West M) 2030'!$B$11:$I$41,7,FALSE)</f>
        <v>206.58</v>
      </c>
      <c r="AT24">
        <f>VLOOKUP($O24,'Table 3 477 MW (Wyo) 2033'!$B$11:$I$41,7,FALSE)</f>
        <v>211.41</v>
      </c>
      <c r="AU24">
        <f>VLOOKUP($O24,'Table 3 200 MW (Wyo) 2033'!$B$11:$I$41,7,FALSE)</f>
        <v>182.39</v>
      </c>
      <c r="AV24">
        <f>VLOOKUP($O24,'Table 3 Yakima Solar 2028'!$B$10:$K$36,9,FALSE)</f>
        <v>197.48</v>
      </c>
      <c r="AW24">
        <f>VLOOKUP($O24,'Table 3 UT Solar 2031'!$B$10:$K$36,9,FALSE)</f>
        <v>204.65</v>
      </c>
      <c r="AZ24">
        <f>SUM(AB$13:AB24)*AN24/1000</f>
        <v>0</v>
      </c>
      <c r="BA24">
        <f>SUM(AC$13:AC24)*AO24/1000</f>
        <v>0</v>
      </c>
      <c r="BB24">
        <f>SUM(AD$13:AD24)*AP24/1000</f>
        <v>0</v>
      </c>
      <c r="BC24">
        <f>SUM(AE$13:AE24)*AQ24/1000</f>
        <v>0</v>
      </c>
      <c r="BD24">
        <f>SUM(AF$13:AF24)*AR24/1000</f>
        <v>0</v>
      </c>
      <c r="BE24">
        <f>SUM(AG$13:AG24)*AS24/1000</f>
        <v>0</v>
      </c>
      <c r="BF24">
        <f>SUM(AH$13:AH24)*AT24/1000</f>
        <v>0</v>
      </c>
      <c r="BG24">
        <f>SUM(AI$13:AI24)*AU24/1000</f>
        <v>0</v>
      </c>
      <c r="BH24">
        <f>SUM(AJ$13:AJ24)*AV24/1000</f>
        <v>0</v>
      </c>
      <c r="BI24">
        <f>SUM(AK$13:AK24)*AW24/1000</f>
        <v>0</v>
      </c>
      <c r="BJ24">
        <f t="shared" si="6"/>
        <v>0</v>
      </c>
    </row>
    <row r="25" spans="2:62">
      <c r="B25" s="16">
        <f t="shared" si="4"/>
        <v>2030</v>
      </c>
      <c r="C25" s="10">
        <f t="shared" si="0"/>
        <v>0</v>
      </c>
      <c r="D25" s="62"/>
      <c r="E25" s="10">
        <f>SUMIF('Table 5'!$J$13:$J$264,B25,'Table 5'!$C$13:$C$264)/SUMIF('Table 5'!$J$13:$J$264,B25,'Table 5'!$F$13:$F$264)</f>
        <v>28.2697620998294</v>
      </c>
      <c r="F25" s="51"/>
      <c r="G25" s="15">
        <f>IFERROR(SUMIF('Table 5'!$J$13:$J$264,B25,'Table 5'!$E$13:$E$264)/SUMIF('Table 5'!$J$13:$J$264,B25,'Table 5'!$F$13:$F$264),0)</f>
        <v>28.2697620998294</v>
      </c>
      <c r="H25" s="50"/>
      <c r="I25"/>
      <c r="M25" s="181"/>
      <c r="O25">
        <f t="shared" si="1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B25">
        <f t="shared" si="5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N25">
        <f>VLOOKUP($O25,'Table 3 WY Wind 2021'!$B$10:$J$36,9,FALSE)</f>
        <v>31.63</v>
      </c>
      <c r="AO25">
        <f>VLOOKUP($O25,'Table 3 DJ Wind 2031'!$B$10:$J$36,9,FALSE)</f>
        <v>221.73</v>
      </c>
      <c r="AP25">
        <f>VLOOKUP($O25,'Table 3 ID Wind 2036'!$B$10:$J$36,9,FALSE)</f>
        <v>225.39</v>
      </c>
      <c r="AQ25">
        <f>VLOOKUP($O25,'Table 3 30 MW Geoth 2029'!$B$10:$J$36,9,FALSE)</f>
        <v>832.49</v>
      </c>
      <c r="AR25">
        <f>VLOOKUP($O25,'Table 3 200 MW (UT N) 2029)'!$B$11:$H$41,7,FALSE)</f>
        <v>141.85</v>
      </c>
      <c r="AS25">
        <f>VLOOKUP($O25,'Table 3 436MW (West M) 2030'!$B$11:$I$41,7,FALSE)</f>
        <v>211.13</v>
      </c>
      <c r="AT25">
        <f>VLOOKUP($O25,'Table 3 477 MW (Wyo) 2033'!$B$11:$I$41,7,FALSE)</f>
        <v>216.03</v>
      </c>
      <c r="AU25">
        <f>VLOOKUP($O25,'Table 3 200 MW (Wyo) 2033'!$B$11:$I$41,7,FALSE)</f>
        <v>186.4</v>
      </c>
      <c r="AV25">
        <f>VLOOKUP($O25,'Table 3 Yakima Solar 2028'!$B$10:$K$36,9,FALSE)</f>
        <v>201.81</v>
      </c>
      <c r="AW25">
        <f>VLOOKUP($O25,'Table 3 UT Solar 2031'!$B$10:$K$36,9,FALSE)</f>
        <v>209.16</v>
      </c>
      <c r="AZ25">
        <f>SUM(AB$13:AB25)*AN25/1000</f>
        <v>0</v>
      </c>
      <c r="BA25">
        <f>SUM(AC$13:AC25)*AO25/1000</f>
        <v>0</v>
      </c>
      <c r="BB25">
        <f>SUM(AD$13:AD25)*AP25/1000</f>
        <v>0</v>
      </c>
      <c r="BC25">
        <f>SUM(AE$13:AE25)*AQ25/1000</f>
        <v>0</v>
      </c>
      <c r="BD25">
        <f>SUM(AF$13:AF25)*AR25/1000</f>
        <v>0</v>
      </c>
      <c r="BE25">
        <f>SUM(AG$13:AG25)*AS25/1000</f>
        <v>0</v>
      </c>
      <c r="BF25">
        <f>SUM(AH$13:AH25)*AT25/1000</f>
        <v>0</v>
      </c>
      <c r="BG25">
        <f>SUM(AI$13:AI25)*AU25/1000</f>
        <v>0</v>
      </c>
      <c r="BH25">
        <f>SUM(AJ$13:AJ25)*AV25/1000</f>
        <v>0</v>
      </c>
      <c r="BI25">
        <f>SUM(AK$13:AK25)*AW25/1000</f>
        <v>0</v>
      </c>
      <c r="BJ25">
        <f t="shared" si="6"/>
        <v>0</v>
      </c>
    </row>
    <row r="26" spans="2:62">
      <c r="B26" s="16">
        <f t="shared" si="4"/>
        <v>2031</v>
      </c>
      <c r="C26" s="10">
        <f t="shared" si="0"/>
        <v>0</v>
      </c>
      <c r="D26" s="62"/>
      <c r="E26" s="10">
        <f>SUMIF('Table 5'!$J$13:$J$264,B26,'Table 5'!$C$13:$C$264)/SUMIF('Table 5'!$J$13:$J$264,B26,'Table 5'!$F$13:$F$264)</f>
        <v>29.322643294692874</v>
      </c>
      <c r="F26" s="51"/>
      <c r="G26" s="15">
        <f>IFERROR(SUMIF('Table 5'!$J$13:$J$264,B26,'Table 5'!$E$13:$E$264)/SUMIF('Table 5'!$J$13:$J$264,B26,'Table 5'!$F$13:$F$264),0)</f>
        <v>29.322643294692874</v>
      </c>
      <c r="H26" s="50"/>
      <c r="I26"/>
      <c r="M26" s="181"/>
      <c r="O26">
        <f t="shared" si="1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B26">
        <f t="shared" si="5"/>
        <v>0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0</v>
      </c>
      <c r="AH26">
        <f t="shared" si="2"/>
        <v>0</v>
      </c>
      <c r="AI26">
        <f t="shared" si="2"/>
        <v>0</v>
      </c>
      <c r="AJ26">
        <f t="shared" si="2"/>
        <v>0</v>
      </c>
      <c r="AK26">
        <f t="shared" si="2"/>
        <v>0</v>
      </c>
      <c r="AN26">
        <f>VLOOKUP($O26,'Table 3 WY Wind 2021'!$B$10:$J$36,9,FALSE)</f>
        <v>216.62</v>
      </c>
      <c r="AO26">
        <f>VLOOKUP($O26,'Table 3 DJ Wind 2031'!$B$10:$J$36,9,FALSE)</f>
        <v>226.61</v>
      </c>
      <c r="AP26">
        <f>VLOOKUP($O26,'Table 3 ID Wind 2036'!$B$10:$J$36,9,FALSE)</f>
        <v>230.35</v>
      </c>
      <c r="AQ26">
        <f>VLOOKUP($O26,'Table 3 30 MW Geoth 2029'!$B$10:$J$36,9,FALSE)</f>
        <v>850.83</v>
      </c>
      <c r="AR26">
        <f>VLOOKUP($O26,'Table 3 200 MW (UT N) 2029)'!$B$11:$H$41,7,FALSE)</f>
        <v>144.97999999999999</v>
      </c>
      <c r="AS26">
        <f>VLOOKUP($O26,'Table 3 436MW (West M) 2030'!$B$11:$I$41,7,FALSE)</f>
        <v>215.77</v>
      </c>
      <c r="AT26">
        <f>VLOOKUP($O26,'Table 3 477 MW (Wyo) 2033'!$B$11:$I$41,7,FALSE)</f>
        <v>220.81</v>
      </c>
      <c r="AU26">
        <f>VLOOKUP($O26,'Table 3 200 MW (Wyo) 2033'!$B$11:$I$41,7,FALSE)</f>
        <v>190.51</v>
      </c>
      <c r="AV26">
        <f>VLOOKUP($O26,'Table 3 Yakima Solar 2028'!$B$10:$K$36,9,FALSE)</f>
        <v>206.25</v>
      </c>
      <c r="AW26">
        <f>VLOOKUP($O26,'Table 3 UT Solar 2031'!$B$10:$K$36,9,FALSE)</f>
        <v>213.77</v>
      </c>
      <c r="AZ26">
        <f>SUM(AB$13:AB26)*AN26/1000</f>
        <v>0</v>
      </c>
      <c r="BA26">
        <f>SUM(AC$13:AC26)*AO26/1000</f>
        <v>0</v>
      </c>
      <c r="BB26">
        <f>SUM(AD$13:AD26)*AP26/1000</f>
        <v>0</v>
      </c>
      <c r="BC26">
        <f>SUM(AE$13:AE26)*AQ26/1000</f>
        <v>0</v>
      </c>
      <c r="BD26">
        <f>SUM(AF$13:AF26)*AR26/1000</f>
        <v>0</v>
      </c>
      <c r="BE26">
        <f>SUM(AG$13:AG26)*AS26/1000</f>
        <v>0</v>
      </c>
      <c r="BF26">
        <f>SUM(AH$13:AH26)*AT26/1000</f>
        <v>0</v>
      </c>
      <c r="BG26">
        <f>SUM(AI$13:AI26)*AU26/1000</f>
        <v>0</v>
      </c>
      <c r="BH26">
        <f>SUM(AJ$13:AJ26)*AV26/1000</f>
        <v>0</v>
      </c>
      <c r="BI26">
        <f>SUM(AK$13:AK26)*AW26/1000</f>
        <v>0</v>
      </c>
      <c r="BJ26">
        <f t="shared" si="6"/>
        <v>0</v>
      </c>
    </row>
    <row r="27" spans="2:62">
      <c r="B27" s="16">
        <f t="shared" si="4"/>
        <v>2032</v>
      </c>
      <c r="C27" s="10">
        <f t="shared" si="0"/>
        <v>0</v>
      </c>
      <c r="D27" s="62"/>
      <c r="E27" s="10">
        <f>SUMIF('Table 5'!$J$13:$J$264,B27,'Table 5'!$C$13:$C$264)/SUMIF('Table 5'!$J$13:$J$264,B27,'Table 5'!$F$13:$F$264)</f>
        <v>30.115469641982838</v>
      </c>
      <c r="F27" s="51"/>
      <c r="G27" s="15">
        <f>IFERROR(SUMIF('Table 5'!$J$13:$J$264,B27,'Table 5'!$E$13:$E$264)/SUMIF('Table 5'!$J$13:$J$264,B27,'Table 5'!$F$13:$F$264),0)</f>
        <v>30.115469641982838</v>
      </c>
      <c r="H27" s="50"/>
      <c r="I27"/>
      <c r="M27" s="181"/>
      <c r="O27">
        <f t="shared" si="1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B27">
        <f t="shared" si="5"/>
        <v>0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0</v>
      </c>
      <c r="AG27">
        <f t="shared" si="2"/>
        <v>0</v>
      </c>
      <c r="AH27">
        <f t="shared" si="2"/>
        <v>0</v>
      </c>
      <c r="AI27">
        <f t="shared" si="2"/>
        <v>0</v>
      </c>
      <c r="AJ27">
        <f t="shared" si="2"/>
        <v>0</v>
      </c>
      <c r="AK27">
        <f t="shared" si="2"/>
        <v>0</v>
      </c>
      <c r="AN27">
        <f>VLOOKUP($O27,'Table 3 WY Wind 2021'!$B$10:$J$36,9,FALSE)</f>
        <v>221.38</v>
      </c>
      <c r="AO27">
        <f>VLOOKUP($O27,'Table 3 DJ Wind 2031'!$B$10:$J$36,9,FALSE)</f>
        <v>231.6</v>
      </c>
      <c r="AP27">
        <f>VLOOKUP($O27,'Table 3 ID Wind 2036'!$B$10:$J$36,9,FALSE)</f>
        <v>235.42</v>
      </c>
      <c r="AQ27">
        <f>VLOOKUP($O27,'Table 3 30 MW Geoth 2029'!$B$10:$J$36,9,FALSE)</f>
        <v>869.57</v>
      </c>
      <c r="AR27">
        <f>VLOOKUP($O27,'Table 3 200 MW (UT N) 2029)'!$B$11:$H$41,7,FALSE)</f>
        <v>148.16999999999999</v>
      </c>
      <c r="AS27">
        <f>VLOOKUP($O27,'Table 3 436MW (West M) 2030'!$B$11:$I$41,7,FALSE)</f>
        <v>220.51</v>
      </c>
      <c r="AT27">
        <f>VLOOKUP($O27,'Table 3 477 MW (Wyo) 2033'!$B$11:$I$41,7,FALSE)</f>
        <v>225.67</v>
      </c>
      <c r="AU27">
        <f>VLOOKUP($O27,'Table 3 200 MW (Wyo) 2033'!$B$11:$I$41,7,FALSE)</f>
        <v>194.7</v>
      </c>
      <c r="AV27">
        <f>VLOOKUP($O27,'Table 3 Yakima Solar 2028'!$B$10:$K$36,9,FALSE)</f>
        <v>210.78</v>
      </c>
      <c r="AW27">
        <f>VLOOKUP($O27,'Table 3 UT Solar 2031'!$B$10:$K$36,9,FALSE)</f>
        <v>218.48</v>
      </c>
      <c r="AZ27">
        <f>SUM(AB$13:AB27)*AN27/1000</f>
        <v>0</v>
      </c>
      <c r="BA27">
        <f>SUM(AC$13:AC27)*AO27/1000</f>
        <v>0</v>
      </c>
      <c r="BB27">
        <f>SUM(AD$13:AD27)*AP27/1000</f>
        <v>0</v>
      </c>
      <c r="BC27">
        <f>SUM(AE$13:AE27)*AQ27/1000</f>
        <v>0</v>
      </c>
      <c r="BD27">
        <f>SUM(AF$13:AF27)*AR27/1000</f>
        <v>0</v>
      </c>
      <c r="BE27">
        <f>SUM(AG$13:AG27)*AS27/1000</f>
        <v>0</v>
      </c>
      <c r="BF27">
        <f>SUM(AH$13:AH27)*AT27/1000</f>
        <v>0</v>
      </c>
      <c r="BG27">
        <f>SUM(AI$13:AI27)*AU27/1000</f>
        <v>0</v>
      </c>
      <c r="BH27">
        <f>SUM(AJ$13:AJ27)*AV27/1000</f>
        <v>0</v>
      </c>
      <c r="BI27">
        <f>SUM(AK$13:AK27)*AW27/1000</f>
        <v>0</v>
      </c>
      <c r="BJ27">
        <f t="shared" si="6"/>
        <v>0</v>
      </c>
    </row>
    <row r="28" spans="2:62">
      <c r="B28" s="16">
        <f t="shared" si="4"/>
        <v>2033</v>
      </c>
      <c r="C28" s="10">
        <f t="shared" si="0"/>
        <v>0</v>
      </c>
      <c r="D28" s="62"/>
      <c r="E28" s="10">
        <f>SUMIF('Table 5'!$J$13:$J$264,B28,'Table 5'!$C$13:$C$264)/SUMIF('Table 5'!$J$13:$J$264,B28,'Table 5'!$F$13:$F$264)</f>
        <v>31.647314136979841</v>
      </c>
      <c r="F28" s="51"/>
      <c r="G28" s="15">
        <f>IFERROR(SUMIF('Table 5'!$J$13:$J$264,B28,'Table 5'!$E$13:$E$264)/SUMIF('Table 5'!$J$13:$J$264,B28,'Table 5'!$F$13:$F$264),0)</f>
        <v>31.647314136979841</v>
      </c>
      <c r="H28" s="50"/>
      <c r="I28"/>
      <c r="M28" s="181"/>
      <c r="O28">
        <f t="shared" si="1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B28">
        <f t="shared" si="5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t="shared" si="2"/>
        <v>0</v>
      </c>
      <c r="AJ28">
        <f t="shared" si="2"/>
        <v>0</v>
      </c>
      <c r="AK28">
        <f t="shared" si="2"/>
        <v>0</v>
      </c>
      <c r="AN28">
        <f>VLOOKUP($O28,'Table 3 WY Wind 2021'!$B$10:$J$36,9,FALSE)</f>
        <v>226.25</v>
      </c>
      <c r="AO28">
        <f>VLOOKUP($O28,'Table 3 DJ Wind 2031'!$B$10:$J$36,9,FALSE)</f>
        <v>236.69</v>
      </c>
      <c r="AP28">
        <f>VLOOKUP($O28,'Table 3 ID Wind 2036'!$B$10:$J$36,9,FALSE)</f>
        <v>240.6</v>
      </c>
      <c r="AQ28">
        <f>VLOOKUP($O28,'Table 3 30 MW Geoth 2029'!$B$10:$J$36,9,FALSE)</f>
        <v>888.7</v>
      </c>
      <c r="AR28">
        <f>VLOOKUP($O28,'Table 3 200 MW (UT N) 2029)'!$B$11:$H$41,7,FALSE)</f>
        <v>151.44</v>
      </c>
      <c r="AS28">
        <f>VLOOKUP($O28,'Table 3 436MW (West M) 2030'!$B$11:$I$41,7,FALSE)</f>
        <v>225.34</v>
      </c>
      <c r="AT28">
        <f>VLOOKUP($O28,'Table 3 477 MW (Wyo) 2033'!$B$11:$I$41,7,FALSE)</f>
        <v>230.64</v>
      </c>
      <c r="AU28">
        <f>VLOOKUP($O28,'Table 3 200 MW (Wyo) 2033'!$B$11:$I$41,7,FALSE)</f>
        <v>198.99</v>
      </c>
      <c r="AV28">
        <f>VLOOKUP($O28,'Table 3 Yakima Solar 2028'!$B$10:$K$36,9,FALSE)</f>
        <v>215.42</v>
      </c>
      <c r="AW28">
        <f>VLOOKUP($O28,'Table 3 UT Solar 2031'!$B$10:$K$36,9,FALSE)</f>
        <v>223.28</v>
      </c>
      <c r="AZ28">
        <f>SUM(AB$13:AB28)*AN28/1000</f>
        <v>0</v>
      </c>
      <c r="BA28">
        <f>SUM(AC$13:AC28)*AO28/1000</f>
        <v>0</v>
      </c>
      <c r="BB28">
        <f>SUM(AD$13:AD28)*AP28/1000</f>
        <v>0</v>
      </c>
      <c r="BC28">
        <f>SUM(AE$13:AE28)*AQ28/1000</f>
        <v>0</v>
      </c>
      <c r="BD28">
        <f>SUM(AF$13:AF28)*AR28/1000</f>
        <v>0</v>
      </c>
      <c r="BE28">
        <f>SUM(AG$13:AG28)*AS28/1000</f>
        <v>0</v>
      </c>
      <c r="BF28">
        <f>SUM(AH$13:AH28)*AT28/1000</f>
        <v>0</v>
      </c>
      <c r="BG28">
        <f>SUM(AI$13:AI28)*AU28/1000</f>
        <v>0</v>
      </c>
      <c r="BH28">
        <f>SUM(AJ$13:AJ28)*AV28/1000</f>
        <v>0</v>
      </c>
      <c r="BI28">
        <f>SUM(AK$13:AK28)*AW28/1000</f>
        <v>0</v>
      </c>
      <c r="BJ28">
        <f t="shared" si="6"/>
        <v>0</v>
      </c>
    </row>
    <row r="29" spans="2:62">
      <c r="B29" s="16">
        <f t="shared" si="4"/>
        <v>2034</v>
      </c>
      <c r="C29" s="10">
        <f t="shared" ref="C29:C32" si="7">INDEX($BJ:$BJ,MATCH(B29,$O:$O,0),1)*1000/Study_MW</f>
        <v>0</v>
      </c>
      <c r="D29" s="62"/>
      <c r="E29" s="10">
        <f>IFERROR(SUMIF('Table 5'!$J$13:$J$264,B29,'Table 5'!$C$13:$C$264)/SUMIF('Table 5'!$J$13:$J$264,B29,'Table 5'!$F$13:$F$264),0)</f>
        <v>32.127538023884789</v>
      </c>
      <c r="F29" s="51"/>
      <c r="G29" s="15">
        <f>IFERROR(SUMIF('Table 5'!$J$13:$J$264,B29,'Table 5'!$E$13:$E$264)/SUMIF('Table 5'!$J$13:$J$264,B29,'Table 5'!$F$13:$F$264),0)</f>
        <v>32.127538023884789</v>
      </c>
      <c r="H29" s="50"/>
      <c r="I29" s="66"/>
      <c r="M29" s="181"/>
      <c r="O29">
        <f t="shared" si="1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B29">
        <f t="shared" si="5"/>
        <v>0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  <c r="AH29">
        <f t="shared" si="2"/>
        <v>0</v>
      </c>
      <c r="AI29">
        <f t="shared" si="2"/>
        <v>0</v>
      </c>
      <c r="AJ29">
        <f t="shared" si="2"/>
        <v>0</v>
      </c>
      <c r="AK29">
        <f t="shared" si="2"/>
        <v>0</v>
      </c>
      <c r="AN29">
        <f>VLOOKUP($O29,'Table 3 WY Wind 2021'!$B$10:$J$36,9,FALSE)</f>
        <v>231.22</v>
      </c>
      <c r="AO29">
        <f>VLOOKUP($O29,'Table 3 DJ Wind 2031'!$B$10:$J$36,9,FALSE)</f>
        <v>241.9</v>
      </c>
      <c r="AP29">
        <f>VLOOKUP($O29,'Table 3 ID Wind 2036'!$B$10:$J$36,9,FALSE)</f>
        <v>245.89</v>
      </c>
      <c r="AQ29">
        <f>VLOOKUP($O29,'Table 3 30 MW Geoth 2029'!$B$10:$J$36,9,FALSE)</f>
        <v>908.23</v>
      </c>
      <c r="AR29">
        <f>VLOOKUP($O29,'Table 3 200 MW (UT N) 2029)'!$B$11:$H$41,7,FALSE)</f>
        <v>154.77000000000001</v>
      </c>
      <c r="AS29">
        <f>VLOOKUP($O29,'Table 3 436MW (West M) 2030'!$B$11:$I$41,7,FALSE)</f>
        <v>230.26</v>
      </c>
      <c r="AT29">
        <f>VLOOKUP($O29,'Table 3 477 MW (Wyo) 2033'!$B$11:$I$41,7,FALSE)</f>
        <v>235.7</v>
      </c>
      <c r="AU29">
        <f>VLOOKUP($O29,'Table 3 200 MW (Wyo) 2033'!$B$11:$I$41,7,FALSE)</f>
        <v>203.37</v>
      </c>
      <c r="AV29">
        <f>VLOOKUP($O29,'Table 3 Yakima Solar 2028'!$B$10:$K$36,9,FALSE)</f>
        <v>220.18</v>
      </c>
      <c r="AW29">
        <f>VLOOKUP($O29,'Table 3 UT Solar 2031'!$B$10:$K$36,9,FALSE)</f>
        <v>228.19</v>
      </c>
      <c r="AZ29">
        <f>SUM(AB$13:AB29)*AN29/1000</f>
        <v>0</v>
      </c>
      <c r="BA29">
        <f>SUM(AC$13:AC29)*AO29/1000</f>
        <v>0</v>
      </c>
      <c r="BB29">
        <f>SUM(AD$13:AD29)*AP29/1000</f>
        <v>0</v>
      </c>
      <c r="BC29">
        <f>SUM(AE$13:AE29)*AQ29/1000</f>
        <v>0</v>
      </c>
      <c r="BD29">
        <f>SUM(AF$13:AF29)*AR29/1000</f>
        <v>0</v>
      </c>
      <c r="BE29">
        <f>SUM(AG$13:AG29)*AS29/1000</f>
        <v>0</v>
      </c>
      <c r="BF29">
        <f>SUM(AH$13:AH29)*AT29/1000</f>
        <v>0</v>
      </c>
      <c r="BG29">
        <f>SUM(AI$13:AI29)*AU29/1000</f>
        <v>0</v>
      </c>
      <c r="BH29">
        <f>SUM(AJ$13:AJ29)*AV29/1000</f>
        <v>0</v>
      </c>
      <c r="BI29">
        <f>SUM(AK$13:AK29)*AW29/1000</f>
        <v>0</v>
      </c>
      <c r="BJ29">
        <f t="shared" si="6"/>
        <v>0</v>
      </c>
    </row>
    <row r="30" spans="2:62">
      <c r="B30" s="16">
        <f t="shared" si="4"/>
        <v>2035</v>
      </c>
      <c r="C30" s="10">
        <f t="shared" si="7"/>
        <v>214.25053108077969</v>
      </c>
      <c r="D30" s="62"/>
      <c r="E30" s="10">
        <f>IFERROR(SUMIF('Table 5'!$J$13:$J$264,B30,'Table 5'!$C$13:$C$264)/SUMIF('Table 5'!$J$13:$J$264,B30,'Table 5'!$F$13:$F$264),0)</f>
        <v>0.25895612219331171</v>
      </c>
      <c r="F30" s="51"/>
      <c r="G30" s="15">
        <f>IFERROR(SUMIF('Table 5'!$J$13:$J$264,B30,'Table 5'!$E$13:$E$264)/SUMIF('Table 5'!$J$13:$J$264,B30,'Table 5'!$F$13:$F$264),0)</f>
        <v>86.005310382659829</v>
      </c>
      <c r="H30" s="50"/>
      <c r="I30" s="66"/>
      <c r="M30" s="181"/>
      <c r="O30">
        <f t="shared" si="1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43.85879452860447</v>
      </c>
      <c r="AB30">
        <f t="shared" si="5"/>
        <v>0</v>
      </c>
      <c r="AC30">
        <f t="shared" si="2"/>
        <v>0</v>
      </c>
      <c r="AD30">
        <f t="shared" si="2"/>
        <v>0</v>
      </c>
      <c r="AE30">
        <f t="shared" si="2"/>
        <v>0</v>
      </c>
      <c r="AF30">
        <f t="shared" si="2"/>
        <v>0</v>
      </c>
      <c r="AG30">
        <f t="shared" si="2"/>
        <v>0</v>
      </c>
      <c r="AH30">
        <f t="shared" si="2"/>
        <v>0</v>
      </c>
      <c r="AI30">
        <f t="shared" si="2"/>
        <v>0</v>
      </c>
      <c r="AJ30">
        <f t="shared" si="2"/>
        <v>0</v>
      </c>
      <c r="AK30">
        <f t="shared" si="2"/>
        <v>73.499324556013619</v>
      </c>
      <c r="AN30">
        <f>VLOOKUP($O30,'Table 3 WY Wind 2021'!$B$10:$J$36,9,FALSE)</f>
        <v>236.31</v>
      </c>
      <c r="AO30">
        <f>VLOOKUP($O30,'Table 3 DJ Wind 2031'!$B$10:$J$36,9,FALSE)</f>
        <v>247.21</v>
      </c>
      <c r="AP30">
        <f>VLOOKUP($O30,'Table 3 ID Wind 2036'!$B$10:$J$36,9,FALSE)</f>
        <v>251.3</v>
      </c>
      <c r="AQ30">
        <f>VLOOKUP($O30,'Table 3 30 MW Geoth 2029'!$B$10:$J$36,9,FALSE)</f>
        <v>928.23</v>
      </c>
      <c r="AR30">
        <f>VLOOKUP($O30,'Table 3 200 MW (UT N) 2029)'!$B$11:$H$41,7,FALSE)</f>
        <v>158.18</v>
      </c>
      <c r="AS30">
        <f>VLOOKUP($O30,'Table 3 436MW (West M) 2030'!$B$11:$I$41,7,FALSE)</f>
        <v>235.36</v>
      </c>
      <c r="AT30">
        <f>VLOOKUP($O30,'Table 3 477 MW (Wyo) 2033'!$B$11:$I$41,7,FALSE)</f>
        <v>240.87</v>
      </c>
      <c r="AU30">
        <f>VLOOKUP($O30,'Table 3 200 MW (Wyo) 2033'!$B$11:$I$41,7,FALSE)</f>
        <v>207.85</v>
      </c>
      <c r="AV30">
        <f>VLOOKUP($O30,'Table 3 Yakima Solar 2028'!$B$10:$K$36,9,FALSE)</f>
        <v>225.01</v>
      </c>
      <c r="AW30">
        <f>VLOOKUP($O30,'Table 3 UT Solar 2031'!$B$10:$K$36,9,FALSE)</f>
        <v>233.2</v>
      </c>
      <c r="AZ30">
        <f>SUM(AB$13:AB30)*AN30/1000</f>
        <v>0</v>
      </c>
      <c r="BA30">
        <f>SUM(AC$13:AC30)*AO30/1000</f>
        <v>0</v>
      </c>
      <c r="BB30">
        <f>SUM(AD$13:AD30)*AP30/1000</f>
        <v>0</v>
      </c>
      <c r="BC30">
        <f>SUM(AE$13:AE30)*AQ30/1000</f>
        <v>0</v>
      </c>
      <c r="BD30">
        <f>SUM(AF$13:AF30)*AR30/1000</f>
        <v>0</v>
      </c>
      <c r="BE30">
        <f>SUM(AG$13:AG30)*AS30/1000</f>
        <v>0</v>
      </c>
      <c r="BF30">
        <f>SUM(AH$13:AH30)*AT30/1000</f>
        <v>0</v>
      </c>
      <c r="BG30">
        <f>SUM(AI$13:AI30)*AU30/1000</f>
        <v>0</v>
      </c>
      <c r="BH30">
        <f>SUM(AJ$13:AJ30)*AV30/1000</f>
        <v>0</v>
      </c>
      <c r="BI30">
        <f>SUM(AK$13:AK30)*AW30/1000</f>
        <v>17.140042486462374</v>
      </c>
      <c r="BJ30">
        <f t="shared" si="6"/>
        <v>17.140042486462374</v>
      </c>
    </row>
    <row r="31" spans="2:62">
      <c r="B31" s="16">
        <f t="shared" si="4"/>
        <v>2036</v>
      </c>
      <c r="C31" s="10">
        <f t="shared" si="7"/>
        <v>218.97286268350359</v>
      </c>
      <c r="D31" s="62"/>
      <c r="E31" s="10">
        <f>IFERROR(SUMIF('Table 5'!$J$13:$J$264,B31,'Table 5'!$C$13:$C$264)/SUMIF('Table 5'!$J$13:$J$264,B31,'Table 5'!$F$13:$F$264),0)</f>
        <v>0.30778519051160846</v>
      </c>
      <c r="F31" s="51"/>
      <c r="G31" s="15">
        <f>IFERROR(SUMIF('Table 5'!$J$13:$J$264,B31,'Table 5'!$E$13:$E$264)/SUMIF('Table 5'!$J$13:$J$264,B31,'Table 5'!$F$13:$F$264),0)</f>
        <v>88.214410756073775</v>
      </c>
      <c r="H31" s="50"/>
      <c r="I31" s="15"/>
      <c r="M31" s="181"/>
      <c r="O31">
        <f t="shared" si="1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B31">
        <f t="shared" si="5"/>
        <v>0</v>
      </c>
      <c r="AC31">
        <f t="shared" si="2"/>
        <v>0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0</v>
      </c>
      <c r="AH31">
        <f t="shared" si="2"/>
        <v>0</v>
      </c>
      <c r="AI31">
        <f t="shared" si="2"/>
        <v>0</v>
      </c>
      <c r="AJ31">
        <f t="shared" si="2"/>
        <v>0</v>
      </c>
      <c r="AK31">
        <f t="shared" si="2"/>
        <v>0</v>
      </c>
      <c r="AN31">
        <f>VLOOKUP($O31,'Table 3 WY Wind 2021'!$B$10:$J$36,9,FALSE)</f>
        <v>241.49</v>
      </c>
      <c r="AO31">
        <f>VLOOKUP($O31,'Table 3 DJ Wind 2031'!$B$10:$J$36,9,FALSE)</f>
        <v>252.64</v>
      </c>
      <c r="AP31">
        <f>VLOOKUP($O31,'Table 3 ID Wind 2036'!$B$10:$J$36,9,FALSE)</f>
        <v>256.82</v>
      </c>
      <c r="AQ31">
        <f>VLOOKUP($O31,'Table 3 30 MW Geoth 2029'!$B$10:$J$36,9,FALSE)</f>
        <v>948.63</v>
      </c>
      <c r="AR31">
        <f>VLOOKUP($O31,'Table 3 200 MW (UT N) 2029)'!$B$11:$H$41,7,FALSE)</f>
        <v>161.65</v>
      </c>
      <c r="AS31">
        <f>VLOOKUP($O31,'Table 3 436MW (West M) 2030'!$B$11:$I$41,7,FALSE)</f>
        <v>240.55</v>
      </c>
      <c r="AT31">
        <f>VLOOKUP($O31,'Table 3 477 MW (Wyo) 2033'!$B$11:$I$41,7,FALSE)</f>
        <v>246.14</v>
      </c>
      <c r="AU31">
        <f>VLOOKUP($O31,'Table 3 200 MW (Wyo) 2033'!$B$11:$I$41,7,FALSE)</f>
        <v>212.41</v>
      </c>
      <c r="AV31">
        <f>VLOOKUP($O31,'Table 3 Yakima Solar 2028'!$B$10:$K$36,9,FALSE)</f>
        <v>229.96</v>
      </c>
      <c r="AW31">
        <f>VLOOKUP($O31,'Table 3 UT Solar 2031'!$B$10:$K$36,9,FALSE)</f>
        <v>238.34</v>
      </c>
      <c r="AZ31">
        <f>SUM(AB$13:AB31)*AN31/1000</f>
        <v>0</v>
      </c>
      <c r="BA31">
        <f>SUM(AC$13:AC31)*AO31/1000</f>
        <v>0</v>
      </c>
      <c r="BB31">
        <f>SUM(AD$13:AD31)*AP31/1000</f>
        <v>0</v>
      </c>
      <c r="BC31">
        <f>SUM(AE$13:AE31)*AQ31/1000</f>
        <v>0</v>
      </c>
      <c r="BD31">
        <f>SUM(AF$13:AF31)*AR31/1000</f>
        <v>0</v>
      </c>
      <c r="BE31">
        <f>SUM(AG$13:AG31)*AS31/1000</f>
        <v>0</v>
      </c>
      <c r="BF31">
        <f>SUM(AH$13:AH31)*AT31/1000</f>
        <v>0</v>
      </c>
      <c r="BG31">
        <f>SUM(AI$13:AI31)*AU31/1000</f>
        <v>0</v>
      </c>
      <c r="BH31">
        <f>SUM(AJ$13:AJ31)*AV31/1000</f>
        <v>0</v>
      </c>
      <c r="BI31">
        <f>SUM(AK$13:AK31)*AW31/1000</f>
        <v>17.517829014680288</v>
      </c>
      <c r="BJ31">
        <f t="shared" si="6"/>
        <v>17.517829014680288</v>
      </c>
    </row>
    <row r="32" spans="2:62" hidden="1">
      <c r="B32" s="271">
        <f t="shared" si="4"/>
        <v>2037</v>
      </c>
      <c r="C32" s="272">
        <f t="shared" si="7"/>
        <v>223.80544327306148</v>
      </c>
      <c r="D32" s="273"/>
      <c r="E32" s="272">
        <f>IFERROR(SUMIF('Table 5'!$J$13:$J$264,B32,'Table 5'!$C$13:$C$264)/SUMIF('Table 5'!$J$13:$J$264,B32,'Table 5'!$F$13:$F$264),0)</f>
        <v>0</v>
      </c>
      <c r="F32" s="274"/>
      <c r="G32" s="275">
        <f>IFERROR(SUMIF('Table 5'!$J$13:$J$264,B32,'Table 5'!$E$13:$E$264)/SUMIF('Table 5'!$J$13:$J$264,B32,'Table 5'!$F$13:$F$264),0)</f>
        <v>0</v>
      </c>
      <c r="H32" s="50"/>
      <c r="I32" s="15"/>
      <c r="M32" s="181"/>
      <c r="O32">
        <f t="shared" si="1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B32">
        <f t="shared" si="5"/>
        <v>0</v>
      </c>
      <c r="AC32">
        <f t="shared" si="2"/>
        <v>0</v>
      </c>
      <c r="AD32">
        <f t="shared" si="2"/>
        <v>0</v>
      </c>
      <c r="AE32">
        <f t="shared" si="2"/>
        <v>0</v>
      </c>
      <c r="AF32">
        <f t="shared" si="2"/>
        <v>0</v>
      </c>
      <c r="AG32">
        <f t="shared" si="2"/>
        <v>0</v>
      </c>
      <c r="AH32">
        <f t="shared" si="2"/>
        <v>0</v>
      </c>
      <c r="AI32">
        <f t="shared" si="2"/>
        <v>0</v>
      </c>
      <c r="AJ32">
        <f t="shared" si="2"/>
        <v>0</v>
      </c>
      <c r="AK32">
        <f t="shared" si="2"/>
        <v>0</v>
      </c>
      <c r="AN32">
        <f>VLOOKUP($O32,'Table 3 WY Wind 2021'!$B$10:$J$36,9,FALSE)</f>
        <v>246.79</v>
      </c>
      <c r="AO32">
        <f>VLOOKUP($O32,'Table 3 DJ Wind 2031'!$B$10:$J$36,9,FALSE)</f>
        <v>258.19</v>
      </c>
      <c r="AP32">
        <f>VLOOKUP($O32,'Table 3 ID Wind 2036'!$B$10:$J$36,9,FALSE)</f>
        <v>262.47000000000003</v>
      </c>
      <c r="AQ32">
        <f>VLOOKUP($O32,'Table 3 30 MW Geoth 2029'!$B$10:$J$36,9,FALSE)</f>
        <v>969.5</v>
      </c>
      <c r="AR32">
        <f>VLOOKUP($O32,'Table 3 200 MW (UT N) 2029)'!$B$11:$H$41,7,FALSE)</f>
        <v>165.22</v>
      </c>
      <c r="AS32">
        <f>VLOOKUP($O32,'Table 3 436MW (West M) 2030'!$B$11:$I$41,7,FALSE)</f>
        <v>245.85</v>
      </c>
      <c r="AT32">
        <f>VLOOKUP($O32,'Table 3 477 MW (Wyo) 2033'!$B$11:$I$41,7,FALSE)</f>
        <v>251.59</v>
      </c>
      <c r="AU32">
        <f>VLOOKUP($O32,'Table 3 200 MW (Wyo) 2033'!$B$11:$I$41,7,FALSE)</f>
        <v>217.09</v>
      </c>
      <c r="AV32">
        <f>VLOOKUP($O32,'Table 3 Yakima Solar 2028'!$B$10:$K$36,9,FALSE)</f>
        <v>235.02</v>
      </c>
      <c r="AW32">
        <f>VLOOKUP($O32,'Table 3 UT Solar 2031'!$B$10:$K$36,9,FALSE)</f>
        <v>243.6</v>
      </c>
      <c r="AZ32">
        <f>SUM(AB$13:AB32)*AN32/1000</f>
        <v>0</v>
      </c>
      <c r="BA32">
        <f>SUM(AC$13:AC32)*AO32/1000</f>
        <v>0</v>
      </c>
      <c r="BB32">
        <f>SUM(AD$13:AD32)*AP32/1000</f>
        <v>0</v>
      </c>
      <c r="BC32">
        <f>SUM(AE$13:AE32)*AQ32/1000</f>
        <v>0</v>
      </c>
      <c r="BD32">
        <f>SUM(AF$13:AF32)*AR32/1000</f>
        <v>0</v>
      </c>
      <c r="BE32">
        <f>SUM(AG$13:AG32)*AS32/1000</f>
        <v>0</v>
      </c>
      <c r="BF32">
        <f>SUM(AH$13:AH32)*AT32/1000</f>
        <v>0</v>
      </c>
      <c r="BG32">
        <f>SUM(AI$13:AI32)*AU32/1000</f>
        <v>0</v>
      </c>
      <c r="BH32">
        <f>SUM(AJ$13:AJ32)*AV32/1000</f>
        <v>0</v>
      </c>
      <c r="BI32">
        <f>SUM(AK$13:AK32)*AW32/1000</f>
        <v>17.904435461844919</v>
      </c>
      <c r="BJ32" s="265">
        <f t="shared" si="6"/>
        <v>17.904435461844919</v>
      </c>
    </row>
    <row r="33" spans="1:62" hidden="1">
      <c r="B33" s="271">
        <f t="shared" si="4"/>
        <v>2038</v>
      </c>
      <c r="C33" s="272">
        <f t="shared" ref="C33" si="8">INDEX($BJ:$BJ,MATCH(B33,$O:$O,0),1)*1000/Study_MW</f>
        <v>228.71152318717537</v>
      </c>
      <c r="D33" s="273"/>
      <c r="E33" s="272" t="e">
        <f>SUMIF('Table 5'!$J$13:$J$264,B33,'Table 5'!$C$13:$C$264)/SUMIF('Table 5'!$J$13:$J$264,B33,'Table 5'!$F$13:$F$264)</f>
        <v>#DIV/0!</v>
      </c>
      <c r="F33" s="274"/>
      <c r="G33" s="275">
        <f>IFERROR(SUMIF('Table 5'!$J$13:$J$264,B33,'Table 5'!$E$13:$E$264)/SUMIF('Table 5'!$J$13:$J$264,B33,'Table 5'!$F$13:$F$264),0)</f>
        <v>0</v>
      </c>
      <c r="H33" s="50"/>
      <c r="I33" s="66"/>
      <c r="M33" s="181"/>
      <c r="O33">
        <f t="shared" ref="O33" si="9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B33">
        <f t="shared" ref="AB33" si="10">P33/P$5</f>
        <v>0</v>
      </c>
      <c r="AC33">
        <f t="shared" ref="AC33" si="11">Q33/Q$5</f>
        <v>0</v>
      </c>
      <c r="AD33">
        <f t="shared" ref="AD33" si="12">R33/R$5</f>
        <v>0</v>
      </c>
      <c r="AE33">
        <f t="shared" ref="AE33" si="13">S33/S$5</f>
        <v>0</v>
      </c>
      <c r="AF33">
        <f t="shared" ref="AF33" si="14">T33/T$5</f>
        <v>0</v>
      </c>
      <c r="AG33">
        <f t="shared" ref="AG33" si="15">U33/U$5</f>
        <v>0</v>
      </c>
      <c r="AH33">
        <f t="shared" ref="AH33" si="16">V33/V$5</f>
        <v>0</v>
      </c>
      <c r="AI33">
        <f t="shared" ref="AI33" si="17">W33/W$5</f>
        <v>0</v>
      </c>
      <c r="AJ33">
        <f t="shared" ref="AJ33" si="18">X33/X$5</f>
        <v>0</v>
      </c>
      <c r="AK33">
        <f t="shared" ref="AK33" si="19">Y33/Y$5</f>
        <v>0</v>
      </c>
      <c r="AN33">
        <f>VLOOKUP($O33,'Table 3 WY Wind 2021'!$B$10:$J$36,9,FALSE)</f>
        <v>252.21</v>
      </c>
      <c r="AO33">
        <f>VLOOKUP($O33,'Table 3 DJ Wind 2031'!$B$10:$J$36,9,FALSE)</f>
        <v>263.85000000000002</v>
      </c>
      <c r="AP33">
        <f>VLOOKUP($O33,'Table 3 ID Wind 2036'!$B$10:$J$36,9,FALSE)</f>
        <v>268.24</v>
      </c>
      <c r="AQ33">
        <f>VLOOKUP($O33,'Table 3 30 MW Geoth 2029'!$B$10:$J$36,9,FALSE)</f>
        <v>990.85</v>
      </c>
      <c r="AR33">
        <f>VLOOKUP($O33,'Table 3 200 MW (UT N) 2029)'!$B$11:$H$41,7,FALSE)</f>
        <v>168.86</v>
      </c>
      <c r="AS33">
        <f>VLOOKUP($O33,'Table 3 436MW (West M) 2030'!$B$11:$I$41,7,FALSE)</f>
        <v>251.25</v>
      </c>
      <c r="AT33">
        <f>VLOOKUP($O33,'Table 3 477 MW (Wyo) 2033'!$B$11:$I$41,7,FALSE)</f>
        <v>257.13</v>
      </c>
      <c r="AU33">
        <f>VLOOKUP($O33,'Table 3 200 MW (Wyo) 2033'!$B$11:$I$41,7,FALSE)</f>
        <v>221.86</v>
      </c>
      <c r="AV33">
        <f>VLOOKUP($O33,'Table 3 Yakima Solar 2028'!$B$10:$K$36,9,FALSE)</f>
        <v>240.19</v>
      </c>
      <c r="AW33">
        <f>VLOOKUP($O33,'Table 3 UT Solar 2031'!$B$10:$K$36,9,FALSE)</f>
        <v>248.94</v>
      </c>
      <c r="AZ33">
        <f>SUM(AB$13:AB33)*AN33/1000</f>
        <v>0</v>
      </c>
      <c r="BA33">
        <f>SUM(AC$13:AC33)*AO33/1000</f>
        <v>0</v>
      </c>
      <c r="BB33">
        <f>SUM(AD$13:AD33)*AP33/1000</f>
        <v>0</v>
      </c>
      <c r="BC33">
        <f>SUM(AE$13:AE33)*AQ33/1000</f>
        <v>0</v>
      </c>
      <c r="BD33">
        <f>SUM(AF$13:AF33)*AR33/1000</f>
        <v>0</v>
      </c>
      <c r="BE33">
        <f>SUM(AG$13:AG33)*AS33/1000</f>
        <v>0</v>
      </c>
      <c r="BF33">
        <f>SUM(AH$13:AH33)*AT33/1000</f>
        <v>0</v>
      </c>
      <c r="BG33">
        <f>SUM(AI$13:AI33)*AU33/1000</f>
        <v>0</v>
      </c>
      <c r="BH33">
        <f>SUM(AJ$13:AJ33)*AV33/1000</f>
        <v>0</v>
      </c>
      <c r="BI33">
        <f>SUM(AK$13:AK33)*AW33/1000</f>
        <v>18.29692185497403</v>
      </c>
      <c r="BJ33" s="265">
        <f t="shared" ref="BJ33" si="20">SUM(AZ33:BI33)</f>
        <v>18.29692185497403</v>
      </c>
    </row>
    <row r="34" spans="1:62">
      <c r="B34" s="259"/>
      <c r="C34" s="10"/>
      <c r="D34" s="62"/>
      <c r="E34" s="10"/>
      <c r="F34" s="51"/>
      <c r="G34" s="10"/>
      <c r="H34" s="50"/>
      <c r="I34" s="66"/>
      <c r="M34" s="181"/>
    </row>
    <row r="35" spans="1:62">
      <c r="B35" s="259"/>
      <c r="C35" s="10"/>
      <c r="D35" s="62"/>
      <c r="E35" s="10"/>
      <c r="F35" s="51"/>
      <c r="G35" s="10"/>
      <c r="H35" s="50"/>
      <c r="I35" s="66"/>
      <c r="M35" s="181"/>
    </row>
    <row r="36" spans="1:62">
      <c r="B36" s="259"/>
      <c r="C36" s="10"/>
      <c r="D36" s="62"/>
      <c r="E36" s="10"/>
      <c r="F36" s="51"/>
      <c r="G36" s="10"/>
      <c r="H36" s="50"/>
      <c r="I36" s="66"/>
      <c r="M36" s="181"/>
    </row>
    <row r="37" spans="1:62">
      <c r="B37" s="259"/>
      <c r="C37" s="10"/>
      <c r="D37" s="62"/>
      <c r="E37" s="10"/>
      <c r="F37" s="51"/>
      <c r="G37" s="10"/>
      <c r="H37" s="50"/>
      <c r="I37"/>
      <c r="M37" s="181"/>
    </row>
    <row r="38" spans="1:62">
      <c r="B38" s="259"/>
      <c r="C38" s="10"/>
      <c r="D38" s="62"/>
      <c r="E38" s="10"/>
      <c r="F38" s="51"/>
      <c r="G38" s="10"/>
      <c r="H38" s="50"/>
      <c r="I38"/>
    </row>
    <row r="39" spans="1:62">
      <c r="B39" s="259"/>
      <c r="C39" s="10"/>
      <c r="D39" s="62"/>
      <c r="E39" s="10"/>
      <c r="F39" s="51"/>
      <c r="G39" s="10"/>
      <c r="H39" s="50"/>
      <c r="I39"/>
      <c r="Q39" s="289"/>
    </row>
    <row r="40" spans="1:62">
      <c r="D40" s="10"/>
      <c r="F40" s="51"/>
      <c r="H40" s="50"/>
      <c r="I40"/>
    </row>
    <row r="41" spans="1:62">
      <c r="A41" s="4" t="s">
        <v>153</v>
      </c>
      <c r="B41" s="72" t="str">
        <f>"15-Year Levelized Prices (Nominal) @ "&amp;TEXT(Discount_Rate,"0.000%")&amp;" Discount Rate (1) (3)"</f>
        <v>15-Year Levelized Prices (Nominal) @ 6.570% Discount Rate (1) (3)</v>
      </c>
      <c r="E41" s="6"/>
      <c r="I41" s="66" t="s">
        <v>96</v>
      </c>
      <c r="P41" s="261"/>
    </row>
    <row r="42" spans="1:62">
      <c r="B42" s="64" t="s">
        <v>8</v>
      </c>
      <c r="C42" s="10">
        <f ca="1">'Table 5'!$D$9*(Study_CF*8.76)/'Table 5'!$F$9</f>
        <v>0</v>
      </c>
      <c r="D42" s="10"/>
      <c r="H42" s="50"/>
      <c r="I42" s="167">
        <v>6.5699999999999995E-2</v>
      </c>
    </row>
    <row r="43" spans="1:62">
      <c r="B43" s="65" t="s">
        <v>39</v>
      </c>
      <c r="E43" s="10">
        <f>'Table 5'!$C$9/'Table 5'!$F$9</f>
        <v>20.874414411264297</v>
      </c>
      <c r="G43" s="320">
        <f>'Table 5'!$G$9</f>
        <v>20.874414411264297</v>
      </c>
      <c r="H43" s="50"/>
    </row>
    <row r="44" spans="1:62">
      <c r="B44" s="65"/>
      <c r="E44" s="10"/>
      <c r="G44" s="166"/>
      <c r="H44" s="50"/>
    </row>
    <row r="45" spans="1:62">
      <c r="A45" s="4" t="s">
        <v>156</v>
      </c>
      <c r="B45" s="72" t="str">
        <f>"15 year Levelized Prices (Nominal) @ "&amp;TEXT(Discount_Rate,"0.00%")&amp;" Discount Rate (1) (3) "</f>
        <v xml:space="preserve">15 year Levelized Prices (Nominal) @ 6.57% Discount Rate (1) (3) </v>
      </c>
      <c r="E45" s="6"/>
      <c r="H45" s="50"/>
    </row>
    <row r="46" spans="1:62">
      <c r="B46" s="64" t="s">
        <v>8</v>
      </c>
      <c r="C46" s="10">
        <f>'Table 5'!D7*(Study_MW*8.76)/'Table 5'!F7</f>
        <v>0</v>
      </c>
      <c r="D46" s="10"/>
      <c r="H46" s="50"/>
    </row>
    <row r="47" spans="1:62">
      <c r="B47" s="65" t="s">
        <v>39</v>
      </c>
      <c r="E47" s="10">
        <f>'Table 5'!$C$7/'Table 5'!$F$7</f>
        <v>22.187015008157946</v>
      </c>
      <c r="G47" s="320">
        <f>'Table 5'!$G$7</f>
        <v>22.187015008157946</v>
      </c>
      <c r="H47" s="50"/>
    </row>
    <row r="48" spans="1:62">
      <c r="B48" s="64"/>
      <c r="C48" s="10"/>
      <c r="D48" s="10"/>
      <c r="H48" s="50"/>
    </row>
    <row r="49" spans="1:13">
      <c r="B49" s="72"/>
      <c r="E49" s="6"/>
      <c r="H49" s="50"/>
    </row>
    <row r="50" spans="1:13">
      <c r="B50" s="64"/>
      <c r="C50" s="10"/>
      <c r="D50" s="10"/>
      <c r="H50" s="50"/>
    </row>
    <row r="51" spans="1:13">
      <c r="B51" s="65"/>
      <c r="E51" s="10"/>
      <c r="G51" s="166"/>
      <c r="H51" s="50"/>
    </row>
    <row r="52" spans="1:13">
      <c r="F52" s="52"/>
      <c r="H52" s="50"/>
    </row>
    <row r="53" spans="1:13">
      <c r="B53" s="4" t="s">
        <v>19</v>
      </c>
      <c r="E53" s="52"/>
      <c r="G53" s="52"/>
      <c r="H53" s="50"/>
      <c r="I53" s="166"/>
    </row>
    <row r="54" spans="1:13">
      <c r="B54" s="67" t="str">
        <f>"(1)   "&amp;I41</f>
        <v>(1)   Discount Rate - 2017 IRP</v>
      </c>
      <c r="E54" s="50"/>
      <c r="F54" s="52"/>
      <c r="G54" s="50"/>
      <c r="H54" s="50"/>
      <c r="I54" s="166"/>
    </row>
    <row r="55" spans="1:13">
      <c r="B55" s="4" t="s">
        <v>25</v>
      </c>
      <c r="F55" s="52"/>
      <c r="H55" s="50"/>
      <c r="I55" s="166"/>
    </row>
    <row r="56" spans="1:13">
      <c r="B56" s="11" t="str">
        <f>"(3)   Levelized Monthly"</f>
        <v>(3)   Levelized Monthly</v>
      </c>
      <c r="G56" s="6"/>
    </row>
    <row r="57" spans="1:13">
      <c r="B57" s="4" t="str">
        <f>IF(Study_Cap_Adj&gt;0,"(4)  The capacity payment is derived from:","")</f>
        <v/>
      </c>
    </row>
    <row r="58" spans="1:13" hidden="1">
      <c r="B58" s="151" t="str">
        <f>IF(AND(Study_Cap_Adj&gt;0,_30_Geo_West&lt;&gt;0),"       2028 - "&amp;'Table 3 477 MW (Wyo) 2033'!$B$12&amp;"   ("&amp;TEXT(_30_Geo_West," 0.0%")&amp;")","")</f>
        <v/>
      </c>
    </row>
    <row r="59" spans="1:13" ht="12.75" customHeight="1">
      <c r="B59" s="151"/>
    </row>
    <row r="60" spans="1:13" ht="12.75" customHeight="1">
      <c r="A60"/>
      <c r="B60" s="151"/>
    </row>
    <row r="61" spans="1:13">
      <c r="A61"/>
      <c r="B61" s="11"/>
      <c r="C61" s="8"/>
      <c r="D61" s="8"/>
      <c r="E61" s="8"/>
      <c r="G61" s="8"/>
    </row>
    <row r="62" spans="1:13">
      <c r="B62"/>
      <c r="I62"/>
    </row>
    <row r="63" spans="1:13" s="70" customFormat="1">
      <c r="A63" s="71"/>
      <c r="B63" s="11"/>
      <c r="C63" s="71"/>
      <c r="D63" s="71"/>
      <c r="E63" s="71"/>
      <c r="F63" s="71"/>
      <c r="G63" s="71"/>
      <c r="I63"/>
      <c r="J63"/>
      <c r="K63"/>
      <c r="L63"/>
      <c r="M63"/>
    </row>
    <row r="64" spans="1:13" s="70" customFormat="1">
      <c r="A64" s="71"/>
      <c r="B64" s="11"/>
      <c r="C64" s="71"/>
      <c r="D64" s="71"/>
      <c r="E64" s="71"/>
      <c r="F64" s="71"/>
      <c r="G64" s="71"/>
      <c r="I64" s="11"/>
      <c r="J64"/>
      <c r="K64"/>
    </row>
    <row r="65" spans="2:13">
      <c r="B65" s="68"/>
      <c r="I65" s="70"/>
      <c r="L65" s="70"/>
      <c r="M65" s="70"/>
    </row>
    <row r="66" spans="2:13">
      <c r="F66" s="8"/>
    </row>
    <row r="69" spans="2:13">
      <c r="J69" s="70"/>
      <c r="K69" s="70"/>
    </row>
    <row r="70" spans="2:13">
      <c r="J70" s="70"/>
      <c r="K70" s="70"/>
    </row>
  </sheetData>
  <phoneticPr fontId="6" type="noConversion"/>
  <printOptions horizontalCentered="1"/>
  <pageMargins left="0.25" right="0.25" top="0.75" bottom="0.75" header="0.3" footer="0.3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C24" sqref="C24"/>
    </sheetView>
  </sheetViews>
  <sheetFormatPr defaultRowHeight="12.75"/>
  <cols>
    <col min="1" max="1" width="2.83203125" style="4" customWidth="1"/>
    <col min="2" max="2" width="7" style="4" customWidth="1"/>
    <col min="3" max="12" width="10.1640625" style="4" customWidth="1"/>
    <col min="13" max="13" width="10.1640625" style="6" customWidth="1"/>
    <col min="14" max="15" width="10.1640625" style="4" customWidth="1"/>
    <col min="16" max="16" width="1.6640625" style="4" customWidth="1"/>
    <col min="17" max="16384" width="9.33203125" style="4"/>
  </cols>
  <sheetData>
    <row r="1" spans="2:16" s="329" customFormat="1" ht="15.75" hidden="1">
      <c r="B1" s="1" t="s">
        <v>52</v>
      </c>
      <c r="C1" s="1"/>
      <c r="D1" s="1"/>
      <c r="E1" s="1"/>
      <c r="F1" s="1"/>
      <c r="G1" s="326"/>
      <c r="H1" s="1"/>
      <c r="I1" s="1"/>
      <c r="J1" s="1"/>
      <c r="K1" s="1"/>
      <c r="L1" s="327"/>
      <c r="M1" s="328"/>
      <c r="N1" s="328"/>
      <c r="O1" s="328"/>
      <c r="P1" s="328"/>
    </row>
    <row r="2" spans="2:16" s="329" customFormat="1" ht="5.25" customHeight="1">
      <c r="B2" s="1"/>
      <c r="C2" s="1"/>
      <c r="D2" s="1"/>
      <c r="E2" s="1"/>
      <c r="F2" s="1"/>
      <c r="G2" s="326"/>
      <c r="H2" s="1"/>
      <c r="I2" s="1"/>
      <c r="J2" s="1"/>
      <c r="K2" s="1"/>
      <c r="L2" s="327"/>
      <c r="M2" s="328"/>
      <c r="N2" s="328"/>
      <c r="O2" s="328"/>
      <c r="P2" s="328"/>
    </row>
    <row r="3" spans="2:16" s="329" customFormat="1" ht="15.75">
      <c r="B3" s="1" t="s">
        <v>167</v>
      </c>
      <c r="C3" s="1"/>
      <c r="D3" s="1"/>
      <c r="E3" s="1"/>
      <c r="F3" s="1"/>
      <c r="G3" s="326"/>
      <c r="H3" s="1"/>
      <c r="I3" s="1"/>
      <c r="J3" s="1"/>
      <c r="K3" s="1"/>
      <c r="L3" s="327"/>
      <c r="M3" s="328"/>
      <c r="N3" s="328"/>
      <c r="O3" s="328"/>
      <c r="P3" s="328"/>
    </row>
    <row r="4" spans="2:16" s="331" customFormat="1" ht="15">
      <c r="B4" s="5" t="s">
        <v>168</v>
      </c>
      <c r="C4" s="5"/>
      <c r="D4" s="5"/>
      <c r="E4" s="5"/>
      <c r="F4" s="5"/>
      <c r="G4" s="5"/>
      <c r="H4" s="5"/>
      <c r="I4" s="5"/>
      <c r="J4" s="5"/>
      <c r="K4" s="5"/>
      <c r="L4" s="5"/>
      <c r="M4" s="330"/>
      <c r="N4" s="330"/>
      <c r="O4" s="330"/>
      <c r="P4" s="330"/>
    </row>
    <row r="5" spans="2:16" s="331" customFormat="1" ht="15">
      <c r="B5" s="5" t="str">
        <f>'[10]Table 1'!B5</f>
        <v>Utah 2017.Q2 - 100.0 MW and 85.0% CF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331" customFormat="1" ht="1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30"/>
      <c r="N6" s="330"/>
      <c r="O6" s="330"/>
      <c r="P6" s="330"/>
    </row>
    <row r="7" spans="2:16">
      <c r="D7" s="332"/>
      <c r="E7" s="332"/>
      <c r="F7" s="332"/>
      <c r="G7" s="333"/>
      <c r="H7" s="333"/>
      <c r="I7" s="333"/>
      <c r="J7" s="333"/>
      <c r="K7" s="333"/>
      <c r="L7" s="333"/>
      <c r="M7" s="334"/>
    </row>
    <row r="8" spans="2:16">
      <c r="B8" s="335" t="s">
        <v>0</v>
      </c>
      <c r="C8" s="335"/>
      <c r="D8" s="336" t="s">
        <v>169</v>
      </c>
      <c r="E8" s="337"/>
      <c r="F8" s="337"/>
      <c r="G8" s="336"/>
      <c r="H8" s="336"/>
      <c r="I8" s="338" t="s">
        <v>170</v>
      </c>
      <c r="J8" s="339"/>
      <c r="K8" s="339"/>
      <c r="L8" s="340"/>
      <c r="M8" s="341" t="s">
        <v>169</v>
      </c>
      <c r="N8" s="342"/>
      <c r="O8" s="343"/>
    </row>
    <row r="9" spans="2:16">
      <c r="B9" s="344"/>
      <c r="C9" s="344" t="s">
        <v>171</v>
      </c>
      <c r="D9" s="345" t="s">
        <v>172</v>
      </c>
      <c r="E9" s="346" t="s">
        <v>173</v>
      </c>
      <c r="F9" s="346" t="s">
        <v>174</v>
      </c>
      <c r="G9" s="346" t="s">
        <v>175</v>
      </c>
      <c r="H9" s="347" t="s">
        <v>176</v>
      </c>
      <c r="I9" s="266" t="s">
        <v>177</v>
      </c>
      <c r="J9" s="266" t="s">
        <v>178</v>
      </c>
      <c r="K9" s="266" t="s">
        <v>179</v>
      </c>
      <c r="L9" s="266" t="s">
        <v>180</v>
      </c>
      <c r="M9" s="345" t="s">
        <v>181</v>
      </c>
      <c r="N9" s="346" t="s">
        <v>182</v>
      </c>
      <c r="O9" s="347" t="s">
        <v>183</v>
      </c>
    </row>
    <row r="10" spans="2:16" ht="12.75" customHeight="1">
      <c r="B10" s="7"/>
      <c r="C10" s="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6"/>
    </row>
    <row r="11" spans="2:16" ht="12.75" customHeight="1">
      <c r="B11" s="349" t="s">
        <v>184</v>
      </c>
      <c r="C11" s="349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6"/>
    </row>
    <row r="12" spans="2:16" ht="12.75" hidden="1" customHeight="1">
      <c r="B12" s="350">
        <v>2017</v>
      </c>
      <c r="C12" s="351"/>
      <c r="D12" s="9"/>
      <c r="E12" s="9"/>
      <c r="F12" s="9"/>
      <c r="G12" s="9"/>
      <c r="H12" s="14"/>
      <c r="I12" s="352">
        <v>16.172539336430155</v>
      </c>
      <c r="J12" s="353">
        <v>21.460840743430747</v>
      </c>
      <c r="K12" s="353">
        <v>21.024038533062892</v>
      </c>
      <c r="L12" s="354">
        <v>17.085410856710421</v>
      </c>
      <c r="M12" s="352">
        <v>17.660120712634402</v>
      </c>
      <c r="N12" s="353">
        <v>17.52322998911449</v>
      </c>
      <c r="O12" s="354">
        <v>18.835768841801322</v>
      </c>
    </row>
    <row r="13" spans="2:16" ht="12.75" customHeight="1">
      <c r="B13" s="355">
        <v>2018</v>
      </c>
      <c r="C13" s="356">
        <v>20.455461523844271</v>
      </c>
      <c r="D13" s="357">
        <v>22.740542395756574</v>
      </c>
      <c r="E13" s="357">
        <v>22.315161797037824</v>
      </c>
      <c r="F13" s="357">
        <v>19.455928920608052</v>
      </c>
      <c r="G13" s="357">
        <v>17.508128472513608</v>
      </c>
      <c r="H13" s="358">
        <v>16.031449590769526</v>
      </c>
      <c r="I13" s="359">
        <v>17.189170183315667</v>
      </c>
      <c r="J13" s="357">
        <v>29.823905956513848</v>
      </c>
      <c r="K13" s="357">
        <v>24.176431856269502</v>
      </c>
      <c r="L13" s="358">
        <v>18.77486804186313</v>
      </c>
      <c r="M13" s="359">
        <v>17.207185875463043</v>
      </c>
      <c r="N13" s="357">
        <v>18.497325298368377</v>
      </c>
      <c r="O13" s="358">
        <v>24.068168580929633</v>
      </c>
    </row>
    <row r="14" spans="2:16" ht="12.75" customHeight="1">
      <c r="B14" s="355">
        <v>2019</v>
      </c>
      <c r="C14" s="356">
        <v>17.569226202203989</v>
      </c>
      <c r="D14" s="357">
        <v>19.042350166650703</v>
      </c>
      <c r="E14" s="357">
        <v>18.187688391579982</v>
      </c>
      <c r="F14" s="357">
        <v>19.021749119401751</v>
      </c>
      <c r="G14" s="357">
        <v>16.034065902821428</v>
      </c>
      <c r="H14" s="358">
        <v>16.19899018810381</v>
      </c>
      <c r="I14" s="359">
        <v>14.138797085066408</v>
      </c>
      <c r="J14" s="357">
        <v>22.486202461784806</v>
      </c>
      <c r="K14" s="357">
        <v>20.711643840148216</v>
      </c>
      <c r="L14" s="358">
        <v>16.658707464924603</v>
      </c>
      <c r="M14" s="359">
        <v>16.100050573959464</v>
      </c>
      <c r="N14" s="357">
        <v>16.703465941045526</v>
      </c>
      <c r="O14" s="358">
        <v>14.091679931056955</v>
      </c>
    </row>
    <row r="15" spans="2:16" ht="12.75" customHeight="1">
      <c r="B15" s="355">
        <v>2020</v>
      </c>
      <c r="C15" s="356">
        <v>11.993059926630396</v>
      </c>
      <c r="D15" s="357">
        <v>15.858496001907394</v>
      </c>
      <c r="E15" s="357">
        <v>10.718332393781834</v>
      </c>
      <c r="F15" s="357">
        <v>13.62944401099443</v>
      </c>
      <c r="G15" s="357">
        <v>11.850819766623882</v>
      </c>
      <c r="H15" s="358">
        <v>9.9804931056287707</v>
      </c>
      <c r="I15" s="359">
        <v>10.281510423851522</v>
      </c>
      <c r="J15" s="357">
        <v>12.510345106856267</v>
      </c>
      <c r="K15" s="357">
        <v>12.397457367820001</v>
      </c>
      <c r="L15" s="358">
        <v>13.915328815744555</v>
      </c>
      <c r="M15" s="359">
        <v>10.847958635992711</v>
      </c>
      <c r="N15" s="357">
        <v>10.393957170072529</v>
      </c>
      <c r="O15" s="358">
        <v>13.99445753548021</v>
      </c>
    </row>
    <row r="16" spans="2:16" ht="12.75" customHeight="1">
      <c r="B16" s="355">
        <v>2021</v>
      </c>
      <c r="C16" s="356">
        <v>14.951322406879862</v>
      </c>
      <c r="D16" s="357">
        <v>12.85111753198402</v>
      </c>
      <c r="E16" s="357">
        <v>15.204490127312759</v>
      </c>
      <c r="F16" s="357">
        <v>14.862106727806687</v>
      </c>
      <c r="G16" s="357">
        <v>13.285816973430826</v>
      </c>
      <c r="H16" s="358">
        <v>14.484598848346177</v>
      </c>
      <c r="I16" s="359">
        <v>13.051721267642804</v>
      </c>
      <c r="J16" s="357">
        <v>13.868594740159267</v>
      </c>
      <c r="K16" s="357">
        <v>17.84611316209498</v>
      </c>
      <c r="L16" s="358">
        <v>18.397527031980697</v>
      </c>
      <c r="M16" s="359">
        <v>16.698654015322727</v>
      </c>
      <c r="N16" s="357">
        <v>12.872715504502731</v>
      </c>
      <c r="O16" s="358">
        <v>14.554349543030112</v>
      </c>
    </row>
    <row r="17" spans="2:15" ht="12.75" customHeight="1">
      <c r="B17" s="355">
        <v>2022</v>
      </c>
      <c r="C17" s="356">
        <v>16.983189059127806</v>
      </c>
      <c r="D17" s="357">
        <v>17.814420949857478</v>
      </c>
      <c r="E17" s="357">
        <v>17.964800781764094</v>
      </c>
      <c r="F17" s="357">
        <v>17.029169916525518</v>
      </c>
      <c r="G17" s="357">
        <v>15.205279913981968</v>
      </c>
      <c r="H17" s="358">
        <v>15.039888589149262</v>
      </c>
      <c r="I17" s="359">
        <v>14.565077874346159</v>
      </c>
      <c r="J17" s="357">
        <v>16.907698243298483</v>
      </c>
      <c r="K17" s="357">
        <v>20.077491230700161</v>
      </c>
      <c r="L17" s="358">
        <v>19.993597185986363</v>
      </c>
      <c r="M17" s="359">
        <v>18.784085732236623</v>
      </c>
      <c r="N17" s="357">
        <v>17.517370134578698</v>
      </c>
      <c r="O17" s="358">
        <v>12.047838570515088</v>
      </c>
    </row>
    <row r="18" spans="2:15" ht="12.75" customHeight="1">
      <c r="B18" s="355">
        <v>2023</v>
      </c>
      <c r="C18" s="356">
        <v>18.434031179575697</v>
      </c>
      <c r="D18" s="357">
        <v>18.641019730994742</v>
      </c>
      <c r="E18" s="357">
        <v>19.086330212862819</v>
      </c>
      <c r="F18" s="357">
        <v>17.777803762229965</v>
      </c>
      <c r="G18" s="357">
        <v>16.288974069218249</v>
      </c>
      <c r="H18" s="358">
        <v>16.619780323333387</v>
      </c>
      <c r="I18" s="359">
        <v>16.362029593329382</v>
      </c>
      <c r="J18" s="357">
        <v>18.117377763188944</v>
      </c>
      <c r="K18" s="357">
        <v>21.319568942422894</v>
      </c>
      <c r="L18" s="358">
        <v>22.004529510096347</v>
      </c>
      <c r="M18" s="359">
        <v>19.605692691996012</v>
      </c>
      <c r="N18" s="357">
        <v>17.828485193102061</v>
      </c>
      <c r="O18" s="358">
        <v>18.225501274608494</v>
      </c>
    </row>
    <row r="19" spans="2:15" ht="12.75" customHeight="1">
      <c r="B19" s="355">
        <v>2024</v>
      </c>
      <c r="C19" s="356">
        <v>21.187161250735141</v>
      </c>
      <c r="D19" s="357">
        <v>19.162323588702634</v>
      </c>
      <c r="E19" s="357">
        <v>21.128215232163814</v>
      </c>
      <c r="F19" s="357">
        <v>19.901107882042179</v>
      </c>
      <c r="G19" s="357">
        <v>17.9349670158464</v>
      </c>
      <c r="H19" s="358">
        <v>19.125547045892283</v>
      </c>
      <c r="I19" s="359">
        <v>19.855508327256359</v>
      </c>
      <c r="J19" s="357">
        <v>21.537436900731716</v>
      </c>
      <c r="K19" s="357">
        <v>24.944268845377216</v>
      </c>
      <c r="L19" s="358">
        <v>26.244317543600889</v>
      </c>
      <c r="M19" s="359">
        <v>22.745826879495347</v>
      </c>
      <c r="N19" s="357">
        <v>19.266470694477047</v>
      </c>
      <c r="O19" s="358">
        <v>20.388575835885369</v>
      </c>
    </row>
    <row r="20" spans="2:15" ht="12.75" customHeight="1">
      <c r="B20" s="355">
        <v>2025</v>
      </c>
      <c r="C20" s="356">
        <v>23.583151326861724</v>
      </c>
      <c r="D20" s="357">
        <v>20.74609686343657</v>
      </c>
      <c r="E20" s="357">
        <v>21.612170812218242</v>
      </c>
      <c r="F20" s="357">
        <v>21.869914392394488</v>
      </c>
      <c r="G20" s="357">
        <v>21.751871197743746</v>
      </c>
      <c r="H20" s="358">
        <v>21.907879706570348</v>
      </c>
      <c r="I20" s="359">
        <v>24.054929842654765</v>
      </c>
      <c r="J20" s="357">
        <v>23.460773743987321</v>
      </c>
      <c r="K20" s="357">
        <v>27.420103298938116</v>
      </c>
      <c r="L20" s="358">
        <v>29.858716011708992</v>
      </c>
      <c r="M20" s="359">
        <v>23.620767461164633</v>
      </c>
      <c r="N20" s="357">
        <v>19.557662849921911</v>
      </c>
      <c r="O20" s="358">
        <v>21.166806563960037</v>
      </c>
    </row>
    <row r="21" spans="2:15" ht="12.75" customHeight="1">
      <c r="B21" s="355">
        <v>2026</v>
      </c>
      <c r="C21" s="356">
        <v>24.03523372405704</v>
      </c>
      <c r="D21" s="357">
        <v>20.323786490889376</v>
      </c>
      <c r="E21" s="357">
        <v>22.639332730184972</v>
      </c>
      <c r="F21" s="357">
        <v>21.849814073334954</v>
      </c>
      <c r="G21" s="357">
        <v>22.068134407616693</v>
      </c>
      <c r="H21" s="358">
        <v>22.199635987278057</v>
      </c>
      <c r="I21" s="359">
        <v>24.768554857315412</v>
      </c>
      <c r="J21" s="357">
        <v>24.670217725645649</v>
      </c>
      <c r="K21" s="357">
        <v>27.690358912802843</v>
      </c>
      <c r="L21" s="358">
        <v>30.511421560665731</v>
      </c>
      <c r="M21" s="359">
        <v>24.48294344229555</v>
      </c>
      <c r="N21" s="357">
        <v>19.361015854727363</v>
      </c>
      <c r="O21" s="358">
        <v>20.911609778360006</v>
      </c>
    </row>
    <row r="22" spans="2:15" ht="12.75" customHeight="1">
      <c r="B22" s="355">
        <v>2027</v>
      </c>
      <c r="C22" s="356">
        <v>24.372922995813742</v>
      </c>
      <c r="D22" s="357">
        <v>20.839165951317863</v>
      </c>
      <c r="E22" s="357">
        <v>22.846275672483042</v>
      </c>
      <c r="F22" s="357">
        <v>22.393308977101881</v>
      </c>
      <c r="G22" s="357">
        <v>22.115848270325689</v>
      </c>
      <c r="H22" s="358">
        <v>22.562578348990403</v>
      </c>
      <c r="I22" s="359">
        <v>25.195999262346167</v>
      </c>
      <c r="J22" s="357">
        <v>24.007957848851913</v>
      </c>
      <c r="K22" s="357">
        <v>28.604851625363732</v>
      </c>
      <c r="L22" s="358">
        <v>30.348762028041122</v>
      </c>
      <c r="M22" s="359">
        <v>25.476234621686281</v>
      </c>
      <c r="N22" s="357">
        <v>20.748790635325047</v>
      </c>
      <c r="O22" s="358">
        <v>20.844388690346889</v>
      </c>
    </row>
    <row r="23" spans="2:15" ht="12.75" customHeight="1">
      <c r="B23" s="355">
        <v>2028</v>
      </c>
      <c r="C23" s="356">
        <v>25.217618141230787</v>
      </c>
      <c r="D23" s="357">
        <v>22.008356616397432</v>
      </c>
      <c r="E23" s="357">
        <v>24.133847859057642</v>
      </c>
      <c r="F23" s="357">
        <v>23.105452862469804</v>
      </c>
      <c r="G23" s="357">
        <v>23.387451545699495</v>
      </c>
      <c r="H23" s="358">
        <v>23.867556354433518</v>
      </c>
      <c r="I23" s="359">
        <v>25.555118618101499</v>
      </c>
      <c r="J23" s="357">
        <v>24.903757322459313</v>
      </c>
      <c r="K23" s="357">
        <v>29.26736231038247</v>
      </c>
      <c r="L23" s="358">
        <v>31.158689889310676</v>
      </c>
      <c r="M23" s="359">
        <v>25.810328033612134</v>
      </c>
      <c r="N23" s="357">
        <v>21.317277303848424</v>
      </c>
      <c r="O23" s="358">
        <v>21.935003298492063</v>
      </c>
    </row>
    <row r="24" spans="2:15" ht="12.75" customHeight="1">
      <c r="B24" s="355">
        <v>2029</v>
      </c>
      <c r="C24" s="356">
        <v>26.924480758536209</v>
      </c>
      <c r="D24" s="357">
        <v>23.943145791548751</v>
      </c>
      <c r="E24" s="357">
        <v>26.335678478403487</v>
      </c>
      <c r="F24" s="357">
        <v>25.316126412006163</v>
      </c>
      <c r="G24" s="357">
        <v>24.674262593313603</v>
      </c>
      <c r="H24" s="358">
        <v>25.388670820176213</v>
      </c>
      <c r="I24" s="359">
        <v>25.940296719740832</v>
      </c>
      <c r="J24" s="357">
        <v>26.570019735978722</v>
      </c>
      <c r="K24" s="357">
        <v>30.225442868219357</v>
      </c>
      <c r="L24" s="358">
        <v>33.449725101107042</v>
      </c>
      <c r="M24" s="359">
        <v>29.626191359856346</v>
      </c>
      <c r="N24" s="357">
        <v>23.27752612914562</v>
      </c>
      <c r="O24" s="358">
        <v>23.409806587382658</v>
      </c>
    </row>
    <row r="25" spans="2:15" ht="12.75" customHeight="1">
      <c r="B25" s="355">
        <v>2030</v>
      </c>
      <c r="C25" s="356">
        <v>28.269762099829546</v>
      </c>
      <c r="D25" s="357">
        <v>25.201029049215041</v>
      </c>
      <c r="E25" s="357">
        <v>27.823834868188968</v>
      </c>
      <c r="F25" s="357">
        <v>26.973050509715982</v>
      </c>
      <c r="G25" s="357">
        <v>26.39525444254582</v>
      </c>
      <c r="H25" s="358">
        <v>26.445256232281995</v>
      </c>
      <c r="I25" s="359">
        <v>27.440192201079601</v>
      </c>
      <c r="J25" s="357">
        <v>28.042453034842637</v>
      </c>
      <c r="K25" s="357">
        <v>31.026827577301976</v>
      </c>
      <c r="L25" s="358">
        <v>34.99686608093667</v>
      </c>
      <c r="M25" s="359">
        <v>29.705100035582856</v>
      </c>
      <c r="N25" s="357">
        <v>25.508090500300352</v>
      </c>
      <c r="O25" s="358">
        <v>25.389975052033652</v>
      </c>
    </row>
    <row r="26" spans="2:15" ht="12.75" customHeight="1">
      <c r="B26" s="355">
        <v>2031</v>
      </c>
      <c r="C26" s="356">
        <v>29.322643294690973</v>
      </c>
      <c r="D26" s="357">
        <v>26.969578960585469</v>
      </c>
      <c r="E26" s="357">
        <v>27.882972269863927</v>
      </c>
      <c r="F26" s="357">
        <v>27.262339193664559</v>
      </c>
      <c r="G26" s="357">
        <v>27.103411796843993</v>
      </c>
      <c r="H26" s="358">
        <v>27.401606966535478</v>
      </c>
      <c r="I26" s="359">
        <v>29.224798416081079</v>
      </c>
      <c r="J26" s="357">
        <v>30.33999214457851</v>
      </c>
      <c r="K26" s="357">
        <v>30.716455809880806</v>
      </c>
      <c r="L26" s="358">
        <v>35.794102874379746</v>
      </c>
      <c r="M26" s="359">
        <v>31.075663675475447</v>
      </c>
      <c r="N26" s="357">
        <v>27.369913012654479</v>
      </c>
      <c r="O26" s="358">
        <v>26.716105556132714</v>
      </c>
    </row>
    <row r="27" spans="2:15" ht="12.75" customHeight="1">
      <c r="B27" s="355">
        <v>2032</v>
      </c>
      <c r="C27" s="356">
        <v>30.115469641984305</v>
      </c>
      <c r="D27" s="357">
        <v>27.753458019097611</v>
      </c>
      <c r="E27" s="357">
        <v>28.465712226419985</v>
      </c>
      <c r="F27" s="357">
        <v>28.607167810653674</v>
      </c>
      <c r="G27" s="357">
        <v>27.671931489116638</v>
      </c>
      <c r="H27" s="358">
        <v>28.030958606492291</v>
      </c>
      <c r="I27" s="359">
        <v>32.202987904711506</v>
      </c>
      <c r="J27" s="357">
        <v>30.304968565091425</v>
      </c>
      <c r="K27" s="357">
        <v>31.369217558411343</v>
      </c>
      <c r="L27" s="358">
        <v>35.959103889028654</v>
      </c>
      <c r="M27" s="359">
        <v>31.272422490298947</v>
      </c>
      <c r="N27" s="357">
        <v>27.575193751573803</v>
      </c>
      <c r="O27" s="358">
        <v>27.236017095851423</v>
      </c>
    </row>
    <row r="28" spans="2:15" ht="12.75" customHeight="1">
      <c r="B28" s="355">
        <v>2033</v>
      </c>
      <c r="C28" s="356">
        <v>31.647314136980285</v>
      </c>
      <c r="D28" s="357">
        <v>28.730298385068881</v>
      </c>
      <c r="E28" s="357">
        <v>29.801364513312283</v>
      </c>
      <c r="F28" s="357">
        <v>30.000712910805113</v>
      </c>
      <c r="G28" s="357">
        <v>29.629857608756495</v>
      </c>
      <c r="H28" s="358">
        <v>29.757042979907922</v>
      </c>
      <c r="I28" s="359">
        <v>32.671398321052543</v>
      </c>
      <c r="J28" s="357">
        <v>34.057724676636774</v>
      </c>
      <c r="K28" s="357">
        <v>32.653930677044393</v>
      </c>
      <c r="L28" s="358">
        <v>36.485932997386008</v>
      </c>
      <c r="M28" s="359">
        <v>33.071193018281335</v>
      </c>
      <c r="N28" s="357">
        <v>27.771906801275929</v>
      </c>
      <c r="O28" s="358">
        <v>29.790931021769936</v>
      </c>
    </row>
    <row r="29" spans="2:15" ht="12.75" customHeight="1">
      <c r="B29" s="355">
        <v>2034</v>
      </c>
      <c r="C29" s="356">
        <v>32.127538023883012</v>
      </c>
      <c r="D29" s="357">
        <v>29.957615229255158</v>
      </c>
      <c r="E29" s="357">
        <v>30.834038941957999</v>
      </c>
      <c r="F29" s="357">
        <v>30.634564204201915</v>
      </c>
      <c r="G29" s="357">
        <v>29.922754623063884</v>
      </c>
      <c r="H29" s="358">
        <v>30.563955251848864</v>
      </c>
      <c r="I29" s="359">
        <v>32.847521119256093</v>
      </c>
      <c r="J29" s="357">
        <v>33.562524699787296</v>
      </c>
      <c r="K29" s="357">
        <v>33.851559075341427</v>
      </c>
      <c r="L29" s="358">
        <v>35.726302020091467</v>
      </c>
      <c r="M29" s="359">
        <v>32.906531303214415</v>
      </c>
      <c r="N29" s="357">
        <v>27.7289053518444</v>
      </c>
      <c r="O29" s="358">
        <v>34.307201530374485</v>
      </c>
    </row>
    <row r="30" spans="2:15" ht="12.75" customHeight="1">
      <c r="B30" s="355">
        <v>2035</v>
      </c>
      <c r="C30" s="356">
        <v>0.25895612219286446</v>
      </c>
      <c r="D30" s="357">
        <v>0.26997805760672056</v>
      </c>
      <c r="E30" s="357">
        <v>0.237772331198883</v>
      </c>
      <c r="F30" s="357">
        <v>0.24527135339844877</v>
      </c>
      <c r="G30" s="357">
        <v>0.2218424895498109</v>
      </c>
      <c r="H30" s="358">
        <v>0.22332005874585886</v>
      </c>
      <c r="I30" s="359">
        <v>0.21886865436026548</v>
      </c>
      <c r="J30" s="357">
        <v>0.34595831014696127</v>
      </c>
      <c r="K30" s="357">
        <v>0.31419763401765893</v>
      </c>
      <c r="L30" s="358">
        <v>0.24704179505631718</v>
      </c>
      <c r="M30" s="359">
        <v>0.25420781409733895</v>
      </c>
      <c r="N30" s="357">
        <v>0.24412218964025315</v>
      </c>
      <c r="O30" s="358">
        <v>0.28512313672930018</v>
      </c>
    </row>
    <row r="31" spans="2:15" ht="12.75" customHeight="1">
      <c r="B31" s="355">
        <v>2036</v>
      </c>
      <c r="C31" s="356">
        <v>0.30778519051444991</v>
      </c>
      <c r="D31" s="357">
        <v>0.3069710674144589</v>
      </c>
      <c r="E31" s="357">
        <v>0.26364024585480333</v>
      </c>
      <c r="F31" s="357">
        <v>0.24942034166900587</v>
      </c>
      <c r="G31" s="357">
        <v>0.22483658839693246</v>
      </c>
      <c r="H31" s="358">
        <v>0.23204801655458177</v>
      </c>
      <c r="I31" s="359">
        <v>0.26232263671608436</v>
      </c>
      <c r="J31" s="357">
        <v>0.39758511447165107</v>
      </c>
      <c r="K31" s="357">
        <v>0.42557782896291002</v>
      </c>
      <c r="L31" s="358">
        <v>0.35940008740408069</v>
      </c>
      <c r="M31" s="359">
        <v>0.30945987153254767</v>
      </c>
      <c r="N31" s="357">
        <v>0.31068869587657305</v>
      </c>
      <c r="O31" s="358">
        <v>0.35120260271160592</v>
      </c>
    </row>
    <row r="32" spans="2:15" ht="12.75" customHeight="1">
      <c r="B32" s="271"/>
      <c r="C32" s="360"/>
      <c r="D32" s="361"/>
      <c r="E32" s="361"/>
      <c r="F32" s="361"/>
      <c r="G32" s="361"/>
      <c r="H32" s="362"/>
      <c r="I32" s="363"/>
      <c r="J32" s="361"/>
      <c r="K32" s="361"/>
      <c r="L32" s="362"/>
      <c r="M32" s="363"/>
      <c r="N32" s="361"/>
      <c r="O32" s="362"/>
    </row>
    <row r="33" spans="2:16" ht="12.75" hidden="1" customHeight="1">
      <c r="D33" s="11"/>
      <c r="E33" s="11"/>
      <c r="F33" s="11"/>
      <c r="M33" s="364"/>
    </row>
    <row r="34" spans="2:16" hidden="1">
      <c r="B34" s="365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</row>
    <row r="35" spans="2:16" hidden="1"/>
    <row r="36" spans="2:16" hidden="1"/>
    <row r="37" spans="2:16" hidden="1"/>
    <row r="38" spans="2:16" hidden="1">
      <c r="C38" s="367"/>
      <c r="D38" s="4">
        <v>31</v>
      </c>
      <c r="E38" s="4">
        <v>28</v>
      </c>
      <c r="F38" s="4">
        <v>31</v>
      </c>
      <c r="G38" s="4">
        <v>30</v>
      </c>
      <c r="H38" s="4">
        <v>31</v>
      </c>
      <c r="I38" s="4">
        <v>30</v>
      </c>
      <c r="J38" s="4">
        <v>31</v>
      </c>
      <c r="K38" s="4">
        <v>31</v>
      </c>
      <c r="L38" s="4">
        <v>30</v>
      </c>
      <c r="M38" s="4">
        <v>31</v>
      </c>
      <c r="N38" s="4">
        <v>30</v>
      </c>
      <c r="O38" s="4">
        <v>31</v>
      </c>
    </row>
    <row r="39" spans="2:16">
      <c r="C39" s="367"/>
    </row>
    <row r="40" spans="2:16">
      <c r="C40" s="367"/>
    </row>
    <row r="41" spans="2:16">
      <c r="C41" s="36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zoomScaleNormal="100" workbookViewId="0">
      <pane ySplit="10" topLeftCell="A31" activePane="bottomLeft" state="frozen"/>
      <selection activeCell="C14" sqref="C14"/>
      <selection pane="bottomLeft" activeCell="C37" sqref="C37"/>
    </sheetView>
  </sheetViews>
  <sheetFormatPr defaultRowHeight="12.75"/>
  <cols>
    <col min="1" max="1" width="9.33203125" style="4"/>
    <col min="2" max="2" width="15" style="4" customWidth="1"/>
    <col min="3" max="3" width="27" style="4" customWidth="1"/>
    <col min="4" max="4" width="19.5" style="4" customWidth="1"/>
    <col min="5" max="5" width="17" style="4" customWidth="1"/>
    <col min="6" max="6" width="9.33203125" style="4"/>
    <col min="7" max="7" width="15" style="63" hidden="1" customWidth="1"/>
    <col min="8" max="8" width="16.6640625" style="37" hidden="1" customWidth="1"/>
    <col min="9" max="10" width="0" style="4" hidden="1" customWidth="1"/>
    <col min="11" max="11" width="9.33203125" style="151" hidden="1" customWidth="1"/>
    <col min="12" max="12" width="10.33203125" style="151" hidden="1" customWidth="1"/>
    <col min="13" max="13" width="13.83203125" style="151" hidden="1" customWidth="1"/>
    <col min="14" max="14" width="12.83203125" style="4" hidden="1" customWidth="1"/>
    <col min="15" max="15" width="13.33203125" style="4" hidden="1" customWidth="1"/>
    <col min="16" max="16" width="0" style="4" hidden="1" customWidth="1"/>
    <col min="17" max="16384" width="9.33203125" style="4"/>
  </cols>
  <sheetData>
    <row r="1" spans="2:15" ht="15.75" hidden="1">
      <c r="B1" s="1" t="s">
        <v>52</v>
      </c>
      <c r="C1" s="1"/>
      <c r="G1" s="34"/>
    </row>
    <row r="2" spans="2:15" ht="5.25" customHeight="1">
      <c r="B2" s="1"/>
      <c r="C2" s="1"/>
      <c r="G2" s="34"/>
    </row>
    <row r="3" spans="2:15" ht="15.75">
      <c r="B3" s="1" t="s">
        <v>84</v>
      </c>
      <c r="C3" s="1"/>
      <c r="G3" s="34"/>
    </row>
    <row r="4" spans="2:15" ht="15.75">
      <c r="B4" s="1" t="s">
        <v>38</v>
      </c>
      <c r="C4" s="1"/>
      <c r="G4" s="152" t="s">
        <v>37</v>
      </c>
    </row>
    <row r="5" spans="2:15" ht="15.75">
      <c r="B5" s="1" t="str">
        <f ca="1">'Table 1'!$B$5</f>
        <v>Utah 2017.Q3 Sch 38 Solar - 80.0 MW and 31.1% CF</v>
      </c>
      <c r="C5" s="1"/>
      <c r="G5" s="153">
        <v>43007</v>
      </c>
    </row>
    <row r="6" spans="2:15">
      <c r="B6" s="12"/>
      <c r="C6" s="12"/>
      <c r="G6" s="34"/>
    </row>
    <row r="7" spans="2:15" ht="14.25">
      <c r="B7" s="25"/>
      <c r="C7" s="33" t="s">
        <v>32</v>
      </c>
      <c r="G7" s="34"/>
    </row>
    <row r="8" spans="2:15">
      <c r="B8" s="26"/>
      <c r="C8" s="18" t="s">
        <v>33</v>
      </c>
      <c r="D8" s="18" t="s">
        <v>33</v>
      </c>
      <c r="E8" s="18" t="s">
        <v>33</v>
      </c>
      <c r="G8" s="34"/>
    </row>
    <row r="9" spans="2:15">
      <c r="B9" s="26" t="s">
        <v>0</v>
      </c>
      <c r="C9" s="26" t="str">
        <f>M16</f>
        <v>IRP - Utah Greenfield</v>
      </c>
      <c r="D9" s="26" t="str">
        <f>N15</f>
        <v>IRP West Side</v>
      </c>
      <c r="E9" s="26" t="str">
        <f>O16</f>
        <v>IRP - Wyo NE</v>
      </c>
      <c r="G9" s="34"/>
    </row>
    <row r="10" spans="2:15">
      <c r="B10" s="27"/>
      <c r="C10" s="28" t="s">
        <v>26</v>
      </c>
      <c r="D10" s="28" t="s">
        <v>26</v>
      </c>
      <c r="E10" s="28" t="s">
        <v>26</v>
      </c>
      <c r="G10" s="154"/>
      <c r="H10" s="155"/>
    </row>
    <row r="11" spans="2:15" hidden="1">
      <c r="C11" s="13"/>
      <c r="G11" s="154"/>
      <c r="H11" s="155"/>
    </row>
    <row r="12" spans="2:15" hidden="1">
      <c r="C12" s="29"/>
      <c r="G12" s="154"/>
      <c r="H12" s="155"/>
    </row>
    <row r="13" spans="2:15" ht="6" customHeight="1">
      <c r="G13" s="156"/>
      <c r="H13" s="157"/>
    </row>
    <row r="14" spans="2:15">
      <c r="B14" s="30">
        <v>2016</v>
      </c>
      <c r="C14" s="31">
        <f>ROUND(SUMIF($K$17:$K$340,$B14,$H$17:$H$340)/COUNTIF($K$17:$K$340,$B14),2)</f>
        <v>2.3199999999999998</v>
      </c>
      <c r="D14" s="31">
        <f>ROUND(SUMIF($K$17:$K$340,$B14,$I$17:$I$340)/COUNTIF($K$17:$K$340,$B14),2)</f>
        <v>2.29</v>
      </c>
      <c r="E14" s="31">
        <f>ROUND(SUMIF($K$17:$K$340,$B14,$J$17:$J$340)/COUNTIF($K$17:$K$340,$B14),2)</f>
        <v>2.35</v>
      </c>
      <c r="G14" s="158"/>
      <c r="H14" s="38"/>
    </row>
    <row r="15" spans="2:15" ht="13.5" thickBot="1">
      <c r="B15" s="30">
        <f t="shared" ref="B15:B40" si="0">B14+1</f>
        <v>2017</v>
      </c>
      <c r="C15" s="31">
        <f t="shared" ref="C15:C39" si="1">ROUND(SUMIF($K$17:$K$340,$B15,$H$17:$H$340)/COUNTIF($K$17:$K$340,$B15),2)</f>
        <v>2.73</v>
      </c>
      <c r="D15" s="31">
        <f t="shared" ref="D15:D40" si="2">ROUND(SUMIF($K$17:$K$340,$B15,$I$17:$I$340)/COUNTIF($K$17:$K$340,$B15),2)</f>
        <v>2.65</v>
      </c>
      <c r="E15" s="31">
        <f t="shared" ref="E15:E40" si="3">ROUND(SUMIF($K$17:$K$340,$B15,$J$17:$J$340)/COUNTIF($K$17:$K$340,$B15),2)</f>
        <v>2.77</v>
      </c>
      <c r="G15" s="35"/>
      <c r="H15" s="39" t="s">
        <v>97</v>
      </c>
      <c r="I15" s="4" t="s">
        <v>98</v>
      </c>
      <c r="J15" s="4" t="s">
        <v>100</v>
      </c>
      <c r="N15" s="4" t="s">
        <v>98</v>
      </c>
    </row>
    <row r="16" spans="2:15" ht="13.5" thickBot="1">
      <c r="B16" s="30">
        <f t="shared" si="0"/>
        <v>2018</v>
      </c>
      <c r="C16" s="31">
        <f t="shared" si="1"/>
        <v>2.67</v>
      </c>
      <c r="D16" s="31">
        <f t="shared" si="2"/>
        <v>2.5</v>
      </c>
      <c r="E16" s="31">
        <f t="shared" si="3"/>
        <v>2.66</v>
      </c>
      <c r="G16" s="35" t="s">
        <v>36</v>
      </c>
      <c r="H16" s="39" t="s">
        <v>33</v>
      </c>
      <c r="I16" s="39" t="s">
        <v>33</v>
      </c>
      <c r="J16" s="39" t="s">
        <v>33</v>
      </c>
      <c r="K16" s="159" t="s">
        <v>0</v>
      </c>
      <c r="M16" s="160" t="str">
        <f>IF(_30_Geo_West&gt;0,"IRP - Wyo NE",IF(_436_CCCT_WestMain&gt;0,"West Side","IRP - Utah Greenfield"))</f>
        <v>IRP - Utah Greenfield</v>
      </c>
      <c r="N16" s="160" t="s">
        <v>99</v>
      </c>
      <c r="O16" s="160" t="s">
        <v>100</v>
      </c>
    </row>
    <row r="17" spans="2:15" ht="13.5" thickBot="1">
      <c r="B17" s="30">
        <f t="shared" si="0"/>
        <v>2019</v>
      </c>
      <c r="C17" s="31">
        <f t="shared" si="1"/>
        <v>2.5099999999999998</v>
      </c>
      <c r="D17" s="31">
        <f t="shared" si="2"/>
        <v>2.39</v>
      </c>
      <c r="E17" s="31">
        <f t="shared" si="3"/>
        <v>2.5099999999999998</v>
      </c>
      <c r="G17" s="36">
        <v>42370</v>
      </c>
      <c r="H17" s="40">
        <v>2.2764825364431491</v>
      </c>
      <c r="I17" s="40">
        <v>2.3298075132707226</v>
      </c>
      <c r="J17" s="40">
        <v>2.2757987901986261</v>
      </c>
      <c r="K17" s="161">
        <f t="shared" ref="K17:K64" si="4">YEAR(G17)</f>
        <v>2016</v>
      </c>
      <c r="M17" s="162">
        <v>47</v>
      </c>
      <c r="N17" s="162">
        <v>43</v>
      </c>
      <c r="O17" s="162">
        <v>46</v>
      </c>
    </row>
    <row r="18" spans="2:15">
      <c r="B18" s="30">
        <f t="shared" si="0"/>
        <v>2020</v>
      </c>
      <c r="C18" s="31">
        <f t="shared" si="1"/>
        <v>2.4700000000000002</v>
      </c>
      <c r="D18" s="31">
        <f t="shared" si="2"/>
        <v>2.38</v>
      </c>
      <c r="E18" s="31">
        <f t="shared" si="3"/>
        <v>2.4500000000000002</v>
      </c>
      <c r="G18" s="36">
        <v>42401</v>
      </c>
      <c r="H18" s="40">
        <v>1.8453064945978397</v>
      </c>
      <c r="I18" s="40">
        <v>1.7801560017459626</v>
      </c>
      <c r="J18" s="40">
        <v>1.8289735727586562</v>
      </c>
      <c r="K18" s="161">
        <f t="shared" si="4"/>
        <v>2016</v>
      </c>
    </row>
    <row r="19" spans="2:15">
      <c r="B19" s="30">
        <f t="shared" si="0"/>
        <v>2021</v>
      </c>
      <c r="C19" s="31">
        <f t="shared" si="1"/>
        <v>2.4900000000000002</v>
      </c>
      <c r="D19" s="31">
        <f t="shared" si="2"/>
        <v>2.4</v>
      </c>
      <c r="E19" s="31">
        <f t="shared" si="3"/>
        <v>2.48</v>
      </c>
      <c r="G19" s="36">
        <v>42430</v>
      </c>
      <c r="H19" s="40">
        <v>1.5254593249607535</v>
      </c>
      <c r="I19" s="40">
        <v>1.4752546345447117</v>
      </c>
      <c r="J19" s="40">
        <v>1.5765269848510393</v>
      </c>
      <c r="K19" s="161">
        <f t="shared" si="4"/>
        <v>2016</v>
      </c>
    </row>
    <row r="20" spans="2:15">
      <c r="B20" s="30">
        <f t="shared" si="0"/>
        <v>2022</v>
      </c>
      <c r="C20" s="31">
        <f t="shared" si="1"/>
        <v>2.5099999999999998</v>
      </c>
      <c r="D20" s="31">
        <f t="shared" si="2"/>
        <v>2.42</v>
      </c>
      <c r="E20" s="31">
        <f t="shared" si="3"/>
        <v>2.5</v>
      </c>
      <c r="G20" s="36">
        <v>42461</v>
      </c>
      <c r="H20" s="40">
        <v>1.6911448299319725</v>
      </c>
      <c r="I20" s="40">
        <v>1.582454852320675</v>
      </c>
      <c r="J20" s="40">
        <v>1.7513146360624383</v>
      </c>
      <c r="K20" s="161">
        <f t="shared" si="4"/>
        <v>2016</v>
      </c>
    </row>
    <row r="21" spans="2:15">
      <c r="B21" s="30">
        <f t="shared" si="0"/>
        <v>2023</v>
      </c>
      <c r="C21" s="31">
        <f t="shared" si="1"/>
        <v>2.64</v>
      </c>
      <c r="D21" s="31">
        <f t="shared" si="2"/>
        <v>2.57</v>
      </c>
      <c r="E21" s="31">
        <f t="shared" si="3"/>
        <v>2.67</v>
      </c>
      <c r="G21" s="36">
        <v>42491</v>
      </c>
      <c r="H21" s="40">
        <v>1.7311108163265305</v>
      </c>
      <c r="I21" s="40">
        <v>1.6893828501429151</v>
      </c>
      <c r="J21" s="40">
        <v>1.8004724578470166</v>
      </c>
      <c r="K21" s="161">
        <f t="shared" si="4"/>
        <v>2016</v>
      </c>
    </row>
    <row r="22" spans="2:15">
      <c r="B22" s="30">
        <f t="shared" si="0"/>
        <v>2024</v>
      </c>
      <c r="C22" s="31">
        <f t="shared" si="1"/>
        <v>3.34</v>
      </c>
      <c r="D22" s="31">
        <f t="shared" si="2"/>
        <v>3.3</v>
      </c>
      <c r="E22" s="31">
        <f t="shared" si="3"/>
        <v>3.37</v>
      </c>
      <c r="G22" s="36">
        <v>42522</v>
      </c>
      <c r="H22" s="40">
        <v>2.3389150491307631</v>
      </c>
      <c r="I22" s="40">
        <v>2.2756194092827</v>
      </c>
      <c r="J22" s="40">
        <v>2.3647654677733372</v>
      </c>
      <c r="K22" s="161">
        <f t="shared" si="4"/>
        <v>2016</v>
      </c>
    </row>
    <row r="23" spans="2:15">
      <c r="B23" s="30">
        <f t="shared" si="0"/>
        <v>2025</v>
      </c>
      <c r="C23" s="31">
        <f t="shared" si="1"/>
        <v>3.91</v>
      </c>
      <c r="D23" s="31">
        <f t="shared" si="2"/>
        <v>3.89</v>
      </c>
      <c r="E23" s="31">
        <f t="shared" si="3"/>
        <v>3.94</v>
      </c>
      <c r="G23" s="36">
        <v>42552</v>
      </c>
      <c r="H23" s="40">
        <v>2.5811108163265302</v>
      </c>
      <c r="I23" s="40">
        <v>2.548999020008166</v>
      </c>
      <c r="J23" s="40">
        <v>2.6063456138089238</v>
      </c>
      <c r="K23" s="161">
        <f t="shared" si="4"/>
        <v>2016</v>
      </c>
    </row>
    <row r="24" spans="2:15">
      <c r="B24" s="30">
        <f t="shared" si="0"/>
        <v>2026</v>
      </c>
      <c r="C24" s="31">
        <f t="shared" si="1"/>
        <v>3.91</v>
      </c>
      <c r="D24" s="31">
        <f t="shared" si="2"/>
        <v>3.88</v>
      </c>
      <c r="E24" s="31">
        <f t="shared" si="3"/>
        <v>3.94</v>
      </c>
      <c r="G24" s="36">
        <v>42583</v>
      </c>
      <c r="H24" s="40">
        <v>2.6354985714285708</v>
      </c>
      <c r="I24" s="40">
        <v>2.6322983258472838</v>
      </c>
      <c r="J24" s="40">
        <v>2.6355990076984344</v>
      </c>
      <c r="K24" s="161">
        <f t="shared" si="4"/>
        <v>2016</v>
      </c>
    </row>
    <row r="25" spans="2:15">
      <c r="B25" s="30">
        <f t="shared" si="0"/>
        <v>2027</v>
      </c>
      <c r="C25" s="31">
        <f t="shared" si="1"/>
        <v>4.05</v>
      </c>
      <c r="D25" s="31">
        <f t="shared" si="2"/>
        <v>4.0199999999999996</v>
      </c>
      <c r="E25" s="31">
        <f t="shared" si="3"/>
        <v>4.08</v>
      </c>
      <c r="G25" s="36">
        <v>42614</v>
      </c>
      <c r="H25" s="40">
        <v>2.7124373469387759</v>
      </c>
      <c r="I25" s="40">
        <v>2.7264210970464138</v>
      </c>
      <c r="J25" s="40">
        <v>2.7681537930798932</v>
      </c>
      <c r="K25" s="161">
        <f t="shared" si="4"/>
        <v>2016</v>
      </c>
    </row>
    <row r="26" spans="2:15">
      <c r="B26" s="30">
        <f t="shared" si="0"/>
        <v>2028</v>
      </c>
      <c r="C26" s="31">
        <f t="shared" si="1"/>
        <v>4.24</v>
      </c>
      <c r="D26" s="31">
        <f t="shared" si="2"/>
        <v>4.2</v>
      </c>
      <c r="E26" s="31">
        <f t="shared" si="3"/>
        <v>4.2699999999999996</v>
      </c>
      <c r="G26" s="36">
        <v>42644</v>
      </c>
      <c r="H26" s="40">
        <v>2.6863698430141283</v>
      </c>
      <c r="I26" s="40">
        <v>2.6567164556962028</v>
      </c>
      <c r="J26" s="40">
        <v>2.7499682086675996</v>
      </c>
      <c r="K26" s="161">
        <f t="shared" si="4"/>
        <v>2016</v>
      </c>
    </row>
    <row r="27" spans="2:15">
      <c r="B27" s="30">
        <f t="shared" si="0"/>
        <v>2029</v>
      </c>
      <c r="C27" s="31">
        <f t="shared" si="1"/>
        <v>4.53</v>
      </c>
      <c r="D27" s="31">
        <f t="shared" si="2"/>
        <v>4.49</v>
      </c>
      <c r="E27" s="31">
        <f t="shared" si="3"/>
        <v>4.5599999999999996</v>
      </c>
      <c r="G27" s="36">
        <v>42675</v>
      </c>
      <c r="H27" s="40">
        <v>2.2697162585034012</v>
      </c>
      <c r="I27" s="40">
        <v>2.2516531645569624</v>
      </c>
      <c r="J27" s="40">
        <v>2.3066994090924613</v>
      </c>
      <c r="K27" s="161">
        <f t="shared" si="4"/>
        <v>2016</v>
      </c>
    </row>
    <row r="28" spans="2:15">
      <c r="B28" s="30">
        <f t="shared" si="0"/>
        <v>2030</v>
      </c>
      <c r="C28" s="31">
        <f t="shared" si="1"/>
        <v>4.83</v>
      </c>
      <c r="D28" s="31">
        <f t="shared" si="2"/>
        <v>4.78</v>
      </c>
      <c r="E28" s="31">
        <f t="shared" si="3"/>
        <v>4.8600000000000003</v>
      </c>
      <c r="G28" s="36">
        <v>42705</v>
      </c>
      <c r="H28" s="40">
        <v>3.5124636800526665</v>
      </c>
      <c r="I28" s="40">
        <v>3.5696605144957116</v>
      </c>
      <c r="J28" s="40">
        <v>3.5518748027461844</v>
      </c>
      <c r="K28" s="161">
        <f t="shared" si="4"/>
        <v>2016</v>
      </c>
    </row>
    <row r="29" spans="2:15">
      <c r="B29" s="30">
        <f t="shared" si="0"/>
        <v>2031</v>
      </c>
      <c r="C29" s="31">
        <f t="shared" si="1"/>
        <v>5.08</v>
      </c>
      <c r="D29" s="31">
        <f t="shared" si="2"/>
        <v>5.03</v>
      </c>
      <c r="E29" s="31">
        <f t="shared" si="3"/>
        <v>5.1100000000000003</v>
      </c>
      <c r="G29" s="36">
        <v>42736</v>
      </c>
      <c r="H29" s="40">
        <v>3.2525393877551019</v>
      </c>
      <c r="I29" s="40">
        <v>3.3525923233973045</v>
      </c>
      <c r="J29" s="40">
        <v>3.2801653137385181</v>
      </c>
      <c r="K29" s="161">
        <f t="shared" si="4"/>
        <v>2017</v>
      </c>
    </row>
    <row r="30" spans="2:15">
      <c r="B30" s="30">
        <f t="shared" si="0"/>
        <v>2032</v>
      </c>
      <c r="C30" s="31">
        <f t="shared" si="1"/>
        <v>5.25</v>
      </c>
      <c r="D30" s="31">
        <f t="shared" si="2"/>
        <v>5.19</v>
      </c>
      <c r="E30" s="31">
        <f t="shared" si="3"/>
        <v>5.28</v>
      </c>
      <c r="G30" s="36">
        <v>42767</v>
      </c>
      <c r="H30" s="40">
        <v>2.6307099416909616</v>
      </c>
      <c r="I30" s="40">
        <v>2.6476748643761301</v>
      </c>
      <c r="J30" s="40">
        <v>2.6686241769502144</v>
      </c>
      <c r="K30" s="161">
        <f t="shared" si="4"/>
        <v>2017</v>
      </c>
    </row>
    <row r="31" spans="2:15">
      <c r="B31" s="30">
        <f t="shared" si="0"/>
        <v>2033</v>
      </c>
      <c r="C31" s="31">
        <f t="shared" si="1"/>
        <v>5.48</v>
      </c>
      <c r="D31" s="31">
        <f t="shared" si="2"/>
        <v>5.42</v>
      </c>
      <c r="E31" s="31">
        <f t="shared" si="3"/>
        <v>5.52</v>
      </c>
      <c r="G31" s="36">
        <v>42795</v>
      </c>
      <c r="H31" s="40">
        <v>2.5702319486504277</v>
      </c>
      <c r="I31" s="40">
        <v>2.5227025724785621</v>
      </c>
      <c r="J31" s="40">
        <v>2.6203938538123621</v>
      </c>
      <c r="K31" s="161">
        <f t="shared" si="4"/>
        <v>2017</v>
      </c>
    </row>
    <row r="32" spans="2:15">
      <c r="B32" s="30">
        <f t="shared" si="0"/>
        <v>2034</v>
      </c>
      <c r="C32" s="31">
        <f t="shared" si="1"/>
        <v>5.71</v>
      </c>
      <c r="D32" s="31">
        <f t="shared" si="2"/>
        <v>5.65</v>
      </c>
      <c r="E32" s="31">
        <f t="shared" si="3"/>
        <v>5.74</v>
      </c>
      <c r="G32" s="36">
        <v>42826</v>
      </c>
      <c r="H32" s="40">
        <v>2.7338319047619044</v>
      </c>
      <c r="I32" s="40">
        <v>2.6977291139240491</v>
      </c>
      <c r="J32" s="40">
        <v>2.8173391604331051</v>
      </c>
      <c r="K32" s="161">
        <f t="shared" si="4"/>
        <v>2017</v>
      </c>
    </row>
    <row r="33" spans="2:11">
      <c r="B33" s="30">
        <f t="shared" si="0"/>
        <v>2035</v>
      </c>
      <c r="C33" s="31">
        <f t="shared" si="1"/>
        <v>5.9</v>
      </c>
      <c r="D33" s="31">
        <f t="shared" si="2"/>
        <v>5.84</v>
      </c>
      <c r="E33" s="31">
        <f t="shared" si="3"/>
        <v>5.94</v>
      </c>
      <c r="G33" s="36">
        <v>42856</v>
      </c>
      <c r="H33" s="40">
        <v>2.7935696708360762</v>
      </c>
      <c r="I33" s="40">
        <v>2.7414040832993045</v>
      </c>
      <c r="J33" s="40">
        <v>2.8496280759861037</v>
      </c>
      <c r="K33" s="161">
        <f t="shared" si="4"/>
        <v>2017</v>
      </c>
    </row>
    <row r="34" spans="2:11">
      <c r="B34" s="30">
        <f t="shared" si="0"/>
        <v>2036</v>
      </c>
      <c r="C34" s="31">
        <f t="shared" si="1"/>
        <v>6.25</v>
      </c>
      <c r="D34" s="31">
        <f t="shared" si="2"/>
        <v>6.19</v>
      </c>
      <c r="E34" s="31">
        <f t="shared" si="3"/>
        <v>6.29</v>
      </c>
      <c r="G34" s="36">
        <v>42887</v>
      </c>
      <c r="H34" s="40">
        <v>2.5909806263194946</v>
      </c>
      <c r="I34" s="40">
        <v>2.4896278481012653</v>
      </c>
      <c r="J34" s="40">
        <v>2.6578282815862284</v>
      </c>
      <c r="K34" s="161">
        <f t="shared" si="4"/>
        <v>2017</v>
      </c>
    </row>
    <row r="35" spans="2:11">
      <c r="B35" s="30">
        <f t="shared" si="0"/>
        <v>2037</v>
      </c>
      <c r="C35" s="31">
        <f t="shared" si="1"/>
        <v>6.43</v>
      </c>
      <c r="D35" s="31">
        <f t="shared" si="2"/>
        <v>6.35</v>
      </c>
      <c r="E35" s="31">
        <f t="shared" si="3"/>
        <v>6.47</v>
      </c>
      <c r="G35" s="36">
        <v>42917</v>
      </c>
      <c r="H35" s="40">
        <v>2.6189359863945567</v>
      </c>
      <c r="I35" s="40">
        <v>2.5466376239436985</v>
      </c>
      <c r="J35" s="40">
        <v>2.6888170462996945</v>
      </c>
      <c r="K35" s="161">
        <f t="shared" si="4"/>
        <v>2017</v>
      </c>
    </row>
    <row r="36" spans="2:11">
      <c r="B36" s="30">
        <f t="shared" si="0"/>
        <v>2038</v>
      </c>
      <c r="C36" s="31">
        <f t="shared" si="1"/>
        <v>6.71</v>
      </c>
      <c r="D36" s="31">
        <f t="shared" si="2"/>
        <v>6.62</v>
      </c>
      <c r="E36" s="31">
        <f t="shared" si="3"/>
        <v>6.75</v>
      </c>
      <c r="G36" s="36">
        <v>42948</v>
      </c>
      <c r="H36" s="40">
        <v>2.6204058600583098</v>
      </c>
      <c r="I36" s="40">
        <v>2.6257784553802681</v>
      </c>
      <c r="J36" s="40">
        <v>2.6400613898171748</v>
      </c>
      <c r="K36" s="161">
        <f t="shared" si="4"/>
        <v>2017</v>
      </c>
    </row>
    <row r="37" spans="2:11">
      <c r="B37" s="30">
        <f t="shared" si="0"/>
        <v>2039</v>
      </c>
      <c r="C37" s="31">
        <f t="shared" si="1"/>
        <v>6.86</v>
      </c>
      <c r="D37" s="31">
        <f t="shared" si="2"/>
        <v>6.77</v>
      </c>
      <c r="E37" s="31">
        <f t="shared" si="3"/>
        <v>6.9</v>
      </c>
      <c r="G37" s="36">
        <v>42979</v>
      </c>
      <c r="H37" s="40">
        <v>2.6278767055393586</v>
      </c>
      <c r="I37" s="40">
        <v>2.6414532567049811</v>
      </c>
      <c r="J37" s="40">
        <v>2.69095420248683</v>
      </c>
      <c r="K37" s="161">
        <f t="shared" si="4"/>
        <v>2017</v>
      </c>
    </row>
    <row r="38" spans="2:11">
      <c r="B38" s="30">
        <f t="shared" si="0"/>
        <v>2040</v>
      </c>
      <c r="C38" s="31">
        <f t="shared" si="1"/>
        <v>7.03</v>
      </c>
      <c r="D38" s="31">
        <f t="shared" si="2"/>
        <v>6.95</v>
      </c>
      <c r="E38" s="31">
        <f t="shared" si="3"/>
        <v>7.08</v>
      </c>
      <c r="G38" s="36">
        <v>43009</v>
      </c>
      <c r="H38" s="40">
        <v>2.657031224489796</v>
      </c>
      <c r="I38" s="40">
        <v>2.2413567721005676</v>
      </c>
      <c r="J38" s="40">
        <v>2.6757604467670868</v>
      </c>
      <c r="K38" s="161">
        <f t="shared" si="4"/>
        <v>2017</v>
      </c>
    </row>
    <row r="39" spans="2:11">
      <c r="B39" s="30">
        <f t="shared" si="0"/>
        <v>2041</v>
      </c>
      <c r="C39" s="31">
        <f t="shared" si="1"/>
        <v>7.19</v>
      </c>
      <c r="D39" s="31">
        <f t="shared" si="2"/>
        <v>7.1</v>
      </c>
      <c r="E39" s="31">
        <f t="shared" si="3"/>
        <v>7.23</v>
      </c>
      <c r="G39" s="36">
        <v>43040</v>
      </c>
      <c r="H39" s="40">
        <v>2.6488679591836735</v>
      </c>
      <c r="I39" s="40">
        <v>2.4866933495539336</v>
      </c>
      <c r="J39" s="40">
        <v>2.6393837688287736</v>
      </c>
      <c r="K39" s="161">
        <f t="shared" si="4"/>
        <v>2017</v>
      </c>
    </row>
    <row r="40" spans="2:11">
      <c r="B40" s="30">
        <f t="shared" si="0"/>
        <v>2042</v>
      </c>
      <c r="C40" s="31">
        <f>ROUND(SUMIF($K$17:$K$340,$B40,$H$17:$H$340)/COUNTIF($K$17:$K$340,$B40),2)</f>
        <v>4.91</v>
      </c>
      <c r="D40" s="31">
        <f t="shared" si="2"/>
        <v>4.8600000000000003</v>
      </c>
      <c r="E40" s="31">
        <f t="shared" si="3"/>
        <v>4.9400000000000004</v>
      </c>
      <c r="G40" s="36">
        <v>43070</v>
      </c>
      <c r="H40" s="40">
        <v>3.0407046938775508</v>
      </c>
      <c r="I40" s="40">
        <v>2.7517987834549875</v>
      </c>
      <c r="J40" s="40">
        <v>3.0174962803565943</v>
      </c>
      <c r="K40" s="161">
        <f t="shared" si="4"/>
        <v>2017</v>
      </c>
    </row>
    <row r="41" spans="2:11">
      <c r="B41" s="30"/>
      <c r="C41" s="31"/>
      <c r="G41" s="36">
        <v>43101</v>
      </c>
      <c r="H41" s="40">
        <v>3.1315210204081629</v>
      </c>
      <c r="I41" s="40">
        <v>2.8420258718572584</v>
      </c>
      <c r="J41" s="40">
        <v>3.1240645762885539</v>
      </c>
      <c r="K41" s="161">
        <f t="shared" si="4"/>
        <v>2018</v>
      </c>
    </row>
    <row r="42" spans="2:11">
      <c r="B42" s="30"/>
      <c r="C42" s="31"/>
      <c r="G42" s="36">
        <v>43132</v>
      </c>
      <c r="H42" s="40">
        <v>3.0463169387755102</v>
      </c>
      <c r="I42" s="40">
        <v>2.801778507704785</v>
      </c>
      <c r="J42" s="40">
        <v>3.041064268880008</v>
      </c>
      <c r="K42" s="161">
        <f t="shared" si="4"/>
        <v>2018</v>
      </c>
    </row>
    <row r="43" spans="2:11">
      <c r="G43" s="36">
        <v>43160</v>
      </c>
      <c r="H43" s="40">
        <v>2.8396842857142857</v>
      </c>
      <c r="I43" s="40">
        <v>2.6598482562854824</v>
      </c>
      <c r="J43" s="40">
        <v>2.8284400245926835</v>
      </c>
      <c r="K43" s="161">
        <f t="shared" si="4"/>
        <v>2018</v>
      </c>
    </row>
    <row r="44" spans="2:11">
      <c r="B44" s="163" t="str">
        <f>"Official Forward Price Curve Forecast dated   "&amp;TEXT(G5,"MMM dd, YYYY")</f>
        <v>Official Forward Price Curve Forecast dated   Sep 29, 2017</v>
      </c>
      <c r="G44" s="36">
        <v>43191</v>
      </c>
      <c r="H44" s="40">
        <v>2.4799904081632649</v>
      </c>
      <c r="I44" s="40">
        <v>2.3455741281427409</v>
      </c>
      <c r="J44" s="40">
        <v>2.4723584588584897</v>
      </c>
      <c r="K44" s="161">
        <f t="shared" si="4"/>
        <v>2018</v>
      </c>
    </row>
    <row r="45" spans="2:11">
      <c r="G45" s="36">
        <v>43221</v>
      </c>
      <c r="H45" s="40">
        <v>2.393255714285714</v>
      </c>
      <c r="I45" s="40">
        <v>2.2783600162205997</v>
      </c>
      <c r="J45" s="40">
        <v>2.3852593708371761</v>
      </c>
      <c r="K45" s="161">
        <f t="shared" si="4"/>
        <v>2018</v>
      </c>
    </row>
    <row r="46" spans="2:11">
      <c r="G46" s="36">
        <v>43252</v>
      </c>
      <c r="H46" s="40">
        <v>2.417235306122449</v>
      </c>
      <c r="I46" s="40">
        <v>2.2907282238442819</v>
      </c>
      <c r="J46" s="40">
        <v>2.4170249205861256</v>
      </c>
      <c r="K46" s="161">
        <f t="shared" si="4"/>
        <v>2018</v>
      </c>
    </row>
    <row r="47" spans="2:11">
      <c r="G47" s="36">
        <v>43282</v>
      </c>
      <c r="H47" s="40">
        <v>2.5386638775510204</v>
      </c>
      <c r="I47" s="40">
        <v>2.3405051905920518</v>
      </c>
      <c r="J47" s="40">
        <v>2.5261549544010657</v>
      </c>
      <c r="K47" s="161">
        <f t="shared" si="4"/>
        <v>2018</v>
      </c>
    </row>
    <row r="48" spans="2:11">
      <c r="G48" s="36">
        <v>43313</v>
      </c>
      <c r="H48" s="40">
        <v>2.5407046938775513</v>
      </c>
      <c r="I48" s="40">
        <v>2.3449658556366582</v>
      </c>
      <c r="J48" s="40">
        <v>2.5282043447074498</v>
      </c>
      <c r="K48" s="161">
        <f t="shared" si="4"/>
        <v>2018</v>
      </c>
    </row>
    <row r="49" spans="7:13">
      <c r="G49" s="36">
        <v>43344</v>
      </c>
      <c r="H49" s="40">
        <v>2.5192761224489795</v>
      </c>
      <c r="I49" s="40">
        <v>2.3263121654501213</v>
      </c>
      <c r="J49" s="40">
        <v>2.511809222256379</v>
      </c>
      <c r="K49" s="161">
        <f t="shared" si="4"/>
        <v>2018</v>
      </c>
      <c r="L49" s="4"/>
      <c r="M49" s="4"/>
    </row>
    <row r="50" spans="7:13">
      <c r="G50" s="36">
        <v>43374</v>
      </c>
      <c r="H50" s="40">
        <v>2.5121332653061224</v>
      </c>
      <c r="I50" s="40">
        <v>2.3609836982968369</v>
      </c>
      <c r="J50" s="40">
        <v>2.5200067834819144</v>
      </c>
      <c r="K50" s="161">
        <f t="shared" si="4"/>
        <v>2018</v>
      </c>
      <c r="L50" s="4"/>
      <c r="M50" s="4"/>
    </row>
    <row r="51" spans="7:13">
      <c r="G51" s="36">
        <v>43405</v>
      </c>
      <c r="H51" s="40">
        <v>2.6407046938775509</v>
      </c>
      <c r="I51" s="40">
        <v>2.6205133008921324</v>
      </c>
      <c r="J51" s="40">
        <v>2.6106923045393997</v>
      </c>
      <c r="K51" s="161">
        <f t="shared" si="4"/>
        <v>2018</v>
      </c>
      <c r="L51" s="4"/>
      <c r="M51" s="4"/>
    </row>
    <row r="52" spans="7:13">
      <c r="G52" s="36">
        <v>43435</v>
      </c>
      <c r="H52" s="40">
        <v>2.9677455102040815</v>
      </c>
      <c r="I52" s="40">
        <v>2.7502781021897809</v>
      </c>
      <c r="J52" s="40">
        <v>2.9442305769033714</v>
      </c>
      <c r="K52" s="161">
        <f t="shared" si="4"/>
        <v>2018</v>
      </c>
      <c r="L52" s="4"/>
      <c r="M52" s="4"/>
    </row>
    <row r="53" spans="7:13">
      <c r="G53" s="36">
        <v>43466</v>
      </c>
      <c r="H53" s="40">
        <v>2.9600924489795917</v>
      </c>
      <c r="I53" s="40">
        <v>2.7895116788321164</v>
      </c>
      <c r="J53" s="40">
        <v>2.9980270724459475</v>
      </c>
      <c r="K53" s="161">
        <f t="shared" si="4"/>
        <v>2019</v>
      </c>
      <c r="L53" s="4"/>
      <c r="M53" s="4"/>
    </row>
    <row r="54" spans="7:13">
      <c r="G54" s="36">
        <v>43497</v>
      </c>
      <c r="H54" s="40">
        <v>2.9361128571428567</v>
      </c>
      <c r="I54" s="40">
        <v>2.7796779399837792</v>
      </c>
      <c r="J54" s="40">
        <v>2.9560145711650785</v>
      </c>
      <c r="K54" s="161">
        <f t="shared" si="4"/>
        <v>2019</v>
      </c>
      <c r="L54" s="4"/>
      <c r="M54" s="4"/>
    </row>
    <row r="55" spans="7:13">
      <c r="G55" s="36">
        <v>43525</v>
      </c>
      <c r="H55" s="40">
        <v>2.819786326530612</v>
      </c>
      <c r="I55" s="40">
        <v>2.695736334144363</v>
      </c>
      <c r="J55" s="40">
        <v>2.8366375858182189</v>
      </c>
      <c r="K55" s="161">
        <f t="shared" si="4"/>
        <v>2019</v>
      </c>
      <c r="L55" s="4"/>
      <c r="M55" s="4"/>
    </row>
    <row r="56" spans="7:13">
      <c r="G56" s="36">
        <v>43556</v>
      </c>
      <c r="H56" s="40">
        <v>2.3029495918367346</v>
      </c>
      <c r="I56" s="40">
        <v>2.1937087591240876</v>
      </c>
      <c r="J56" s="40">
        <v>2.2920121118967107</v>
      </c>
      <c r="K56" s="161">
        <f t="shared" si="4"/>
        <v>2019</v>
      </c>
      <c r="L56" s="4"/>
      <c r="M56" s="4"/>
    </row>
    <row r="57" spans="7:13">
      <c r="G57" s="36">
        <v>43586</v>
      </c>
      <c r="H57" s="40">
        <v>2.204990408163265</v>
      </c>
      <c r="I57" s="40">
        <v>2.125582238442822</v>
      </c>
      <c r="J57" s="40">
        <v>2.1833944256583666</v>
      </c>
      <c r="K57" s="161">
        <f t="shared" si="4"/>
        <v>2019</v>
      </c>
      <c r="L57" s="4"/>
      <c r="M57" s="4"/>
    </row>
    <row r="58" spans="7:13">
      <c r="G58" s="36">
        <v>43617</v>
      </c>
      <c r="H58" s="40">
        <v>2.2243781632653064</v>
      </c>
      <c r="I58" s="40">
        <v>2.1499131386861312</v>
      </c>
      <c r="J58" s="40">
        <v>2.2054253714519927</v>
      </c>
      <c r="K58" s="161">
        <f t="shared" si="4"/>
        <v>2019</v>
      </c>
      <c r="L58" s="4"/>
      <c r="M58" s="4"/>
    </row>
    <row r="59" spans="7:13">
      <c r="G59" s="36">
        <v>43647</v>
      </c>
      <c r="H59" s="40">
        <v>2.3483577551020405</v>
      </c>
      <c r="I59" s="40">
        <v>2.1932018653690184</v>
      </c>
      <c r="J59" s="40">
        <v>2.3324875704477916</v>
      </c>
      <c r="K59" s="161">
        <f t="shared" si="4"/>
        <v>2019</v>
      </c>
      <c r="L59" s="4"/>
      <c r="M59" s="4"/>
    </row>
    <row r="60" spans="7:13">
      <c r="G60" s="36">
        <v>43678</v>
      </c>
      <c r="H60" s="40">
        <v>2.3544802040816326</v>
      </c>
      <c r="I60" s="40">
        <v>2.2043535279805351</v>
      </c>
      <c r="J60" s="40">
        <v>2.3386357413669434</v>
      </c>
      <c r="K60" s="161">
        <f t="shared" si="4"/>
        <v>2019</v>
      </c>
      <c r="L60" s="4"/>
      <c r="M60" s="4"/>
    </row>
    <row r="61" spans="7:13">
      <c r="G61" s="36">
        <v>43709</v>
      </c>
      <c r="H61" s="40">
        <v>2.3299904081632654</v>
      </c>
      <c r="I61" s="40">
        <v>2.2053673154906726</v>
      </c>
      <c r="J61" s="40">
        <v>2.3473456501690744</v>
      </c>
      <c r="K61" s="161">
        <f t="shared" si="4"/>
        <v>2019</v>
      </c>
      <c r="L61" s="4"/>
      <c r="M61" s="4"/>
    </row>
    <row r="62" spans="7:13">
      <c r="G62" s="36">
        <v>43739</v>
      </c>
      <c r="H62" s="40">
        <v>2.3264189795918364</v>
      </c>
      <c r="I62" s="40">
        <v>2.2435871046228706</v>
      </c>
      <c r="J62" s="40">
        <v>2.3258270519520443</v>
      </c>
      <c r="K62" s="161">
        <f t="shared" si="4"/>
        <v>2019</v>
      </c>
      <c r="L62" s="4"/>
      <c r="M62" s="4"/>
    </row>
    <row r="63" spans="7:13">
      <c r="G63" s="36">
        <v>43770</v>
      </c>
      <c r="H63" s="40">
        <v>2.5381536734693873</v>
      </c>
      <c r="I63" s="40">
        <v>2.4501969991889698</v>
      </c>
      <c r="J63" s="40">
        <v>2.5128339174095706</v>
      </c>
      <c r="K63" s="161">
        <f t="shared" si="4"/>
        <v>2019</v>
      </c>
      <c r="L63" s="4"/>
      <c r="M63" s="4"/>
    </row>
    <row r="64" spans="7:13">
      <c r="G64" s="36">
        <v>43800</v>
      </c>
      <c r="H64" s="40">
        <v>2.7743781632653057</v>
      </c>
      <c r="I64" s="40">
        <v>2.6279139497161395</v>
      </c>
      <c r="J64" s="40">
        <v>2.755174321139461</v>
      </c>
      <c r="K64" s="161">
        <f t="shared" si="4"/>
        <v>2019</v>
      </c>
      <c r="L64" s="4"/>
      <c r="M64" s="4"/>
    </row>
    <row r="65" spans="7:13">
      <c r="G65" s="36">
        <v>43831</v>
      </c>
      <c r="H65" s="40">
        <v>2.8697863265306123</v>
      </c>
      <c r="I65" s="40">
        <v>2.7163162206001616</v>
      </c>
      <c r="J65" s="40">
        <v>2.871477221026745</v>
      </c>
      <c r="K65" s="161">
        <f t="shared" ref="K65:K112" si="5">YEAR(G65)</f>
        <v>2020</v>
      </c>
      <c r="L65" s="4"/>
      <c r="M65" s="4"/>
    </row>
    <row r="66" spans="7:13">
      <c r="G66" s="36">
        <v>43862</v>
      </c>
      <c r="H66" s="40">
        <v>2.8356026530612244</v>
      </c>
      <c r="I66" s="40">
        <v>2.7026300892133004</v>
      </c>
      <c r="J66" s="40">
        <v>2.8653290501075932</v>
      </c>
      <c r="K66" s="161">
        <f t="shared" si="5"/>
        <v>2020</v>
      </c>
      <c r="L66" s="4"/>
      <c r="M66" s="4"/>
    </row>
    <row r="67" spans="7:13">
      <c r="G67" s="36">
        <v>43891</v>
      </c>
      <c r="H67" s="40">
        <v>2.741725102040816</v>
      </c>
      <c r="I67" s="40">
        <v>2.6588344687753445</v>
      </c>
      <c r="J67" s="40">
        <v>2.7275075520032788</v>
      </c>
      <c r="K67" s="161">
        <f t="shared" si="5"/>
        <v>2020</v>
      </c>
      <c r="L67" s="4"/>
      <c r="M67" s="4"/>
    </row>
    <row r="68" spans="7:13">
      <c r="G68" s="36">
        <v>43922</v>
      </c>
      <c r="H68" s="40">
        <v>2.2794802040816324</v>
      </c>
      <c r="I68" s="40">
        <v>2.1716081914030818</v>
      </c>
      <c r="J68" s="40">
        <v>2.1992772005328414</v>
      </c>
      <c r="K68" s="161">
        <f t="shared" si="5"/>
        <v>2020</v>
      </c>
      <c r="L68" s="4"/>
      <c r="M68" s="4"/>
    </row>
    <row r="69" spans="7:13">
      <c r="G69" s="36">
        <v>43952</v>
      </c>
      <c r="H69" s="40">
        <v>2.185602653061224</v>
      </c>
      <c r="I69" s="40">
        <v>2.1328815085158146</v>
      </c>
      <c r="J69" s="40">
        <v>2.1792956450455989</v>
      </c>
      <c r="K69" s="161">
        <f t="shared" si="5"/>
        <v>2020</v>
      </c>
      <c r="L69" s="4"/>
      <c r="M69" s="4"/>
    </row>
    <row r="70" spans="7:13">
      <c r="G70" s="36">
        <v>43983</v>
      </c>
      <c r="H70" s="40">
        <v>2.20397</v>
      </c>
      <c r="I70" s="40">
        <v>2.1612675587996755</v>
      </c>
      <c r="J70" s="40">
        <v>2.1977401578030538</v>
      </c>
      <c r="K70" s="161">
        <f t="shared" si="5"/>
        <v>2020</v>
      </c>
      <c r="L70" s="4"/>
      <c r="M70" s="4"/>
    </row>
    <row r="71" spans="7:13">
      <c r="G71" s="36">
        <v>44013</v>
      </c>
      <c r="H71" s="40">
        <v>2.2866230612244896</v>
      </c>
      <c r="I71" s="40">
        <v>2.202832846715328</v>
      </c>
      <c r="J71" s="40">
        <v>2.2807404652115997</v>
      </c>
      <c r="K71" s="161">
        <f t="shared" si="5"/>
        <v>2020</v>
      </c>
      <c r="L71" s="4"/>
      <c r="M71" s="4"/>
    </row>
    <row r="72" spans="7:13">
      <c r="G72" s="36">
        <v>44044</v>
      </c>
      <c r="H72" s="40">
        <v>2.2968271428571425</v>
      </c>
      <c r="I72" s="40">
        <v>2.2231085969180855</v>
      </c>
      <c r="J72" s="40">
        <v>2.2909874167435191</v>
      </c>
      <c r="K72" s="161">
        <f t="shared" si="5"/>
        <v>2020</v>
      </c>
      <c r="L72" s="4"/>
      <c r="M72" s="4"/>
    </row>
    <row r="73" spans="7:13">
      <c r="G73" s="36">
        <v>44075</v>
      </c>
      <c r="H73" s="40">
        <v>2.2850924489795919</v>
      </c>
      <c r="I73" s="40">
        <v>2.2381126520681263</v>
      </c>
      <c r="J73" s="40">
        <v>2.2792034224818116</v>
      </c>
      <c r="K73" s="161">
        <f t="shared" si="5"/>
        <v>2020</v>
      </c>
      <c r="L73" s="4"/>
      <c r="M73" s="4"/>
    </row>
    <row r="74" spans="7:13">
      <c r="G74" s="36">
        <v>44105</v>
      </c>
      <c r="H74" s="40">
        <v>2.3213169387755102</v>
      </c>
      <c r="I74" s="40">
        <v>2.2614297648012975</v>
      </c>
      <c r="J74" s="40">
        <v>2.3155801004201253</v>
      </c>
      <c r="K74" s="161">
        <f t="shared" si="5"/>
        <v>2020</v>
      </c>
      <c r="L74" s="4"/>
      <c r="M74" s="4"/>
    </row>
    <row r="75" spans="7:13">
      <c r="G75" s="36">
        <v>44136</v>
      </c>
      <c r="H75" s="40">
        <v>2.5396842857142854</v>
      </c>
      <c r="I75" s="40">
        <v>2.4757444444444441</v>
      </c>
      <c r="J75" s="40">
        <v>2.5092474843733994</v>
      </c>
      <c r="K75" s="161">
        <f t="shared" si="5"/>
        <v>2020</v>
      </c>
      <c r="L75" s="4"/>
      <c r="M75" s="4"/>
    </row>
    <row r="76" spans="7:13">
      <c r="G76" s="36">
        <v>44166</v>
      </c>
      <c r="H76" s="40">
        <v>2.7529495918367344</v>
      </c>
      <c r="I76" s="40">
        <v>2.6116933495539332</v>
      </c>
      <c r="J76" s="40">
        <v>2.7234087713905111</v>
      </c>
      <c r="K76" s="161">
        <f t="shared" si="5"/>
        <v>2020</v>
      </c>
      <c r="L76" s="4"/>
      <c r="M76" s="4"/>
    </row>
    <row r="77" spans="7:13">
      <c r="G77" s="36">
        <v>44197</v>
      </c>
      <c r="H77" s="40">
        <v>2.8692761224489791</v>
      </c>
      <c r="I77" s="40">
        <v>2.6955335766423358</v>
      </c>
      <c r="J77" s="40">
        <v>2.840224018854391</v>
      </c>
      <c r="K77" s="161">
        <f t="shared" si="5"/>
        <v>2021</v>
      </c>
      <c r="L77" s="4"/>
      <c r="M77" s="4"/>
    </row>
    <row r="78" spans="7:13">
      <c r="G78" s="36">
        <v>44228</v>
      </c>
      <c r="H78" s="40">
        <v>2.8672353061224487</v>
      </c>
      <c r="I78" s="40">
        <v>2.7137817518248171</v>
      </c>
      <c r="J78" s="40">
        <v>2.8561067937288658</v>
      </c>
      <c r="K78" s="161">
        <f t="shared" si="5"/>
        <v>2021</v>
      </c>
      <c r="L78" s="4"/>
      <c r="M78" s="4"/>
    </row>
    <row r="79" spans="7:13">
      <c r="G79" s="36">
        <v>44256</v>
      </c>
      <c r="H79" s="40">
        <v>2.7850924489795914</v>
      </c>
      <c r="I79" s="40">
        <v>2.6359228710462284</v>
      </c>
      <c r="J79" s="40">
        <v>2.7684953581309562</v>
      </c>
      <c r="K79" s="161">
        <f t="shared" si="5"/>
        <v>2021</v>
      </c>
      <c r="L79" s="4"/>
      <c r="M79" s="4"/>
    </row>
    <row r="80" spans="7:13">
      <c r="G80" s="36">
        <v>44287</v>
      </c>
      <c r="H80" s="40">
        <v>2.2973373469387752</v>
      </c>
      <c r="I80" s="40">
        <v>2.2084086780210863</v>
      </c>
      <c r="J80" s="40">
        <v>2.3043084537350138</v>
      </c>
      <c r="K80" s="161">
        <f t="shared" si="5"/>
        <v>2021</v>
      </c>
      <c r="L80" s="4"/>
      <c r="M80" s="4"/>
    </row>
    <row r="81" spans="7:13">
      <c r="G81" s="36">
        <v>44317</v>
      </c>
      <c r="H81" s="40">
        <v>2.1937659183673466</v>
      </c>
      <c r="I81" s="40">
        <v>2.1714054339010542</v>
      </c>
      <c r="J81" s="40">
        <v>2.2003018956860334</v>
      </c>
      <c r="K81" s="161">
        <f t="shared" si="5"/>
        <v>2021</v>
      </c>
      <c r="L81" s="4"/>
      <c r="M81" s="4"/>
    </row>
    <row r="82" spans="7:13">
      <c r="G82" s="36">
        <v>44348</v>
      </c>
      <c r="H82" s="40">
        <v>2.2289699999999999</v>
      </c>
      <c r="I82" s="40">
        <v>2.1999942416869422</v>
      </c>
      <c r="J82" s="40">
        <v>2.2356538784711546</v>
      </c>
      <c r="K82" s="161">
        <f t="shared" si="5"/>
        <v>2021</v>
      </c>
      <c r="L82" s="4"/>
      <c r="M82" s="4"/>
    </row>
    <row r="83" spans="7:13">
      <c r="G83" s="36">
        <v>44378</v>
      </c>
      <c r="H83" s="40">
        <v>2.2958067346938775</v>
      </c>
      <c r="I83" s="40">
        <v>2.2373016220600159</v>
      </c>
      <c r="J83" s="40">
        <v>2.3027714110052258</v>
      </c>
      <c r="K83" s="161">
        <f t="shared" si="5"/>
        <v>2021</v>
      </c>
      <c r="L83" s="4"/>
      <c r="M83" s="4"/>
    </row>
    <row r="84" spans="7:13">
      <c r="G84" s="36">
        <v>44409</v>
      </c>
      <c r="H84" s="40">
        <v>2.3151944897959185</v>
      </c>
      <c r="I84" s="40">
        <v>2.2654849148418492</v>
      </c>
      <c r="J84" s="40">
        <v>2.3222406189158726</v>
      </c>
      <c r="K84" s="161">
        <f t="shared" si="5"/>
        <v>2021</v>
      </c>
      <c r="L84" s="4"/>
      <c r="M84" s="4"/>
    </row>
    <row r="85" spans="7:13">
      <c r="G85" s="36">
        <v>44440</v>
      </c>
      <c r="H85" s="40">
        <v>2.3259087755102041</v>
      </c>
      <c r="I85" s="40">
        <v>2.284949635036496</v>
      </c>
      <c r="J85" s="40">
        <v>2.3329999180243877</v>
      </c>
      <c r="K85" s="161">
        <f t="shared" si="5"/>
        <v>2021</v>
      </c>
      <c r="L85" s="4"/>
      <c r="M85" s="4"/>
    </row>
    <row r="86" spans="7:13">
      <c r="G86" s="36">
        <v>44470</v>
      </c>
      <c r="H86" s="40">
        <v>2.3396842857142857</v>
      </c>
      <c r="I86" s="40">
        <v>2.3011702351987018</v>
      </c>
      <c r="J86" s="40">
        <v>2.3468333025924788</v>
      </c>
      <c r="K86" s="161">
        <f t="shared" si="5"/>
        <v>2021</v>
      </c>
      <c r="L86" s="4"/>
      <c r="M86" s="4"/>
    </row>
    <row r="87" spans="7:13">
      <c r="G87" s="36">
        <v>44501</v>
      </c>
      <c r="H87" s="40">
        <v>2.5631536734693876</v>
      </c>
      <c r="I87" s="40">
        <v>2.464896918085969</v>
      </c>
      <c r="J87" s="40">
        <v>2.5225685213648941</v>
      </c>
      <c r="K87" s="161">
        <f t="shared" si="5"/>
        <v>2021</v>
      </c>
      <c r="L87" s="4"/>
      <c r="M87" s="4"/>
    </row>
    <row r="88" spans="7:13">
      <c r="G88" s="36">
        <v>44531</v>
      </c>
      <c r="H88" s="40">
        <v>2.7657046938775509</v>
      </c>
      <c r="I88" s="40">
        <v>2.6115919708029192</v>
      </c>
      <c r="J88" s="40">
        <v>2.7310939850394509</v>
      </c>
      <c r="K88" s="161">
        <f t="shared" si="5"/>
        <v>2021</v>
      </c>
      <c r="L88" s="4"/>
      <c r="M88" s="4"/>
    </row>
    <row r="89" spans="7:13">
      <c r="G89" s="36">
        <v>44562</v>
      </c>
      <c r="H89" s="40">
        <v>2.8779495918367344</v>
      </c>
      <c r="I89" s="40">
        <v>2.7092197080291971</v>
      </c>
      <c r="J89" s="40">
        <v>2.8412487140075831</v>
      </c>
      <c r="K89" s="161">
        <f t="shared" si="5"/>
        <v>2022</v>
      </c>
      <c r="L89" s="4"/>
      <c r="M89" s="4"/>
    </row>
    <row r="90" spans="7:13">
      <c r="G90" s="36">
        <v>44593</v>
      </c>
      <c r="H90" s="40">
        <v>2.8687659183673468</v>
      </c>
      <c r="I90" s="40">
        <v>2.7115514193025141</v>
      </c>
      <c r="J90" s="40">
        <v>2.8525203606926941</v>
      </c>
      <c r="K90" s="161">
        <f t="shared" si="5"/>
        <v>2022</v>
      </c>
      <c r="L90" s="4"/>
      <c r="M90" s="4"/>
    </row>
    <row r="91" spans="7:13">
      <c r="G91" s="36">
        <v>44621</v>
      </c>
      <c r="H91" s="40">
        <v>2.7825414285714283</v>
      </c>
      <c r="I91" s="40">
        <v>2.6436276561232761</v>
      </c>
      <c r="J91" s="40">
        <v>2.7582484065990371</v>
      </c>
      <c r="K91" s="161">
        <f t="shared" si="5"/>
        <v>2022</v>
      </c>
      <c r="L91" s="4"/>
      <c r="M91" s="4"/>
    </row>
    <row r="92" spans="7:13">
      <c r="G92" s="36">
        <v>44652</v>
      </c>
      <c r="H92" s="40">
        <v>2.3049904081632651</v>
      </c>
      <c r="I92" s="40">
        <v>2.2146941605839414</v>
      </c>
      <c r="J92" s="40">
        <v>2.3171171431499133</v>
      </c>
      <c r="K92" s="161">
        <f t="shared" si="5"/>
        <v>2022</v>
      </c>
      <c r="L92" s="4"/>
      <c r="M92" s="4"/>
    </row>
    <row r="93" spans="7:13">
      <c r="G93" s="36">
        <v>44682</v>
      </c>
      <c r="H93" s="40">
        <v>2.2146842857142857</v>
      </c>
      <c r="I93" s="40">
        <v>2.1883356853203564</v>
      </c>
      <c r="J93" s="40">
        <v>2.234116835741367</v>
      </c>
      <c r="K93" s="161">
        <f t="shared" si="5"/>
        <v>2022</v>
      </c>
      <c r="L93" s="4"/>
      <c r="M93" s="4"/>
    </row>
    <row r="94" spans="7:13">
      <c r="G94" s="36">
        <v>44713</v>
      </c>
      <c r="H94" s="40">
        <v>2.2437659183673468</v>
      </c>
      <c r="I94" s="40">
        <v>2.2185465531224655</v>
      </c>
      <c r="J94" s="40">
        <v>2.2556354339583975</v>
      </c>
      <c r="K94" s="161">
        <f t="shared" si="5"/>
        <v>2022</v>
      </c>
      <c r="L94" s="4"/>
      <c r="M94" s="4"/>
    </row>
    <row r="95" spans="7:13">
      <c r="G95" s="36">
        <v>44743</v>
      </c>
      <c r="H95" s="40">
        <v>2.3106026530612245</v>
      </c>
      <c r="I95" s="40">
        <v>2.2634573398215729</v>
      </c>
      <c r="J95" s="40">
        <v>2.330438180141408</v>
      </c>
      <c r="K95" s="161">
        <f t="shared" si="5"/>
        <v>2022</v>
      </c>
      <c r="L95" s="4"/>
      <c r="M95" s="4"/>
    </row>
    <row r="96" spans="7:13">
      <c r="G96" s="36">
        <v>44774</v>
      </c>
      <c r="H96" s="40">
        <v>2.3361128571428567</v>
      </c>
      <c r="I96" s="40">
        <v>2.2938709651257092</v>
      </c>
      <c r="J96" s="40">
        <v>2.3560555589712062</v>
      </c>
      <c r="K96" s="161">
        <f t="shared" si="5"/>
        <v>2022</v>
      </c>
      <c r="L96" s="4"/>
      <c r="M96" s="4"/>
    </row>
    <row r="97" spans="7:13">
      <c r="G97" s="36">
        <v>44805</v>
      </c>
      <c r="H97" s="40">
        <v>2.3417251020408161</v>
      </c>
      <c r="I97" s="40">
        <v>2.3145522303325223</v>
      </c>
      <c r="J97" s="40">
        <v>2.3540061686648222</v>
      </c>
      <c r="K97" s="161">
        <f t="shared" si="5"/>
        <v>2022</v>
      </c>
      <c r="L97" s="4"/>
      <c r="M97" s="4"/>
    </row>
    <row r="98" spans="7:13">
      <c r="G98" s="36">
        <v>44835</v>
      </c>
      <c r="H98" s="40">
        <v>2.3697863265306118</v>
      </c>
      <c r="I98" s="40">
        <v>2.3412148418491485</v>
      </c>
      <c r="J98" s="40">
        <v>2.3898704990265398</v>
      </c>
      <c r="K98" s="161">
        <f t="shared" si="5"/>
        <v>2022</v>
      </c>
      <c r="L98" s="4"/>
      <c r="M98" s="4"/>
    </row>
    <row r="99" spans="7:13">
      <c r="G99" s="36">
        <v>44866</v>
      </c>
      <c r="H99" s="40">
        <v>2.62131693877551</v>
      </c>
      <c r="I99" s="40">
        <v>2.515079399837794</v>
      </c>
      <c r="J99" s="40">
        <v>2.5860996208627935</v>
      </c>
      <c r="K99" s="161">
        <f t="shared" si="5"/>
        <v>2022</v>
      </c>
      <c r="L99" s="4"/>
      <c r="M99" s="4"/>
    </row>
    <row r="100" spans="7:13">
      <c r="G100" s="36">
        <v>44896</v>
      </c>
      <c r="H100" s="40">
        <v>2.8085618367346936</v>
      </c>
      <c r="I100" s="40">
        <v>2.6656268450932683</v>
      </c>
      <c r="J100" s="40">
        <v>2.7792546572394712</v>
      </c>
      <c r="K100" s="161">
        <f t="shared" si="5"/>
        <v>2022</v>
      </c>
      <c r="L100" s="4"/>
      <c r="M100" s="4"/>
    </row>
    <row r="101" spans="7:13">
      <c r="G101" s="36">
        <v>44927</v>
      </c>
      <c r="H101" s="40">
        <v>2.9106026530612246</v>
      </c>
      <c r="I101" s="40">
        <v>2.7327395782643955</v>
      </c>
      <c r="J101" s="40">
        <v>2.8791624346756839</v>
      </c>
      <c r="K101" s="161">
        <f t="shared" si="5"/>
        <v>2023</v>
      </c>
      <c r="L101" s="4"/>
      <c r="M101" s="4"/>
    </row>
    <row r="102" spans="7:13">
      <c r="G102" s="36">
        <v>44958</v>
      </c>
      <c r="H102" s="40">
        <v>2.9075414285714283</v>
      </c>
      <c r="I102" s="40">
        <v>2.7246292781832921</v>
      </c>
      <c r="J102" s="40">
        <v>2.8940205143969671</v>
      </c>
      <c r="K102" s="161">
        <f t="shared" si="5"/>
        <v>2023</v>
      </c>
      <c r="L102" s="4"/>
      <c r="M102" s="4"/>
    </row>
    <row r="103" spans="7:13">
      <c r="G103" s="36">
        <v>44986</v>
      </c>
      <c r="H103" s="40">
        <v>2.8167251020408162</v>
      </c>
      <c r="I103" s="40">
        <v>2.6622813463098134</v>
      </c>
      <c r="J103" s="40">
        <v>2.797699169996926</v>
      </c>
      <c r="K103" s="161">
        <f t="shared" si="5"/>
        <v>2023</v>
      </c>
      <c r="L103" s="4"/>
      <c r="M103" s="4"/>
    </row>
    <row r="104" spans="7:13">
      <c r="G104" s="36">
        <v>45017</v>
      </c>
      <c r="H104" s="40">
        <v>2.3320312244897958</v>
      </c>
      <c r="I104" s="40">
        <v>2.23152303325223</v>
      </c>
      <c r="J104" s="40">
        <v>2.3903828466031358</v>
      </c>
      <c r="K104" s="161">
        <f t="shared" si="5"/>
        <v>2023</v>
      </c>
      <c r="L104" s="4"/>
      <c r="M104" s="4"/>
    </row>
    <row r="105" spans="7:13">
      <c r="G105" s="36">
        <v>45047</v>
      </c>
      <c r="H105" s="40">
        <v>2.2468271428571427</v>
      </c>
      <c r="I105" s="40">
        <v>2.2050631792376318</v>
      </c>
      <c r="J105" s="40">
        <v>2.3099442770775696</v>
      </c>
      <c r="K105" s="161">
        <f t="shared" si="5"/>
        <v>2023</v>
      </c>
      <c r="L105" s="4"/>
      <c r="M105" s="4"/>
    </row>
    <row r="106" spans="7:13">
      <c r="G106" s="36">
        <v>45078</v>
      </c>
      <c r="H106" s="40">
        <v>2.2799904081632651</v>
      </c>
      <c r="I106" s="40">
        <v>2.2342602595296026</v>
      </c>
      <c r="J106" s="40">
        <v>2.3381233937903474</v>
      </c>
      <c r="K106" s="161">
        <f t="shared" si="5"/>
        <v>2023</v>
      </c>
      <c r="L106" s="4"/>
      <c r="M106" s="4"/>
    </row>
    <row r="107" spans="7:13">
      <c r="G107" s="36">
        <v>45108</v>
      </c>
      <c r="H107" s="40">
        <v>2.3177455102040816</v>
      </c>
      <c r="I107" s="40">
        <v>2.2780558799675585</v>
      </c>
      <c r="J107" s="40">
        <v>2.3811605902244084</v>
      </c>
      <c r="K107" s="161">
        <f t="shared" si="5"/>
        <v>2023</v>
      </c>
      <c r="L107" s="4"/>
      <c r="M107" s="4"/>
    </row>
    <row r="108" spans="7:13">
      <c r="G108" s="36">
        <v>45139</v>
      </c>
      <c r="H108" s="40">
        <v>2.3442761224489792</v>
      </c>
      <c r="I108" s="40">
        <v>2.3095846715328467</v>
      </c>
      <c r="J108" s="40">
        <v>2.4078026642073982</v>
      </c>
      <c r="K108" s="161">
        <f t="shared" si="5"/>
        <v>2023</v>
      </c>
      <c r="L108" s="4"/>
      <c r="M108" s="4"/>
    </row>
    <row r="109" spans="7:13">
      <c r="G109" s="36">
        <v>45170</v>
      </c>
      <c r="H109" s="40">
        <v>2.3549904081632649</v>
      </c>
      <c r="I109" s="40">
        <v>2.3303673154906726</v>
      </c>
      <c r="J109" s="40">
        <v>2.4134384875499539</v>
      </c>
      <c r="K109" s="161">
        <f t="shared" si="5"/>
        <v>2023</v>
      </c>
      <c r="L109" s="4"/>
      <c r="M109" s="4"/>
    </row>
    <row r="110" spans="7:13">
      <c r="G110" s="36">
        <v>45200</v>
      </c>
      <c r="H110" s="40">
        <v>2.3922353061224491</v>
      </c>
      <c r="I110" s="40">
        <v>2.3609836982968369</v>
      </c>
      <c r="J110" s="40">
        <v>2.4559633364074189</v>
      </c>
      <c r="K110" s="161">
        <f t="shared" si="5"/>
        <v>2023</v>
      </c>
      <c r="L110" s="4"/>
      <c r="M110" s="4"/>
    </row>
    <row r="111" spans="7:13">
      <c r="G111" s="36">
        <v>45231</v>
      </c>
      <c r="H111" s="40">
        <v>3.3293781632653063</v>
      </c>
      <c r="I111" s="40">
        <v>3.2844427412814268</v>
      </c>
      <c r="J111" s="40">
        <v>3.2971355876626705</v>
      </c>
      <c r="K111" s="161">
        <f t="shared" si="5"/>
        <v>2023</v>
      </c>
      <c r="L111" s="4"/>
      <c r="M111" s="4"/>
    </row>
    <row r="112" spans="7:13">
      <c r="G112" s="36">
        <v>45261</v>
      </c>
      <c r="H112" s="40">
        <v>3.4934597959183673</v>
      </c>
      <c r="I112" s="40">
        <v>3.436105352798053</v>
      </c>
      <c r="J112" s="40">
        <v>3.4670300440618917</v>
      </c>
      <c r="K112" s="161">
        <f t="shared" si="5"/>
        <v>2023</v>
      </c>
      <c r="L112" s="4"/>
      <c r="M112" s="4"/>
    </row>
    <row r="113" spans="7:13">
      <c r="G113" s="36">
        <v>45292</v>
      </c>
      <c r="H113" s="40">
        <v>3.5598883673469386</v>
      </c>
      <c r="I113" s="40">
        <v>3.4786844282238443</v>
      </c>
      <c r="J113" s="40">
        <v>3.5311759606517059</v>
      </c>
      <c r="K113" s="161">
        <f t="shared" ref="K113:K159" si="6">YEAR(G113)</f>
        <v>2024</v>
      </c>
      <c r="L113" s="4"/>
      <c r="M113" s="4"/>
    </row>
    <row r="114" spans="7:13">
      <c r="G114" s="36">
        <v>45323</v>
      </c>
      <c r="H114" s="40">
        <v>3.5649904081632648</v>
      </c>
      <c r="I114" s="40">
        <v>3.4811175182481748</v>
      </c>
      <c r="J114" s="40">
        <v>3.5542316015985245</v>
      </c>
      <c r="K114" s="161">
        <f t="shared" si="6"/>
        <v>2024</v>
      </c>
      <c r="L114" s="4"/>
      <c r="M114" s="4"/>
    </row>
    <row r="115" spans="7:13">
      <c r="G115" s="36">
        <v>45352</v>
      </c>
      <c r="H115" s="40">
        <v>3.4146842857142854</v>
      </c>
      <c r="I115" s="40">
        <v>3.3457768856447685</v>
      </c>
      <c r="J115" s="40">
        <v>3.3981705297673943</v>
      </c>
      <c r="K115" s="161">
        <f t="shared" si="6"/>
        <v>2024</v>
      </c>
      <c r="L115" s="4"/>
      <c r="M115" s="4"/>
    </row>
    <row r="116" spans="7:13">
      <c r="G116" s="36">
        <v>45383</v>
      </c>
      <c r="H116" s="40">
        <v>3.0216230612244899</v>
      </c>
      <c r="I116" s="40">
        <v>2.9740210056772098</v>
      </c>
      <c r="J116" s="40">
        <v>3.0828718311302388</v>
      </c>
      <c r="K116" s="161">
        <f t="shared" si="6"/>
        <v>2024</v>
      </c>
      <c r="L116" s="4"/>
      <c r="M116" s="4"/>
    </row>
    <row r="117" spans="7:13">
      <c r="G117" s="36">
        <v>45413</v>
      </c>
      <c r="H117" s="40">
        <v>2.9527455102040818</v>
      </c>
      <c r="I117" s="40">
        <v>2.9413770478507701</v>
      </c>
      <c r="J117" s="40">
        <v>3.0188283840557433</v>
      </c>
      <c r="K117" s="161">
        <f t="shared" si="6"/>
        <v>2024</v>
      </c>
      <c r="L117" s="4"/>
      <c r="M117" s="4"/>
    </row>
    <row r="118" spans="7:13">
      <c r="G118" s="36">
        <v>45444</v>
      </c>
      <c r="H118" s="40">
        <v>2.9759087755102041</v>
      </c>
      <c r="I118" s="40">
        <v>2.962463828061638</v>
      </c>
      <c r="J118" s="40">
        <v>3.0369654882672403</v>
      </c>
      <c r="K118" s="161">
        <f t="shared" si="6"/>
        <v>2024</v>
      </c>
      <c r="L118" s="4"/>
      <c r="M118" s="4"/>
    </row>
    <row r="119" spans="7:13">
      <c r="G119" s="36">
        <v>45474</v>
      </c>
      <c r="H119" s="40">
        <v>3.0537659183673469</v>
      </c>
      <c r="I119" s="40">
        <v>2.9908498783454984</v>
      </c>
      <c r="J119" s="40">
        <v>3.120273204221744</v>
      </c>
      <c r="K119" s="161">
        <f t="shared" si="6"/>
        <v>2024</v>
      </c>
      <c r="L119" s="4"/>
      <c r="M119" s="4"/>
    </row>
    <row r="120" spans="7:13">
      <c r="G120" s="36">
        <v>45505</v>
      </c>
      <c r="H120" s="40">
        <v>3.0867251020408162</v>
      </c>
      <c r="I120" s="40">
        <v>3.0065635847526355</v>
      </c>
      <c r="J120" s="40">
        <v>3.1533708576698434</v>
      </c>
      <c r="K120" s="161">
        <f t="shared" si="6"/>
        <v>2024</v>
      </c>
      <c r="L120" s="4"/>
      <c r="M120" s="4"/>
    </row>
    <row r="121" spans="7:13">
      <c r="G121" s="36">
        <v>45536</v>
      </c>
      <c r="H121" s="40">
        <v>3.0985618367346941</v>
      </c>
      <c r="I121" s="40">
        <v>3.0495481751824811</v>
      </c>
      <c r="J121" s="40">
        <v>3.1601338456809098</v>
      </c>
      <c r="K121" s="161">
        <f t="shared" si="6"/>
        <v>2024</v>
      </c>
      <c r="L121" s="4"/>
      <c r="M121" s="4"/>
    </row>
    <row r="122" spans="7:13">
      <c r="G122" s="36">
        <v>45566</v>
      </c>
      <c r="H122" s="40">
        <v>3.1172353061224491</v>
      </c>
      <c r="I122" s="40">
        <v>3.0713446066504457</v>
      </c>
      <c r="J122" s="40">
        <v>3.1840092427502817</v>
      </c>
      <c r="K122" s="161">
        <f t="shared" si="6"/>
        <v>2024</v>
      </c>
      <c r="L122" s="4"/>
      <c r="M122" s="4"/>
    </row>
    <row r="123" spans="7:13">
      <c r="G123" s="36">
        <v>45597</v>
      </c>
      <c r="H123" s="40">
        <v>4.0374393877551018</v>
      </c>
      <c r="I123" s="40">
        <v>4.0538060827250604</v>
      </c>
      <c r="J123" s="40">
        <v>4.0081715544625478</v>
      </c>
      <c r="K123" s="161">
        <f t="shared" si="6"/>
        <v>2024</v>
      </c>
      <c r="L123" s="4"/>
      <c r="M123" s="4"/>
    </row>
    <row r="124" spans="7:13">
      <c r="G124" s="36">
        <v>45627</v>
      </c>
      <c r="H124" s="40">
        <v>4.1784597959183678</v>
      </c>
      <c r="I124" s="40">
        <v>4.2065838605028381</v>
      </c>
      <c r="J124" s="40">
        <v>4.154907900399631</v>
      </c>
      <c r="K124" s="161">
        <f t="shared" si="6"/>
        <v>2024</v>
      </c>
      <c r="L124" s="4"/>
      <c r="M124" s="4"/>
    </row>
    <row r="125" spans="7:13">
      <c r="G125" s="36">
        <v>45658</v>
      </c>
      <c r="H125" s="40">
        <v>4.2092761224489799</v>
      </c>
      <c r="I125" s="40">
        <v>4.2245278994322781</v>
      </c>
      <c r="J125" s="40">
        <v>4.1832919561430479</v>
      </c>
      <c r="K125" s="161">
        <f t="shared" si="6"/>
        <v>2025</v>
      </c>
      <c r="L125" s="4"/>
      <c r="M125" s="4"/>
    </row>
    <row r="126" spans="7:13">
      <c r="G126" s="36">
        <v>45689</v>
      </c>
      <c r="H126" s="40">
        <v>4.2223373469387759</v>
      </c>
      <c r="I126" s="40">
        <v>4.2375043795620435</v>
      </c>
      <c r="J126" s="40">
        <v>4.2143402192847628</v>
      </c>
      <c r="K126" s="161">
        <f t="shared" si="6"/>
        <v>2025</v>
      </c>
      <c r="L126" s="4"/>
      <c r="M126" s="4"/>
    </row>
    <row r="127" spans="7:13">
      <c r="G127" s="36">
        <v>45717</v>
      </c>
      <c r="H127" s="40">
        <v>4.0126434693877551</v>
      </c>
      <c r="I127" s="40">
        <v>4.0291710462287105</v>
      </c>
      <c r="J127" s="40">
        <v>3.9986418895378626</v>
      </c>
      <c r="K127" s="161">
        <f t="shared" si="6"/>
        <v>2025</v>
      </c>
      <c r="L127" s="4"/>
      <c r="M127" s="4"/>
    </row>
    <row r="128" spans="7:13">
      <c r="G128" s="36">
        <v>45748</v>
      </c>
      <c r="H128" s="40">
        <v>3.7111128571428571</v>
      </c>
      <c r="I128" s="40">
        <v>3.7166203568532037</v>
      </c>
      <c r="J128" s="40">
        <v>3.7752583461420226</v>
      </c>
      <c r="K128" s="161">
        <f t="shared" si="6"/>
        <v>2025</v>
      </c>
      <c r="L128" s="4"/>
      <c r="M128" s="4"/>
    </row>
    <row r="129" spans="7:13">
      <c r="G129" s="36">
        <v>45778</v>
      </c>
      <c r="H129" s="40">
        <v>3.6587659183673469</v>
      </c>
      <c r="I129" s="40">
        <v>3.6775895377128949</v>
      </c>
      <c r="J129" s="40">
        <v>3.7278149605492366</v>
      </c>
      <c r="K129" s="161">
        <f t="shared" si="6"/>
        <v>2025</v>
      </c>
      <c r="L129" s="4"/>
      <c r="M129" s="4"/>
    </row>
    <row r="130" spans="7:13">
      <c r="G130" s="36">
        <v>45809</v>
      </c>
      <c r="H130" s="40">
        <v>3.671827142857143</v>
      </c>
      <c r="I130" s="40">
        <v>3.6905660178426598</v>
      </c>
      <c r="J130" s="40">
        <v>3.7358075827441337</v>
      </c>
      <c r="K130" s="161">
        <f t="shared" si="6"/>
        <v>2025</v>
      </c>
      <c r="L130" s="4"/>
      <c r="M130" s="4"/>
    </row>
    <row r="131" spans="7:13">
      <c r="G131" s="36">
        <v>45839</v>
      </c>
      <c r="H131" s="40">
        <v>3.7897863265306122</v>
      </c>
      <c r="I131" s="40">
        <v>3.7036438767234383</v>
      </c>
      <c r="J131" s="40">
        <v>3.8593858182190797</v>
      </c>
      <c r="K131" s="161">
        <f t="shared" si="6"/>
        <v>2025</v>
      </c>
      <c r="L131" s="4"/>
      <c r="M131" s="4"/>
    </row>
    <row r="132" spans="7:13">
      <c r="G132" s="36">
        <v>45870</v>
      </c>
      <c r="H132" s="40">
        <v>3.8291740816326527</v>
      </c>
      <c r="I132" s="40">
        <v>3.7036438767234383</v>
      </c>
      <c r="J132" s="40">
        <v>3.8989390511322886</v>
      </c>
      <c r="K132" s="161">
        <f t="shared" si="6"/>
        <v>2025</v>
      </c>
      <c r="L132" s="4"/>
      <c r="M132" s="4"/>
    </row>
    <row r="133" spans="7:13">
      <c r="G133" s="36">
        <v>45901</v>
      </c>
      <c r="H133" s="40">
        <v>3.8422353061224488</v>
      </c>
      <c r="I133" s="40">
        <v>3.7687290348742901</v>
      </c>
      <c r="J133" s="40">
        <v>3.9069316733271853</v>
      </c>
      <c r="K133" s="161">
        <f t="shared" si="6"/>
        <v>2025</v>
      </c>
      <c r="L133" s="4"/>
      <c r="M133" s="4"/>
    </row>
    <row r="134" spans="7:13">
      <c r="G134" s="36">
        <v>45931</v>
      </c>
      <c r="H134" s="40">
        <v>3.8422353061224488</v>
      </c>
      <c r="I134" s="40">
        <v>3.7817055150040546</v>
      </c>
      <c r="J134" s="40">
        <v>3.912055149093145</v>
      </c>
      <c r="K134" s="161">
        <f t="shared" si="6"/>
        <v>2025</v>
      </c>
      <c r="L134" s="4"/>
      <c r="M134" s="4"/>
    </row>
    <row r="135" spans="7:13">
      <c r="G135" s="36">
        <v>45962</v>
      </c>
      <c r="H135" s="40">
        <v>3.9732557142857141</v>
      </c>
      <c r="I135" s="40">
        <v>3.9900388483373881</v>
      </c>
      <c r="J135" s="40">
        <v>3.9437182293267754</v>
      </c>
      <c r="K135" s="161">
        <f t="shared" si="6"/>
        <v>2025</v>
      </c>
      <c r="L135" s="4"/>
      <c r="M135" s="4"/>
    </row>
    <row r="136" spans="7:13">
      <c r="G136" s="36">
        <v>45992</v>
      </c>
      <c r="H136" s="40">
        <v>4.1568271428571428</v>
      </c>
      <c r="I136" s="40">
        <v>4.1724192214111921</v>
      </c>
      <c r="J136" s="40">
        <v>4.1331843631519627</v>
      </c>
      <c r="K136" s="161">
        <f t="shared" si="6"/>
        <v>2025</v>
      </c>
      <c r="L136" s="4"/>
      <c r="M136" s="4"/>
    </row>
    <row r="137" spans="7:13">
      <c r="G137" s="36">
        <v>46023</v>
      </c>
      <c r="H137" s="40">
        <v>4.1815210204081632</v>
      </c>
      <c r="I137" s="40">
        <v>4.1836722627737224</v>
      </c>
      <c r="J137" s="40">
        <v>4.1554202479762274</v>
      </c>
      <c r="K137" s="161">
        <f t="shared" ref="K137:K148" si="7">YEAR(G137)</f>
        <v>2026</v>
      </c>
      <c r="L137" s="4"/>
      <c r="M137" s="4"/>
    </row>
    <row r="138" spans="7:13">
      <c r="G138" s="36">
        <v>46054</v>
      </c>
      <c r="H138" s="40">
        <v>4.1948883673469384</v>
      </c>
      <c r="I138" s="40">
        <v>4.2102334955393346</v>
      </c>
      <c r="J138" s="40">
        <v>4.1867759196639005</v>
      </c>
      <c r="K138" s="161">
        <f t="shared" si="7"/>
        <v>2026</v>
      </c>
      <c r="L138" s="4"/>
      <c r="M138" s="4"/>
    </row>
    <row r="139" spans="7:13">
      <c r="G139" s="36">
        <v>46082</v>
      </c>
      <c r="H139" s="40">
        <v>3.9806026530612244</v>
      </c>
      <c r="I139" s="40">
        <v>4.0106187347931872</v>
      </c>
      <c r="J139" s="40">
        <v>3.9664664617276362</v>
      </c>
      <c r="K139" s="161">
        <f t="shared" si="7"/>
        <v>2026</v>
      </c>
      <c r="L139" s="4"/>
      <c r="M139" s="4"/>
    </row>
    <row r="140" spans="7:13">
      <c r="G140" s="36">
        <v>46113</v>
      </c>
      <c r="H140" s="40">
        <v>3.7126434693877552</v>
      </c>
      <c r="I140" s="40">
        <v>3.7045562854825627</v>
      </c>
      <c r="J140" s="40">
        <v>3.7767953888718107</v>
      </c>
      <c r="K140" s="161">
        <f t="shared" si="7"/>
        <v>2026</v>
      </c>
      <c r="L140" s="4"/>
      <c r="M140" s="4"/>
    </row>
    <row r="141" spans="7:13">
      <c r="G141" s="36">
        <v>46143</v>
      </c>
      <c r="H141" s="40">
        <v>3.6725414285714288</v>
      </c>
      <c r="I141" s="40">
        <v>3.6646130575831299</v>
      </c>
      <c r="J141" s="40">
        <v>3.7416483451173277</v>
      </c>
      <c r="K141" s="161">
        <f t="shared" si="7"/>
        <v>2026</v>
      </c>
      <c r="L141" s="4"/>
      <c r="M141" s="4"/>
    </row>
    <row r="142" spans="7:13">
      <c r="G142" s="36">
        <v>46174</v>
      </c>
      <c r="H142" s="40">
        <v>3.6992761224489796</v>
      </c>
      <c r="I142" s="40">
        <v>3.6912756690997561</v>
      </c>
      <c r="J142" s="40">
        <v>3.7633718823649969</v>
      </c>
      <c r="K142" s="161">
        <f t="shared" si="7"/>
        <v>2026</v>
      </c>
      <c r="L142" s="4"/>
      <c r="M142" s="4"/>
    </row>
    <row r="143" spans="7:13">
      <c r="G143" s="36">
        <v>46204</v>
      </c>
      <c r="H143" s="40">
        <v>3.8198883673469384</v>
      </c>
      <c r="I143" s="40">
        <v>3.7045562854825627</v>
      </c>
      <c r="J143" s="40">
        <v>3.8896143252382416</v>
      </c>
      <c r="K143" s="161">
        <f t="shared" si="7"/>
        <v>2026</v>
      </c>
      <c r="L143" s="4"/>
      <c r="M143" s="4"/>
    </row>
    <row r="144" spans="7:13">
      <c r="G144" s="36">
        <v>46235</v>
      </c>
      <c r="H144" s="40">
        <v>3.8466230612244896</v>
      </c>
      <c r="I144" s="40">
        <v>3.7178369018653687</v>
      </c>
      <c r="J144" s="40">
        <v>3.9164613382518705</v>
      </c>
      <c r="K144" s="161">
        <f t="shared" si="7"/>
        <v>2026</v>
      </c>
      <c r="L144" s="4"/>
      <c r="M144" s="4"/>
    </row>
    <row r="145" spans="7:13">
      <c r="G145" s="36">
        <v>46266</v>
      </c>
      <c r="H145" s="40">
        <v>3.833255714285714</v>
      </c>
      <c r="I145" s="40">
        <v>3.7444995133819949</v>
      </c>
      <c r="J145" s="40">
        <v>3.8979143559790965</v>
      </c>
      <c r="K145" s="161">
        <f t="shared" si="7"/>
        <v>2026</v>
      </c>
      <c r="L145" s="4"/>
      <c r="M145" s="4"/>
    </row>
    <row r="146" spans="7:13">
      <c r="G146" s="36">
        <v>46296</v>
      </c>
      <c r="H146" s="40">
        <v>3.833255714285714</v>
      </c>
      <c r="I146" s="40">
        <v>3.757780129764801</v>
      </c>
      <c r="J146" s="40">
        <v>3.9030378317450563</v>
      </c>
      <c r="K146" s="161">
        <f t="shared" si="7"/>
        <v>2026</v>
      </c>
      <c r="L146" s="4"/>
      <c r="M146" s="4"/>
    </row>
    <row r="147" spans="7:13">
      <c r="G147" s="36">
        <v>46327</v>
      </c>
      <c r="H147" s="40">
        <v>3.9806026530612244</v>
      </c>
      <c r="I147" s="40">
        <v>3.9973381184103811</v>
      </c>
      <c r="J147" s="40">
        <v>3.9510960344297574</v>
      </c>
      <c r="K147" s="161">
        <f t="shared" si="7"/>
        <v>2026</v>
      </c>
      <c r="L147" s="4"/>
      <c r="M147" s="4"/>
    </row>
    <row r="148" spans="7:13">
      <c r="G148" s="36">
        <v>46357</v>
      </c>
      <c r="H148" s="40">
        <v>4.1815210204081632</v>
      </c>
      <c r="I148" s="40">
        <v>4.2102334955393346</v>
      </c>
      <c r="J148" s="40">
        <v>4.1579819858592071</v>
      </c>
      <c r="K148" s="161">
        <f t="shared" si="7"/>
        <v>2026</v>
      </c>
      <c r="L148" s="4"/>
      <c r="M148" s="4"/>
    </row>
    <row r="149" spans="7:13">
      <c r="G149" s="36">
        <v>46388</v>
      </c>
      <c r="H149" s="40">
        <v>4.2052965306122454</v>
      </c>
      <c r="I149" s="40">
        <v>4.2205741281427409</v>
      </c>
      <c r="J149" s="40">
        <v>4.1792956450455989</v>
      </c>
      <c r="K149" s="161">
        <f t="shared" si="6"/>
        <v>2027</v>
      </c>
      <c r="L149" s="4"/>
      <c r="M149" s="4"/>
    </row>
    <row r="150" spans="7:13">
      <c r="G150" s="36">
        <v>46419</v>
      </c>
      <c r="H150" s="40">
        <v>4.2189699999999997</v>
      </c>
      <c r="I150" s="40">
        <v>4.2341588807785886</v>
      </c>
      <c r="J150" s="40">
        <v>4.2109587252792293</v>
      </c>
      <c r="K150" s="161">
        <f t="shared" si="6"/>
        <v>2027</v>
      </c>
      <c r="L150" s="4"/>
      <c r="M150" s="4"/>
    </row>
    <row r="151" spans="7:13">
      <c r="G151" s="36">
        <v>46447</v>
      </c>
      <c r="H151" s="40">
        <v>4.0410108163265308</v>
      </c>
      <c r="I151" s="40">
        <v>4.0573543390105433</v>
      </c>
      <c r="J151" s="40">
        <v>4.0271284147965982</v>
      </c>
      <c r="K151" s="161">
        <f t="shared" si="6"/>
        <v>2027</v>
      </c>
      <c r="L151" s="4"/>
      <c r="M151" s="4"/>
    </row>
    <row r="152" spans="7:13">
      <c r="G152" s="36">
        <v>46478</v>
      </c>
      <c r="H152" s="40">
        <v>3.7945822448979589</v>
      </c>
      <c r="I152" s="40">
        <v>3.7717703974047034</v>
      </c>
      <c r="J152" s="40">
        <v>3.8590784096731228</v>
      </c>
      <c r="K152" s="161">
        <f t="shared" si="6"/>
        <v>2027</v>
      </c>
      <c r="L152" s="4"/>
      <c r="M152" s="4"/>
    </row>
    <row r="153" spans="7:13">
      <c r="G153" s="36">
        <v>46508</v>
      </c>
      <c r="H153" s="40">
        <v>3.7672353061224491</v>
      </c>
      <c r="I153" s="40">
        <v>3.7581856447688562</v>
      </c>
      <c r="J153" s="40">
        <v>3.8367400553335385</v>
      </c>
      <c r="K153" s="161">
        <f t="shared" si="6"/>
        <v>2027</v>
      </c>
      <c r="L153" s="4"/>
      <c r="M153" s="4"/>
    </row>
    <row r="154" spans="7:13">
      <c r="G154" s="36">
        <v>46539</v>
      </c>
      <c r="H154" s="40">
        <v>3.7809087755102042</v>
      </c>
      <c r="I154" s="40">
        <v>3.7717703974047034</v>
      </c>
      <c r="J154" s="40">
        <v>3.8453474946203503</v>
      </c>
      <c r="K154" s="161">
        <f t="shared" si="6"/>
        <v>2027</v>
      </c>
      <c r="L154" s="4"/>
      <c r="M154" s="4"/>
    </row>
    <row r="155" spans="7:13">
      <c r="G155" s="36">
        <v>46569</v>
      </c>
      <c r="H155" s="40">
        <v>3.9725414285714287</v>
      </c>
      <c r="I155" s="40">
        <v>3.8533802919708022</v>
      </c>
      <c r="J155" s="40">
        <v>4.0429087201557534</v>
      </c>
      <c r="K155" s="161">
        <f t="shared" si="6"/>
        <v>2027</v>
      </c>
      <c r="L155" s="4"/>
      <c r="M155" s="4"/>
    </row>
    <row r="156" spans="7:13">
      <c r="G156" s="36">
        <v>46600</v>
      </c>
      <c r="H156" s="40">
        <v>3.9999904081632653</v>
      </c>
      <c r="I156" s="40">
        <v>3.8669650446066504</v>
      </c>
      <c r="J156" s="40">
        <v>4.0704730197766166</v>
      </c>
      <c r="K156" s="161">
        <f t="shared" si="6"/>
        <v>2027</v>
      </c>
      <c r="L156" s="4"/>
      <c r="M156" s="4"/>
    </row>
    <row r="157" spans="7:13">
      <c r="G157" s="36">
        <v>46631</v>
      </c>
      <c r="H157" s="40">
        <v>4.0273373469387757</v>
      </c>
      <c r="I157" s="40">
        <v>3.9485749391727492</v>
      </c>
      <c r="J157" s="40">
        <v>4.0928113741162004</v>
      </c>
      <c r="K157" s="161">
        <f t="shared" si="6"/>
        <v>2027</v>
      </c>
      <c r="L157" s="4"/>
      <c r="M157" s="4"/>
    </row>
    <row r="158" spans="7:13">
      <c r="G158" s="36">
        <v>46661</v>
      </c>
      <c r="H158" s="40">
        <v>4.054684285714286</v>
      </c>
      <c r="I158" s="40">
        <v>3.9757444444444441</v>
      </c>
      <c r="J158" s="40">
        <v>4.1253966799877038</v>
      </c>
      <c r="K158" s="161">
        <f t="shared" si="6"/>
        <v>2027</v>
      </c>
      <c r="L158" s="4"/>
      <c r="M158" s="4"/>
    </row>
    <row r="159" spans="7:13">
      <c r="G159" s="36">
        <v>46692</v>
      </c>
      <c r="H159" s="40">
        <v>4.2874393877551018</v>
      </c>
      <c r="I159" s="40">
        <v>4.3021840227088397</v>
      </c>
      <c r="J159" s="40">
        <v>4.2592218669945696</v>
      </c>
      <c r="K159" s="161">
        <f t="shared" si="6"/>
        <v>2027</v>
      </c>
      <c r="L159" s="4"/>
      <c r="M159" s="4"/>
    </row>
    <row r="160" spans="7:13">
      <c r="G160" s="36">
        <v>46722</v>
      </c>
      <c r="H160" s="40">
        <v>4.4791740816326531</v>
      </c>
      <c r="I160" s="40">
        <v>4.5198442011354416</v>
      </c>
      <c r="J160" s="40">
        <v>4.4568855620452918</v>
      </c>
      <c r="K160" s="161">
        <f t="shared" ref="K160:K223" si="8">YEAR(G160)</f>
        <v>2027</v>
      </c>
      <c r="L160" s="4"/>
      <c r="M160" s="4"/>
    </row>
    <row r="161" spans="7:13">
      <c r="G161" s="36">
        <v>46753</v>
      </c>
      <c r="H161" s="40">
        <v>4.5639699999999994</v>
      </c>
      <c r="I161" s="40">
        <v>4.5769204379562032</v>
      </c>
      <c r="J161" s="40">
        <v>4.5394759913925613</v>
      </c>
      <c r="K161" s="161">
        <f t="shared" si="8"/>
        <v>2028</v>
      </c>
      <c r="L161" s="4"/>
      <c r="M161" s="4"/>
    </row>
    <row r="162" spans="7:13">
      <c r="G162" s="36">
        <v>46784</v>
      </c>
      <c r="H162" s="40">
        <v>4.5219291836734694</v>
      </c>
      <c r="I162" s="40">
        <v>4.5351523925385235</v>
      </c>
      <c r="J162" s="40">
        <v>4.5151907162619125</v>
      </c>
      <c r="K162" s="161">
        <f t="shared" si="8"/>
        <v>2028</v>
      </c>
      <c r="L162" s="4"/>
      <c r="M162" s="4"/>
    </row>
    <row r="163" spans="7:13">
      <c r="G163" s="36">
        <v>46813</v>
      </c>
      <c r="H163" s="40">
        <v>4.3400924489795916</v>
      </c>
      <c r="I163" s="40">
        <v>4.368384347120843</v>
      </c>
      <c r="J163" s="40">
        <v>4.3274665641971515</v>
      </c>
      <c r="K163" s="161">
        <f t="shared" si="8"/>
        <v>2028</v>
      </c>
      <c r="L163" s="4"/>
      <c r="M163" s="4"/>
    </row>
    <row r="164" spans="7:13">
      <c r="G164" s="36">
        <v>46844</v>
      </c>
      <c r="H164" s="40">
        <v>3.9902965306122447</v>
      </c>
      <c r="I164" s="40">
        <v>3.979191321978913</v>
      </c>
      <c r="J164" s="40">
        <v>4.0556149400553334</v>
      </c>
      <c r="K164" s="161">
        <f t="shared" si="8"/>
        <v>2028</v>
      </c>
      <c r="L164" s="4"/>
      <c r="M164" s="4"/>
    </row>
    <row r="165" spans="7:13">
      <c r="G165" s="36">
        <v>46874</v>
      </c>
      <c r="H165" s="40">
        <v>3.9482557142857142</v>
      </c>
      <c r="I165" s="40">
        <v>3.9235343876723436</v>
      </c>
      <c r="J165" s="40">
        <v>4.0185209755097864</v>
      </c>
      <c r="K165" s="161">
        <f t="shared" si="8"/>
        <v>2028</v>
      </c>
      <c r="L165" s="4"/>
      <c r="M165" s="4"/>
    </row>
    <row r="166" spans="7:13">
      <c r="G166" s="36">
        <v>46905</v>
      </c>
      <c r="H166" s="40">
        <v>3.9623373469387753</v>
      </c>
      <c r="I166" s="40">
        <v>3.9513121654501213</v>
      </c>
      <c r="J166" s="40">
        <v>4.0275382928578747</v>
      </c>
      <c r="K166" s="161">
        <f t="shared" si="8"/>
        <v>2028</v>
      </c>
      <c r="L166" s="4"/>
      <c r="M166" s="4"/>
    </row>
    <row r="167" spans="7:13">
      <c r="G167" s="36">
        <v>46935</v>
      </c>
      <c r="H167" s="40">
        <v>4.1301944897959189</v>
      </c>
      <c r="I167" s="40">
        <v>3.9930802108678018</v>
      </c>
      <c r="J167" s="40">
        <v>4.2012241213239072</v>
      </c>
      <c r="K167" s="161">
        <f t="shared" si="8"/>
        <v>2028</v>
      </c>
      <c r="L167" s="4"/>
      <c r="M167" s="4"/>
    </row>
    <row r="168" spans="7:13">
      <c r="G168" s="36">
        <v>46966</v>
      </c>
      <c r="H168" s="40">
        <v>4.1301944897959189</v>
      </c>
      <c r="I168" s="40">
        <v>3.9930802108678018</v>
      </c>
      <c r="J168" s="40">
        <v>4.2012241213239072</v>
      </c>
      <c r="K168" s="161">
        <f t="shared" si="8"/>
        <v>2028</v>
      </c>
      <c r="L168" s="4"/>
      <c r="M168" s="4"/>
    </row>
    <row r="169" spans="7:13">
      <c r="G169" s="36">
        <v>46997</v>
      </c>
      <c r="H169" s="40">
        <v>4.1162148979591837</v>
      </c>
      <c r="I169" s="40">
        <v>4.02085798864558</v>
      </c>
      <c r="J169" s="40">
        <v>4.1820623219592168</v>
      </c>
      <c r="K169" s="161">
        <f t="shared" si="8"/>
        <v>2028</v>
      </c>
      <c r="L169" s="4"/>
      <c r="M169" s="4"/>
    </row>
    <row r="170" spans="7:13">
      <c r="G170" s="36">
        <v>47027</v>
      </c>
      <c r="H170" s="40">
        <v>4.1441740816326531</v>
      </c>
      <c r="I170" s="40">
        <v>4.0486357664233577</v>
      </c>
      <c r="J170" s="40">
        <v>4.2152624449226357</v>
      </c>
      <c r="K170" s="161">
        <f t="shared" si="8"/>
        <v>2028</v>
      </c>
      <c r="L170" s="4"/>
      <c r="M170" s="4"/>
    </row>
    <row r="171" spans="7:13">
      <c r="G171" s="36">
        <v>47058</v>
      </c>
      <c r="H171" s="40">
        <v>4.368051632653061</v>
      </c>
      <c r="I171" s="40">
        <v>4.3961621248986216</v>
      </c>
      <c r="J171" s="40">
        <v>4.3401727840967315</v>
      </c>
      <c r="K171" s="161">
        <f t="shared" si="8"/>
        <v>2028</v>
      </c>
      <c r="L171" s="4"/>
      <c r="M171" s="4"/>
    </row>
    <row r="172" spans="7:13">
      <c r="G172" s="36">
        <v>47088</v>
      </c>
      <c r="H172" s="40">
        <v>4.6198883673469391</v>
      </c>
      <c r="I172" s="40">
        <v>4.6324759935117594</v>
      </c>
      <c r="J172" s="40">
        <v>4.5981910236704584</v>
      </c>
      <c r="K172" s="161">
        <f t="shared" si="8"/>
        <v>2028</v>
      </c>
      <c r="L172" s="4"/>
      <c r="M172" s="4"/>
    </row>
    <row r="173" spans="7:13">
      <c r="G173" s="36">
        <v>47119</v>
      </c>
      <c r="H173" s="40">
        <v>4.7218271428571423</v>
      </c>
      <c r="I173" s="40">
        <v>4.7479463909164634</v>
      </c>
      <c r="J173" s="40">
        <v>4.6979963315913524</v>
      </c>
      <c r="K173" s="161">
        <f t="shared" si="8"/>
        <v>2029</v>
      </c>
      <c r="L173" s="4"/>
      <c r="M173" s="4"/>
    </row>
    <row r="174" spans="7:13">
      <c r="G174" s="36">
        <v>47150</v>
      </c>
      <c r="H174" s="40">
        <v>4.664582244897959</v>
      </c>
      <c r="I174" s="40">
        <v>4.6768798864557981</v>
      </c>
      <c r="J174" s="40">
        <v>4.6584430986781431</v>
      </c>
      <c r="K174" s="161">
        <f t="shared" si="8"/>
        <v>2029</v>
      </c>
      <c r="L174" s="4"/>
      <c r="M174" s="4"/>
    </row>
    <row r="175" spans="7:13">
      <c r="G175" s="36">
        <v>47178</v>
      </c>
      <c r="H175" s="40">
        <v>4.5359087755102037</v>
      </c>
      <c r="I175" s="40">
        <v>4.5490412814274119</v>
      </c>
      <c r="J175" s="40">
        <v>4.5241055640946817</v>
      </c>
      <c r="K175" s="161">
        <f t="shared" si="8"/>
        <v>2029</v>
      </c>
      <c r="L175" s="4"/>
      <c r="M175" s="4"/>
    </row>
    <row r="176" spans="7:13">
      <c r="G176" s="36">
        <v>47209</v>
      </c>
      <c r="H176" s="40">
        <v>4.2641740816326532</v>
      </c>
      <c r="I176" s="40">
        <v>4.2364905920519051</v>
      </c>
      <c r="J176" s="40">
        <v>4.3306431191720467</v>
      </c>
      <c r="K176" s="161">
        <f t="shared" si="8"/>
        <v>2029</v>
      </c>
      <c r="L176" s="4"/>
      <c r="M176" s="4"/>
    </row>
    <row r="177" spans="7:13">
      <c r="G177" s="36">
        <v>47239</v>
      </c>
      <c r="H177" s="40">
        <v>4.2356026530612247</v>
      </c>
      <c r="I177" s="40">
        <v>4.222297566909976</v>
      </c>
      <c r="J177" s="40">
        <v>4.3070751306486326</v>
      </c>
      <c r="K177" s="161">
        <f t="shared" si="8"/>
        <v>2029</v>
      </c>
      <c r="L177" s="4"/>
      <c r="M177" s="4"/>
    </row>
    <row r="178" spans="7:13">
      <c r="G178" s="36">
        <v>47270</v>
      </c>
      <c r="H178" s="40">
        <v>4.2784597959183674</v>
      </c>
      <c r="I178" s="40">
        <v>4.250683617193836</v>
      </c>
      <c r="J178" s="40">
        <v>4.3449888513167334</v>
      </c>
      <c r="K178" s="161">
        <f t="shared" si="8"/>
        <v>2029</v>
      </c>
      <c r="L178" s="4"/>
      <c r="M178" s="4"/>
    </row>
    <row r="179" spans="7:13">
      <c r="G179" s="36">
        <v>47300</v>
      </c>
      <c r="H179" s="40">
        <v>4.4786638775510204</v>
      </c>
      <c r="I179" s="40">
        <v>4.3359431467964313</v>
      </c>
      <c r="J179" s="40">
        <v>4.5511575161389493</v>
      </c>
      <c r="K179" s="161">
        <f t="shared" si="8"/>
        <v>2029</v>
      </c>
      <c r="L179" s="4"/>
      <c r="M179" s="4"/>
    </row>
    <row r="180" spans="7:13">
      <c r="G180" s="36">
        <v>47331</v>
      </c>
      <c r="H180" s="40">
        <v>4.4929495918367355</v>
      </c>
      <c r="I180" s="40">
        <v>4.3643291970802913</v>
      </c>
      <c r="J180" s="40">
        <v>4.565503248283636</v>
      </c>
      <c r="K180" s="161">
        <f t="shared" si="8"/>
        <v>2029</v>
      </c>
      <c r="L180" s="4"/>
      <c r="M180" s="4"/>
    </row>
    <row r="181" spans="7:13">
      <c r="G181" s="36">
        <v>47362</v>
      </c>
      <c r="H181" s="40">
        <v>4.4643781632653061</v>
      </c>
      <c r="I181" s="40">
        <v>4.3359431467964313</v>
      </c>
      <c r="J181" s="40">
        <v>4.5316883082283024</v>
      </c>
      <c r="K181" s="161">
        <f t="shared" si="8"/>
        <v>2029</v>
      </c>
      <c r="L181" s="4"/>
      <c r="M181" s="4"/>
    </row>
    <row r="182" spans="7:13">
      <c r="G182" s="36">
        <v>47392</v>
      </c>
      <c r="H182" s="40">
        <v>4.5073373469387752</v>
      </c>
      <c r="I182" s="40">
        <v>4.3927152473641522</v>
      </c>
      <c r="J182" s="40">
        <v>4.5799514499436418</v>
      </c>
      <c r="K182" s="161">
        <f t="shared" si="8"/>
        <v>2029</v>
      </c>
      <c r="L182" s="4"/>
      <c r="M182" s="4"/>
    </row>
    <row r="183" spans="7:13">
      <c r="G183" s="36">
        <v>47423</v>
      </c>
      <c r="H183" s="40">
        <v>4.7218271428571423</v>
      </c>
      <c r="I183" s="40">
        <v>4.7763324412003243</v>
      </c>
      <c r="J183" s="40">
        <v>4.6954345937083719</v>
      </c>
      <c r="K183" s="161">
        <f t="shared" si="8"/>
        <v>2029</v>
      </c>
      <c r="L183" s="4"/>
      <c r="M183" s="4"/>
    </row>
    <row r="184" spans="7:13">
      <c r="G184" s="36">
        <v>47453</v>
      </c>
      <c r="H184" s="40">
        <v>5.0077455102040815</v>
      </c>
      <c r="I184" s="40">
        <v>5.0320096512570958</v>
      </c>
      <c r="J184" s="40">
        <v>4.9876776513987089</v>
      </c>
      <c r="K184" s="161">
        <f t="shared" si="8"/>
        <v>2029</v>
      </c>
      <c r="L184" s="4"/>
      <c r="M184" s="4"/>
    </row>
    <row r="185" spans="7:13">
      <c r="G185" s="36">
        <v>47484</v>
      </c>
      <c r="H185" s="40">
        <v>5.0743781632653064</v>
      </c>
      <c r="I185" s="40">
        <v>5.0985141119221415</v>
      </c>
      <c r="J185" s="40">
        <v>5.0520285070191617</v>
      </c>
      <c r="K185" s="161">
        <f t="shared" si="8"/>
        <v>2030</v>
      </c>
      <c r="L185" s="4"/>
      <c r="M185" s="4"/>
    </row>
    <row r="186" spans="7:13">
      <c r="G186" s="36">
        <v>47515</v>
      </c>
      <c r="H186" s="40">
        <v>5.0597863265306122</v>
      </c>
      <c r="I186" s="40">
        <v>5.0695197891321975</v>
      </c>
      <c r="J186" s="40">
        <v>5.055307531509377</v>
      </c>
      <c r="K186" s="161">
        <f t="shared" si="8"/>
        <v>2030</v>
      </c>
      <c r="L186" s="4"/>
      <c r="M186" s="4"/>
    </row>
    <row r="187" spans="7:13">
      <c r="G187" s="36">
        <v>47543</v>
      </c>
      <c r="H187" s="40">
        <v>4.884378163265306</v>
      </c>
      <c r="I187" s="40">
        <v>4.9097468775344684</v>
      </c>
      <c r="J187" s="40">
        <v>4.8740389589097246</v>
      </c>
      <c r="K187" s="161">
        <f t="shared" si="8"/>
        <v>2030</v>
      </c>
      <c r="L187" s="4"/>
      <c r="M187" s="4"/>
    </row>
    <row r="188" spans="7:13">
      <c r="G188" s="36">
        <v>47574</v>
      </c>
      <c r="H188" s="40">
        <v>4.5482557142857143</v>
      </c>
      <c r="I188" s="40">
        <v>4.5032180859691806</v>
      </c>
      <c r="J188" s="40">
        <v>4.6159182498206786</v>
      </c>
      <c r="K188" s="161">
        <f t="shared" si="8"/>
        <v>2030</v>
      </c>
      <c r="L188" s="4"/>
      <c r="M188" s="4"/>
    </row>
    <row r="189" spans="7:13">
      <c r="G189" s="36">
        <v>47604</v>
      </c>
      <c r="H189" s="40">
        <v>4.5043781632653062</v>
      </c>
      <c r="I189" s="40">
        <v>4.4596252230332523</v>
      </c>
      <c r="J189" s="40">
        <v>4.5769798339993857</v>
      </c>
      <c r="K189" s="161">
        <f t="shared" si="8"/>
        <v>2030</v>
      </c>
      <c r="L189" s="4"/>
      <c r="M189" s="4"/>
    </row>
    <row r="190" spans="7:13">
      <c r="G190" s="36">
        <v>47635</v>
      </c>
      <c r="H190" s="40">
        <v>4.5482557142857143</v>
      </c>
      <c r="I190" s="40">
        <v>4.5032180859691806</v>
      </c>
      <c r="J190" s="40">
        <v>4.6159182498206786</v>
      </c>
      <c r="K190" s="161">
        <f t="shared" si="8"/>
        <v>2030</v>
      </c>
      <c r="L190" s="4"/>
      <c r="M190" s="4"/>
    </row>
    <row r="191" spans="7:13">
      <c r="G191" s="36">
        <v>47665</v>
      </c>
      <c r="H191" s="40">
        <v>4.7382557142857138</v>
      </c>
      <c r="I191" s="40">
        <v>4.5903024330900237</v>
      </c>
      <c r="J191" s="40">
        <v>4.8118399631109749</v>
      </c>
      <c r="K191" s="161">
        <f t="shared" si="8"/>
        <v>2030</v>
      </c>
      <c r="L191" s="4"/>
      <c r="M191" s="4"/>
    </row>
    <row r="192" spans="7:13">
      <c r="G192" s="36">
        <v>47696</v>
      </c>
      <c r="H192" s="40">
        <v>4.7674393877551013</v>
      </c>
      <c r="I192" s="40">
        <v>4.633895296025953</v>
      </c>
      <c r="J192" s="40">
        <v>4.8411462444922639</v>
      </c>
      <c r="K192" s="161">
        <f t="shared" si="8"/>
        <v>2030</v>
      </c>
      <c r="L192" s="4"/>
      <c r="M192" s="4"/>
    </row>
    <row r="193" spans="7:13">
      <c r="G193" s="36">
        <v>47727</v>
      </c>
      <c r="H193" s="40">
        <v>4.752847551020408</v>
      </c>
      <c r="I193" s="40">
        <v>4.6193981346309805</v>
      </c>
      <c r="J193" s="40">
        <v>4.8213696280356597</v>
      </c>
      <c r="K193" s="161">
        <f t="shared" si="8"/>
        <v>2030</v>
      </c>
      <c r="L193" s="4"/>
      <c r="M193" s="4"/>
    </row>
    <row r="194" spans="7:13">
      <c r="G194" s="36">
        <v>47757</v>
      </c>
      <c r="H194" s="40">
        <v>4.7967251020408161</v>
      </c>
      <c r="I194" s="40">
        <v>4.6774881589618813</v>
      </c>
      <c r="J194" s="40">
        <v>4.8705549953888729</v>
      </c>
      <c r="K194" s="161">
        <f t="shared" si="8"/>
        <v>2030</v>
      </c>
      <c r="L194" s="4"/>
      <c r="M194" s="4"/>
    </row>
    <row r="195" spans="7:13">
      <c r="G195" s="36">
        <v>47788</v>
      </c>
      <c r="H195" s="40">
        <v>5.0159087755102041</v>
      </c>
      <c r="I195" s="40">
        <v>5.0259269261962691</v>
      </c>
      <c r="J195" s="40">
        <v>4.990751736858285</v>
      </c>
      <c r="K195" s="161">
        <f t="shared" si="8"/>
        <v>2030</v>
      </c>
      <c r="L195" s="4"/>
      <c r="M195" s="4"/>
    </row>
    <row r="196" spans="7:13">
      <c r="G196" s="36">
        <v>47818</v>
      </c>
      <c r="H196" s="40">
        <v>5.2643781632653059</v>
      </c>
      <c r="I196" s="40">
        <v>5.2727841849148422</v>
      </c>
      <c r="J196" s="40">
        <v>5.2453884824264785</v>
      </c>
      <c r="K196" s="161">
        <f t="shared" si="8"/>
        <v>2030</v>
      </c>
      <c r="L196" s="4"/>
      <c r="M196" s="4"/>
    </row>
    <row r="197" spans="7:13">
      <c r="G197" s="36">
        <v>47849</v>
      </c>
      <c r="H197" s="40">
        <v>5.3356026530612244</v>
      </c>
      <c r="I197" s="40">
        <v>5.3435465531224651</v>
      </c>
      <c r="J197" s="40">
        <v>5.314350466236295</v>
      </c>
      <c r="K197" s="161">
        <f t="shared" si="8"/>
        <v>2031</v>
      </c>
      <c r="L197" s="4"/>
      <c r="M197" s="4"/>
    </row>
    <row r="198" spans="7:13">
      <c r="G198" s="36">
        <v>47880</v>
      </c>
      <c r="H198" s="40">
        <v>5.3057046938775514</v>
      </c>
      <c r="I198" s="40">
        <v>5.3435465531224651</v>
      </c>
      <c r="J198" s="40">
        <v>5.3022590634286306</v>
      </c>
      <c r="K198" s="161">
        <f t="shared" si="8"/>
        <v>2031</v>
      </c>
      <c r="L198" s="4"/>
      <c r="M198" s="4"/>
    </row>
    <row r="199" spans="7:13">
      <c r="G199" s="36">
        <v>47908</v>
      </c>
      <c r="H199" s="40">
        <v>5.0966230612244896</v>
      </c>
      <c r="I199" s="40">
        <v>5.1209188158961885</v>
      </c>
      <c r="J199" s="40">
        <v>5.0871755507736447</v>
      </c>
      <c r="K199" s="161">
        <f t="shared" si="8"/>
        <v>2031</v>
      </c>
      <c r="L199" s="4"/>
      <c r="M199" s="4"/>
    </row>
    <row r="200" spans="7:13">
      <c r="G200" s="36">
        <v>47939</v>
      </c>
      <c r="H200" s="40">
        <v>4.753153673469388</v>
      </c>
      <c r="I200" s="40">
        <v>4.7054686942416861</v>
      </c>
      <c r="J200" s="40">
        <v>4.8216770365816171</v>
      </c>
      <c r="K200" s="161">
        <f t="shared" si="8"/>
        <v>2031</v>
      </c>
      <c r="L200" s="4"/>
      <c r="M200" s="4"/>
    </row>
    <row r="201" spans="7:13">
      <c r="G201" s="36">
        <v>47969</v>
      </c>
      <c r="H201" s="40">
        <v>4.7232557142857141</v>
      </c>
      <c r="I201" s="40">
        <v>4.6609634225466339</v>
      </c>
      <c r="J201" s="40">
        <v>4.7967769443590536</v>
      </c>
      <c r="K201" s="161">
        <f t="shared" si="8"/>
        <v>2031</v>
      </c>
      <c r="L201" s="4"/>
      <c r="M201" s="4"/>
    </row>
    <row r="202" spans="7:13">
      <c r="G202" s="36">
        <v>48000</v>
      </c>
      <c r="H202" s="40">
        <v>4.7680516326530613</v>
      </c>
      <c r="I202" s="40">
        <v>4.7202699918897002</v>
      </c>
      <c r="J202" s="40">
        <v>4.8366375858182193</v>
      </c>
      <c r="K202" s="161">
        <f t="shared" si="8"/>
        <v>2031</v>
      </c>
      <c r="L202" s="4"/>
      <c r="M202" s="4"/>
    </row>
    <row r="203" spans="7:13">
      <c r="G203" s="36">
        <v>48030</v>
      </c>
      <c r="H203" s="40">
        <v>5.0518271428571433</v>
      </c>
      <c r="I203" s="40">
        <v>4.9131937550689369</v>
      </c>
      <c r="J203" s="40">
        <v>5.126728783686854</v>
      </c>
      <c r="K203" s="161">
        <f t="shared" si="8"/>
        <v>2031</v>
      </c>
      <c r="L203" s="4"/>
      <c r="M203" s="4"/>
    </row>
    <row r="204" spans="7:13">
      <c r="G204" s="36">
        <v>48061</v>
      </c>
      <c r="H204" s="40">
        <v>5.1563169387755101</v>
      </c>
      <c r="I204" s="40">
        <v>5.0171069748580699</v>
      </c>
      <c r="J204" s="40">
        <v>5.2316575673737065</v>
      </c>
      <c r="K204" s="161">
        <f t="shared" si="8"/>
        <v>2031</v>
      </c>
      <c r="L204" s="4"/>
      <c r="M204" s="4"/>
    </row>
    <row r="205" spans="7:13">
      <c r="G205" s="36">
        <v>48092</v>
      </c>
      <c r="H205" s="40">
        <v>4.9920312244897955</v>
      </c>
      <c r="I205" s="40">
        <v>4.8538871857258714</v>
      </c>
      <c r="J205" s="40">
        <v>5.0615581719438474</v>
      </c>
      <c r="K205" s="161">
        <f t="shared" si="8"/>
        <v>2031</v>
      </c>
      <c r="L205" s="4"/>
      <c r="M205" s="4"/>
    </row>
    <row r="206" spans="7:13">
      <c r="G206" s="36">
        <v>48122</v>
      </c>
      <c r="H206" s="40">
        <v>5.0219291836734694</v>
      </c>
      <c r="I206" s="40">
        <v>4.8983924574209246</v>
      </c>
      <c r="J206" s="40">
        <v>5.0967052156983303</v>
      </c>
      <c r="K206" s="161">
        <f t="shared" si="8"/>
        <v>2031</v>
      </c>
      <c r="L206" s="4"/>
      <c r="M206" s="4"/>
    </row>
    <row r="207" spans="7:13">
      <c r="G207" s="36">
        <v>48153</v>
      </c>
      <c r="H207" s="40">
        <v>5.216112857142857</v>
      </c>
      <c r="I207" s="40">
        <v>5.2396333333333329</v>
      </c>
      <c r="J207" s="40">
        <v>5.1917969259145407</v>
      </c>
      <c r="K207" s="161">
        <f t="shared" si="8"/>
        <v>2031</v>
      </c>
      <c r="L207" s="4"/>
      <c r="M207" s="4"/>
    </row>
    <row r="208" spans="7:13">
      <c r="G208" s="36">
        <v>48183</v>
      </c>
      <c r="H208" s="40">
        <v>5.4849904081632657</v>
      </c>
      <c r="I208" s="40">
        <v>5.5215676399026767</v>
      </c>
      <c r="J208" s="40">
        <v>5.4669275745465731</v>
      </c>
      <c r="K208" s="161">
        <f t="shared" si="8"/>
        <v>2031</v>
      </c>
      <c r="L208" s="4"/>
      <c r="M208" s="4"/>
    </row>
    <row r="209" spans="7:13">
      <c r="G209" s="36">
        <v>48214</v>
      </c>
      <c r="H209" s="40">
        <v>5.5447863265306117</v>
      </c>
      <c r="I209" s="40">
        <v>5.5816852392538516</v>
      </c>
      <c r="J209" s="40">
        <v>5.5244129726406399</v>
      </c>
      <c r="K209" s="161">
        <f t="shared" si="8"/>
        <v>2032</v>
      </c>
      <c r="L209" s="4"/>
      <c r="M209" s="4"/>
    </row>
    <row r="210" spans="7:13">
      <c r="G210" s="36">
        <v>48245</v>
      </c>
      <c r="H210" s="40">
        <v>5.5447863265306117</v>
      </c>
      <c r="I210" s="40">
        <v>5.5513729927007294</v>
      </c>
      <c r="J210" s="40">
        <v>5.5423451378214983</v>
      </c>
      <c r="K210" s="161">
        <f t="shared" si="8"/>
        <v>2032</v>
      </c>
      <c r="L210" s="4"/>
      <c r="M210" s="4"/>
    </row>
    <row r="211" spans="7:13">
      <c r="G211" s="36">
        <v>48274</v>
      </c>
      <c r="H211" s="40">
        <v>5.2852965306122446</v>
      </c>
      <c r="I211" s="40">
        <v>5.2935668288726676</v>
      </c>
      <c r="J211" s="40">
        <v>5.2766416845988315</v>
      </c>
      <c r="K211" s="161">
        <f t="shared" si="8"/>
        <v>2032</v>
      </c>
      <c r="L211" s="4"/>
      <c r="M211" s="4"/>
    </row>
    <row r="212" spans="7:13">
      <c r="G212" s="36">
        <v>48305</v>
      </c>
      <c r="H212" s="40">
        <v>4.8884597959183678</v>
      </c>
      <c r="I212" s="40">
        <v>4.8386803730738031</v>
      </c>
      <c r="J212" s="40">
        <v>4.9575516138948661</v>
      </c>
      <c r="K212" s="161">
        <f t="shared" si="8"/>
        <v>2032</v>
      </c>
      <c r="L212" s="4"/>
      <c r="M212" s="4"/>
    </row>
    <row r="213" spans="7:13">
      <c r="G213" s="36">
        <v>48335</v>
      </c>
      <c r="H213" s="40">
        <v>4.8426434693877551</v>
      </c>
      <c r="I213" s="40">
        <v>4.7931613138686124</v>
      </c>
      <c r="J213" s="40">
        <v>4.9166662772825092</v>
      </c>
      <c r="K213" s="161">
        <f t="shared" si="8"/>
        <v>2032</v>
      </c>
      <c r="L213" s="4"/>
      <c r="M213" s="4"/>
    </row>
    <row r="214" spans="7:13">
      <c r="G214" s="36">
        <v>48366</v>
      </c>
      <c r="H214" s="40">
        <v>4.9189699999999998</v>
      </c>
      <c r="I214" s="40">
        <v>4.8689926196269253</v>
      </c>
      <c r="J214" s="40">
        <v>4.9881899989753054</v>
      </c>
      <c r="K214" s="161">
        <f t="shared" si="8"/>
        <v>2032</v>
      </c>
      <c r="L214" s="4"/>
      <c r="M214" s="4"/>
    </row>
    <row r="215" spans="7:13">
      <c r="G215" s="36">
        <v>48396</v>
      </c>
      <c r="H215" s="40">
        <v>5.2089699999999999</v>
      </c>
      <c r="I215" s="40">
        <v>5.066072911597729</v>
      </c>
      <c r="J215" s="40">
        <v>5.2845318372784105</v>
      </c>
      <c r="K215" s="161">
        <f t="shared" si="8"/>
        <v>2032</v>
      </c>
      <c r="L215" s="4"/>
      <c r="M215" s="4"/>
    </row>
    <row r="216" spans="7:13">
      <c r="G216" s="36">
        <v>48427</v>
      </c>
      <c r="H216" s="40">
        <v>5.2700924489795922</v>
      </c>
      <c r="I216" s="40">
        <v>5.126798783454988</v>
      </c>
      <c r="J216" s="40">
        <v>5.3459110769546063</v>
      </c>
      <c r="K216" s="161">
        <f t="shared" si="8"/>
        <v>2032</v>
      </c>
      <c r="L216" s="4"/>
      <c r="M216" s="4"/>
    </row>
    <row r="217" spans="7:13">
      <c r="G217" s="36">
        <v>48458</v>
      </c>
      <c r="H217" s="40">
        <v>5.1631536734693881</v>
      </c>
      <c r="I217" s="40">
        <v>5.0206552311435519</v>
      </c>
      <c r="J217" s="40">
        <v>5.2333995491341332</v>
      </c>
      <c r="K217" s="161">
        <f t="shared" si="8"/>
        <v>2032</v>
      </c>
      <c r="L217" s="4"/>
      <c r="M217" s="4"/>
    </row>
    <row r="218" spans="7:13">
      <c r="G218" s="36">
        <v>48488</v>
      </c>
      <c r="H218" s="40">
        <v>5.1937659183673475</v>
      </c>
      <c r="I218" s="40">
        <v>5.0509674776966742</v>
      </c>
      <c r="J218" s="40">
        <v>5.2692638794958508</v>
      </c>
      <c r="K218" s="161">
        <f t="shared" si="8"/>
        <v>2032</v>
      </c>
      <c r="L218" s="4"/>
      <c r="M218" s="4"/>
    </row>
    <row r="219" spans="7:13">
      <c r="G219" s="36">
        <v>48519</v>
      </c>
      <c r="H219" s="40">
        <v>5.4074393877551019</v>
      </c>
      <c r="I219" s="40">
        <v>5.4149171938361711</v>
      </c>
      <c r="J219" s="40">
        <v>5.3839272671380263</v>
      </c>
      <c r="K219" s="161">
        <f t="shared" si="8"/>
        <v>2032</v>
      </c>
      <c r="L219" s="4"/>
      <c r="M219" s="4"/>
    </row>
    <row r="220" spans="7:13">
      <c r="G220" s="36">
        <v>48549</v>
      </c>
      <c r="H220" s="40">
        <v>5.6974393877551019</v>
      </c>
      <c r="I220" s="40">
        <v>5.7030356042173551</v>
      </c>
      <c r="J220" s="40">
        <v>5.6802691054411314</v>
      </c>
      <c r="K220" s="161">
        <f t="shared" si="8"/>
        <v>2032</v>
      </c>
      <c r="L220" s="4"/>
      <c r="M220" s="4"/>
    </row>
    <row r="221" spans="7:13">
      <c r="G221" s="36">
        <v>48580</v>
      </c>
      <c r="H221" s="40">
        <v>5.7450924489795918</v>
      </c>
      <c r="I221" s="40">
        <v>5.7503794809407944</v>
      </c>
      <c r="J221" s="40">
        <v>5.7255606312122147</v>
      </c>
      <c r="K221" s="161">
        <f t="shared" si="8"/>
        <v>2033</v>
      </c>
      <c r="L221" s="4"/>
      <c r="M221" s="4"/>
    </row>
    <row r="222" spans="7:13">
      <c r="G222" s="36">
        <v>48611</v>
      </c>
      <c r="H222" s="40">
        <v>5.7606026530612242</v>
      </c>
      <c r="I222" s="40">
        <v>5.7657890510948908</v>
      </c>
      <c r="J222" s="40">
        <v>5.7590681627215909</v>
      </c>
      <c r="K222" s="161">
        <f t="shared" si="8"/>
        <v>2033</v>
      </c>
      <c r="L222" s="4"/>
      <c r="M222" s="4"/>
    </row>
    <row r="223" spans="7:13">
      <c r="G223" s="36">
        <v>48639</v>
      </c>
      <c r="H223" s="40">
        <v>5.5110108163265306</v>
      </c>
      <c r="I223" s="40">
        <v>5.5178166261151658</v>
      </c>
      <c r="J223" s="40">
        <v>5.5033042524848863</v>
      </c>
      <c r="K223" s="161">
        <f t="shared" si="8"/>
        <v>2033</v>
      </c>
      <c r="L223" s="4"/>
      <c r="M223" s="4"/>
    </row>
    <row r="224" spans="7:13">
      <c r="G224" s="36">
        <v>48670</v>
      </c>
      <c r="H224" s="40">
        <v>5.1834597959183668</v>
      </c>
      <c r="I224" s="40">
        <v>5.1148360908353609</v>
      </c>
      <c r="J224" s="40">
        <v>5.2537909826826521</v>
      </c>
      <c r="K224" s="161">
        <f t="shared" ref="K224:K311" si="9">YEAR(G224)</f>
        <v>2033</v>
      </c>
      <c r="L224" s="4"/>
      <c r="M224" s="4"/>
    </row>
    <row r="225" spans="7:13">
      <c r="G225" s="36">
        <v>48700</v>
      </c>
      <c r="H225" s="40">
        <v>5.1053985714285712</v>
      </c>
      <c r="I225" s="40">
        <v>5.0373827250608265</v>
      </c>
      <c r="J225" s="40">
        <v>5.1805252792294292</v>
      </c>
      <c r="K225" s="161">
        <f t="shared" si="9"/>
        <v>2033</v>
      </c>
      <c r="L225" s="4"/>
      <c r="M225" s="4"/>
    </row>
    <row r="226" spans="7:13">
      <c r="G226" s="36">
        <v>48731</v>
      </c>
      <c r="H226" s="40">
        <v>5.1522353061224493</v>
      </c>
      <c r="I226" s="40">
        <v>5.0994265206812646</v>
      </c>
      <c r="J226" s="40">
        <v>5.2224353109949799</v>
      </c>
      <c r="K226" s="161">
        <f t="shared" si="9"/>
        <v>2033</v>
      </c>
      <c r="L226" s="4"/>
      <c r="M226" s="4"/>
    </row>
    <row r="227" spans="7:13">
      <c r="G227" s="36">
        <v>48761</v>
      </c>
      <c r="H227" s="40">
        <v>5.4953985714285709</v>
      </c>
      <c r="I227" s="40">
        <v>5.3473989456609896</v>
      </c>
      <c r="J227" s="40">
        <v>5.5721637667793837</v>
      </c>
      <c r="K227" s="161">
        <f t="shared" si="9"/>
        <v>2033</v>
      </c>
      <c r="L227" s="4"/>
      <c r="M227" s="4"/>
    </row>
    <row r="228" spans="7:13">
      <c r="G228" s="36">
        <v>48792</v>
      </c>
      <c r="H228" s="40">
        <v>5.542235306122449</v>
      </c>
      <c r="I228" s="40">
        <v>5.3938304136253041</v>
      </c>
      <c r="J228" s="40">
        <v>5.6191972743108929</v>
      </c>
      <c r="K228" s="161">
        <f t="shared" si="9"/>
        <v>2033</v>
      </c>
      <c r="L228" s="4"/>
      <c r="M228" s="4"/>
    </row>
    <row r="229" spans="7:13">
      <c r="G229" s="36">
        <v>48823</v>
      </c>
      <c r="H229" s="40">
        <v>5.3550924489795921</v>
      </c>
      <c r="I229" s="40">
        <v>5.207901784266018</v>
      </c>
      <c r="J229" s="40">
        <v>5.4261447074495335</v>
      </c>
      <c r="K229" s="161">
        <f t="shared" si="9"/>
        <v>2033</v>
      </c>
      <c r="L229" s="4"/>
      <c r="M229" s="4"/>
    </row>
    <row r="230" spans="7:13">
      <c r="G230" s="36">
        <v>48853</v>
      </c>
      <c r="H230" s="40">
        <v>5.3862148979591842</v>
      </c>
      <c r="I230" s="40">
        <v>5.2543332522303325</v>
      </c>
      <c r="J230" s="40">
        <v>5.4625213853878467</v>
      </c>
      <c r="K230" s="161">
        <f t="shared" si="9"/>
        <v>2033</v>
      </c>
      <c r="L230" s="4"/>
      <c r="M230" s="4"/>
    </row>
    <row r="231" spans="7:13">
      <c r="G231" s="36">
        <v>48884</v>
      </c>
      <c r="H231" s="40">
        <v>5.5890720408163261</v>
      </c>
      <c r="I231" s="40">
        <v>5.5953713706407138</v>
      </c>
      <c r="J231" s="40">
        <v>5.5663230044061898</v>
      </c>
      <c r="K231" s="161">
        <f t="shared" si="9"/>
        <v>2033</v>
      </c>
      <c r="L231" s="4"/>
      <c r="M231" s="4"/>
    </row>
    <row r="232" spans="7:13">
      <c r="G232" s="36">
        <v>48914</v>
      </c>
      <c r="H232" s="40">
        <v>5.9478475510204083</v>
      </c>
      <c r="I232" s="40">
        <v>5.9828409570154086</v>
      </c>
      <c r="J232" s="40">
        <v>5.9317292960344306</v>
      </c>
      <c r="K232" s="161">
        <f t="shared" si="9"/>
        <v>2033</v>
      </c>
      <c r="L232" s="4"/>
      <c r="M232" s="4"/>
    </row>
    <row r="233" spans="7:13">
      <c r="G233" s="36">
        <v>48945</v>
      </c>
      <c r="H233" s="40">
        <v>5.9992761224489799</v>
      </c>
      <c r="I233" s="40">
        <v>6.050359205190591</v>
      </c>
      <c r="J233" s="40">
        <v>5.9808121938723238</v>
      </c>
      <c r="K233" s="161">
        <f t="shared" si="9"/>
        <v>2034</v>
      </c>
      <c r="L233" s="4"/>
      <c r="M233" s="4"/>
    </row>
    <row r="234" spans="7:13">
      <c r="G234" s="36">
        <v>48976</v>
      </c>
      <c r="H234" s="40">
        <v>5.9992761224489799</v>
      </c>
      <c r="I234" s="40">
        <v>6.050359205190591</v>
      </c>
      <c r="J234" s="40">
        <v>5.9987443590531822</v>
      </c>
      <c r="K234" s="161">
        <f t="shared" si="9"/>
        <v>2034</v>
      </c>
      <c r="L234" s="4"/>
      <c r="M234" s="4"/>
    </row>
    <row r="235" spans="7:13">
      <c r="G235" s="36">
        <v>49004</v>
      </c>
      <c r="H235" s="40">
        <v>5.7441740816326528</v>
      </c>
      <c r="I235" s="40">
        <v>5.7494670721816696</v>
      </c>
      <c r="J235" s="40">
        <v>5.7374470949892409</v>
      </c>
      <c r="K235" s="161">
        <f t="shared" si="9"/>
        <v>2034</v>
      </c>
      <c r="L235" s="4"/>
      <c r="M235" s="4"/>
    </row>
    <row r="236" spans="7:13">
      <c r="G236" s="36">
        <v>49035</v>
      </c>
      <c r="H236" s="40">
        <v>5.4093781632653055</v>
      </c>
      <c r="I236" s="40">
        <v>5.3375652068126511</v>
      </c>
      <c r="J236" s="40">
        <v>5.4806584895993451</v>
      </c>
      <c r="K236" s="161">
        <f t="shared" si="9"/>
        <v>2034</v>
      </c>
      <c r="L236" s="4"/>
      <c r="M236" s="4"/>
    </row>
    <row r="237" spans="7:13">
      <c r="G237" s="36">
        <v>49065</v>
      </c>
      <c r="H237" s="40">
        <v>5.3136638775510203</v>
      </c>
      <c r="I237" s="40">
        <v>5.2583884022708833</v>
      </c>
      <c r="J237" s="40">
        <v>5.389665559995902</v>
      </c>
      <c r="K237" s="161">
        <f t="shared" si="9"/>
        <v>2034</v>
      </c>
      <c r="L237" s="4"/>
      <c r="M237" s="4"/>
    </row>
    <row r="238" spans="7:13">
      <c r="G238" s="36">
        <v>49096</v>
      </c>
      <c r="H238" s="40">
        <v>5.3774393877551017</v>
      </c>
      <c r="I238" s="40">
        <v>5.3375652068126511</v>
      </c>
      <c r="J238" s="40">
        <v>5.4485855313044373</v>
      </c>
      <c r="K238" s="161">
        <f t="shared" si="9"/>
        <v>2034</v>
      </c>
      <c r="L238" s="4"/>
      <c r="M238" s="4"/>
    </row>
    <row r="239" spans="7:13">
      <c r="G239" s="36">
        <v>49126</v>
      </c>
      <c r="H239" s="40">
        <v>5.6803985714285714</v>
      </c>
      <c r="I239" s="40">
        <v>5.5276503649635034</v>
      </c>
      <c r="J239" s="40">
        <v>5.7579409980530798</v>
      </c>
      <c r="K239" s="161">
        <f t="shared" si="9"/>
        <v>2034</v>
      </c>
      <c r="L239" s="4"/>
      <c r="M239" s="4"/>
    </row>
    <row r="240" spans="7:13">
      <c r="G240" s="36">
        <v>49157</v>
      </c>
      <c r="H240" s="40">
        <v>5.7600924489795915</v>
      </c>
      <c r="I240" s="40">
        <v>5.6068271695052712</v>
      </c>
      <c r="J240" s="40">
        <v>5.8379696895173687</v>
      </c>
      <c r="K240" s="161">
        <f t="shared" si="9"/>
        <v>2034</v>
      </c>
      <c r="L240" s="4"/>
      <c r="M240" s="4"/>
    </row>
    <row r="241" spans="7:13">
      <c r="G241" s="36">
        <v>49188</v>
      </c>
      <c r="H241" s="40">
        <v>5.5687659183673466</v>
      </c>
      <c r="I241" s="40">
        <v>5.4168433901054334</v>
      </c>
      <c r="J241" s="40">
        <v>5.6407158725279238</v>
      </c>
      <c r="K241" s="161">
        <f t="shared" si="9"/>
        <v>2034</v>
      </c>
      <c r="L241" s="4"/>
      <c r="M241" s="4"/>
    </row>
    <row r="242" spans="7:13">
      <c r="G242" s="36">
        <v>49218</v>
      </c>
      <c r="H242" s="40">
        <v>5.6325414285714288</v>
      </c>
      <c r="I242" s="40">
        <v>5.4802051094890505</v>
      </c>
      <c r="J242" s="40">
        <v>5.7098827953683786</v>
      </c>
      <c r="K242" s="161">
        <f t="shared" si="9"/>
        <v>2034</v>
      </c>
      <c r="L242" s="4"/>
      <c r="M242" s="4"/>
    </row>
    <row r="243" spans="7:13">
      <c r="G243" s="36">
        <v>49249</v>
      </c>
      <c r="H243" s="40">
        <v>5.8238679591836737</v>
      </c>
      <c r="I243" s="40">
        <v>5.844458961881589</v>
      </c>
      <c r="J243" s="40">
        <v>5.802105359155652</v>
      </c>
      <c r="K243" s="161">
        <f t="shared" si="9"/>
        <v>2034</v>
      </c>
      <c r="L243" s="4"/>
      <c r="M243" s="4"/>
    </row>
    <row r="244" spans="7:13">
      <c r="G244" s="36">
        <v>49279</v>
      </c>
      <c r="H244" s="40">
        <v>6.1586638775510201</v>
      </c>
      <c r="I244" s="40">
        <v>6.1928977291159768</v>
      </c>
      <c r="J244" s="40">
        <v>6.1434313146838821</v>
      </c>
      <c r="K244" s="161">
        <f t="shared" si="9"/>
        <v>2034</v>
      </c>
      <c r="L244" s="4"/>
      <c r="M244" s="4"/>
    </row>
    <row r="245" spans="7:13">
      <c r="G245" s="36">
        <v>49310</v>
      </c>
      <c r="H245" s="40">
        <v>6.2129495918367352</v>
      </c>
      <c r="I245" s="40">
        <v>6.2475408759124083</v>
      </c>
      <c r="J245" s="40">
        <v>6.1953833589507123</v>
      </c>
      <c r="K245" s="161">
        <f t="shared" si="9"/>
        <v>2035</v>
      </c>
      <c r="L245" s="4"/>
      <c r="M245" s="4"/>
    </row>
    <row r="246" spans="7:13">
      <c r="G246" s="36">
        <v>49341</v>
      </c>
      <c r="H246" s="40">
        <v>6.2291740816326531</v>
      </c>
      <c r="I246" s="40">
        <v>6.263761476074615</v>
      </c>
      <c r="J246" s="40">
        <v>6.2296081770673233</v>
      </c>
      <c r="K246" s="161">
        <f t="shared" si="9"/>
        <v>2035</v>
      </c>
      <c r="L246" s="4"/>
      <c r="M246" s="4"/>
    </row>
    <row r="247" spans="7:13">
      <c r="G247" s="36">
        <v>49369</v>
      </c>
      <c r="H247" s="40">
        <v>5.9196842857142853</v>
      </c>
      <c r="I247" s="40">
        <v>5.9238385239253848</v>
      </c>
      <c r="J247" s="40">
        <v>5.9136946613382522</v>
      </c>
      <c r="K247" s="161">
        <f t="shared" si="9"/>
        <v>2035</v>
      </c>
      <c r="L247" s="4"/>
      <c r="M247" s="4"/>
    </row>
    <row r="248" spans="7:13">
      <c r="G248" s="36">
        <v>49400</v>
      </c>
      <c r="H248" s="40">
        <v>5.5937659183673469</v>
      </c>
      <c r="I248" s="40">
        <v>5.5352537712895371</v>
      </c>
      <c r="J248" s="40">
        <v>5.6658209037811256</v>
      </c>
      <c r="K248" s="161">
        <f t="shared" si="9"/>
        <v>2035</v>
      </c>
      <c r="L248" s="4"/>
      <c r="M248" s="4"/>
    </row>
    <row r="249" spans="7:13">
      <c r="G249" s="36">
        <v>49430</v>
      </c>
      <c r="H249" s="40">
        <v>5.5285618367346938</v>
      </c>
      <c r="I249" s="40">
        <v>5.4543535279805351</v>
      </c>
      <c r="J249" s="40">
        <v>5.6054663592581209</v>
      </c>
      <c r="K249" s="161">
        <f t="shared" si="9"/>
        <v>2035</v>
      </c>
      <c r="L249" s="4"/>
      <c r="M249" s="4"/>
    </row>
    <row r="250" spans="7:13">
      <c r="G250" s="36">
        <v>49461</v>
      </c>
      <c r="H250" s="40">
        <v>5.561214897959184</v>
      </c>
      <c r="I250" s="40">
        <v>5.502913949716139</v>
      </c>
      <c r="J250" s="40">
        <v>5.6331331283943031</v>
      </c>
      <c r="K250" s="161">
        <f t="shared" si="9"/>
        <v>2035</v>
      </c>
      <c r="L250" s="4"/>
      <c r="M250" s="4"/>
    </row>
    <row r="251" spans="7:13">
      <c r="G251" s="36">
        <v>49491</v>
      </c>
      <c r="H251" s="40">
        <v>5.8870312244897951</v>
      </c>
      <c r="I251" s="40">
        <v>5.7294954582319546</v>
      </c>
      <c r="J251" s="40">
        <v>5.9654417665744441</v>
      </c>
      <c r="K251" s="161">
        <f t="shared" si="9"/>
        <v>2035</v>
      </c>
      <c r="L251" s="4"/>
      <c r="M251" s="4"/>
    </row>
    <row r="252" spans="7:13">
      <c r="G252" s="36">
        <v>49522</v>
      </c>
      <c r="H252" s="40">
        <v>5.9685618367346933</v>
      </c>
      <c r="I252" s="40">
        <v>5.8266163017031625</v>
      </c>
      <c r="J252" s="40">
        <v>6.0473149093144798</v>
      </c>
      <c r="K252" s="161">
        <f t="shared" si="9"/>
        <v>2035</v>
      </c>
      <c r="L252" s="4"/>
      <c r="M252" s="4"/>
    </row>
    <row r="253" spans="7:13">
      <c r="G253" s="36">
        <v>49553</v>
      </c>
      <c r="H253" s="40">
        <v>5.7729495918367348</v>
      </c>
      <c r="I253" s="40">
        <v>5.6162553933495536</v>
      </c>
      <c r="J253" s="40">
        <v>5.8457573726816277</v>
      </c>
      <c r="K253" s="161">
        <f t="shared" si="9"/>
        <v>2035</v>
      </c>
      <c r="L253" s="4"/>
      <c r="M253" s="4"/>
    </row>
    <row r="254" spans="7:13">
      <c r="G254" s="36">
        <v>49583</v>
      </c>
      <c r="H254" s="40">
        <v>5.8056026530612241</v>
      </c>
      <c r="I254" s="40">
        <v>5.6648158150851575</v>
      </c>
      <c r="J254" s="40">
        <v>5.8836710933497294</v>
      </c>
      <c r="K254" s="161">
        <f t="shared" si="9"/>
        <v>2035</v>
      </c>
      <c r="L254" s="4"/>
      <c r="M254" s="4"/>
    </row>
    <row r="255" spans="7:13">
      <c r="G255" s="36">
        <v>49614</v>
      </c>
      <c r="H255" s="40">
        <v>6.0011128571428571</v>
      </c>
      <c r="I255" s="40">
        <v>5.988518167072181</v>
      </c>
      <c r="J255" s="40">
        <v>5.9800949072650891</v>
      </c>
      <c r="K255" s="161">
        <f t="shared" si="9"/>
        <v>2035</v>
      </c>
      <c r="L255" s="4"/>
      <c r="M255" s="4"/>
    </row>
    <row r="256" spans="7:13">
      <c r="G256" s="36">
        <v>49644</v>
      </c>
      <c r="H256" s="40">
        <v>6.2943781632653062</v>
      </c>
      <c r="I256" s="40">
        <v>6.3285424979724247</v>
      </c>
      <c r="J256" s="40">
        <v>6.2797157700584076</v>
      </c>
      <c r="K256" s="161">
        <f t="shared" si="9"/>
        <v>2035</v>
      </c>
      <c r="L256" s="4"/>
      <c r="M256" s="4"/>
    </row>
    <row r="257" spans="7:13">
      <c r="G257" s="36">
        <v>49675</v>
      </c>
      <c r="H257" s="40">
        <v>6.3498883673469386</v>
      </c>
      <c r="I257" s="40">
        <v>6.3843008110300081</v>
      </c>
      <c r="J257" s="40">
        <v>6.332897448509069</v>
      </c>
      <c r="K257" s="161">
        <f t="shared" si="9"/>
        <v>2036</v>
      </c>
      <c r="L257" s="4"/>
      <c r="M257" s="4"/>
    </row>
    <row r="258" spans="7:13">
      <c r="G258" s="36">
        <v>49706</v>
      </c>
      <c r="H258" s="40">
        <v>6.3831536734693879</v>
      </c>
      <c r="I258" s="40">
        <v>6.3843008110300081</v>
      </c>
      <c r="J258" s="40">
        <v>6.3842346756839845</v>
      </c>
      <c r="K258" s="161">
        <f t="shared" si="9"/>
        <v>2036</v>
      </c>
      <c r="L258" s="4"/>
      <c r="M258" s="4"/>
    </row>
    <row r="259" spans="7:13">
      <c r="G259" s="36">
        <v>49735</v>
      </c>
      <c r="H259" s="40">
        <v>6.1499904081632657</v>
      </c>
      <c r="I259" s="40">
        <v>6.1361256285482559</v>
      </c>
      <c r="J259" s="40">
        <v>6.1449683574136698</v>
      </c>
      <c r="K259" s="161">
        <f t="shared" si="9"/>
        <v>2036</v>
      </c>
      <c r="L259" s="4"/>
      <c r="M259" s="4"/>
    </row>
    <row r="260" spans="7:13">
      <c r="G260" s="36">
        <v>49766</v>
      </c>
      <c r="H260" s="40">
        <v>5.916929183673469</v>
      </c>
      <c r="I260" s="40">
        <v>5.8549009732360089</v>
      </c>
      <c r="J260" s="40">
        <v>5.9903418587970085</v>
      </c>
      <c r="K260" s="161">
        <f t="shared" si="9"/>
        <v>2036</v>
      </c>
      <c r="L260" s="4"/>
      <c r="M260" s="4"/>
    </row>
    <row r="261" spans="7:13">
      <c r="G261" s="36">
        <v>49796</v>
      </c>
      <c r="H261" s="40">
        <v>5.8669291836734692</v>
      </c>
      <c r="I261" s="40">
        <v>5.8052253852392539</v>
      </c>
      <c r="J261" s="40">
        <v>5.9452552720565643</v>
      </c>
      <c r="K261" s="161">
        <f t="shared" si="9"/>
        <v>2036</v>
      </c>
      <c r="L261" s="4"/>
      <c r="M261" s="4"/>
    </row>
    <row r="262" spans="7:13">
      <c r="G262" s="36">
        <v>49827</v>
      </c>
      <c r="H262" s="40">
        <v>5.9501944897959183</v>
      </c>
      <c r="I262" s="40">
        <v>5.8879504460665038</v>
      </c>
      <c r="J262" s="40">
        <v>6.0237469207910657</v>
      </c>
      <c r="K262" s="161">
        <f t="shared" si="9"/>
        <v>2036</v>
      </c>
      <c r="L262" s="4"/>
      <c r="M262" s="4"/>
    </row>
    <row r="263" spans="7:13">
      <c r="G263" s="36">
        <v>49857</v>
      </c>
      <c r="H263" s="40">
        <v>6.316521020408163</v>
      </c>
      <c r="I263" s="40">
        <v>6.1526503649635034</v>
      </c>
      <c r="J263" s="40">
        <v>6.3967359565529263</v>
      </c>
      <c r="K263" s="161">
        <f t="shared" si="9"/>
        <v>2036</v>
      </c>
      <c r="L263" s="4"/>
      <c r="M263" s="4"/>
    </row>
    <row r="264" spans="7:13">
      <c r="G264" s="36">
        <v>49888</v>
      </c>
      <c r="H264" s="40">
        <v>6.3997863265306121</v>
      </c>
      <c r="I264" s="40">
        <v>6.2353754257907541</v>
      </c>
      <c r="J264" s="40">
        <v>6.4803510810533869</v>
      </c>
      <c r="K264" s="161">
        <f t="shared" si="9"/>
        <v>2036</v>
      </c>
      <c r="L264" s="4"/>
      <c r="M264" s="4"/>
    </row>
    <row r="265" spans="7:13">
      <c r="G265" s="36">
        <v>49919</v>
      </c>
      <c r="H265" s="40">
        <v>6.1833577551020404</v>
      </c>
      <c r="I265" s="40">
        <v>6.0203510948905112</v>
      </c>
      <c r="J265" s="40">
        <v>6.2578897632954202</v>
      </c>
      <c r="K265" s="161">
        <f t="shared" si="9"/>
        <v>2036</v>
      </c>
      <c r="L265" s="4"/>
      <c r="M265" s="4"/>
    </row>
    <row r="266" spans="7:13">
      <c r="G266" s="36">
        <v>49949</v>
      </c>
      <c r="H266" s="40">
        <v>6.2166230612244897</v>
      </c>
      <c r="I266" s="40">
        <v>6.0534005677210052</v>
      </c>
      <c r="J266" s="40">
        <v>6.2964183010554367</v>
      </c>
      <c r="K266" s="161">
        <f t="shared" si="9"/>
        <v>2036</v>
      </c>
      <c r="L266" s="4"/>
      <c r="M266" s="4"/>
    </row>
    <row r="267" spans="7:13">
      <c r="G267" s="36">
        <v>49980</v>
      </c>
      <c r="H267" s="40">
        <v>6.4664189795918361</v>
      </c>
      <c r="I267" s="40">
        <v>6.4835506082725054</v>
      </c>
      <c r="J267" s="40">
        <v>6.4473558971206071</v>
      </c>
      <c r="K267" s="161">
        <f t="shared" si="9"/>
        <v>2036</v>
      </c>
      <c r="L267" s="4"/>
      <c r="M267" s="4"/>
    </row>
    <row r="268" spans="7:13">
      <c r="G268" s="36">
        <v>50010</v>
      </c>
      <c r="H268" s="40">
        <v>6.8494802040816323</v>
      </c>
      <c r="I268" s="40">
        <v>6.8309755879967557</v>
      </c>
      <c r="J268" s="40">
        <v>6.8371499333948149</v>
      </c>
      <c r="K268" s="161">
        <f t="shared" si="9"/>
        <v>2036</v>
      </c>
      <c r="L268" s="4"/>
      <c r="M268" s="4"/>
    </row>
    <row r="269" spans="7:13">
      <c r="G269" s="36">
        <v>50041</v>
      </c>
      <c r="H269" s="40">
        <v>6.8812148979591834</v>
      </c>
      <c r="I269" s="40">
        <v>6.8622002433090028</v>
      </c>
      <c r="J269" s="40">
        <v>6.8664562147761048</v>
      </c>
      <c r="K269" s="161">
        <f t="shared" si="9"/>
        <v>2037</v>
      </c>
      <c r="L269" s="4"/>
      <c r="M269" s="4"/>
    </row>
    <row r="270" spans="7:13">
      <c r="G270" s="36">
        <v>50072</v>
      </c>
      <c r="H270" s="40">
        <v>6.8982557142857148</v>
      </c>
      <c r="I270" s="40">
        <v>6.8960607461476071</v>
      </c>
      <c r="J270" s="40">
        <v>6.9015007890152678</v>
      </c>
      <c r="K270" s="161">
        <f t="shared" si="9"/>
        <v>2037</v>
      </c>
      <c r="L270" s="4"/>
      <c r="M270" s="4"/>
    </row>
    <row r="271" spans="7:13">
      <c r="G271" s="36">
        <v>50100</v>
      </c>
      <c r="H271" s="40">
        <v>6.523867959183673</v>
      </c>
      <c r="I271" s="40">
        <v>6.5241021086780204</v>
      </c>
      <c r="J271" s="40">
        <v>6.5204166615431909</v>
      </c>
      <c r="K271" s="161">
        <f t="shared" si="9"/>
        <v>2037</v>
      </c>
      <c r="L271" s="4"/>
      <c r="M271" s="4"/>
    </row>
    <row r="272" spans="7:13">
      <c r="G272" s="36">
        <v>50131</v>
      </c>
      <c r="H272" s="40">
        <v>6.0983577551020405</v>
      </c>
      <c r="I272" s="40">
        <v>6.0168028386050274</v>
      </c>
      <c r="J272" s="40">
        <v>6.1725326570345329</v>
      </c>
      <c r="K272" s="161">
        <f t="shared" si="9"/>
        <v>2037</v>
      </c>
      <c r="L272" s="4"/>
      <c r="M272" s="4"/>
    </row>
    <row r="273" spans="7:13">
      <c r="G273" s="36">
        <v>50161</v>
      </c>
      <c r="H273" s="40">
        <v>6.0132557142857141</v>
      </c>
      <c r="I273" s="40">
        <v>5.9322529602595298</v>
      </c>
      <c r="J273" s="40">
        <v>6.0921965570242858</v>
      </c>
      <c r="K273" s="161">
        <f t="shared" si="9"/>
        <v>2037</v>
      </c>
      <c r="L273" s="4"/>
      <c r="M273" s="4"/>
    </row>
    <row r="274" spans="7:13">
      <c r="G274" s="36">
        <v>50192</v>
      </c>
      <c r="H274" s="40">
        <v>6.0643781632653058</v>
      </c>
      <c r="I274" s="40">
        <v>5.9491832116788315</v>
      </c>
      <c r="J274" s="40">
        <v>6.1384103084332411</v>
      </c>
      <c r="K274" s="161">
        <f t="shared" si="9"/>
        <v>2037</v>
      </c>
      <c r="L274" s="4"/>
      <c r="M274" s="4"/>
    </row>
    <row r="275" spans="7:13">
      <c r="G275" s="36">
        <v>50222</v>
      </c>
      <c r="H275" s="40">
        <v>6.4046842857142865</v>
      </c>
      <c r="I275" s="40">
        <v>6.2365919708029187</v>
      </c>
      <c r="J275" s="40">
        <v>6.4852696177887079</v>
      </c>
      <c r="K275" s="161">
        <f t="shared" si="9"/>
        <v>2037</v>
      </c>
      <c r="L275" s="4"/>
      <c r="M275" s="4"/>
    </row>
    <row r="276" spans="7:13">
      <c r="G276" s="36">
        <v>50253</v>
      </c>
      <c r="H276" s="40">
        <v>6.4897863265306119</v>
      </c>
      <c r="I276" s="40">
        <v>6.3211418491484181</v>
      </c>
      <c r="J276" s="40">
        <v>6.5707291935649144</v>
      </c>
      <c r="K276" s="161">
        <f t="shared" si="9"/>
        <v>2037</v>
      </c>
      <c r="L276" s="4"/>
      <c r="M276" s="4"/>
    </row>
    <row r="277" spans="7:13">
      <c r="G277" s="36">
        <v>50284</v>
      </c>
      <c r="H277" s="40">
        <v>6.1834597959183677</v>
      </c>
      <c r="I277" s="40">
        <v>6.0168028386050274</v>
      </c>
      <c r="J277" s="40">
        <v>6.2579922328107385</v>
      </c>
      <c r="K277" s="161">
        <f t="shared" si="9"/>
        <v>2037</v>
      </c>
      <c r="L277" s="4"/>
      <c r="M277" s="4"/>
    </row>
    <row r="278" spans="7:13">
      <c r="G278" s="36">
        <v>50314</v>
      </c>
      <c r="H278" s="40">
        <v>6.2515210204081635</v>
      </c>
      <c r="I278" s="40">
        <v>6.0844224655312242</v>
      </c>
      <c r="J278" s="40">
        <v>6.3314628752946005</v>
      </c>
      <c r="K278" s="161">
        <f t="shared" si="9"/>
        <v>2037</v>
      </c>
      <c r="L278" s="4"/>
      <c r="M278" s="4"/>
    </row>
    <row r="279" spans="7:13">
      <c r="G279" s="36">
        <v>50345</v>
      </c>
      <c r="H279" s="40">
        <v>6.4558067346938772</v>
      </c>
      <c r="I279" s="40">
        <v>6.4395522303325219</v>
      </c>
      <c r="J279" s="40">
        <v>6.4366990675274112</v>
      </c>
      <c r="K279" s="161">
        <f t="shared" si="9"/>
        <v>2037</v>
      </c>
      <c r="L279" s="4"/>
      <c r="M279" s="4"/>
    </row>
    <row r="280" spans="7:13">
      <c r="G280" s="36">
        <v>50375</v>
      </c>
      <c r="H280" s="40">
        <v>6.8812148979591834</v>
      </c>
      <c r="I280" s="40">
        <v>6.9129909975669097</v>
      </c>
      <c r="J280" s="40">
        <v>6.8690179526590844</v>
      </c>
      <c r="K280" s="161">
        <f t="shared" si="9"/>
        <v>2037</v>
      </c>
      <c r="L280" s="4"/>
      <c r="M280" s="4"/>
    </row>
    <row r="281" spans="7:13">
      <c r="G281" s="36">
        <v>50406</v>
      </c>
      <c r="H281" s="40">
        <v>6.9459087755102038</v>
      </c>
      <c r="I281" s="40">
        <v>6.9434046228710464</v>
      </c>
      <c r="J281" s="40">
        <v>6.9314218874884723</v>
      </c>
      <c r="K281" s="161">
        <f t="shared" ref="K281:K304" si="10">YEAR(G281)</f>
        <v>2038</v>
      </c>
      <c r="L281" s="4"/>
      <c r="M281" s="4"/>
    </row>
    <row r="282" spans="7:13">
      <c r="G282" s="36">
        <v>50437</v>
      </c>
      <c r="H282" s="40">
        <v>6.9632557142857143</v>
      </c>
      <c r="I282" s="40">
        <v>6.9606390105433897</v>
      </c>
      <c r="J282" s="40">
        <v>6.9667738702735935</v>
      </c>
      <c r="K282" s="161">
        <f t="shared" si="10"/>
        <v>2038</v>
      </c>
      <c r="L282" s="4"/>
      <c r="M282" s="4"/>
    </row>
    <row r="283" spans="7:13">
      <c r="G283" s="36">
        <v>50465</v>
      </c>
      <c r="H283" s="40">
        <v>6.6501944897959184</v>
      </c>
      <c r="I283" s="40">
        <v>6.6323746147607459</v>
      </c>
      <c r="J283" s="40">
        <v>6.6472739215083516</v>
      </c>
      <c r="K283" s="161">
        <f t="shared" si="10"/>
        <v>2038</v>
      </c>
      <c r="L283" s="4"/>
      <c r="M283" s="4"/>
    </row>
    <row r="284" spans="7:13">
      <c r="G284" s="36">
        <v>50496</v>
      </c>
      <c r="H284" s="40">
        <v>6.3371332653061225</v>
      </c>
      <c r="I284" s="40">
        <v>6.2694386861313864</v>
      </c>
      <c r="J284" s="40">
        <v>6.4123113228814432</v>
      </c>
      <c r="K284" s="161">
        <f t="shared" si="10"/>
        <v>2038</v>
      </c>
      <c r="L284" s="4"/>
      <c r="M284" s="4"/>
    </row>
    <row r="285" spans="7:13">
      <c r="G285" s="36">
        <v>50526</v>
      </c>
      <c r="H285" s="40">
        <v>6.2675414285714286</v>
      </c>
      <c r="I285" s="40">
        <v>6.2003997566909979</v>
      </c>
      <c r="J285" s="40">
        <v>6.3475505891997139</v>
      </c>
      <c r="K285" s="161">
        <f t="shared" si="10"/>
        <v>2038</v>
      </c>
      <c r="L285" s="4"/>
      <c r="M285" s="4"/>
    </row>
    <row r="286" spans="7:13">
      <c r="G286" s="36">
        <v>50557</v>
      </c>
      <c r="H286" s="40">
        <v>6.319786326530612</v>
      </c>
      <c r="I286" s="40">
        <v>6.2176341443633412</v>
      </c>
      <c r="J286" s="40">
        <v>6.3948915052771804</v>
      </c>
      <c r="K286" s="161">
        <f t="shared" si="10"/>
        <v>2038</v>
      </c>
      <c r="L286" s="4"/>
      <c r="M286" s="4"/>
    </row>
    <row r="287" spans="7:13">
      <c r="G287" s="36">
        <v>50587</v>
      </c>
      <c r="H287" s="40">
        <v>6.7545822448979589</v>
      </c>
      <c r="I287" s="40">
        <v>6.5978044606650439</v>
      </c>
      <c r="J287" s="40">
        <v>6.8366375858182193</v>
      </c>
      <c r="K287" s="161">
        <f t="shared" si="10"/>
        <v>2038</v>
      </c>
      <c r="L287" s="4"/>
      <c r="M287" s="4"/>
    </row>
    <row r="288" spans="7:13">
      <c r="G288" s="36">
        <v>50618</v>
      </c>
      <c r="H288" s="40">
        <v>6.8589700000000002</v>
      </c>
      <c r="I288" s="40">
        <v>6.6841791565287911</v>
      </c>
      <c r="J288" s="40">
        <v>6.9414638999897535</v>
      </c>
      <c r="K288" s="161">
        <f t="shared" si="10"/>
        <v>2038</v>
      </c>
      <c r="L288" s="4"/>
      <c r="M288" s="4"/>
    </row>
    <row r="289" spans="7:13">
      <c r="G289" s="36">
        <v>50649</v>
      </c>
      <c r="H289" s="40">
        <v>6.563255714285714</v>
      </c>
      <c r="I289" s="40">
        <v>6.3904849148418492</v>
      </c>
      <c r="J289" s="40">
        <v>6.6393837688287736</v>
      </c>
      <c r="K289" s="161">
        <f t="shared" si="10"/>
        <v>2038</v>
      </c>
      <c r="L289" s="4"/>
      <c r="M289" s="4"/>
    </row>
    <row r="290" spans="7:13">
      <c r="G290" s="36">
        <v>50679</v>
      </c>
      <c r="H290" s="40">
        <v>6.615398571428571</v>
      </c>
      <c r="I290" s="40">
        <v>6.4422894566098945</v>
      </c>
      <c r="J290" s="40">
        <v>6.6968691669228404</v>
      </c>
      <c r="K290" s="161">
        <f t="shared" si="10"/>
        <v>2038</v>
      </c>
      <c r="L290" s="4"/>
      <c r="M290" s="4"/>
    </row>
    <row r="291" spans="7:13">
      <c r="G291" s="36">
        <v>50710</v>
      </c>
      <c r="H291" s="40">
        <v>6.8937659183673468</v>
      </c>
      <c r="I291" s="40">
        <v>6.8396941605839405</v>
      </c>
      <c r="J291" s="40">
        <v>6.8764982272773851</v>
      </c>
      <c r="K291" s="161">
        <f t="shared" si="10"/>
        <v>2038</v>
      </c>
      <c r="L291" s="4"/>
      <c r="M291" s="4"/>
    </row>
    <row r="292" spans="7:13">
      <c r="G292" s="36">
        <v>50740</v>
      </c>
      <c r="H292" s="40">
        <v>7.3285618367346936</v>
      </c>
      <c r="I292" s="40">
        <v>7.306340551500405</v>
      </c>
      <c r="J292" s="40">
        <v>7.3182443078184241</v>
      </c>
      <c r="K292" s="161">
        <f t="shared" si="10"/>
        <v>2038</v>
      </c>
      <c r="L292" s="4"/>
      <c r="M292" s="4"/>
    </row>
    <row r="293" spans="7:13">
      <c r="G293" s="36">
        <v>50771</v>
      </c>
      <c r="H293" s="40">
        <v>7.3656026530612246</v>
      </c>
      <c r="I293" s="40">
        <v>7.3956552311435519</v>
      </c>
      <c r="J293" s="40">
        <v>7.3528790039963114</v>
      </c>
      <c r="K293" s="161">
        <f t="shared" si="10"/>
        <v>2039</v>
      </c>
      <c r="L293" s="4"/>
      <c r="M293" s="4"/>
    </row>
    <row r="294" spans="7:13">
      <c r="G294" s="36">
        <v>50802</v>
      </c>
      <c r="H294" s="40">
        <v>7.3833577551020406</v>
      </c>
      <c r="I294" s="40">
        <v>7.3603754257907541</v>
      </c>
      <c r="J294" s="40">
        <v>7.38864086484271</v>
      </c>
      <c r="K294" s="161">
        <f t="shared" si="10"/>
        <v>2039</v>
      </c>
      <c r="L294" s="4"/>
      <c r="M294" s="4"/>
    </row>
    <row r="295" spans="7:13">
      <c r="G295" s="36">
        <v>50830</v>
      </c>
      <c r="H295" s="40">
        <v>6.9389699999999994</v>
      </c>
      <c r="I295" s="40">
        <v>6.8835911597729114</v>
      </c>
      <c r="J295" s="40">
        <v>6.9372626498616672</v>
      </c>
      <c r="K295" s="161">
        <f t="shared" si="10"/>
        <v>2039</v>
      </c>
      <c r="L295" s="4"/>
      <c r="M295" s="4"/>
    </row>
    <row r="296" spans="7:13">
      <c r="G296" s="36">
        <v>50861</v>
      </c>
      <c r="H296" s="40">
        <v>6.4768271428571431</v>
      </c>
      <c r="I296" s="40">
        <v>6.3890656123276557</v>
      </c>
      <c r="J296" s="40">
        <v>6.5525920893534177</v>
      </c>
      <c r="K296" s="161">
        <f t="shared" si="10"/>
        <v>2039</v>
      </c>
      <c r="L296" s="4"/>
      <c r="M296" s="4"/>
    </row>
    <row r="297" spans="7:13">
      <c r="G297" s="36">
        <v>50891</v>
      </c>
      <c r="H297" s="40">
        <v>6.423459795918367</v>
      </c>
      <c r="I297" s="40">
        <v>6.3536844282238434</v>
      </c>
      <c r="J297" s="40">
        <v>6.5041240086074401</v>
      </c>
      <c r="K297" s="161">
        <f t="shared" si="10"/>
        <v>2039</v>
      </c>
      <c r="L297" s="4"/>
      <c r="M297" s="4"/>
    </row>
    <row r="298" spans="7:13">
      <c r="G298" s="36">
        <v>50922</v>
      </c>
      <c r="H298" s="40">
        <v>6.4590720408163262</v>
      </c>
      <c r="I298" s="40">
        <v>6.3890656123276557</v>
      </c>
      <c r="J298" s="40">
        <v>6.5347623936878785</v>
      </c>
      <c r="K298" s="161">
        <f t="shared" si="10"/>
        <v>2039</v>
      </c>
      <c r="L298" s="4"/>
      <c r="M298" s="4"/>
    </row>
    <row r="299" spans="7:13">
      <c r="G299" s="36">
        <v>50952</v>
      </c>
      <c r="H299" s="40">
        <v>6.8323373469387754</v>
      </c>
      <c r="I299" s="40">
        <v>6.6539682887266824</v>
      </c>
      <c r="J299" s="40">
        <v>6.9147193564914442</v>
      </c>
      <c r="K299" s="161">
        <f t="shared" si="10"/>
        <v>2039</v>
      </c>
      <c r="L299" s="4"/>
      <c r="M299" s="4"/>
    </row>
    <row r="300" spans="7:13">
      <c r="G300" s="36">
        <v>50983</v>
      </c>
      <c r="H300" s="40">
        <v>6.9034597959183674</v>
      </c>
      <c r="I300" s="40">
        <v>6.7246292781832917</v>
      </c>
      <c r="J300" s="40">
        <v>6.9861406086689213</v>
      </c>
      <c r="K300" s="161">
        <f t="shared" si="10"/>
        <v>2039</v>
      </c>
      <c r="L300" s="4"/>
      <c r="M300" s="4"/>
    </row>
    <row r="301" spans="7:13">
      <c r="G301" s="36">
        <v>51014</v>
      </c>
      <c r="H301" s="40">
        <v>6.5834597959183672</v>
      </c>
      <c r="I301" s="40">
        <v>6.4067055150040551</v>
      </c>
      <c r="J301" s="40">
        <v>6.6596727328619743</v>
      </c>
      <c r="K301" s="161">
        <f t="shared" si="10"/>
        <v>2039</v>
      </c>
      <c r="L301" s="4"/>
      <c r="M301" s="4"/>
    </row>
    <row r="302" spans="7:13">
      <c r="G302" s="36">
        <v>51044</v>
      </c>
      <c r="H302" s="40">
        <v>6.6545822448979592</v>
      </c>
      <c r="I302" s="40">
        <v>6.4773665044606643</v>
      </c>
      <c r="J302" s="40">
        <v>6.7362174608054106</v>
      </c>
      <c r="K302" s="161">
        <f t="shared" si="10"/>
        <v>2039</v>
      </c>
      <c r="L302" s="4"/>
      <c r="M302" s="4"/>
    </row>
    <row r="303" spans="7:13">
      <c r="G303" s="36">
        <v>51075</v>
      </c>
      <c r="H303" s="40">
        <v>6.8678475510204082</v>
      </c>
      <c r="I303" s="40">
        <v>6.8305700729927006</v>
      </c>
      <c r="J303" s="40">
        <v>6.8504709703863105</v>
      </c>
      <c r="K303" s="161">
        <f t="shared" si="10"/>
        <v>2039</v>
      </c>
      <c r="L303" s="4"/>
      <c r="M303" s="4"/>
    </row>
    <row r="304" spans="7:13">
      <c r="G304" s="36">
        <v>51105</v>
      </c>
      <c r="H304" s="40">
        <v>7.4011128571428575</v>
      </c>
      <c r="I304" s="40">
        <v>7.3780153284671535</v>
      </c>
      <c r="J304" s="40">
        <v>7.3911001332103705</v>
      </c>
      <c r="K304" s="161">
        <f t="shared" si="10"/>
        <v>2039</v>
      </c>
      <c r="L304" s="4"/>
      <c r="M304" s="4"/>
    </row>
    <row r="305" spans="7:13">
      <c r="G305" s="36">
        <v>51136</v>
      </c>
      <c r="H305" s="40">
        <v>7.4551944897959181</v>
      </c>
      <c r="I305" s="40">
        <v>7.4854768045417677</v>
      </c>
      <c r="J305" s="40">
        <v>7.4428472384465634</v>
      </c>
      <c r="K305" s="161">
        <f t="shared" si="9"/>
        <v>2040</v>
      </c>
      <c r="L305" s="4"/>
      <c r="M305" s="4"/>
    </row>
    <row r="306" spans="7:13">
      <c r="G306" s="36">
        <v>51167</v>
      </c>
      <c r="H306" s="40">
        <v>7.4551944897959181</v>
      </c>
      <c r="I306" s="40">
        <v>7.4493859691808586</v>
      </c>
      <c r="J306" s="40">
        <v>7.4607794036274209</v>
      </c>
      <c r="K306" s="161">
        <f t="shared" si="9"/>
        <v>2040</v>
      </c>
      <c r="L306" s="4"/>
      <c r="M306" s="4"/>
    </row>
    <row r="307" spans="7:13">
      <c r="G307" s="36">
        <v>51196</v>
      </c>
      <c r="H307" s="40">
        <v>7.0919291836734697</v>
      </c>
      <c r="I307" s="40">
        <v>7.0704321978913214</v>
      </c>
      <c r="J307" s="40">
        <v>7.0908644533251364</v>
      </c>
      <c r="K307" s="161">
        <f t="shared" si="9"/>
        <v>2040</v>
      </c>
      <c r="L307" s="4"/>
      <c r="M307" s="4"/>
    </row>
    <row r="308" spans="7:13">
      <c r="G308" s="36">
        <v>51227</v>
      </c>
      <c r="H308" s="40">
        <v>6.7648883673469387</v>
      </c>
      <c r="I308" s="40">
        <v>6.6913770478507697</v>
      </c>
      <c r="J308" s="40">
        <v>6.8418635310994986</v>
      </c>
      <c r="K308" s="161">
        <f t="shared" si="9"/>
        <v>2040</v>
      </c>
      <c r="L308" s="4"/>
      <c r="M308" s="4"/>
    </row>
    <row r="309" spans="7:13">
      <c r="G309" s="36">
        <v>51257</v>
      </c>
      <c r="H309" s="40">
        <v>6.6740720408163261</v>
      </c>
      <c r="I309" s="40">
        <v>6.6191953771289533</v>
      </c>
      <c r="J309" s="40">
        <v>6.7557891382313766</v>
      </c>
      <c r="K309" s="161">
        <f t="shared" si="9"/>
        <v>2040</v>
      </c>
      <c r="L309" s="4"/>
      <c r="M309" s="4"/>
    </row>
    <row r="310" spans="7:13">
      <c r="G310" s="36">
        <v>51288</v>
      </c>
      <c r="H310" s="40">
        <v>6.7467251020408163</v>
      </c>
      <c r="I310" s="40">
        <v>6.637240794809407</v>
      </c>
      <c r="J310" s="40">
        <v>6.823623957372682</v>
      </c>
      <c r="K310" s="161">
        <f t="shared" si="9"/>
        <v>2040</v>
      </c>
      <c r="L310" s="4"/>
      <c r="M310" s="4"/>
    </row>
    <row r="311" spans="7:13">
      <c r="G311" s="36">
        <v>51318</v>
      </c>
      <c r="H311" s="40">
        <v>7.0919291836734697</v>
      </c>
      <c r="I311" s="40">
        <v>6.9079220600162206</v>
      </c>
      <c r="J311" s="40">
        <v>7.1754018034634708</v>
      </c>
      <c r="K311" s="161">
        <f t="shared" si="9"/>
        <v>2040</v>
      </c>
      <c r="L311" s="4"/>
      <c r="M311" s="4"/>
    </row>
    <row r="312" spans="7:13">
      <c r="G312" s="36">
        <v>51349</v>
      </c>
      <c r="H312" s="40">
        <v>7.110092448979592</v>
      </c>
      <c r="I312" s="40">
        <v>6.9440128953771278</v>
      </c>
      <c r="J312" s="40">
        <v>7.1936413771902856</v>
      </c>
      <c r="K312" s="161">
        <f t="shared" ref="K312:K328" si="11">YEAR(G312)</f>
        <v>2040</v>
      </c>
      <c r="L312" s="4"/>
      <c r="M312" s="4"/>
    </row>
    <row r="313" spans="7:13">
      <c r="G313" s="36">
        <v>51380</v>
      </c>
      <c r="H313" s="40">
        <v>6.7648883673469387</v>
      </c>
      <c r="I313" s="40">
        <v>6.5831045417680452</v>
      </c>
      <c r="J313" s="40">
        <v>6.8418635310994986</v>
      </c>
      <c r="K313" s="161">
        <f t="shared" si="11"/>
        <v>2040</v>
      </c>
      <c r="L313" s="4"/>
      <c r="M313" s="4"/>
    </row>
    <row r="314" spans="7:13">
      <c r="G314" s="36">
        <v>51410</v>
      </c>
      <c r="H314" s="40">
        <v>6.7648883673469387</v>
      </c>
      <c r="I314" s="40">
        <v>6.6011499594484997</v>
      </c>
      <c r="J314" s="40">
        <v>6.8469870068654579</v>
      </c>
      <c r="K314" s="161">
        <f t="shared" si="11"/>
        <v>2040</v>
      </c>
      <c r="L314" s="4"/>
      <c r="M314" s="4"/>
    </row>
    <row r="315" spans="7:13">
      <c r="G315" s="36">
        <v>51441</v>
      </c>
      <c r="H315" s="40">
        <v>7.0556026530612241</v>
      </c>
      <c r="I315" s="40">
        <v>6.9801037307380369</v>
      </c>
      <c r="J315" s="40">
        <v>7.0390148785736244</v>
      </c>
      <c r="K315" s="161">
        <f t="shared" si="11"/>
        <v>2040</v>
      </c>
      <c r="L315" s="4"/>
      <c r="M315" s="4"/>
    </row>
    <row r="316" spans="7:13">
      <c r="G316" s="36">
        <v>51471</v>
      </c>
      <c r="H316" s="40">
        <v>7.4188679591836735</v>
      </c>
      <c r="I316" s="40">
        <v>7.4493859691808586</v>
      </c>
      <c r="J316" s="40">
        <v>7.4089298288759107</v>
      </c>
      <c r="K316" s="161">
        <f t="shared" si="11"/>
        <v>2040</v>
      </c>
      <c r="L316" s="4"/>
      <c r="M316" s="4"/>
    </row>
    <row r="317" spans="7:13">
      <c r="G317" s="36">
        <v>51502</v>
      </c>
      <c r="H317" s="40">
        <v>7.6194802040816318</v>
      </c>
      <c r="I317" s="40">
        <v>7.6495076236820756</v>
      </c>
      <c r="J317" s="40">
        <v>7.6078231581104623</v>
      </c>
      <c r="K317" s="161">
        <f t="shared" si="11"/>
        <v>2041</v>
      </c>
      <c r="L317" s="4"/>
      <c r="M317" s="4"/>
    </row>
    <row r="318" spans="7:13">
      <c r="G318" s="36">
        <v>51533</v>
      </c>
      <c r="H318" s="40">
        <v>7.6194802040816318</v>
      </c>
      <c r="I318" s="40">
        <v>7.6126057583130571</v>
      </c>
      <c r="J318" s="40">
        <v>7.6257553232913216</v>
      </c>
      <c r="K318" s="161">
        <f t="shared" si="11"/>
        <v>2041</v>
      </c>
      <c r="L318" s="4"/>
      <c r="M318" s="4"/>
    </row>
    <row r="319" spans="7:13">
      <c r="G319" s="36">
        <v>51561</v>
      </c>
      <c r="H319" s="40">
        <v>7.2481536734693881</v>
      </c>
      <c r="I319" s="40">
        <v>7.2252375506893749</v>
      </c>
      <c r="J319" s="40">
        <v>7.2477452812788199</v>
      </c>
      <c r="K319" s="161">
        <f t="shared" si="11"/>
        <v>2041</v>
      </c>
      <c r="L319" s="4"/>
      <c r="M319" s="4"/>
    </row>
    <row r="320" spans="7:13">
      <c r="G320" s="36">
        <v>51592</v>
      </c>
      <c r="H320" s="40">
        <v>6.9139699999999999</v>
      </c>
      <c r="I320" s="40">
        <v>6.8378693430656936</v>
      </c>
      <c r="J320" s="40">
        <v>6.9915714929808388</v>
      </c>
      <c r="K320" s="161">
        <f t="shared" si="11"/>
        <v>2041</v>
      </c>
      <c r="L320" s="4"/>
      <c r="M320" s="4"/>
    </row>
    <row r="321" spans="7:13">
      <c r="G321" s="36">
        <v>51622</v>
      </c>
      <c r="H321" s="40">
        <v>6.8211128571428565</v>
      </c>
      <c r="I321" s="40">
        <v>6.7640656123276557</v>
      </c>
      <c r="J321" s="40">
        <v>6.9034477098063327</v>
      </c>
      <c r="K321" s="161">
        <f t="shared" si="11"/>
        <v>2041</v>
      </c>
      <c r="L321" s="4"/>
      <c r="M321" s="4"/>
    </row>
    <row r="322" spans="7:13">
      <c r="G322" s="36">
        <v>51653</v>
      </c>
      <c r="H322" s="40">
        <v>6.8953985714285713</v>
      </c>
      <c r="I322" s="40">
        <v>6.7825165450121645</v>
      </c>
      <c r="J322" s="40">
        <v>6.9729220411927457</v>
      </c>
      <c r="K322" s="161">
        <f t="shared" si="11"/>
        <v>2041</v>
      </c>
      <c r="L322" s="4"/>
      <c r="M322" s="4"/>
    </row>
    <row r="323" spans="7:13">
      <c r="G323" s="36">
        <v>51683</v>
      </c>
      <c r="H323" s="40">
        <v>7.2481536734693881</v>
      </c>
      <c r="I323" s="40">
        <v>7.0592805352798056</v>
      </c>
      <c r="J323" s="40">
        <v>7.3322826314171534</v>
      </c>
      <c r="K323" s="161">
        <f t="shared" si="11"/>
        <v>2041</v>
      </c>
      <c r="L323" s="4"/>
      <c r="M323" s="4"/>
    </row>
    <row r="324" spans="7:13">
      <c r="G324" s="36">
        <v>51714</v>
      </c>
      <c r="H324" s="40">
        <v>7.2667251020408159</v>
      </c>
      <c r="I324" s="40">
        <v>7.0961824006488232</v>
      </c>
      <c r="J324" s="40">
        <v>7.3509320832052465</v>
      </c>
      <c r="K324" s="161">
        <f t="shared" si="11"/>
        <v>2041</v>
      </c>
      <c r="L324" s="4"/>
      <c r="M324" s="4"/>
    </row>
    <row r="325" spans="7:13">
      <c r="G325" s="36">
        <v>51745</v>
      </c>
      <c r="H325" s="40">
        <v>6.9139699999999999</v>
      </c>
      <c r="I325" s="40">
        <v>6.7271637469586372</v>
      </c>
      <c r="J325" s="40">
        <v>6.9915714929808388</v>
      </c>
      <c r="K325" s="161">
        <f t="shared" si="11"/>
        <v>2041</v>
      </c>
      <c r="L325" s="4"/>
      <c r="M325" s="4"/>
    </row>
    <row r="326" spans="7:13">
      <c r="G326" s="36">
        <v>51775</v>
      </c>
      <c r="H326" s="40">
        <v>6.9139699999999999</v>
      </c>
      <c r="I326" s="40">
        <v>6.7456146796431469</v>
      </c>
      <c r="J326" s="40">
        <v>6.9966949687467981</v>
      </c>
      <c r="K326" s="161">
        <f t="shared" si="11"/>
        <v>2041</v>
      </c>
      <c r="L326" s="4"/>
      <c r="M326" s="4"/>
    </row>
    <row r="327" spans="7:13">
      <c r="G327" s="36">
        <v>51806</v>
      </c>
      <c r="H327" s="40">
        <v>7.2110108163265307</v>
      </c>
      <c r="I327" s="40">
        <v>7.1329828872668282</v>
      </c>
      <c r="J327" s="40">
        <v>7.195075950404755</v>
      </c>
      <c r="K327" s="161">
        <f t="shared" si="11"/>
        <v>2041</v>
      </c>
      <c r="L327" s="4"/>
      <c r="M327" s="4"/>
    </row>
    <row r="328" spans="7:13">
      <c r="G328" s="36">
        <v>51836</v>
      </c>
      <c r="H328" s="40">
        <v>7.5823373469387754</v>
      </c>
      <c r="I328" s="40">
        <v>7.6126057583130571</v>
      </c>
      <c r="J328" s="40">
        <v>7.5730859924172567</v>
      </c>
      <c r="K328" s="161">
        <f t="shared" si="11"/>
        <v>2041</v>
      </c>
      <c r="L328" s="4"/>
      <c r="M328" s="4"/>
    </row>
    <row r="329" spans="7:13">
      <c r="G329" s="36">
        <v>51867</v>
      </c>
      <c r="H329" s="40">
        <v>7.7873373469387754</v>
      </c>
      <c r="I329" s="40">
        <v>7.8170866991078665</v>
      </c>
      <c r="J329" s="40">
        <v>7.7763855108105346</v>
      </c>
      <c r="K329" s="161">
        <f t="shared" ref="K329:K340" si="12">YEAR(G329)</f>
        <v>2042</v>
      </c>
    </row>
    <row r="330" spans="7:13">
      <c r="G330" s="36">
        <v>51898</v>
      </c>
      <c r="H330" s="40">
        <v>7.7873373469387754</v>
      </c>
      <c r="I330" s="40">
        <v>7.7793738037307367</v>
      </c>
      <c r="J330" s="40">
        <v>7.7943176759913939</v>
      </c>
      <c r="K330" s="161">
        <f t="shared" si="12"/>
        <v>2042</v>
      </c>
    </row>
    <row r="331" spans="7:13">
      <c r="G331" s="36">
        <v>51926</v>
      </c>
      <c r="H331" s="40">
        <v>7.4078475510204083</v>
      </c>
      <c r="I331" s="40">
        <v>7.3834897810218978</v>
      </c>
      <c r="J331" s="40">
        <v>7.4081100727533569</v>
      </c>
      <c r="K331" s="161">
        <f t="shared" si="12"/>
        <v>2042</v>
      </c>
    </row>
    <row r="332" spans="7:13">
      <c r="G332" s="36">
        <v>51957</v>
      </c>
      <c r="H332" s="40">
        <v>7.0663169387755103</v>
      </c>
      <c r="I332" s="40">
        <v>6.9876057583130571</v>
      </c>
      <c r="J332" s="40">
        <v>7.1445584793523933</v>
      </c>
      <c r="K332" s="161">
        <f t="shared" si="12"/>
        <v>2042</v>
      </c>
    </row>
    <row r="333" spans="7:13">
      <c r="G333" s="36">
        <v>51987</v>
      </c>
      <c r="H333" s="40">
        <v>6.9714189795918369</v>
      </c>
      <c r="I333" s="40">
        <v>6.9121799675587994</v>
      </c>
      <c r="J333" s="40">
        <v>7.054385305871504</v>
      </c>
      <c r="K333" s="161">
        <f t="shared" si="12"/>
        <v>2042</v>
      </c>
    </row>
    <row r="334" spans="7:13">
      <c r="G334" s="36">
        <v>52018</v>
      </c>
      <c r="H334" s="40">
        <v>7.0473373469387752</v>
      </c>
      <c r="I334" s="40">
        <v>6.9310364152473642</v>
      </c>
      <c r="J334" s="40">
        <v>7.1254991495030238</v>
      </c>
      <c r="K334" s="161">
        <f t="shared" si="12"/>
        <v>2042</v>
      </c>
    </row>
    <row r="335" spans="7:13">
      <c r="G335" s="36">
        <v>52048</v>
      </c>
      <c r="H335" s="40">
        <v>7.4078475510204083</v>
      </c>
      <c r="I335" s="40">
        <v>7.2138831305758311</v>
      </c>
      <c r="J335" s="40">
        <v>7.4926474228916904</v>
      </c>
      <c r="K335" s="161">
        <f t="shared" si="12"/>
        <v>2042</v>
      </c>
    </row>
    <row r="336" spans="7:13">
      <c r="G336" s="36">
        <v>52079</v>
      </c>
      <c r="H336" s="40">
        <v>7.4268271428571424</v>
      </c>
      <c r="I336" s="40">
        <v>7.251596025952959</v>
      </c>
      <c r="J336" s="40">
        <v>7.5117067527410599</v>
      </c>
      <c r="K336" s="161">
        <f t="shared" si="12"/>
        <v>2042</v>
      </c>
    </row>
    <row r="337" spans="7:11">
      <c r="G337" s="36">
        <v>52110</v>
      </c>
      <c r="H337" s="40">
        <v>0</v>
      </c>
      <c r="I337" s="40">
        <v>0</v>
      </c>
      <c r="J337" s="40">
        <v>0</v>
      </c>
      <c r="K337" s="161">
        <f t="shared" si="12"/>
        <v>2042</v>
      </c>
    </row>
    <row r="338" spans="7:11">
      <c r="G338" s="36">
        <v>52140</v>
      </c>
      <c r="H338" s="40">
        <v>0</v>
      </c>
      <c r="I338" s="40">
        <v>0</v>
      </c>
      <c r="J338" s="40">
        <v>0</v>
      </c>
      <c r="K338" s="161">
        <f t="shared" si="12"/>
        <v>2042</v>
      </c>
    </row>
    <row r="339" spans="7:11">
      <c r="G339" s="36">
        <v>52171</v>
      </c>
      <c r="H339" s="40">
        <v>0</v>
      </c>
      <c r="I339" s="40">
        <v>0</v>
      </c>
      <c r="J339" s="40">
        <v>0</v>
      </c>
      <c r="K339" s="161">
        <f t="shared" si="12"/>
        <v>2042</v>
      </c>
    </row>
    <row r="340" spans="7:11">
      <c r="G340" s="36">
        <v>52201</v>
      </c>
      <c r="H340" s="40">
        <v>0</v>
      </c>
      <c r="I340" s="40">
        <v>0</v>
      </c>
      <c r="J340" s="40">
        <v>0</v>
      </c>
      <c r="K340" s="161">
        <f t="shared" si="12"/>
        <v>2042</v>
      </c>
    </row>
    <row r="341" spans="7:11">
      <c r="G341" s="36">
        <v>0</v>
      </c>
      <c r="H341" s="40" t="e">
        <v>#N/A</v>
      </c>
      <c r="I341" s="40" t="e">
        <v>#N/A</v>
      </c>
      <c r="J341" s="40" t="e">
        <v>#N/A</v>
      </c>
      <c r="K341" s="161">
        <f t="shared" ref="K341:K343" si="13">YEAR(G341)</f>
        <v>1900</v>
      </c>
    </row>
    <row r="342" spans="7:11">
      <c r="G342" s="36">
        <v>0</v>
      </c>
      <c r="H342" s="40" t="e">
        <v>#N/A</v>
      </c>
      <c r="I342" s="40" t="e">
        <v>#N/A</v>
      </c>
      <c r="J342" s="40" t="e">
        <v>#N/A</v>
      </c>
      <c r="K342" s="161">
        <f t="shared" si="13"/>
        <v>1900</v>
      </c>
    </row>
    <row r="343" spans="7:11">
      <c r="G343" s="36">
        <v>0</v>
      </c>
      <c r="H343" s="40" t="e">
        <v>#N/A</v>
      </c>
      <c r="I343" s="40" t="e">
        <v>#N/A</v>
      </c>
      <c r="J343" s="40" t="e">
        <v>#N/A</v>
      </c>
      <c r="K343" s="161">
        <f t="shared" si="13"/>
        <v>1900</v>
      </c>
    </row>
    <row r="344" spans="7:11">
      <c r="G344" s="36"/>
      <c r="H344" s="40"/>
      <c r="K344" s="161"/>
    </row>
    <row r="345" spans="7:11">
      <c r="G345" s="36"/>
      <c r="H345" s="40"/>
      <c r="K345" s="161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zoomScale="70" zoomScaleNormal="70" zoomScaleSheetLayoutView="85" workbookViewId="0">
      <pane xSplit="2" ySplit="12" topLeftCell="C204" activePane="bottomRight" state="frozen"/>
      <selection activeCell="C14" sqref="C14"/>
      <selection pane="topRight" activeCell="C14" sqref="C14"/>
      <selection pane="bottomLeft" activeCell="C14" sqref="C14"/>
      <selection pane="bottomRight" activeCell="J207" sqref="J207"/>
    </sheetView>
  </sheetViews>
  <sheetFormatPr defaultRowHeight="12.75" outlineLevelRow="1"/>
  <cols>
    <col min="1" max="1" width="18.5" style="73" customWidth="1"/>
    <col min="2" max="2" width="22.83203125" style="73" customWidth="1"/>
    <col min="3" max="3" width="18.1640625" style="73" customWidth="1"/>
    <col min="4" max="4" width="16.1640625" style="73" customWidth="1"/>
    <col min="5" max="5" width="18.5" style="73" customWidth="1"/>
    <col min="6" max="7" width="16.1640625" style="73" customWidth="1"/>
    <col min="8" max="8" width="3.83203125" style="73" customWidth="1"/>
    <col min="9" max="9" width="9.5" style="73" customWidth="1"/>
    <col min="10" max="11" width="10" style="73" customWidth="1"/>
    <col min="12" max="12" width="9.33203125" style="73" customWidth="1"/>
    <col min="13" max="13" width="21.1640625" style="73" customWidth="1"/>
    <col min="14" max="14" width="13.83203125" style="73" customWidth="1"/>
    <col min="15" max="15" width="16" style="73" customWidth="1"/>
    <col min="16" max="19" width="9.33203125" style="73"/>
    <col min="20" max="20" width="15.1640625" style="73" bestFit="1" customWidth="1"/>
    <col min="21" max="16384" width="9.33203125" style="73"/>
  </cols>
  <sheetData>
    <row r="1" spans="1:18" s="4" customFormat="1" ht="15.75" hidden="1">
      <c r="B1" s="1" t="s">
        <v>52</v>
      </c>
      <c r="C1" s="1"/>
      <c r="D1" s="12"/>
      <c r="E1" s="12"/>
      <c r="F1" s="12"/>
      <c r="G1" s="12"/>
      <c r="H1" s="37"/>
      <c r="I1" s="151"/>
      <c r="J1" s="151"/>
      <c r="K1" s="151"/>
    </row>
    <row r="2" spans="1:18" ht="5.25" customHeight="1"/>
    <row r="3" spans="1:18" ht="15.75">
      <c r="B3" s="1" t="str">
        <f>"Table "&amp;RIGHT('Table 4'!B3,1)+1</f>
        <v>Table 5</v>
      </c>
      <c r="C3" s="102"/>
      <c r="D3" s="102"/>
      <c r="E3" s="102"/>
      <c r="F3" s="102"/>
      <c r="G3" s="102"/>
      <c r="M3" s="73" t="s">
        <v>76</v>
      </c>
      <c r="O3" s="183"/>
    </row>
    <row r="4" spans="1:18">
      <c r="B4" s="102" t="str">
        <f ca="1">'Table 1'!B5</f>
        <v>Utah 2017.Q3 Sch 38 Solar - 80.0 MW and 31.1% CF</v>
      </c>
      <c r="C4" s="102"/>
      <c r="D4" s="102"/>
      <c r="E4" s="102"/>
      <c r="F4" s="102"/>
      <c r="G4" s="102"/>
      <c r="M4" s="75" t="s">
        <v>185</v>
      </c>
    </row>
    <row r="5" spans="1:18">
      <c r="B5" s="102" t="str">
        <f>TEXT($K$5,"MMMM YYYY")&amp;"  through  "&amp;TEXT($K$6,"MMMM YYYY")</f>
        <v>January 2018  through  December 2036</v>
      </c>
      <c r="C5" s="102"/>
      <c r="D5" s="102"/>
      <c r="E5" s="102"/>
      <c r="F5" s="102"/>
      <c r="G5" s="102"/>
      <c r="J5" s="73" t="s">
        <v>57</v>
      </c>
      <c r="K5" s="74">
        <f>MIN(K13:K24)</f>
        <v>43101</v>
      </c>
      <c r="M5" s="73" t="s">
        <v>58</v>
      </c>
      <c r="O5" s="74"/>
    </row>
    <row r="6" spans="1:18">
      <c r="B6" s="102" t="s">
        <v>59</v>
      </c>
      <c r="C6" s="102"/>
      <c r="D6" s="102"/>
      <c r="E6" s="102"/>
      <c r="F6" s="102"/>
      <c r="G6" s="102"/>
      <c r="J6" s="73" t="s">
        <v>60</v>
      </c>
      <c r="K6" s="74">
        <f>MAX(K13:K264)</f>
        <v>50010</v>
      </c>
      <c r="M6" s="75">
        <v>80</v>
      </c>
      <c r="N6" s="73" t="s">
        <v>41</v>
      </c>
    </row>
    <row r="7" spans="1:18">
      <c r="A7" s="73" t="s">
        <v>154</v>
      </c>
      <c r="B7" s="269"/>
      <c r="C7" s="76">
        <f>NPV($K$9,C37:C216)</f>
        <v>44815950.582434885</v>
      </c>
      <c r="D7" s="76">
        <f t="shared" ref="D7:F7" si="0">NPV($K$9,D37:D216)</f>
        <v>0</v>
      </c>
      <c r="E7" s="76">
        <f t="shared" si="0"/>
        <v>44815950.582434885</v>
      </c>
      <c r="F7" s="179">
        <f t="shared" si="0"/>
        <v>2019917.9820249144</v>
      </c>
      <c r="G7" s="140">
        <f>($E7)/$F7</f>
        <v>22.187015008157946</v>
      </c>
      <c r="M7" s="171">
        <f ca="1">SUM(OFFSET(F12,MATCH(K5,B13:B24,0),0,12))/(EDATE(K5,12)-K5)/24/Study_MW</f>
        <v>0.31060559218036532</v>
      </c>
      <c r="N7" s="131" t="s">
        <v>46</v>
      </c>
    </row>
    <row r="8" spans="1:18">
      <c r="B8" s="164" t="str">
        <f>"Nominal NPV at "&amp;TEXT(J9,"0.00%")&amp;" Discount Rate"</f>
        <v>Nominal NPV at 6.57% Discount Rate</v>
      </c>
      <c r="J8" s="73" t="str">
        <f>'Table 1'!I41</f>
        <v>Discount Rate - 2017 IRP</v>
      </c>
    </row>
    <row r="9" spans="1:18">
      <c r="A9" s="73" t="s">
        <v>155</v>
      </c>
      <c r="C9" s="76">
        <f>NPV($K$9,C13:C192)</f>
        <v>42586331.357839964</v>
      </c>
      <c r="D9" s="76">
        <f>NPV($K$9,D13:D192)</f>
        <v>0</v>
      </c>
      <c r="E9" s="76">
        <f t="shared" ref="E9:F9" si="1">NPV($K$9,E13:E192)</f>
        <v>42586331.357839964</v>
      </c>
      <c r="F9" s="179">
        <f t="shared" si="1"/>
        <v>2040121.0074118024</v>
      </c>
      <c r="G9" s="140">
        <f>($E9)/$F9</f>
        <v>20.874414411264297</v>
      </c>
      <c r="J9" s="168">
        <f>'Table 1'!I42</f>
        <v>6.5699999999999995E-2</v>
      </c>
      <c r="K9" s="142">
        <f>((1+J9)^(1/12))-1</f>
        <v>5.3167389786501484E-3</v>
      </c>
    </row>
    <row r="10" spans="1:18">
      <c r="C10" s="76"/>
      <c r="D10" s="76"/>
      <c r="E10" s="76"/>
      <c r="F10" s="179"/>
      <c r="G10" s="140"/>
      <c r="N10" s="77"/>
    </row>
    <row r="11" spans="1:18">
      <c r="B11" s="141"/>
      <c r="C11" s="79" t="s">
        <v>22</v>
      </c>
      <c r="D11" s="80" t="s">
        <v>61</v>
      </c>
      <c r="E11" s="80" t="s">
        <v>62</v>
      </c>
      <c r="F11" s="80" t="s">
        <v>62</v>
      </c>
      <c r="G11" s="81" t="s">
        <v>70</v>
      </c>
    </row>
    <row r="12" spans="1:18">
      <c r="B12" s="85" t="s">
        <v>63</v>
      </c>
      <c r="C12" s="79" t="s">
        <v>64</v>
      </c>
      <c r="D12" s="83" t="str">
        <f>TEXT((SUM(F25:F72)/(8760*3+8784))/Study_MW,"0.0%")&amp;" CF"</f>
        <v>30.7% CF</v>
      </c>
      <c r="E12" s="84" t="s">
        <v>69</v>
      </c>
      <c r="F12" s="85" t="s">
        <v>65</v>
      </c>
      <c r="G12" s="83" t="str">
        <f>D12</f>
        <v>30.7% CF</v>
      </c>
      <c r="I12" s="80" t="s">
        <v>66</v>
      </c>
      <c r="J12" s="86" t="s">
        <v>0</v>
      </c>
      <c r="K12" s="86" t="s">
        <v>67</v>
      </c>
      <c r="L12" s="86" t="s">
        <v>66</v>
      </c>
      <c r="M12" s="86"/>
      <c r="N12" s="81"/>
      <c r="P12" s="73" t="s">
        <v>62</v>
      </c>
      <c r="Q12" s="73" t="s">
        <v>130</v>
      </c>
      <c r="R12" s="73" t="s">
        <v>131</v>
      </c>
    </row>
    <row r="13" spans="1:18">
      <c r="B13" s="92">
        <v>43101</v>
      </c>
      <c r="C13" s="87">
        <v>239548.55522930622</v>
      </c>
      <c r="D13" s="88">
        <f>IF(ISNUMBER($F13),VLOOKUP($J13,'Table 1'!$B$13:$C$33,2,FALSE)/12*1000*Study_MW,"")</f>
        <v>0</v>
      </c>
      <c r="E13" s="89">
        <f>IF(ISNUMBER(C13+D13),C13+D13,"")</f>
        <v>239548.55522930622</v>
      </c>
      <c r="F13" s="87">
        <v>10533.986000000001</v>
      </c>
      <c r="G13" s="90">
        <f>IF(ISNUMBER($F13),E13/$F13,"")</f>
        <v>22.740542395756574</v>
      </c>
      <c r="I13" s="78">
        <v>1</v>
      </c>
      <c r="J13" s="91">
        <f>YEAR(B13)</f>
        <v>2018</v>
      </c>
      <c r="K13" s="92">
        <f t="shared" ref="K13:K24" si="2">IF(ISNUMBER(F13),B13,"")</f>
        <v>43101</v>
      </c>
      <c r="L13" s="73">
        <v>274</v>
      </c>
      <c r="M13" s="73" t="s">
        <v>68</v>
      </c>
    </row>
    <row r="14" spans="1:18">
      <c r="B14" s="96">
        <f t="shared" ref="B14:B77" si="3">EDATE(B13,1)</f>
        <v>43132</v>
      </c>
      <c r="C14" s="93">
        <v>263083.61813905835</v>
      </c>
      <c r="D14" s="89">
        <f>IF(ISNUMBER($F14),VLOOKUP($J14,'Table 1'!$B$13:$C$33,2,FALSE)/12*1000*Study_MW,"")</f>
        <v>0</v>
      </c>
      <c r="E14" s="89">
        <f t="shared" ref="E14:E23" si="4">IF(ISNUMBER(C14+D14),C14+D14,"")</f>
        <v>263083.61813905835</v>
      </c>
      <c r="F14" s="93">
        <v>11789.456</v>
      </c>
      <c r="G14" s="94">
        <f t="shared" ref="G14:G77" si="5">IF(ISNUMBER($F14),E14/$F14,"")</f>
        <v>22.315161797037824</v>
      </c>
      <c r="I14" s="95">
        <f>I13+1</f>
        <v>2</v>
      </c>
      <c r="J14" s="91">
        <f t="shared" ref="J14:J77" si="6">YEAR(B14)</f>
        <v>2018</v>
      </c>
      <c r="K14" s="96">
        <f t="shared" si="2"/>
        <v>43132</v>
      </c>
      <c r="L14" s="73">
        <v>362</v>
      </c>
      <c r="M14" s="138" t="s">
        <v>188</v>
      </c>
    </row>
    <row r="15" spans="1:18">
      <c r="B15" s="96">
        <f t="shared" si="3"/>
        <v>43160</v>
      </c>
      <c r="C15" s="93">
        <v>357231.92575338483</v>
      </c>
      <c r="D15" s="89">
        <f>IF(ISNUMBER($F15),VLOOKUP($J15,'Table 1'!$B$13:$C$33,2,FALSE)/12*1000*Study_MW,"")</f>
        <v>0</v>
      </c>
      <c r="E15" s="89">
        <f t="shared" si="4"/>
        <v>357231.92575338483</v>
      </c>
      <c r="F15" s="93">
        <v>18361.082999999999</v>
      </c>
      <c r="G15" s="94">
        <f t="shared" si="5"/>
        <v>19.455928920608052</v>
      </c>
      <c r="I15" s="95">
        <f t="shared" ref="I15:I24" si="7">I14+1</f>
        <v>3</v>
      </c>
      <c r="J15" s="91">
        <f t="shared" si="6"/>
        <v>2018</v>
      </c>
      <c r="K15" s="96">
        <f t="shared" si="2"/>
        <v>43160</v>
      </c>
    </row>
    <row r="16" spans="1:18">
      <c r="B16" s="96">
        <f t="shared" si="3"/>
        <v>43191</v>
      </c>
      <c r="C16" s="93">
        <v>371296.98149201274</v>
      </c>
      <c r="D16" s="89">
        <f>IF(ISNUMBER($F16),VLOOKUP($J16,'Table 1'!$B$13:$C$33,2,FALSE)/12*1000*Study_MW,"")</f>
        <v>0</v>
      </c>
      <c r="E16" s="89">
        <f t="shared" si="4"/>
        <v>371296.98149201274</v>
      </c>
      <c r="F16" s="93">
        <v>21207.119999999999</v>
      </c>
      <c r="G16" s="94">
        <f t="shared" si="5"/>
        <v>17.508128472513608</v>
      </c>
      <c r="I16" s="95">
        <f t="shared" si="7"/>
        <v>4</v>
      </c>
      <c r="J16" s="91">
        <f t="shared" si="6"/>
        <v>2018</v>
      </c>
      <c r="K16" s="96">
        <f t="shared" si="2"/>
        <v>43191</v>
      </c>
      <c r="L16" s="91">
        <f>YEAR(B13)</f>
        <v>2018</v>
      </c>
      <c r="M16" s="73">
        <f>SUMIF($J$13:$J$264,L16,$C$13:$C$264)</f>
        <v>4452589.382547766</v>
      </c>
      <c r="N16" s="73">
        <f>SUMIF($J$13:$J$264,L16,$D$13:$D$264)</f>
        <v>0</v>
      </c>
      <c r="O16" s="73">
        <f t="shared" ref="O16:O25" si="8">SUMIF($J$13:$J$264,L16,$F$13:$F$264)</f>
        <v>217672.399</v>
      </c>
      <c r="P16" s="182">
        <f t="shared" ref="P16:P25" si="9">(M16+N16)/O16</f>
        <v>20.455461523846051</v>
      </c>
      <c r="Q16" s="257">
        <f>M16/O16</f>
        <v>20.455461523846051</v>
      </c>
      <c r="R16" s="257">
        <f>IFERROR(N16/O16,0)</f>
        <v>0</v>
      </c>
    </row>
    <row r="17" spans="2:18">
      <c r="B17" s="96">
        <f t="shared" si="3"/>
        <v>43221</v>
      </c>
      <c r="C17" s="93">
        <v>393552.96193403006</v>
      </c>
      <c r="D17" s="89">
        <f>IF(ISNUMBER($F17),VLOOKUP($J17,'Table 1'!$B$13:$C$33,2,FALSE)/12*1000*Study_MW,"")</f>
        <v>0</v>
      </c>
      <c r="E17" s="89">
        <f t="shared" si="4"/>
        <v>393552.96193403006</v>
      </c>
      <c r="F17" s="93">
        <v>24548.807000000001</v>
      </c>
      <c r="G17" s="94">
        <f t="shared" si="5"/>
        <v>16.031449590769526</v>
      </c>
      <c r="I17" s="95">
        <f t="shared" si="7"/>
        <v>5</v>
      </c>
      <c r="J17" s="91">
        <f t="shared" si="6"/>
        <v>2018</v>
      </c>
      <c r="K17" s="96">
        <f t="shared" si="2"/>
        <v>43221</v>
      </c>
      <c r="L17" s="91">
        <f>L16+1</f>
        <v>2019</v>
      </c>
      <c r="M17" s="73">
        <f>SUMIF($J$13:$J$264,L17,$C$13:$C$264)</f>
        <v>3805217.0827311724</v>
      </c>
      <c r="N17" s="73">
        <f t="shared" ref="N17:N36" si="10">SUMIF($J$13:$J$264,L17,$D$13:$D$264)</f>
        <v>0</v>
      </c>
      <c r="O17" s="73">
        <f t="shared" si="8"/>
        <v>216584.21599999999</v>
      </c>
      <c r="P17" s="182">
        <f t="shared" si="9"/>
        <v>17.569226202204746</v>
      </c>
      <c r="Q17" s="257">
        <f t="shared" ref="Q17:Q33" si="11">M17/O17</f>
        <v>17.569226202204746</v>
      </c>
      <c r="R17" s="257">
        <f t="shared" ref="R17:R33" si="12">IFERROR(N17/O17,0)</f>
        <v>0</v>
      </c>
    </row>
    <row r="18" spans="2:18">
      <c r="B18" s="96">
        <f t="shared" si="3"/>
        <v>43252</v>
      </c>
      <c r="C18" s="93">
        <v>448300.09026554227</v>
      </c>
      <c r="D18" s="89">
        <f>IF(ISNUMBER($F18),VLOOKUP($J18,'Table 1'!$B$13:$C$33,2,FALSE)/12*1000*Study_MW,"")</f>
        <v>0</v>
      </c>
      <c r="E18" s="89">
        <f t="shared" si="4"/>
        <v>448300.09026554227</v>
      </c>
      <c r="F18" s="93">
        <v>26080.38</v>
      </c>
      <c r="G18" s="94">
        <f t="shared" si="5"/>
        <v>17.189170183315667</v>
      </c>
      <c r="I18" s="95">
        <f t="shared" si="7"/>
        <v>6</v>
      </c>
      <c r="J18" s="91">
        <f t="shared" si="6"/>
        <v>2018</v>
      </c>
      <c r="K18" s="96">
        <f t="shared" si="2"/>
        <v>43252</v>
      </c>
      <c r="L18" s="91">
        <f t="shared" ref="L18:L36" si="13">L17+1</f>
        <v>2020</v>
      </c>
      <c r="M18" s="73">
        <f t="shared" ref="M18:M36" si="14">SUMIF($J$13:$J$264,L18,$C$13:$C$264)</f>
        <v>2589518.1368771046</v>
      </c>
      <c r="N18" s="73">
        <f t="shared" si="10"/>
        <v>0</v>
      </c>
      <c r="O18" s="73">
        <f t="shared" si="8"/>
        <v>215918.05200000003</v>
      </c>
      <c r="P18" s="182">
        <f t="shared" si="9"/>
        <v>11.993059926629499</v>
      </c>
      <c r="Q18" s="257">
        <f t="shared" si="11"/>
        <v>11.993059926629499</v>
      </c>
      <c r="R18" s="257">
        <f t="shared" si="12"/>
        <v>0</v>
      </c>
    </row>
    <row r="19" spans="2:18">
      <c r="B19" s="96">
        <f t="shared" si="3"/>
        <v>43282</v>
      </c>
      <c r="C19" s="93">
        <v>704025.09238725901</v>
      </c>
      <c r="D19" s="89">
        <f>IF(ISNUMBER($F19),VLOOKUP($J19,'Table 1'!$B$13:$C$33,2,FALSE)/12*1000*Study_MW,"")</f>
        <v>0</v>
      </c>
      <c r="E19" s="89">
        <f t="shared" si="4"/>
        <v>704025.09238725901</v>
      </c>
      <c r="F19" s="93">
        <v>23606.065999999999</v>
      </c>
      <c r="G19" s="94">
        <f t="shared" si="5"/>
        <v>29.823905956513848</v>
      </c>
      <c r="I19" s="95">
        <f t="shared" si="7"/>
        <v>7</v>
      </c>
      <c r="J19" s="91">
        <f t="shared" si="6"/>
        <v>2018</v>
      </c>
      <c r="K19" s="96">
        <f t="shared" si="2"/>
        <v>43282</v>
      </c>
      <c r="L19" s="91">
        <f t="shared" si="13"/>
        <v>2021</v>
      </c>
      <c r="M19" s="73">
        <f t="shared" si="14"/>
        <v>3205921.5035471767</v>
      </c>
      <c r="N19" s="73">
        <f t="shared" si="10"/>
        <v>0</v>
      </c>
      <c r="O19" s="73">
        <f t="shared" si="8"/>
        <v>214423.94299999997</v>
      </c>
      <c r="P19" s="182">
        <f t="shared" si="9"/>
        <v>14.951322406878681</v>
      </c>
      <c r="Q19" s="257">
        <f t="shared" si="11"/>
        <v>14.951322406878681</v>
      </c>
      <c r="R19" s="257">
        <f t="shared" si="12"/>
        <v>0</v>
      </c>
    </row>
    <row r="20" spans="2:18">
      <c r="B20" s="96">
        <f t="shared" si="3"/>
        <v>43313</v>
      </c>
      <c r="C20" s="93">
        <v>571638.28914538026</v>
      </c>
      <c r="D20" s="89">
        <f>IF(ISNUMBER($F20),VLOOKUP($J20,'Table 1'!$B$13:$C$33,2,FALSE)/12*1000*Study_MW,"")</f>
        <v>0</v>
      </c>
      <c r="E20" s="89">
        <f t="shared" si="4"/>
        <v>571638.28914538026</v>
      </c>
      <c r="F20" s="93">
        <v>23644.444</v>
      </c>
      <c r="G20" s="94">
        <f t="shared" si="5"/>
        <v>24.176431856269502</v>
      </c>
      <c r="I20" s="95">
        <f t="shared" si="7"/>
        <v>8</v>
      </c>
      <c r="J20" s="91">
        <f t="shared" si="6"/>
        <v>2018</v>
      </c>
      <c r="K20" s="96">
        <f t="shared" si="2"/>
        <v>43313</v>
      </c>
      <c r="L20" s="91">
        <f t="shared" si="13"/>
        <v>2022</v>
      </c>
      <c r="M20" s="73">
        <f t="shared" si="14"/>
        <v>3623391.4929429293</v>
      </c>
      <c r="N20" s="73">
        <f t="shared" si="10"/>
        <v>0</v>
      </c>
      <c r="O20" s="73">
        <f t="shared" si="8"/>
        <v>213351.655</v>
      </c>
      <c r="P20" s="182">
        <f t="shared" si="9"/>
        <v>16.983189059128364</v>
      </c>
      <c r="Q20" s="257">
        <f t="shared" si="11"/>
        <v>16.983189059128364</v>
      </c>
      <c r="R20" s="257">
        <f t="shared" si="12"/>
        <v>0</v>
      </c>
    </row>
    <row r="21" spans="2:18">
      <c r="B21" s="96">
        <f t="shared" si="3"/>
        <v>43344</v>
      </c>
      <c r="C21" s="93">
        <v>391312.93417836726</v>
      </c>
      <c r="D21" s="89">
        <f>IF(ISNUMBER($F21),VLOOKUP($J21,'Table 1'!$B$13:$C$33,2,FALSE)/12*1000*Study_MW,"")</f>
        <v>0</v>
      </c>
      <c r="E21" s="89">
        <f t="shared" si="4"/>
        <v>391312.93417836726</v>
      </c>
      <c r="F21" s="93">
        <v>20842.38</v>
      </c>
      <c r="G21" s="94">
        <f t="shared" si="5"/>
        <v>18.77486804186313</v>
      </c>
      <c r="I21" s="95">
        <f t="shared" si="7"/>
        <v>9</v>
      </c>
      <c r="J21" s="91">
        <f t="shared" si="6"/>
        <v>2018</v>
      </c>
      <c r="K21" s="96">
        <f t="shared" si="2"/>
        <v>43344</v>
      </c>
      <c r="L21" s="91">
        <f t="shared" si="13"/>
        <v>2023</v>
      </c>
      <c r="M21" s="73">
        <f t="shared" si="14"/>
        <v>3913266.0047021806</v>
      </c>
      <c r="N21" s="73">
        <f t="shared" si="10"/>
        <v>0</v>
      </c>
      <c r="O21" s="73">
        <f t="shared" si="8"/>
        <v>212284.875</v>
      </c>
      <c r="P21" s="182">
        <f t="shared" si="9"/>
        <v>18.434031179574998</v>
      </c>
      <c r="Q21" s="257">
        <f t="shared" si="11"/>
        <v>18.434031179574998</v>
      </c>
      <c r="R21" s="257">
        <f t="shared" si="12"/>
        <v>0</v>
      </c>
    </row>
    <row r="22" spans="2:18">
      <c r="B22" s="96">
        <f t="shared" si="3"/>
        <v>43374</v>
      </c>
      <c r="C22" s="93">
        <v>290757.01234139502</v>
      </c>
      <c r="D22" s="89">
        <f>IF(ISNUMBER($F22),VLOOKUP($J22,'Table 1'!$B$13:$C$33,2,FALSE)/12*1000*Study_MW,"")</f>
        <v>0</v>
      </c>
      <c r="E22" s="89">
        <f t="shared" si="4"/>
        <v>290757.01234139502</v>
      </c>
      <c r="F22" s="93">
        <v>16897.418000000001</v>
      </c>
      <c r="G22" s="94">
        <f t="shared" si="5"/>
        <v>17.207185875463043</v>
      </c>
      <c r="I22" s="95">
        <f t="shared" si="7"/>
        <v>10</v>
      </c>
      <c r="J22" s="91">
        <f t="shared" si="6"/>
        <v>2018</v>
      </c>
      <c r="K22" s="96">
        <f t="shared" si="2"/>
        <v>43374</v>
      </c>
      <c r="L22" s="91">
        <f t="shared" si="13"/>
        <v>2024</v>
      </c>
      <c r="M22" s="73">
        <f t="shared" si="14"/>
        <v>4483884.4878901541</v>
      </c>
      <c r="N22" s="73">
        <f t="shared" si="10"/>
        <v>0</v>
      </c>
      <c r="O22" s="73">
        <f t="shared" si="8"/>
        <v>211632.15</v>
      </c>
      <c r="P22" s="182">
        <f t="shared" si="9"/>
        <v>21.18716125073697</v>
      </c>
      <c r="Q22" s="257">
        <f t="shared" si="11"/>
        <v>21.18716125073697</v>
      </c>
      <c r="R22" s="257">
        <f t="shared" si="12"/>
        <v>0</v>
      </c>
    </row>
    <row r="23" spans="2:18">
      <c r="B23" s="96">
        <f t="shared" si="3"/>
        <v>43405</v>
      </c>
      <c r="C23" s="93">
        <v>210521.01879277825</v>
      </c>
      <c r="D23" s="89">
        <f>IF(F23&lt;&gt;0,VLOOKUP($J23,'Table 1'!$B$13:$C$33,2,FALSE)/12*1000*Study_MW,0)</f>
        <v>0</v>
      </c>
      <c r="E23" s="89">
        <f t="shared" si="4"/>
        <v>210521.01879277825</v>
      </c>
      <c r="F23" s="93">
        <v>11381.16</v>
      </c>
      <c r="G23" s="94">
        <f t="shared" si="5"/>
        <v>18.497325298368377</v>
      </c>
      <c r="I23" s="95">
        <f t="shared" si="7"/>
        <v>11</v>
      </c>
      <c r="J23" s="91">
        <f t="shared" si="6"/>
        <v>2018</v>
      </c>
      <c r="K23" s="96">
        <f t="shared" si="2"/>
        <v>43405</v>
      </c>
      <c r="L23" s="91">
        <f t="shared" si="13"/>
        <v>2025</v>
      </c>
      <c r="M23" s="73">
        <f t="shared" si="14"/>
        <v>4956415.800542146</v>
      </c>
      <c r="N23" s="73">
        <f t="shared" si="10"/>
        <v>0</v>
      </c>
      <c r="O23" s="73">
        <f t="shared" si="8"/>
        <v>210167.663</v>
      </c>
      <c r="P23" s="182">
        <f t="shared" si="9"/>
        <v>23.583151326863</v>
      </c>
      <c r="Q23" s="257">
        <f t="shared" si="11"/>
        <v>23.583151326863</v>
      </c>
      <c r="R23" s="257">
        <f t="shared" si="12"/>
        <v>0</v>
      </c>
    </row>
    <row r="24" spans="2:18">
      <c r="B24" s="100">
        <f t="shared" si="3"/>
        <v>43435</v>
      </c>
      <c r="C24" s="97">
        <v>211320.90288925171</v>
      </c>
      <c r="D24" s="98">
        <f>IF(F24&lt;&gt;0,VLOOKUP($J24,'Table 1'!$B$13:$C$33,2,FALSE)/12*1000*Study_MW,0)</f>
        <v>0</v>
      </c>
      <c r="E24" s="98">
        <f t="shared" ref="E24" si="15">IF(ISNUMBER(C24+D24),C24+D24,"")</f>
        <v>211320.90288925171</v>
      </c>
      <c r="F24" s="97">
        <v>8780.0990000000002</v>
      </c>
      <c r="G24" s="99">
        <f t="shared" ref="G24" si="16">IF(ISNUMBER($F24),E24/$F24,"")</f>
        <v>24.068168580929633</v>
      </c>
      <c r="I24" s="82">
        <f t="shared" si="7"/>
        <v>12</v>
      </c>
      <c r="J24" s="91">
        <f t="shared" si="6"/>
        <v>2018</v>
      </c>
      <c r="K24" s="100">
        <f t="shared" si="2"/>
        <v>43435</v>
      </c>
      <c r="L24" s="91">
        <f t="shared" si="13"/>
        <v>2026</v>
      </c>
      <c r="M24" s="73">
        <f t="shared" si="14"/>
        <v>5026168.3755394816</v>
      </c>
      <c r="N24" s="73">
        <f t="shared" si="10"/>
        <v>0</v>
      </c>
      <c r="O24" s="73">
        <f t="shared" si="8"/>
        <v>209116.68400000001</v>
      </c>
      <c r="P24" s="182">
        <f t="shared" si="9"/>
        <v>24.035233724055615</v>
      </c>
      <c r="Q24" s="257">
        <f t="shared" si="11"/>
        <v>24.035233724055615</v>
      </c>
      <c r="R24" s="257">
        <f t="shared" si="12"/>
        <v>0</v>
      </c>
    </row>
    <row r="25" spans="2:18">
      <c r="B25" s="92">
        <f t="shared" si="3"/>
        <v>43466</v>
      </c>
      <c r="C25" s="87">
        <v>199588.31820881367</v>
      </c>
      <c r="D25" s="88">
        <f>IF(F25&lt;&gt;0,VLOOKUP($J25,'Table 1'!$B$13:$C$33,2,FALSE)/12*1000*Study_MW,0)</f>
        <v>0</v>
      </c>
      <c r="E25" s="88">
        <f t="shared" ref="E25:E77" si="17">C25+D25</f>
        <v>199588.31820881367</v>
      </c>
      <c r="F25" s="87">
        <v>10481.286</v>
      </c>
      <c r="G25" s="90">
        <f t="shared" si="5"/>
        <v>19.042350166650703</v>
      </c>
      <c r="I25" s="78">
        <f>I13+13</f>
        <v>14</v>
      </c>
      <c r="J25" s="91">
        <f t="shared" si="6"/>
        <v>2019</v>
      </c>
      <c r="K25" s="92">
        <f>IF(ISNUMBER(F25),IF(F25&lt;&gt;0,B25,""),"")</f>
        <v>43466</v>
      </c>
      <c r="L25" s="91">
        <f t="shared" si="13"/>
        <v>2027</v>
      </c>
      <c r="M25" s="73">
        <f t="shared" si="14"/>
        <v>5071298.6068997681</v>
      </c>
      <c r="N25" s="73">
        <f t="shared" si="10"/>
        <v>0</v>
      </c>
      <c r="O25" s="73">
        <f t="shared" si="8"/>
        <v>208071.00600000002</v>
      </c>
      <c r="P25" s="182">
        <f t="shared" si="9"/>
        <v>24.372922995815031</v>
      </c>
      <c r="Q25" s="257">
        <f t="shared" si="11"/>
        <v>24.372922995815031</v>
      </c>
      <c r="R25" s="257">
        <f t="shared" si="12"/>
        <v>0</v>
      </c>
    </row>
    <row r="26" spans="2:18">
      <c r="B26" s="96">
        <f t="shared" si="3"/>
        <v>43497</v>
      </c>
      <c r="C26" s="93">
        <v>213350.46042516828</v>
      </c>
      <c r="D26" s="89">
        <f>IF(F26&lt;&gt;0,VLOOKUP($J26,'Table 1'!$B$13:$C$33,2,FALSE)/12*1000*Study_MW,0)</f>
        <v>0</v>
      </c>
      <c r="E26" s="89">
        <f t="shared" si="17"/>
        <v>213350.46042516828</v>
      </c>
      <c r="F26" s="93">
        <v>11730.487999999999</v>
      </c>
      <c r="G26" s="94">
        <f t="shared" si="5"/>
        <v>18.187688391579982</v>
      </c>
      <c r="I26" s="95">
        <f t="shared" ref="I26:I89" si="18">I14+13</f>
        <v>15</v>
      </c>
      <c r="J26" s="91">
        <f t="shared" si="6"/>
        <v>2019</v>
      </c>
      <c r="K26" s="96">
        <f t="shared" ref="K26:K89" si="19">IF(ISNUMBER(F26),IF(F26&lt;&gt;0,B26,""),"")</f>
        <v>43497</v>
      </c>
      <c r="L26" s="91">
        <f t="shared" si="13"/>
        <v>2028</v>
      </c>
      <c r="M26" s="73">
        <f t="shared" si="14"/>
        <v>5230921.1956587732</v>
      </c>
      <c r="N26" s="73">
        <f t="shared" si="10"/>
        <v>0</v>
      </c>
      <c r="O26" s="73">
        <f>SUMIF($J$13:$J$264,L26,$F$13:$F$264)</f>
        <v>207431.21599999996</v>
      </c>
      <c r="P26" s="182">
        <f>(M26+N26)/O26</f>
        <v>25.217618141228918</v>
      </c>
      <c r="Q26" s="257">
        <f t="shared" si="11"/>
        <v>25.217618141228918</v>
      </c>
      <c r="R26" s="257">
        <f t="shared" si="12"/>
        <v>0</v>
      </c>
    </row>
    <row r="27" spans="2:18">
      <c r="B27" s="96">
        <f t="shared" si="3"/>
        <v>43525</v>
      </c>
      <c r="C27" s="93">
        <v>347514.47868731618</v>
      </c>
      <c r="D27" s="89">
        <f>IF(F27&lt;&gt;0,VLOOKUP($J27,'Table 1'!$B$13:$C$33,2,FALSE)/12*1000*Study_MW,0)</f>
        <v>0</v>
      </c>
      <c r="E27" s="89">
        <f t="shared" si="17"/>
        <v>347514.47868731618</v>
      </c>
      <c r="F27" s="93">
        <v>18269.323</v>
      </c>
      <c r="G27" s="94">
        <f t="shared" si="5"/>
        <v>19.021749119401751</v>
      </c>
      <c r="I27" s="95">
        <f t="shared" si="18"/>
        <v>16</v>
      </c>
      <c r="J27" s="91">
        <f t="shared" si="6"/>
        <v>2019</v>
      </c>
      <c r="K27" s="96">
        <f t="shared" si="19"/>
        <v>43525</v>
      </c>
      <c r="L27" s="91">
        <f t="shared" si="13"/>
        <v>2029</v>
      </c>
      <c r="M27" s="73">
        <f t="shared" si="14"/>
        <v>5546320.5837198943</v>
      </c>
      <c r="N27" s="73">
        <f t="shared" si="10"/>
        <v>0</v>
      </c>
      <c r="O27" s="73">
        <f t="shared" ref="O27:O31" si="20">SUMIF($J$13:$J$264,L27,$F$13:$F$264)</f>
        <v>205995.45199999999</v>
      </c>
      <c r="P27" s="182">
        <f t="shared" ref="P27:P31" si="21">(M27+N27)/O27</f>
        <v>26.924480758535847</v>
      </c>
      <c r="Q27" s="257">
        <f t="shared" si="11"/>
        <v>26.924480758535847</v>
      </c>
      <c r="R27" s="257">
        <f t="shared" si="12"/>
        <v>0</v>
      </c>
    </row>
    <row r="28" spans="2:18">
      <c r="B28" s="96">
        <f t="shared" si="3"/>
        <v>43556</v>
      </c>
      <c r="C28" s="93">
        <v>338335.46597807109</v>
      </c>
      <c r="D28" s="89">
        <f>IF(F28&lt;&gt;0,VLOOKUP($J28,'Table 1'!$B$13:$C$33,2,FALSE)/12*1000*Study_MW,0)</f>
        <v>0</v>
      </c>
      <c r="E28" s="89">
        <f t="shared" si="17"/>
        <v>338335.46597807109</v>
      </c>
      <c r="F28" s="93">
        <v>21101.040000000001</v>
      </c>
      <c r="G28" s="94">
        <f t="shared" si="5"/>
        <v>16.034065902821428</v>
      </c>
      <c r="I28" s="95">
        <f t="shared" si="18"/>
        <v>17</v>
      </c>
      <c r="J28" s="91">
        <f t="shared" si="6"/>
        <v>2019</v>
      </c>
      <c r="K28" s="96">
        <f t="shared" si="19"/>
        <v>43556</v>
      </c>
      <c r="L28" s="91">
        <f t="shared" si="13"/>
        <v>2030</v>
      </c>
      <c r="M28" s="73">
        <f t="shared" si="14"/>
        <v>5794325.6127052009</v>
      </c>
      <c r="N28" s="73">
        <f t="shared" si="10"/>
        <v>0</v>
      </c>
      <c r="O28" s="73">
        <f t="shared" si="20"/>
        <v>204965.48900000003</v>
      </c>
      <c r="P28" s="182">
        <f t="shared" si="21"/>
        <v>28.2697620998294</v>
      </c>
      <c r="Q28" s="257">
        <f t="shared" si="11"/>
        <v>28.2697620998294</v>
      </c>
      <c r="R28" s="257">
        <f t="shared" si="12"/>
        <v>0</v>
      </c>
    </row>
    <row r="29" spans="2:18">
      <c r="B29" s="96">
        <f t="shared" si="3"/>
        <v>43586</v>
      </c>
      <c r="C29" s="93">
        <v>395678.30002455413</v>
      </c>
      <c r="D29" s="89">
        <f>IF(F29&lt;&gt;0,VLOOKUP($J29,'Table 1'!$B$13:$C$33,2,FALSE)/12*1000*Study_MW,0)</f>
        <v>0</v>
      </c>
      <c r="E29" s="89">
        <f t="shared" si="17"/>
        <v>395678.30002455413</v>
      </c>
      <c r="F29" s="93">
        <v>24426.109</v>
      </c>
      <c r="G29" s="94">
        <f t="shared" si="5"/>
        <v>16.19899018810381</v>
      </c>
      <c r="I29" s="95">
        <f t="shared" si="18"/>
        <v>18</v>
      </c>
      <c r="J29" s="91">
        <f t="shared" si="6"/>
        <v>2019</v>
      </c>
      <c r="K29" s="96">
        <f t="shared" si="19"/>
        <v>43586</v>
      </c>
      <c r="L29" s="91">
        <f t="shared" si="13"/>
        <v>2031</v>
      </c>
      <c r="M29" s="73">
        <f t="shared" si="14"/>
        <v>5980076.9392980635</v>
      </c>
      <c r="N29" s="73">
        <f t="shared" si="10"/>
        <v>0</v>
      </c>
      <c r="O29" s="73">
        <f t="shared" si="20"/>
        <v>203940.58200000005</v>
      </c>
      <c r="P29" s="182">
        <f t="shared" si="21"/>
        <v>29.322643294692874</v>
      </c>
      <c r="Q29" s="257">
        <f t="shared" si="11"/>
        <v>29.322643294692874</v>
      </c>
      <c r="R29" s="257">
        <f t="shared" si="12"/>
        <v>0</v>
      </c>
    </row>
    <row r="30" spans="2:18">
      <c r="B30" s="96">
        <f t="shared" si="3"/>
        <v>43617</v>
      </c>
      <c r="C30" s="93">
        <v>366901.78435747325</v>
      </c>
      <c r="D30" s="89">
        <f>IF(F30&lt;&gt;0,VLOOKUP($J30,'Table 1'!$B$13:$C$33,2,FALSE)/12*1000*Study_MW,0)</f>
        <v>0</v>
      </c>
      <c r="E30" s="89">
        <f t="shared" si="17"/>
        <v>366901.78435747325</v>
      </c>
      <c r="F30" s="93">
        <v>25950</v>
      </c>
      <c r="G30" s="94">
        <f t="shared" si="5"/>
        <v>14.138797085066408</v>
      </c>
      <c r="I30" s="95">
        <f t="shared" si="18"/>
        <v>19</v>
      </c>
      <c r="J30" s="91">
        <f t="shared" si="6"/>
        <v>2019</v>
      </c>
      <c r="K30" s="96">
        <f t="shared" si="19"/>
        <v>43617</v>
      </c>
      <c r="L30" s="91">
        <f t="shared" si="13"/>
        <v>2032</v>
      </c>
      <c r="M30" s="73">
        <f t="shared" si="14"/>
        <v>6122878.4652773738</v>
      </c>
      <c r="N30" s="73">
        <f t="shared" si="10"/>
        <v>0</v>
      </c>
      <c r="O30" s="73">
        <f t="shared" si="20"/>
        <v>203313.39799999999</v>
      </c>
      <c r="P30" s="182">
        <f t="shared" si="21"/>
        <v>30.115469641982838</v>
      </c>
      <c r="Q30" s="257">
        <f t="shared" si="11"/>
        <v>30.115469641982838</v>
      </c>
      <c r="R30" s="257">
        <f t="shared" si="12"/>
        <v>0</v>
      </c>
    </row>
    <row r="31" spans="2:18">
      <c r="B31" s="96">
        <f t="shared" si="3"/>
        <v>43647</v>
      </c>
      <c r="C31" s="93">
        <v>528157.02524632215</v>
      </c>
      <c r="D31" s="89">
        <f>IF(F31&lt;&gt;0,VLOOKUP($J31,'Table 1'!$B$13:$C$33,2,FALSE)/12*1000*Study_MW,0)</f>
        <v>0</v>
      </c>
      <c r="E31" s="89">
        <f t="shared" si="17"/>
        <v>528157.02524632215</v>
      </c>
      <c r="F31" s="93">
        <v>23488.048999999999</v>
      </c>
      <c r="G31" s="94">
        <f t="shared" si="5"/>
        <v>22.486202461784806</v>
      </c>
      <c r="I31" s="95">
        <f t="shared" si="18"/>
        <v>20</v>
      </c>
      <c r="J31" s="91">
        <f t="shared" si="6"/>
        <v>2019</v>
      </c>
      <c r="K31" s="96">
        <f t="shared" si="19"/>
        <v>43647</v>
      </c>
      <c r="L31" s="91">
        <f t="shared" si="13"/>
        <v>2033</v>
      </c>
      <c r="M31" s="73">
        <f t="shared" si="14"/>
        <v>6389795.8683656752</v>
      </c>
      <c r="N31" s="73">
        <f t="shared" si="10"/>
        <v>0</v>
      </c>
      <c r="O31" s="73">
        <f t="shared" si="20"/>
        <v>201906.41899999999</v>
      </c>
      <c r="P31" s="182">
        <f t="shared" si="21"/>
        <v>31.647314136979841</v>
      </c>
      <c r="Q31" s="257">
        <f t="shared" si="11"/>
        <v>31.647314136979841</v>
      </c>
      <c r="R31" s="257">
        <f t="shared" si="12"/>
        <v>0</v>
      </c>
    </row>
    <row r="32" spans="2:18">
      <c r="B32" s="96">
        <f t="shared" si="3"/>
        <v>43678</v>
      </c>
      <c r="C32" s="93">
        <v>487267.76655045152</v>
      </c>
      <c r="D32" s="89">
        <f>IF(F32&lt;&gt;0,VLOOKUP($J32,'Table 1'!$B$13:$C$33,2,FALSE)/12*1000*Study_MW,0)</f>
        <v>0</v>
      </c>
      <c r="E32" s="89">
        <f t="shared" si="17"/>
        <v>487267.76655045152</v>
      </c>
      <c r="F32" s="93">
        <v>23526.272000000001</v>
      </c>
      <c r="G32" s="94">
        <f t="shared" si="5"/>
        <v>20.711643840148216</v>
      </c>
      <c r="I32" s="95">
        <f t="shared" si="18"/>
        <v>21</v>
      </c>
      <c r="J32" s="91">
        <f t="shared" si="6"/>
        <v>2019</v>
      </c>
      <c r="K32" s="96">
        <f t="shared" si="19"/>
        <v>43678</v>
      </c>
      <c r="L32" s="91">
        <f t="shared" si="13"/>
        <v>2034</v>
      </c>
      <c r="M32" s="73">
        <f t="shared" si="14"/>
        <v>6454321.3157638311</v>
      </c>
      <c r="N32" s="73">
        <f t="shared" si="10"/>
        <v>0</v>
      </c>
      <c r="O32" s="73">
        <f t="shared" ref="O32:O35" si="22">SUMIF($J$13:$J$264,L32,$F$13:$F$264)</f>
        <v>200896.85399999999</v>
      </c>
      <c r="P32" s="182">
        <f t="shared" ref="P32:P34" si="23">(M32+N32)/O32</f>
        <v>32.127538023884789</v>
      </c>
      <c r="Q32" s="257">
        <f t="shared" si="11"/>
        <v>32.127538023884789</v>
      </c>
      <c r="R32" s="257">
        <f t="shared" si="12"/>
        <v>0</v>
      </c>
    </row>
    <row r="33" spans="2:18">
      <c r="B33" s="96">
        <f t="shared" si="3"/>
        <v>43709</v>
      </c>
      <c r="C33" s="93">
        <v>345471.44056202471</v>
      </c>
      <c r="D33" s="89">
        <f>IF(F33&lt;&gt;0,VLOOKUP($J33,'Table 1'!$B$13:$C$33,2,FALSE)/12*1000*Study_MW,0)</f>
        <v>0</v>
      </c>
      <c r="E33" s="89">
        <f t="shared" si="17"/>
        <v>345471.44056202471</v>
      </c>
      <c r="F33" s="93">
        <v>20738.189999999999</v>
      </c>
      <c r="G33" s="94">
        <f t="shared" si="5"/>
        <v>16.658707464924603</v>
      </c>
      <c r="I33" s="95">
        <f t="shared" si="18"/>
        <v>22</v>
      </c>
      <c r="J33" s="91">
        <f t="shared" si="6"/>
        <v>2019</v>
      </c>
      <c r="K33" s="96">
        <f t="shared" si="19"/>
        <v>43709</v>
      </c>
      <c r="L33" s="91">
        <f t="shared" si="13"/>
        <v>2035</v>
      </c>
      <c r="M33" s="73">
        <f t="shared" si="14"/>
        <v>51763.354544967413</v>
      </c>
      <c r="N33" s="73">
        <f t="shared" si="10"/>
        <v>17140042.486462377</v>
      </c>
      <c r="O33" s="73">
        <f t="shared" si="22"/>
        <v>199892.37600000002</v>
      </c>
      <c r="P33" s="182">
        <f t="shared" si="23"/>
        <v>86.005310382659829</v>
      </c>
      <c r="Q33" s="257">
        <f t="shared" si="11"/>
        <v>0.25895612219331171</v>
      </c>
      <c r="R33" s="257">
        <f t="shared" si="12"/>
        <v>85.746354260466518</v>
      </c>
    </row>
    <row r="34" spans="2:18">
      <c r="B34" s="96">
        <f t="shared" si="3"/>
        <v>43739</v>
      </c>
      <c r="C34" s="93">
        <v>270689.23259709775</v>
      </c>
      <c r="D34" s="89">
        <f>IF(F34&lt;&gt;0,VLOOKUP($J34,'Table 1'!$B$13:$C$33,2,FALSE)/12*1000*Study_MW,0)</f>
        <v>0</v>
      </c>
      <c r="E34" s="89">
        <f t="shared" si="17"/>
        <v>270689.23259709775</v>
      </c>
      <c r="F34" s="93">
        <v>16812.942999999999</v>
      </c>
      <c r="G34" s="94">
        <f t="shared" si="5"/>
        <v>16.100050573959464</v>
      </c>
      <c r="I34" s="95">
        <f t="shared" si="18"/>
        <v>23</v>
      </c>
      <c r="J34" s="91">
        <f t="shared" si="6"/>
        <v>2019</v>
      </c>
      <c r="K34" s="96">
        <f t="shared" si="19"/>
        <v>43739</v>
      </c>
      <c r="L34" s="91">
        <f t="shared" si="13"/>
        <v>2036</v>
      </c>
      <c r="M34" s="73">
        <f t="shared" si="14"/>
        <v>61334.720858007669</v>
      </c>
      <c r="N34" s="73">
        <f t="shared" si="10"/>
        <v>17517829.014680292</v>
      </c>
      <c r="O34" s="73">
        <f t="shared" si="22"/>
        <v>199277.68699999998</v>
      </c>
      <c r="P34" s="182">
        <f t="shared" si="23"/>
        <v>88.214410756073775</v>
      </c>
      <c r="Q34" s="257">
        <f t="shared" ref="Q34" si="24">M34/O34</f>
        <v>0.30778519051160846</v>
      </c>
      <c r="R34" s="257">
        <f t="shared" ref="R34" si="25">IFERROR(N34/O34,0)</f>
        <v>87.906625565562166</v>
      </c>
    </row>
    <row r="35" spans="2:18">
      <c r="B35" s="96">
        <f t="shared" si="3"/>
        <v>43770</v>
      </c>
      <c r="C35" s="93">
        <v>189153.72307890654</v>
      </c>
      <c r="D35" s="89">
        <f>IF(F35&lt;&gt;0,VLOOKUP($J35,'Table 1'!$B$13:$C$33,2,FALSE)/12*1000*Study_MW,0)</f>
        <v>0</v>
      </c>
      <c r="E35" s="89">
        <f t="shared" si="17"/>
        <v>189153.72307890654</v>
      </c>
      <c r="F35" s="93">
        <v>11324.22</v>
      </c>
      <c r="G35" s="94">
        <f t="shared" si="5"/>
        <v>16.703465941045526</v>
      </c>
      <c r="I35" s="95">
        <f t="shared" si="18"/>
        <v>24</v>
      </c>
      <c r="J35" s="91">
        <f t="shared" si="6"/>
        <v>2019</v>
      </c>
      <c r="K35" s="96">
        <f t="shared" si="19"/>
        <v>43770</v>
      </c>
      <c r="L35" s="91">
        <f t="shared" si="13"/>
        <v>2037</v>
      </c>
      <c r="M35" s="73">
        <f t="shared" si="14"/>
        <v>0</v>
      </c>
      <c r="N35" s="73">
        <f t="shared" si="10"/>
        <v>0</v>
      </c>
      <c r="O35" s="73">
        <f t="shared" si="22"/>
        <v>0</v>
      </c>
      <c r="P35" s="182" t="e">
        <f t="shared" ref="P35" si="26">(M35+N35)/O35</f>
        <v>#DIV/0!</v>
      </c>
      <c r="Q35" s="257" t="e">
        <f t="shared" ref="Q35" si="27">M35/O35</f>
        <v>#DIV/0!</v>
      </c>
      <c r="R35" s="257">
        <f t="shared" ref="R35" si="28">IFERROR(N35/O35,0)</f>
        <v>0</v>
      </c>
    </row>
    <row r="36" spans="2:18">
      <c r="B36" s="100">
        <f t="shared" si="3"/>
        <v>43800</v>
      </c>
      <c r="C36" s="97">
        <v>123109.08701497316</v>
      </c>
      <c r="D36" s="98">
        <f>IF(F36&lt;&gt;0,VLOOKUP($J36,'Table 1'!$B$13:$C$33,2,FALSE)/12*1000*Study_MW,0)</f>
        <v>0</v>
      </c>
      <c r="E36" s="98">
        <f t="shared" si="17"/>
        <v>123109.08701497316</v>
      </c>
      <c r="F36" s="97">
        <v>8736.2960000000003</v>
      </c>
      <c r="G36" s="99">
        <f t="shared" si="5"/>
        <v>14.091679931056955</v>
      </c>
      <c r="I36" s="82">
        <f t="shared" si="18"/>
        <v>25</v>
      </c>
      <c r="J36" s="91">
        <f t="shared" si="6"/>
        <v>2019</v>
      </c>
      <c r="K36" s="100">
        <f t="shared" si="19"/>
        <v>43800</v>
      </c>
      <c r="L36" s="91">
        <f t="shared" si="13"/>
        <v>2038</v>
      </c>
      <c r="M36" s="73">
        <f t="shared" si="14"/>
        <v>0</v>
      </c>
      <c r="N36" s="73">
        <f t="shared" si="10"/>
        <v>0</v>
      </c>
      <c r="O36" s="73">
        <f t="shared" ref="O36" si="29">SUMIF($J$13:$J$264,L36,$F$13:$F$264)</f>
        <v>0</v>
      </c>
      <c r="P36" s="182" t="e">
        <f t="shared" ref="P36" si="30">(M36+N36)/O36</f>
        <v>#DIV/0!</v>
      </c>
      <c r="Q36" s="257" t="e">
        <f t="shared" ref="Q36" si="31">M36/O36</f>
        <v>#DIV/0!</v>
      </c>
      <c r="R36" s="257">
        <f t="shared" ref="R36" si="32">IFERROR(N36/O36,0)</f>
        <v>0</v>
      </c>
    </row>
    <row r="37" spans="2:18" outlineLevel="1">
      <c r="B37" s="92">
        <f t="shared" si="3"/>
        <v>43831</v>
      </c>
      <c r="C37" s="87">
        <v>165386.60552030802</v>
      </c>
      <c r="D37" s="88">
        <f>IF(F37&lt;&gt;0,VLOOKUP($J37,'Table 1'!$B$13:$C$33,2,FALSE)/12*1000*Study_MW,0)</f>
        <v>0</v>
      </c>
      <c r="E37" s="88">
        <f t="shared" si="17"/>
        <v>165386.60552030802</v>
      </c>
      <c r="F37" s="87">
        <v>10428.896000000001</v>
      </c>
      <c r="G37" s="90">
        <f t="shared" si="5"/>
        <v>15.858496001907394</v>
      </c>
      <c r="I37" s="78">
        <f>I25+13</f>
        <v>27</v>
      </c>
      <c r="J37" s="91">
        <f t="shared" si="6"/>
        <v>2020</v>
      </c>
      <c r="K37" s="92">
        <f t="shared" si="19"/>
        <v>43831</v>
      </c>
      <c r="M37" s="270"/>
    </row>
    <row r="38" spans="2:18" outlineLevel="1">
      <c r="B38" s="96">
        <f t="shared" si="3"/>
        <v>43862</v>
      </c>
      <c r="C38" s="93">
        <v>129571.10138700902</v>
      </c>
      <c r="D38" s="89">
        <f>IF(F38&lt;&gt;0,VLOOKUP($J38,'Table 1'!$B$13:$C$33,2,FALSE)/12*1000*Study_MW,0)</f>
        <v>0</v>
      </c>
      <c r="E38" s="89">
        <f t="shared" si="17"/>
        <v>129571.10138700902</v>
      </c>
      <c r="F38" s="93">
        <v>12088.736999999999</v>
      </c>
      <c r="G38" s="94">
        <f t="shared" si="5"/>
        <v>10.718332393781834</v>
      </c>
      <c r="I38" s="95">
        <f t="shared" si="18"/>
        <v>28</v>
      </c>
      <c r="J38" s="91">
        <f t="shared" si="6"/>
        <v>2020</v>
      </c>
      <c r="K38" s="96">
        <f t="shared" si="19"/>
        <v>43862</v>
      </c>
      <c r="M38" s="270"/>
    </row>
    <row r="39" spans="2:18" outlineLevel="1">
      <c r="B39" s="96">
        <f t="shared" si="3"/>
        <v>43891</v>
      </c>
      <c r="C39" s="93">
        <v>247755.56983076036</v>
      </c>
      <c r="D39" s="89">
        <f>IF(F39&lt;&gt;0,VLOOKUP($J39,'Table 1'!$B$13:$C$33,2,FALSE)/12*1000*Study_MW,0)</f>
        <v>0</v>
      </c>
      <c r="E39" s="89">
        <f t="shared" si="17"/>
        <v>247755.56983076036</v>
      </c>
      <c r="F39" s="93">
        <v>18177.966</v>
      </c>
      <c r="G39" s="94">
        <f t="shared" si="5"/>
        <v>13.62944401099443</v>
      </c>
      <c r="I39" s="95">
        <f t="shared" si="18"/>
        <v>29</v>
      </c>
      <c r="J39" s="91">
        <f t="shared" si="6"/>
        <v>2020</v>
      </c>
      <c r="K39" s="96">
        <f t="shared" si="19"/>
        <v>43891</v>
      </c>
    </row>
    <row r="40" spans="2:18" outlineLevel="1">
      <c r="B40" s="96">
        <f t="shared" si="3"/>
        <v>43922</v>
      </c>
      <c r="C40" s="93">
        <v>248814.95298393071</v>
      </c>
      <c r="D40" s="89">
        <f>IF(F40&lt;&gt;0,VLOOKUP($J40,'Table 1'!$B$13:$C$33,2,FALSE)/12*1000*Study_MW,0)</f>
        <v>0</v>
      </c>
      <c r="E40" s="89">
        <f t="shared" si="17"/>
        <v>248814.95298393071</v>
      </c>
      <c r="F40" s="93">
        <v>20995.59</v>
      </c>
      <c r="G40" s="94">
        <f t="shared" si="5"/>
        <v>11.850819766623882</v>
      </c>
      <c r="I40" s="95">
        <f t="shared" si="18"/>
        <v>30</v>
      </c>
      <c r="J40" s="91">
        <f t="shared" si="6"/>
        <v>2020</v>
      </c>
      <c r="K40" s="96">
        <f t="shared" si="19"/>
        <v>43922</v>
      </c>
    </row>
    <row r="41" spans="2:18" outlineLevel="1">
      <c r="B41" s="96">
        <f t="shared" si="3"/>
        <v>43952</v>
      </c>
      <c r="C41" s="93">
        <v>242565.28564862907</v>
      </c>
      <c r="D41" s="89">
        <f>IF(F41&lt;&gt;0,VLOOKUP($J41,'Table 1'!$B$13:$C$33,2,FALSE)/12*1000*Study_MW,0)</f>
        <v>0</v>
      </c>
      <c r="E41" s="89">
        <f t="shared" si="17"/>
        <v>242565.28564862907</v>
      </c>
      <c r="F41" s="93">
        <v>24303.937999999998</v>
      </c>
      <c r="G41" s="94">
        <f t="shared" si="5"/>
        <v>9.9804931056287707</v>
      </c>
      <c r="I41" s="95">
        <f t="shared" si="18"/>
        <v>31</v>
      </c>
      <c r="J41" s="91">
        <f t="shared" si="6"/>
        <v>2020</v>
      </c>
      <c r="K41" s="96">
        <f t="shared" si="19"/>
        <v>43952</v>
      </c>
    </row>
    <row r="42" spans="2:18" outlineLevel="1">
      <c r="B42" s="96">
        <f t="shared" si="3"/>
        <v>43983</v>
      </c>
      <c r="C42" s="93">
        <v>265470.55263082683</v>
      </c>
      <c r="D42" s="89">
        <f>IF(F42&lt;&gt;0,VLOOKUP($J42,'Table 1'!$B$13:$C$33,2,FALSE)/12*1000*Study_MW,0)</f>
        <v>0</v>
      </c>
      <c r="E42" s="89">
        <f t="shared" si="17"/>
        <v>265470.55263082683</v>
      </c>
      <c r="F42" s="93">
        <v>25820.19</v>
      </c>
      <c r="G42" s="94">
        <f t="shared" si="5"/>
        <v>10.281510423851522</v>
      </c>
      <c r="I42" s="95">
        <f t="shared" si="18"/>
        <v>32</v>
      </c>
      <c r="J42" s="91">
        <f t="shared" si="6"/>
        <v>2020</v>
      </c>
      <c r="K42" s="96">
        <f t="shared" si="19"/>
        <v>43983</v>
      </c>
    </row>
    <row r="43" spans="2:18" outlineLevel="1">
      <c r="B43" s="96">
        <f t="shared" si="3"/>
        <v>44013</v>
      </c>
      <c r="C43" s="93">
        <v>292374.146250844</v>
      </c>
      <c r="D43" s="89">
        <f>IF(F43&lt;&gt;0,VLOOKUP($J43,'Table 1'!$B$13:$C$33,2,FALSE)/12*1000*Study_MW,0)</f>
        <v>0</v>
      </c>
      <c r="E43" s="89">
        <f t="shared" si="17"/>
        <v>292374.146250844</v>
      </c>
      <c r="F43" s="93">
        <v>23370.59</v>
      </c>
      <c r="G43" s="94">
        <f t="shared" si="5"/>
        <v>12.510345106856267</v>
      </c>
      <c r="I43" s="95">
        <f t="shared" si="18"/>
        <v>33</v>
      </c>
      <c r="J43" s="91">
        <f t="shared" si="6"/>
        <v>2020</v>
      </c>
      <c r="K43" s="96">
        <f t="shared" si="19"/>
        <v>44013</v>
      </c>
    </row>
    <row r="44" spans="2:18" outlineLevel="1">
      <c r="B44" s="96">
        <f t="shared" si="3"/>
        <v>44044</v>
      </c>
      <c r="C44" s="93">
        <v>290208.22391405702</v>
      </c>
      <c r="D44" s="89">
        <f>IF(F44&lt;&gt;0,VLOOKUP($J44,'Table 1'!$B$13:$C$33,2,FALSE)/12*1000*Study_MW,0)</f>
        <v>0</v>
      </c>
      <c r="E44" s="89">
        <f t="shared" si="17"/>
        <v>290208.22391405702</v>
      </c>
      <c r="F44" s="93">
        <v>23408.688999999998</v>
      </c>
      <c r="G44" s="94">
        <f t="shared" si="5"/>
        <v>12.397457367820001</v>
      </c>
      <c r="I44" s="95">
        <f t="shared" si="18"/>
        <v>34</v>
      </c>
      <c r="J44" s="91">
        <f t="shared" si="6"/>
        <v>2020</v>
      </c>
      <c r="K44" s="96">
        <f t="shared" si="19"/>
        <v>44044</v>
      </c>
    </row>
    <row r="45" spans="2:18" outlineLevel="1">
      <c r="B45" s="96">
        <f t="shared" si="3"/>
        <v>44075</v>
      </c>
      <c r="C45" s="93">
        <v>287135.57414190471</v>
      </c>
      <c r="D45" s="89">
        <f>IF(F45&lt;&gt;0,VLOOKUP($J45,'Table 1'!$B$13:$C$33,2,FALSE)/12*1000*Study_MW,0)</f>
        <v>0</v>
      </c>
      <c r="E45" s="89">
        <f t="shared" si="17"/>
        <v>287135.57414190471</v>
      </c>
      <c r="F45" s="93">
        <v>20634.48</v>
      </c>
      <c r="G45" s="94">
        <f t="shared" si="5"/>
        <v>13.915328815744555</v>
      </c>
      <c r="I45" s="95">
        <f t="shared" si="18"/>
        <v>35</v>
      </c>
      <c r="J45" s="91">
        <f t="shared" si="6"/>
        <v>2020</v>
      </c>
      <c r="K45" s="96">
        <f t="shared" si="19"/>
        <v>44075</v>
      </c>
    </row>
    <row r="46" spans="2:18" outlineLevel="1">
      <c r="B46" s="96">
        <f t="shared" si="3"/>
        <v>44105</v>
      </c>
      <c r="C46" s="93">
        <v>181474.10063485801</v>
      </c>
      <c r="D46" s="89">
        <f>IF(F46&lt;&gt;0,VLOOKUP($J46,'Table 1'!$B$13:$C$33,2,FALSE)/12*1000*Study_MW,0)</f>
        <v>0</v>
      </c>
      <c r="E46" s="89">
        <f t="shared" si="17"/>
        <v>181474.10063485801</v>
      </c>
      <c r="F46" s="93">
        <v>16728.870999999999</v>
      </c>
      <c r="G46" s="94">
        <f t="shared" si="5"/>
        <v>10.847958635992711</v>
      </c>
      <c r="I46" s="95">
        <f t="shared" si="18"/>
        <v>36</v>
      </c>
      <c r="J46" s="91">
        <f t="shared" si="6"/>
        <v>2020</v>
      </c>
      <c r="K46" s="96">
        <f t="shared" si="19"/>
        <v>44105</v>
      </c>
    </row>
    <row r="47" spans="2:18" outlineLevel="1">
      <c r="B47" s="96">
        <f t="shared" si="3"/>
        <v>44136</v>
      </c>
      <c r="C47" s="93">
        <v>117114.43211165071</v>
      </c>
      <c r="D47" s="89">
        <f>IF(F47&lt;&gt;0,VLOOKUP($J47,'Table 1'!$B$13:$C$33,2,FALSE)/12*1000*Study_MW,0)</f>
        <v>0</v>
      </c>
      <c r="E47" s="89">
        <f t="shared" si="17"/>
        <v>117114.43211165071</v>
      </c>
      <c r="F47" s="93">
        <v>11267.55</v>
      </c>
      <c r="G47" s="94">
        <f t="shared" si="5"/>
        <v>10.393957170072529</v>
      </c>
      <c r="I47" s="95">
        <f t="shared" si="18"/>
        <v>37</v>
      </c>
      <c r="J47" s="91">
        <f t="shared" si="6"/>
        <v>2020</v>
      </c>
      <c r="K47" s="96">
        <f t="shared" si="19"/>
        <v>44136</v>
      </c>
    </row>
    <row r="48" spans="2:18" outlineLevel="1">
      <c r="B48" s="100">
        <f t="shared" si="3"/>
        <v>44166</v>
      </c>
      <c r="C48" s="97">
        <v>121647.59182232618</v>
      </c>
      <c r="D48" s="98">
        <f>IF(F48&lt;&gt;0,VLOOKUP($J48,'Table 1'!$B$13:$C$33,2,FALSE)/12*1000*Study_MW,0)</f>
        <v>0</v>
      </c>
      <c r="E48" s="98">
        <f t="shared" si="17"/>
        <v>121647.59182232618</v>
      </c>
      <c r="F48" s="97">
        <v>8692.5550000000003</v>
      </c>
      <c r="G48" s="99">
        <f t="shared" si="5"/>
        <v>13.99445753548021</v>
      </c>
      <c r="I48" s="82">
        <f t="shared" si="18"/>
        <v>38</v>
      </c>
      <c r="J48" s="91">
        <f t="shared" si="6"/>
        <v>2020</v>
      </c>
      <c r="K48" s="100">
        <f t="shared" si="19"/>
        <v>44166</v>
      </c>
    </row>
    <row r="49" spans="2:11" outlineLevel="1">
      <c r="B49" s="92">
        <f t="shared" si="3"/>
        <v>44197</v>
      </c>
      <c r="C49" s="87">
        <v>133352.48686984181</v>
      </c>
      <c r="D49" s="88">
        <f>IF(F49&lt;&gt;0,VLOOKUP($J49,'Table 1'!$B$13:$C$33,2,FALSE)/12*1000*Study_MW,0)</f>
        <v>0</v>
      </c>
      <c r="E49" s="88">
        <f t="shared" si="17"/>
        <v>133352.48686984181</v>
      </c>
      <c r="F49" s="87">
        <v>10376.723</v>
      </c>
      <c r="G49" s="90">
        <f t="shared" si="5"/>
        <v>12.85111753198402</v>
      </c>
      <c r="I49" s="78">
        <f>I37+13</f>
        <v>40</v>
      </c>
      <c r="J49" s="91">
        <f t="shared" si="6"/>
        <v>2021</v>
      </c>
      <c r="K49" s="92">
        <f t="shared" si="19"/>
        <v>44197</v>
      </c>
    </row>
    <row r="50" spans="2:11" outlineLevel="1">
      <c r="B50" s="96">
        <f t="shared" si="3"/>
        <v>44228</v>
      </c>
      <c r="C50" s="93">
        <v>176577.40691150725</v>
      </c>
      <c r="D50" s="89">
        <f>IF(F50&lt;&gt;0,VLOOKUP($J50,'Table 1'!$B$13:$C$33,2,FALSE)/12*1000*Study_MW,0)</f>
        <v>0</v>
      </c>
      <c r="E50" s="89">
        <f t="shared" si="17"/>
        <v>176577.40691150725</v>
      </c>
      <c r="F50" s="93">
        <v>11613.504000000001</v>
      </c>
      <c r="G50" s="94">
        <f t="shared" si="5"/>
        <v>15.204490127312759</v>
      </c>
      <c r="I50" s="95">
        <f t="shared" si="18"/>
        <v>41</v>
      </c>
      <c r="J50" s="91">
        <f t="shared" si="6"/>
        <v>2021</v>
      </c>
      <c r="K50" s="96">
        <f t="shared" si="19"/>
        <v>44228</v>
      </c>
    </row>
    <row r="51" spans="2:11" outlineLevel="1">
      <c r="B51" s="96">
        <f t="shared" si="3"/>
        <v>44256</v>
      </c>
      <c r="C51" s="93">
        <v>268812.48490704596</v>
      </c>
      <c r="D51" s="89">
        <f>IF(F51&lt;&gt;0,VLOOKUP($J51,'Table 1'!$B$13:$C$33,2,FALSE)/12*1000*Study_MW,0)</f>
        <v>0</v>
      </c>
      <c r="E51" s="89">
        <f t="shared" si="17"/>
        <v>268812.48490704596</v>
      </c>
      <c r="F51" s="93">
        <v>18087.105</v>
      </c>
      <c r="G51" s="94">
        <f t="shared" si="5"/>
        <v>14.862106727806687</v>
      </c>
      <c r="I51" s="95">
        <f t="shared" si="18"/>
        <v>42</v>
      </c>
      <c r="J51" s="91">
        <f t="shared" si="6"/>
        <v>2021</v>
      </c>
      <c r="K51" s="96">
        <f t="shared" si="19"/>
        <v>44256</v>
      </c>
    </row>
    <row r="52" spans="2:11" outlineLevel="1">
      <c r="B52" s="96">
        <f t="shared" si="3"/>
        <v>44287</v>
      </c>
      <c r="C52" s="93">
        <v>277548.55520698428</v>
      </c>
      <c r="D52" s="89">
        <f>IF(F52&lt;&gt;0,VLOOKUP($J52,'Table 1'!$B$13:$C$33,2,FALSE)/12*1000*Study_MW,0)</f>
        <v>0</v>
      </c>
      <c r="E52" s="89">
        <f t="shared" si="17"/>
        <v>277548.55520698428</v>
      </c>
      <c r="F52" s="93">
        <v>20890.59</v>
      </c>
      <c r="G52" s="94">
        <f t="shared" si="5"/>
        <v>13.285816973430826</v>
      </c>
      <c r="I52" s="95">
        <f t="shared" si="18"/>
        <v>43</v>
      </c>
      <c r="J52" s="91">
        <f t="shared" si="6"/>
        <v>2021</v>
      </c>
      <c r="K52" s="96">
        <f t="shared" si="19"/>
        <v>44287</v>
      </c>
    </row>
    <row r="53" spans="2:11" outlineLevel="1">
      <c r="B53" s="96">
        <f t="shared" si="3"/>
        <v>44317</v>
      </c>
      <c r="C53" s="93">
        <v>350273.97098071873</v>
      </c>
      <c r="D53" s="89">
        <f>IF(F53&lt;&gt;0,VLOOKUP($J53,'Table 1'!$B$13:$C$33,2,FALSE)/12*1000*Study_MW,0)</f>
        <v>0</v>
      </c>
      <c r="E53" s="89">
        <f t="shared" si="17"/>
        <v>350273.97098071873</v>
      </c>
      <c r="F53" s="93">
        <v>24182.510999999999</v>
      </c>
      <c r="G53" s="94">
        <f t="shared" si="5"/>
        <v>14.484598848346177</v>
      </c>
      <c r="I53" s="95">
        <f t="shared" si="18"/>
        <v>44</v>
      </c>
      <c r="J53" s="91">
        <f t="shared" si="6"/>
        <v>2021</v>
      </c>
      <c r="K53" s="96">
        <f t="shared" si="19"/>
        <v>44317</v>
      </c>
    </row>
    <row r="54" spans="2:11" outlineLevel="1">
      <c r="B54" s="96">
        <f t="shared" si="3"/>
        <v>44348</v>
      </c>
      <c r="C54" s="93">
        <v>335314.25091405213</v>
      </c>
      <c r="D54" s="89">
        <f>IF(F54&lt;&gt;0,VLOOKUP($J54,'Table 1'!$B$13:$C$33,2,FALSE)/12*1000*Study_MW,0)</f>
        <v>0</v>
      </c>
      <c r="E54" s="89">
        <f t="shared" si="17"/>
        <v>335314.25091405213</v>
      </c>
      <c r="F54" s="93">
        <v>25691.19</v>
      </c>
      <c r="G54" s="94">
        <f t="shared" si="5"/>
        <v>13.051721267642804</v>
      </c>
      <c r="I54" s="95">
        <f t="shared" si="18"/>
        <v>45</v>
      </c>
      <c r="J54" s="91">
        <f t="shared" si="6"/>
        <v>2021</v>
      </c>
      <c r="K54" s="96">
        <f t="shared" si="19"/>
        <v>44348</v>
      </c>
    </row>
    <row r="55" spans="2:11" outlineLevel="1">
      <c r="B55" s="96">
        <f t="shared" si="3"/>
        <v>44378</v>
      </c>
      <c r="C55" s="93">
        <v>322496.84880757332</v>
      </c>
      <c r="D55" s="89">
        <f>IF(F55&lt;&gt;0,VLOOKUP($J55,'Table 1'!$B$13:$C$33,2,FALSE)/12*1000*Study_MW,0)</f>
        <v>0</v>
      </c>
      <c r="E55" s="89">
        <f t="shared" si="17"/>
        <v>322496.84880757332</v>
      </c>
      <c r="F55" s="93">
        <v>23253.751</v>
      </c>
      <c r="G55" s="94">
        <f t="shared" si="5"/>
        <v>13.868594740159267</v>
      </c>
      <c r="I55" s="95">
        <f t="shared" si="18"/>
        <v>46</v>
      </c>
      <c r="J55" s="91">
        <f t="shared" si="6"/>
        <v>2021</v>
      </c>
      <c r="K55" s="96">
        <f t="shared" si="19"/>
        <v>44378</v>
      </c>
    </row>
    <row r="56" spans="2:11" outlineLevel="1">
      <c r="B56" s="96">
        <f t="shared" si="3"/>
        <v>44409</v>
      </c>
      <c r="C56" s="93">
        <v>415665.11824798584</v>
      </c>
      <c r="D56" s="89">
        <f>IF(F56&lt;&gt;0,VLOOKUP($J56,'Table 1'!$B$13:$C$33,2,FALSE)/12*1000*Study_MW,0)</f>
        <v>0</v>
      </c>
      <c r="E56" s="89">
        <f t="shared" si="17"/>
        <v>415665.11824798584</v>
      </c>
      <c r="F56" s="93">
        <v>23291.633000000002</v>
      </c>
      <c r="G56" s="94">
        <f t="shared" si="5"/>
        <v>17.84611316209498</v>
      </c>
      <c r="I56" s="95">
        <f t="shared" si="18"/>
        <v>47</v>
      </c>
      <c r="J56" s="91">
        <f t="shared" si="6"/>
        <v>2021</v>
      </c>
      <c r="K56" s="96">
        <f t="shared" si="19"/>
        <v>44409</v>
      </c>
    </row>
    <row r="57" spans="2:11" outlineLevel="1">
      <c r="B57" s="96">
        <f t="shared" si="3"/>
        <v>44440</v>
      </c>
      <c r="C57" s="93">
        <v>377726.43457859755</v>
      </c>
      <c r="D57" s="89">
        <f>IF(F57&lt;&gt;0,VLOOKUP($J57,'Table 1'!$B$13:$C$33,2,FALSE)/12*1000*Study_MW,0)</f>
        <v>0</v>
      </c>
      <c r="E57" s="89">
        <f t="shared" si="17"/>
        <v>377726.43457859755</v>
      </c>
      <c r="F57" s="93">
        <v>20531.37</v>
      </c>
      <c r="G57" s="94">
        <f t="shared" si="5"/>
        <v>18.397527031980697</v>
      </c>
      <c r="I57" s="95">
        <f t="shared" si="18"/>
        <v>48</v>
      </c>
      <c r="J57" s="91">
        <f t="shared" si="6"/>
        <v>2021</v>
      </c>
      <c r="K57" s="96">
        <f t="shared" si="19"/>
        <v>44440</v>
      </c>
    </row>
    <row r="58" spans="2:11" outlineLevel="1">
      <c r="B58" s="96">
        <f t="shared" si="3"/>
        <v>44470</v>
      </c>
      <c r="C58" s="93">
        <v>277952.46921315789</v>
      </c>
      <c r="D58" s="89">
        <f>IF(F58&lt;&gt;0,VLOOKUP($J58,'Table 1'!$B$13:$C$33,2,FALSE)/12*1000*Study_MW,0)</f>
        <v>0</v>
      </c>
      <c r="E58" s="89">
        <f t="shared" si="17"/>
        <v>277952.46921315789</v>
      </c>
      <c r="F58" s="93">
        <v>16645.202000000001</v>
      </c>
      <c r="G58" s="94">
        <f t="shared" si="5"/>
        <v>16.698654015322727</v>
      </c>
      <c r="I58" s="95">
        <f t="shared" si="18"/>
        <v>49</v>
      </c>
      <c r="J58" s="91">
        <f t="shared" si="6"/>
        <v>2021</v>
      </c>
      <c r="K58" s="96">
        <f t="shared" si="19"/>
        <v>44470</v>
      </c>
    </row>
    <row r="59" spans="2:11" outlineLevel="1">
      <c r="B59" s="96">
        <f t="shared" si="3"/>
        <v>44501</v>
      </c>
      <c r="C59" s="93">
        <v>144319.10297270119</v>
      </c>
      <c r="D59" s="89">
        <f>IF(F59&lt;&gt;0,VLOOKUP($J59,'Table 1'!$B$13:$C$33,2,FALSE)/12*1000*Study_MW,0)</f>
        <v>0</v>
      </c>
      <c r="E59" s="89">
        <f t="shared" si="17"/>
        <v>144319.10297270119</v>
      </c>
      <c r="F59" s="93">
        <v>11211.24</v>
      </c>
      <c r="G59" s="94">
        <f t="shared" si="5"/>
        <v>12.872715504502731</v>
      </c>
      <c r="I59" s="95">
        <f t="shared" si="18"/>
        <v>50</v>
      </c>
      <c r="J59" s="91">
        <f t="shared" si="6"/>
        <v>2021</v>
      </c>
      <c r="K59" s="96">
        <f t="shared" si="19"/>
        <v>44501</v>
      </c>
    </row>
    <row r="60" spans="2:11" outlineLevel="1">
      <c r="B60" s="100">
        <f t="shared" si="3"/>
        <v>44531</v>
      </c>
      <c r="C60" s="97">
        <v>125882.37393701077</v>
      </c>
      <c r="D60" s="98">
        <f>IF(F60&lt;&gt;0,VLOOKUP($J60,'Table 1'!$B$13:$C$33,2,FALSE)/12*1000*Study_MW,0)</f>
        <v>0</v>
      </c>
      <c r="E60" s="98">
        <f t="shared" si="17"/>
        <v>125882.37393701077</v>
      </c>
      <c r="F60" s="97">
        <v>8649.1239999999998</v>
      </c>
      <c r="G60" s="99">
        <f t="shared" si="5"/>
        <v>14.554349543030112</v>
      </c>
      <c r="I60" s="82">
        <f t="shared" si="18"/>
        <v>51</v>
      </c>
      <c r="J60" s="91">
        <f t="shared" si="6"/>
        <v>2021</v>
      </c>
      <c r="K60" s="100">
        <f t="shared" si="19"/>
        <v>44531</v>
      </c>
    </row>
    <row r="61" spans="2:11" outlineLevel="1">
      <c r="B61" s="92">
        <f t="shared" si="3"/>
        <v>44562</v>
      </c>
      <c r="C61" s="87">
        <v>183931.95453539491</v>
      </c>
      <c r="D61" s="88">
        <f>IF(F61&lt;&gt;0,VLOOKUP($J61,'Table 1'!$B$13:$C$33,2,FALSE)/12*1000*Study_MW,0)</f>
        <v>0</v>
      </c>
      <c r="E61" s="88">
        <f t="shared" si="17"/>
        <v>183931.95453539491</v>
      </c>
      <c r="F61" s="87">
        <v>10324.891</v>
      </c>
      <c r="G61" s="90">
        <f t="shared" si="5"/>
        <v>17.814420949857478</v>
      </c>
      <c r="I61" s="78">
        <f>I49+13</f>
        <v>53</v>
      </c>
      <c r="J61" s="91">
        <f t="shared" si="6"/>
        <v>2022</v>
      </c>
      <c r="K61" s="92">
        <f t="shared" si="19"/>
        <v>44562</v>
      </c>
    </row>
    <row r="62" spans="2:11" outlineLevel="1">
      <c r="B62" s="96">
        <f t="shared" si="3"/>
        <v>44593</v>
      </c>
      <c r="C62" s="93">
        <v>207590.53081279993</v>
      </c>
      <c r="D62" s="89">
        <f>IF(F62&lt;&gt;0,VLOOKUP($J62,'Table 1'!$B$13:$C$33,2,FALSE)/12*1000*Study_MW,0)</f>
        <v>0</v>
      </c>
      <c r="E62" s="89">
        <f t="shared" si="17"/>
        <v>207590.53081279993</v>
      </c>
      <c r="F62" s="93">
        <v>11555.404</v>
      </c>
      <c r="G62" s="94">
        <f t="shared" si="5"/>
        <v>17.964800781764094</v>
      </c>
      <c r="I62" s="95">
        <f t="shared" si="18"/>
        <v>54</v>
      </c>
      <c r="J62" s="91">
        <f t="shared" si="6"/>
        <v>2022</v>
      </c>
      <c r="K62" s="96">
        <f t="shared" si="19"/>
        <v>44593</v>
      </c>
    </row>
    <row r="63" spans="2:11" outlineLevel="1">
      <c r="B63" s="96">
        <f t="shared" si="3"/>
        <v>44621</v>
      </c>
      <c r="C63" s="93">
        <v>306469.015499264</v>
      </c>
      <c r="D63" s="89">
        <f>IF(F63&lt;&gt;0,VLOOKUP($J63,'Table 1'!$B$13:$C$33,2,FALSE)/12*1000*Study_MW,0)</f>
        <v>0</v>
      </c>
      <c r="E63" s="89">
        <f t="shared" si="17"/>
        <v>306469.015499264</v>
      </c>
      <c r="F63" s="93">
        <v>17996.708999999999</v>
      </c>
      <c r="G63" s="94">
        <f t="shared" si="5"/>
        <v>17.029169916525518</v>
      </c>
      <c r="I63" s="95">
        <f t="shared" si="18"/>
        <v>55</v>
      </c>
      <c r="J63" s="91">
        <f t="shared" si="6"/>
        <v>2022</v>
      </c>
      <c r="K63" s="96">
        <f t="shared" si="19"/>
        <v>44621</v>
      </c>
    </row>
    <row r="64" spans="2:11" outlineLevel="1">
      <c r="B64" s="96">
        <f t="shared" si="3"/>
        <v>44652</v>
      </c>
      <c r="C64" s="93">
        <v>316058.46882002056</v>
      </c>
      <c r="D64" s="89">
        <f>IF(F64&lt;&gt;0,VLOOKUP($J64,'Table 1'!$B$13:$C$33,2,FALSE)/12*1000*Study_MW,0)</f>
        <v>0</v>
      </c>
      <c r="E64" s="89">
        <f t="shared" si="17"/>
        <v>316058.46882002056</v>
      </c>
      <c r="F64" s="93">
        <v>20786.099999999999</v>
      </c>
      <c r="G64" s="94">
        <f t="shared" si="5"/>
        <v>15.205279913981968</v>
      </c>
      <c r="I64" s="95">
        <f t="shared" si="18"/>
        <v>56</v>
      </c>
      <c r="J64" s="91">
        <f t="shared" si="6"/>
        <v>2022</v>
      </c>
      <c r="K64" s="96">
        <f t="shared" si="19"/>
        <v>44652</v>
      </c>
    </row>
    <row r="65" spans="2:11" outlineLevel="1">
      <c r="B65" s="96">
        <f t="shared" si="3"/>
        <v>44682</v>
      </c>
      <c r="C65" s="93">
        <v>361883.94871544838</v>
      </c>
      <c r="D65" s="89">
        <f>IF(F65&lt;&gt;0,VLOOKUP($J65,'Table 1'!$B$13:$C$33,2,FALSE)/12*1000*Study_MW,0)</f>
        <v>0</v>
      </c>
      <c r="E65" s="89">
        <f t="shared" si="17"/>
        <v>361883.94871544838</v>
      </c>
      <c r="F65" s="93">
        <v>24061.611000000001</v>
      </c>
      <c r="G65" s="94">
        <f t="shared" si="5"/>
        <v>15.039888589149262</v>
      </c>
      <c r="I65" s="95">
        <f t="shared" si="18"/>
        <v>57</v>
      </c>
      <c r="J65" s="91">
        <f t="shared" si="6"/>
        <v>2022</v>
      </c>
      <c r="K65" s="96">
        <f t="shared" si="19"/>
        <v>44682</v>
      </c>
    </row>
    <row r="66" spans="2:11" outlineLevel="1">
      <c r="B66" s="96">
        <f t="shared" si="3"/>
        <v>44713</v>
      </c>
      <c r="C66" s="93">
        <v>372321.84227387607</v>
      </c>
      <c r="D66" s="89">
        <f>IF(F66&lt;&gt;0,VLOOKUP($J66,'Table 1'!$B$13:$C$33,2,FALSE)/12*1000*Study_MW,0)</f>
        <v>0</v>
      </c>
      <c r="E66" s="89">
        <f t="shared" si="17"/>
        <v>372321.84227387607</v>
      </c>
      <c r="F66" s="93">
        <v>25562.639999999999</v>
      </c>
      <c r="G66" s="94">
        <f t="shared" si="5"/>
        <v>14.565077874346159</v>
      </c>
      <c r="I66" s="95">
        <f t="shared" si="18"/>
        <v>58</v>
      </c>
      <c r="J66" s="91">
        <f t="shared" si="6"/>
        <v>2022</v>
      </c>
      <c r="K66" s="96">
        <f t="shared" si="19"/>
        <v>44713</v>
      </c>
    </row>
    <row r="67" spans="2:11" outlineLevel="1">
      <c r="B67" s="96">
        <f t="shared" si="3"/>
        <v>44743</v>
      </c>
      <c r="C67" s="93">
        <v>391201.36087337136</v>
      </c>
      <c r="D67" s="89">
        <f>IF(F67&lt;&gt;0,VLOOKUP($J67,'Table 1'!$B$13:$C$33,2,FALSE)/12*1000*Study_MW,0)</f>
        <v>0</v>
      </c>
      <c r="E67" s="89">
        <f t="shared" si="17"/>
        <v>391201.36087337136</v>
      </c>
      <c r="F67" s="93">
        <v>23137.47</v>
      </c>
      <c r="G67" s="94">
        <f t="shared" si="5"/>
        <v>16.907698243298483</v>
      </c>
      <c r="I67" s="95">
        <f t="shared" si="18"/>
        <v>59</v>
      </c>
      <c r="J67" s="91">
        <f t="shared" si="6"/>
        <v>2022</v>
      </c>
      <c r="K67" s="96">
        <f t="shared" si="19"/>
        <v>44743</v>
      </c>
    </row>
    <row r="68" spans="2:11" outlineLevel="1">
      <c r="B68" s="96">
        <f t="shared" si="3"/>
        <v>44774</v>
      </c>
      <c r="C68" s="93">
        <v>465297.94733056426</v>
      </c>
      <c r="D68" s="89">
        <f>IF(F68&lt;&gt;0,VLOOKUP($J68,'Table 1'!$B$13:$C$33,2,FALSE)/12*1000*Study_MW,0)</f>
        <v>0</v>
      </c>
      <c r="E68" s="89">
        <f t="shared" si="17"/>
        <v>465297.94733056426</v>
      </c>
      <c r="F68" s="93">
        <v>23175.103999999999</v>
      </c>
      <c r="G68" s="94">
        <f t="shared" si="5"/>
        <v>20.077491230700161</v>
      </c>
      <c r="I68" s="95">
        <f t="shared" si="18"/>
        <v>60</v>
      </c>
      <c r="J68" s="91">
        <f t="shared" si="6"/>
        <v>2022</v>
      </c>
      <c r="K68" s="96">
        <f t="shared" si="19"/>
        <v>44774</v>
      </c>
    </row>
    <row r="69" spans="2:11" outlineLevel="1">
      <c r="B69" s="96">
        <f t="shared" si="3"/>
        <v>44805</v>
      </c>
      <c r="C69" s="93">
        <v>408442.79896141589</v>
      </c>
      <c r="D69" s="89">
        <f>IF(F69&lt;&gt;0,VLOOKUP($J69,'Table 1'!$B$13:$C$33,2,FALSE)/12*1000*Study_MW,0)</f>
        <v>0</v>
      </c>
      <c r="E69" s="89">
        <f t="shared" si="17"/>
        <v>408442.79896141589</v>
      </c>
      <c r="F69" s="93">
        <v>20428.68</v>
      </c>
      <c r="G69" s="94">
        <f t="shared" si="5"/>
        <v>19.993597185986363</v>
      </c>
      <c r="I69" s="95">
        <f t="shared" si="18"/>
        <v>61</v>
      </c>
      <c r="J69" s="91">
        <f t="shared" si="6"/>
        <v>2022</v>
      </c>
      <c r="K69" s="96">
        <f t="shared" si="19"/>
        <v>44805</v>
      </c>
    </row>
    <row r="70" spans="2:11" outlineLevel="1">
      <c r="B70" s="96">
        <f t="shared" si="3"/>
        <v>44835</v>
      </c>
      <c r="C70" s="93">
        <v>311101.99032913148</v>
      </c>
      <c r="D70" s="89">
        <f>IF(F70&lt;&gt;0,VLOOKUP($J70,'Table 1'!$B$13:$C$33,2,FALSE)/12*1000*Study_MW,0)</f>
        <v>0</v>
      </c>
      <c r="E70" s="89">
        <f t="shared" si="17"/>
        <v>311101.99032913148</v>
      </c>
      <c r="F70" s="93">
        <v>16561.998</v>
      </c>
      <c r="G70" s="94">
        <f t="shared" si="5"/>
        <v>18.784085732236623</v>
      </c>
      <c r="I70" s="95">
        <f t="shared" si="18"/>
        <v>62</v>
      </c>
      <c r="J70" s="91">
        <f t="shared" si="6"/>
        <v>2022</v>
      </c>
      <c r="K70" s="96">
        <f t="shared" si="19"/>
        <v>44835</v>
      </c>
    </row>
    <row r="71" spans="2:11" outlineLevel="1">
      <c r="B71" s="96">
        <f t="shared" si="3"/>
        <v>44866</v>
      </c>
      <c r="C71" s="93">
        <v>195409.76732525229</v>
      </c>
      <c r="D71" s="89">
        <f>IF(F71&lt;&gt;0,VLOOKUP($J71,'Table 1'!$B$13:$C$33,2,FALSE)/12*1000*Study_MW,0)</f>
        <v>0</v>
      </c>
      <c r="E71" s="89">
        <f t="shared" si="17"/>
        <v>195409.76732525229</v>
      </c>
      <c r="F71" s="93">
        <v>11155.2</v>
      </c>
      <c r="G71" s="94">
        <f t="shared" si="5"/>
        <v>17.517370134578698</v>
      </c>
      <c r="I71" s="95">
        <f t="shared" si="18"/>
        <v>63</v>
      </c>
      <c r="J71" s="91">
        <f t="shared" si="6"/>
        <v>2022</v>
      </c>
      <c r="K71" s="96">
        <f t="shared" si="19"/>
        <v>44866</v>
      </c>
    </row>
    <row r="72" spans="2:11" outlineLevel="1">
      <c r="B72" s="100">
        <f t="shared" si="3"/>
        <v>44896</v>
      </c>
      <c r="C72" s="97">
        <v>103681.86746639013</v>
      </c>
      <c r="D72" s="98">
        <f>IF(F72&lt;&gt;0,VLOOKUP($J72,'Table 1'!$B$13:$C$33,2,FALSE)/12*1000*Study_MW,0)</f>
        <v>0</v>
      </c>
      <c r="E72" s="98">
        <f t="shared" si="17"/>
        <v>103681.86746639013</v>
      </c>
      <c r="F72" s="97">
        <v>8605.848</v>
      </c>
      <c r="G72" s="99">
        <f t="shared" si="5"/>
        <v>12.047838570515088</v>
      </c>
      <c r="I72" s="82">
        <f t="shared" si="18"/>
        <v>64</v>
      </c>
      <c r="J72" s="91">
        <f t="shared" si="6"/>
        <v>2022</v>
      </c>
      <c r="K72" s="100">
        <f t="shared" si="19"/>
        <v>44896</v>
      </c>
    </row>
    <row r="73" spans="2:11" outlineLevel="1">
      <c r="B73" s="92">
        <f t="shared" si="3"/>
        <v>44927</v>
      </c>
      <c r="C73" s="87">
        <v>191504.34061795473</v>
      </c>
      <c r="D73" s="88">
        <f>IF(F73&lt;&gt;0,VLOOKUP($J73,'Table 1'!$B$13:$C$33,2,FALSE)/12*1000*Study_MW,0)</f>
        <v>0</v>
      </c>
      <c r="E73" s="88">
        <f t="shared" si="17"/>
        <v>191504.34061795473</v>
      </c>
      <c r="F73" s="87">
        <v>10273.276</v>
      </c>
      <c r="G73" s="90">
        <f t="shared" si="5"/>
        <v>18.641019730994742</v>
      </c>
      <c r="I73" s="78">
        <f>I61+13</f>
        <v>66</v>
      </c>
      <c r="J73" s="91">
        <f t="shared" si="6"/>
        <v>2023</v>
      </c>
      <c r="K73" s="92">
        <f t="shared" si="19"/>
        <v>44927</v>
      </c>
    </row>
    <row r="74" spans="2:11" outlineLevel="1">
      <c r="B74" s="96">
        <f t="shared" si="3"/>
        <v>44958</v>
      </c>
      <c r="C74" s="93">
        <v>219447.21929137409</v>
      </c>
      <c r="D74" s="89">
        <f>IF(F74&lt;&gt;0,VLOOKUP($J74,'Table 1'!$B$13:$C$33,2,FALSE)/12*1000*Study_MW,0)</f>
        <v>0</v>
      </c>
      <c r="E74" s="89">
        <f t="shared" si="17"/>
        <v>219447.21929137409</v>
      </c>
      <c r="F74" s="93">
        <v>11497.611999999999</v>
      </c>
      <c r="G74" s="94">
        <f t="shared" si="5"/>
        <v>19.086330212862819</v>
      </c>
      <c r="I74" s="95">
        <f t="shared" si="18"/>
        <v>67</v>
      </c>
      <c r="J74" s="91">
        <f t="shared" si="6"/>
        <v>2023</v>
      </c>
      <c r="K74" s="96">
        <f t="shared" si="19"/>
        <v>44958</v>
      </c>
    </row>
    <row r="75" spans="2:11" outlineLevel="1">
      <c r="B75" s="96">
        <f t="shared" si="3"/>
        <v>44986</v>
      </c>
      <c r="C75" s="93">
        <v>318341.53196206689</v>
      </c>
      <c r="D75" s="89">
        <f>IF(F75&lt;&gt;0,VLOOKUP($J75,'Table 1'!$B$13:$C$33,2,FALSE)/12*1000*Study_MW,0)</f>
        <v>0</v>
      </c>
      <c r="E75" s="89">
        <f t="shared" si="17"/>
        <v>318341.53196206689</v>
      </c>
      <c r="F75" s="93">
        <v>17906.685000000001</v>
      </c>
      <c r="G75" s="94">
        <f t="shared" si="5"/>
        <v>17.777803762229965</v>
      </c>
      <c r="I75" s="95">
        <f t="shared" si="18"/>
        <v>68</v>
      </c>
      <c r="J75" s="91">
        <f t="shared" si="6"/>
        <v>2023</v>
      </c>
      <c r="K75" s="96">
        <f t="shared" si="19"/>
        <v>44986</v>
      </c>
    </row>
    <row r="76" spans="2:11" outlineLevel="1">
      <c r="B76" s="96">
        <f t="shared" si="3"/>
        <v>45017</v>
      </c>
      <c r="C76" s="93">
        <v>336891.00504568219</v>
      </c>
      <c r="D76" s="89">
        <f>IF(F76&lt;&gt;0,VLOOKUP($J76,'Table 1'!$B$13:$C$33,2,FALSE)/12*1000*Study_MW,0)</f>
        <v>0</v>
      </c>
      <c r="E76" s="89">
        <f t="shared" si="17"/>
        <v>336891.00504568219</v>
      </c>
      <c r="F76" s="93">
        <v>20682.150000000001</v>
      </c>
      <c r="G76" s="94">
        <f t="shared" si="5"/>
        <v>16.288974069218249</v>
      </c>
      <c r="I76" s="95">
        <f t="shared" si="18"/>
        <v>69</v>
      </c>
      <c r="J76" s="91">
        <f t="shared" si="6"/>
        <v>2023</v>
      </c>
      <c r="K76" s="96">
        <f t="shared" si="19"/>
        <v>45017</v>
      </c>
    </row>
    <row r="77" spans="2:11" outlineLevel="1">
      <c r="B77" s="96">
        <f t="shared" si="3"/>
        <v>45047</v>
      </c>
      <c r="C77" s="93">
        <v>397898.63144183159</v>
      </c>
      <c r="D77" s="89">
        <f>IF(F77&lt;&gt;0,VLOOKUP($J77,'Table 1'!$B$13:$C$33,2,FALSE)/12*1000*Study_MW,0)</f>
        <v>0</v>
      </c>
      <c r="E77" s="89">
        <f t="shared" si="17"/>
        <v>397898.63144183159</v>
      </c>
      <c r="F77" s="93">
        <v>23941.269</v>
      </c>
      <c r="G77" s="94">
        <f t="shared" si="5"/>
        <v>16.619780323333387</v>
      </c>
      <c r="I77" s="95">
        <f t="shared" si="18"/>
        <v>70</v>
      </c>
      <c r="J77" s="91">
        <f t="shared" si="6"/>
        <v>2023</v>
      </c>
      <c r="K77" s="96">
        <f t="shared" si="19"/>
        <v>45047</v>
      </c>
    </row>
    <row r="78" spans="2:11" outlineLevel="1">
      <c r="B78" s="96">
        <f t="shared" ref="B78:B141" si="33">EDATE(B77,1)</f>
        <v>45078</v>
      </c>
      <c r="C78" s="93">
        <v>416165.60478159785</v>
      </c>
      <c r="D78" s="89">
        <f>IF(F78&lt;&gt;0,VLOOKUP($J78,'Table 1'!$B$13:$C$33,2,FALSE)/12*1000*Study_MW,0)</f>
        <v>0</v>
      </c>
      <c r="E78" s="89">
        <f t="shared" ref="E78:E141" si="34">C78+D78</f>
        <v>416165.60478159785</v>
      </c>
      <c r="F78" s="93">
        <v>25434.84</v>
      </c>
      <c r="G78" s="94">
        <f t="shared" ref="G78:G141" si="35">IF(ISNUMBER($F78),E78/$F78,"")</f>
        <v>16.362029593329382</v>
      </c>
      <c r="I78" s="95">
        <f t="shared" si="18"/>
        <v>71</v>
      </c>
      <c r="J78" s="91">
        <f t="shared" ref="J78:J141" si="36">YEAR(B78)</f>
        <v>2023</v>
      </c>
      <c r="K78" s="96">
        <f t="shared" si="19"/>
        <v>45078</v>
      </c>
    </row>
    <row r="79" spans="2:11" outlineLevel="1">
      <c r="B79" s="96">
        <f t="shared" si="33"/>
        <v>45108</v>
      </c>
      <c r="C79" s="93">
        <v>417095.37208369374</v>
      </c>
      <c r="D79" s="89">
        <f>IF(F79&lt;&gt;0,VLOOKUP($J79,'Table 1'!$B$13:$C$33,2,FALSE)/12*1000*Study_MW,0)</f>
        <v>0</v>
      </c>
      <c r="E79" s="89">
        <f t="shared" si="34"/>
        <v>417095.37208369374</v>
      </c>
      <c r="F79" s="93">
        <v>23021.84</v>
      </c>
      <c r="G79" s="94">
        <f t="shared" si="35"/>
        <v>18.117377763188944</v>
      </c>
      <c r="I79" s="95">
        <f t="shared" si="18"/>
        <v>72</v>
      </c>
      <c r="J79" s="91">
        <f t="shared" si="36"/>
        <v>2023</v>
      </c>
      <c r="K79" s="96">
        <f t="shared" si="19"/>
        <v>45108</v>
      </c>
    </row>
    <row r="80" spans="2:11" outlineLevel="1">
      <c r="B80" s="96">
        <f t="shared" si="33"/>
        <v>45139</v>
      </c>
      <c r="C80" s="93">
        <v>491612.09755927324</v>
      </c>
      <c r="D80" s="89">
        <f>IF(F80&lt;&gt;0,VLOOKUP($J80,'Table 1'!$B$13:$C$33,2,FALSE)/12*1000*Study_MW,0)</f>
        <v>0</v>
      </c>
      <c r="E80" s="89">
        <f t="shared" si="34"/>
        <v>491612.09755927324</v>
      </c>
      <c r="F80" s="93">
        <v>23059.195</v>
      </c>
      <c r="G80" s="94">
        <f t="shared" si="35"/>
        <v>21.319568942422894</v>
      </c>
      <c r="I80" s="95">
        <f t="shared" si="18"/>
        <v>73</v>
      </c>
      <c r="J80" s="91">
        <f t="shared" si="36"/>
        <v>2023</v>
      </c>
      <c r="K80" s="96">
        <f t="shared" si="19"/>
        <v>45139</v>
      </c>
    </row>
    <row r="81" spans="2:11" outlineLevel="1">
      <c r="B81" s="96">
        <f t="shared" si="33"/>
        <v>45170</v>
      </c>
      <c r="C81" s="93">
        <v>447276.38935874403</v>
      </c>
      <c r="D81" s="89">
        <f>IF(F81&lt;&gt;0,VLOOKUP($J81,'Table 1'!$B$13:$C$33,2,FALSE)/12*1000*Study_MW,0)</f>
        <v>0</v>
      </c>
      <c r="E81" s="89">
        <f t="shared" si="34"/>
        <v>447276.38935874403</v>
      </c>
      <c r="F81" s="93">
        <v>20326.560000000001</v>
      </c>
      <c r="G81" s="94">
        <f t="shared" si="35"/>
        <v>22.004529510096347</v>
      </c>
      <c r="I81" s="95">
        <f t="shared" si="18"/>
        <v>74</v>
      </c>
      <c r="J81" s="91">
        <f t="shared" si="36"/>
        <v>2023</v>
      </c>
      <c r="K81" s="96">
        <f t="shared" si="19"/>
        <v>45170</v>
      </c>
    </row>
    <row r="82" spans="2:11" outlineLevel="1">
      <c r="B82" s="96">
        <f t="shared" si="33"/>
        <v>45200</v>
      </c>
      <c r="C82" s="93">
        <v>323086.07219286263</v>
      </c>
      <c r="D82" s="89">
        <f>IF(F82&lt;&gt;0,VLOOKUP($J82,'Table 1'!$B$13:$C$33,2,FALSE)/12*1000*Study_MW,0)</f>
        <v>0</v>
      </c>
      <c r="E82" s="89">
        <f t="shared" si="34"/>
        <v>323086.07219286263</v>
      </c>
      <c r="F82" s="93">
        <v>16479.197</v>
      </c>
      <c r="G82" s="94">
        <f t="shared" si="35"/>
        <v>19.605692691996012</v>
      </c>
      <c r="I82" s="95">
        <f t="shared" si="18"/>
        <v>75</v>
      </c>
      <c r="J82" s="91">
        <f t="shared" si="36"/>
        <v>2023</v>
      </c>
      <c r="K82" s="96">
        <f t="shared" si="19"/>
        <v>45200</v>
      </c>
    </row>
    <row r="83" spans="2:11" outlineLevel="1">
      <c r="B83" s="96">
        <f t="shared" si="33"/>
        <v>45231</v>
      </c>
      <c r="C83" s="93">
        <v>197885.48855231702</v>
      </c>
      <c r="D83" s="89">
        <f>IF(F83&lt;&gt;0,VLOOKUP($J83,'Table 1'!$B$13:$C$33,2,FALSE)/12*1000*Study_MW,0)</f>
        <v>0</v>
      </c>
      <c r="E83" s="89">
        <f t="shared" si="34"/>
        <v>197885.48855231702</v>
      </c>
      <c r="F83" s="93">
        <v>11099.4</v>
      </c>
      <c r="G83" s="94">
        <f t="shared" si="35"/>
        <v>17.828485193102061</v>
      </c>
      <c r="I83" s="95">
        <f t="shared" si="18"/>
        <v>76</v>
      </c>
      <c r="J83" s="91">
        <f t="shared" si="36"/>
        <v>2023</v>
      </c>
      <c r="K83" s="96">
        <f t="shared" si="19"/>
        <v>45231</v>
      </c>
    </row>
    <row r="84" spans="2:11" outlineLevel="1">
      <c r="B84" s="100">
        <f t="shared" si="33"/>
        <v>45261</v>
      </c>
      <c r="C84" s="97">
        <v>156062.25181478262</v>
      </c>
      <c r="D84" s="98">
        <f>IF(F84&lt;&gt;0,VLOOKUP($J84,'Table 1'!$B$13:$C$33,2,FALSE)/12*1000*Study_MW,0)</f>
        <v>0</v>
      </c>
      <c r="E84" s="98">
        <f t="shared" si="34"/>
        <v>156062.25181478262</v>
      </c>
      <c r="F84" s="97">
        <v>8562.8510000000006</v>
      </c>
      <c r="G84" s="99">
        <f t="shared" si="35"/>
        <v>18.225501274608494</v>
      </c>
      <c r="I84" s="82">
        <f t="shared" si="18"/>
        <v>77</v>
      </c>
      <c r="J84" s="91">
        <f t="shared" si="36"/>
        <v>2023</v>
      </c>
      <c r="K84" s="100">
        <f t="shared" si="19"/>
        <v>45261</v>
      </c>
    </row>
    <row r="85" spans="2:11" outlineLevel="1">
      <c r="B85" s="92">
        <f t="shared" si="33"/>
        <v>45292</v>
      </c>
      <c r="C85" s="87">
        <v>195876.121984303</v>
      </c>
      <c r="D85" s="88">
        <f>IF(F85&lt;&gt;0,VLOOKUP($J85,'Table 1'!$B$13:$C$33,2,FALSE)/12*1000*Study_MW,0)</f>
        <v>0</v>
      </c>
      <c r="E85" s="88">
        <f t="shared" si="34"/>
        <v>195876.121984303</v>
      </c>
      <c r="F85" s="87">
        <v>10221.94</v>
      </c>
      <c r="G85" s="90">
        <f t="shared" si="35"/>
        <v>19.162323588702634</v>
      </c>
      <c r="I85" s="78">
        <f>I73+13</f>
        <v>79</v>
      </c>
      <c r="J85" s="91">
        <f t="shared" si="36"/>
        <v>2024</v>
      </c>
      <c r="K85" s="92">
        <f t="shared" si="19"/>
        <v>45292</v>
      </c>
    </row>
    <row r="86" spans="2:11" outlineLevel="1">
      <c r="B86" s="96">
        <f t="shared" si="33"/>
        <v>45323</v>
      </c>
      <c r="C86" s="93">
        <v>250341.35561595857</v>
      </c>
      <c r="D86" s="89">
        <f>IF(F86&lt;&gt;0,VLOOKUP($J86,'Table 1'!$B$13:$C$33,2,FALSE)/12*1000*Study_MW,0)</f>
        <v>0</v>
      </c>
      <c r="E86" s="89">
        <f t="shared" si="34"/>
        <v>250341.35561595857</v>
      </c>
      <c r="F86" s="93">
        <v>11848.674999999999</v>
      </c>
      <c r="G86" s="94">
        <f t="shared" si="35"/>
        <v>21.128215232163814</v>
      </c>
      <c r="I86" s="95">
        <f t="shared" si="18"/>
        <v>80</v>
      </c>
      <c r="J86" s="91">
        <f t="shared" si="36"/>
        <v>2024</v>
      </c>
      <c r="K86" s="96">
        <f t="shared" si="19"/>
        <v>45323</v>
      </c>
    </row>
    <row r="87" spans="2:11" outlineLevel="1">
      <c r="B87" s="96">
        <f t="shared" si="33"/>
        <v>45352</v>
      </c>
      <c r="C87" s="93">
        <v>354580.54667393863</v>
      </c>
      <c r="D87" s="89">
        <f>IF(F87&lt;&gt;0,VLOOKUP($J87,'Table 1'!$B$13:$C$33,2,FALSE)/12*1000*Study_MW,0)</f>
        <v>0</v>
      </c>
      <c r="E87" s="89">
        <f t="shared" si="34"/>
        <v>354580.54667393863</v>
      </c>
      <c r="F87" s="93">
        <v>17817.126</v>
      </c>
      <c r="G87" s="94">
        <f t="shared" si="35"/>
        <v>19.901107882042179</v>
      </c>
      <c r="I87" s="95">
        <f t="shared" si="18"/>
        <v>81</v>
      </c>
      <c r="J87" s="91">
        <f t="shared" si="36"/>
        <v>2024</v>
      </c>
      <c r="K87" s="96">
        <f t="shared" si="19"/>
        <v>45352</v>
      </c>
    </row>
    <row r="88" spans="2:11" outlineLevel="1">
      <c r="B88" s="96">
        <f t="shared" si="33"/>
        <v>45383</v>
      </c>
      <c r="C88" s="93">
        <v>369080.0992256999</v>
      </c>
      <c r="D88" s="89">
        <f>IF(F88&lt;&gt;0,VLOOKUP($J88,'Table 1'!$B$13:$C$33,2,FALSE)/12*1000*Study_MW,0)</f>
        <v>0</v>
      </c>
      <c r="E88" s="89">
        <f t="shared" si="34"/>
        <v>369080.0992256999</v>
      </c>
      <c r="F88" s="93">
        <v>20578.8</v>
      </c>
      <c r="G88" s="94">
        <f t="shared" si="35"/>
        <v>17.9349670158464</v>
      </c>
      <c r="I88" s="95">
        <f t="shared" si="18"/>
        <v>82</v>
      </c>
      <c r="J88" s="91">
        <f t="shared" si="36"/>
        <v>2024</v>
      </c>
      <c r="K88" s="96">
        <f t="shared" si="19"/>
        <v>45383</v>
      </c>
    </row>
    <row r="89" spans="2:11" outlineLevel="1">
      <c r="B89" s="96">
        <f t="shared" si="33"/>
        <v>45413</v>
      </c>
      <c r="C89" s="93">
        <v>455600.71074639261</v>
      </c>
      <c r="D89" s="89">
        <f>IF(F89&lt;&gt;0,VLOOKUP($J89,'Table 1'!$B$13:$C$33,2,FALSE)/12*1000*Study_MW,0)</f>
        <v>0</v>
      </c>
      <c r="E89" s="89">
        <f t="shared" si="34"/>
        <v>455600.71074639261</v>
      </c>
      <c r="F89" s="93">
        <v>23821.578000000001</v>
      </c>
      <c r="G89" s="94">
        <f t="shared" si="35"/>
        <v>19.125547045892283</v>
      </c>
      <c r="I89" s="95">
        <f t="shared" si="18"/>
        <v>83</v>
      </c>
      <c r="J89" s="91">
        <f t="shared" si="36"/>
        <v>2024</v>
      </c>
      <c r="K89" s="96">
        <f t="shared" si="19"/>
        <v>45413</v>
      </c>
    </row>
    <row r="90" spans="2:11" outlineLevel="1">
      <c r="B90" s="96">
        <f t="shared" si="33"/>
        <v>45444</v>
      </c>
      <c r="C90" s="93">
        <v>502497.8437589556</v>
      </c>
      <c r="D90" s="89">
        <f>IF(F90&lt;&gt;0,VLOOKUP($J90,'Table 1'!$B$13:$C$33,2,FALSE)/12*1000*Study_MW,0)</f>
        <v>0</v>
      </c>
      <c r="E90" s="89">
        <f t="shared" si="34"/>
        <v>502497.8437589556</v>
      </c>
      <c r="F90" s="93">
        <v>25307.73</v>
      </c>
      <c r="G90" s="94">
        <f t="shared" si="35"/>
        <v>19.855508327256359</v>
      </c>
      <c r="I90" s="95">
        <f t="shared" ref="I90:I96" si="37">I78+13</f>
        <v>84</v>
      </c>
      <c r="J90" s="91">
        <f t="shared" si="36"/>
        <v>2024</v>
      </c>
      <c r="K90" s="96">
        <f t="shared" ref="K90:K153" si="38">IF(ISNUMBER(F90),IF(F90&lt;&gt;0,B90,""),"")</f>
        <v>45444</v>
      </c>
    </row>
    <row r="91" spans="2:11" outlineLevel="1">
      <c r="B91" s="96">
        <f t="shared" si="33"/>
        <v>45474</v>
      </c>
      <c r="C91" s="93">
        <v>493351.06741806865</v>
      </c>
      <c r="D91" s="89">
        <f>IF(F91&lt;&gt;0,VLOOKUP($J91,'Table 1'!$B$13:$C$33,2,FALSE)/12*1000*Study_MW,0)</f>
        <v>0</v>
      </c>
      <c r="E91" s="89">
        <f t="shared" si="34"/>
        <v>493351.06741806865</v>
      </c>
      <c r="F91" s="93">
        <v>22906.674999999999</v>
      </c>
      <c r="G91" s="94">
        <f t="shared" si="35"/>
        <v>21.537436900731716</v>
      </c>
      <c r="I91" s="95">
        <f t="shared" si="37"/>
        <v>85</v>
      </c>
      <c r="J91" s="91">
        <f t="shared" si="36"/>
        <v>2024</v>
      </c>
      <c r="K91" s="96">
        <f t="shared" si="38"/>
        <v>45474</v>
      </c>
    </row>
    <row r="92" spans="2:11" outlineLevel="1">
      <c r="B92" s="96">
        <f t="shared" si="33"/>
        <v>45505</v>
      </c>
      <c r="C92" s="93">
        <v>572319.73289939761</v>
      </c>
      <c r="D92" s="89">
        <f>IF(F92&lt;&gt;0,VLOOKUP($J92,'Table 1'!$B$13:$C$33,2,FALSE)/12*1000*Study_MW,0)</f>
        <v>0</v>
      </c>
      <c r="E92" s="89">
        <f t="shared" si="34"/>
        <v>572319.73289939761</v>
      </c>
      <c r="F92" s="93">
        <v>22943.937000000002</v>
      </c>
      <c r="G92" s="94">
        <f t="shared" si="35"/>
        <v>24.944268845377216</v>
      </c>
      <c r="I92" s="95">
        <f t="shared" si="37"/>
        <v>86</v>
      </c>
      <c r="J92" s="91">
        <f t="shared" si="36"/>
        <v>2024</v>
      </c>
      <c r="K92" s="96">
        <f t="shared" si="38"/>
        <v>45505</v>
      </c>
    </row>
    <row r="93" spans="2:11" outlineLevel="1">
      <c r="B93" s="96">
        <f t="shared" si="33"/>
        <v>45536</v>
      </c>
      <c r="C93" s="93">
        <v>530789.22277392447</v>
      </c>
      <c r="D93" s="89">
        <f>IF(F93&lt;&gt;0,VLOOKUP($J93,'Table 1'!$B$13:$C$33,2,FALSE)/12*1000*Study_MW,0)</f>
        <v>0</v>
      </c>
      <c r="E93" s="89">
        <f t="shared" si="34"/>
        <v>530789.22277392447</v>
      </c>
      <c r="F93" s="93">
        <v>20224.919999999998</v>
      </c>
      <c r="G93" s="94">
        <f t="shared" si="35"/>
        <v>26.244317543600889</v>
      </c>
      <c r="I93" s="95">
        <f t="shared" si="37"/>
        <v>87</v>
      </c>
      <c r="J93" s="91">
        <f t="shared" si="36"/>
        <v>2024</v>
      </c>
      <c r="K93" s="96">
        <f t="shared" si="38"/>
        <v>45536</v>
      </c>
    </row>
    <row r="94" spans="2:11" outlineLevel="1">
      <c r="B94" s="96">
        <f t="shared" si="33"/>
        <v>45566</v>
      </c>
      <c r="C94" s="93">
        <v>372958.75143188238</v>
      </c>
      <c r="D94" s="89">
        <f>IF(F94&lt;&gt;0,VLOOKUP($J94,'Table 1'!$B$13:$C$33,2,FALSE)/12*1000*Study_MW,0)</f>
        <v>0</v>
      </c>
      <c r="E94" s="89">
        <f t="shared" si="34"/>
        <v>372958.75143188238</v>
      </c>
      <c r="F94" s="93">
        <v>16396.798999999999</v>
      </c>
      <c r="G94" s="94">
        <f t="shared" si="35"/>
        <v>22.745826879495347</v>
      </c>
      <c r="I94" s="95">
        <f t="shared" si="37"/>
        <v>88</v>
      </c>
      <c r="J94" s="91">
        <f t="shared" si="36"/>
        <v>2024</v>
      </c>
      <c r="K94" s="96">
        <f t="shared" si="38"/>
        <v>45566</v>
      </c>
    </row>
    <row r="95" spans="2:11" outlineLevel="1">
      <c r="B95" s="96">
        <f t="shared" si="33"/>
        <v>45597</v>
      </c>
      <c r="C95" s="93">
        <v>212777.5536968559</v>
      </c>
      <c r="D95" s="89">
        <f>IF(F95&lt;&gt;0,VLOOKUP($J95,'Table 1'!$B$13:$C$33,2,FALSE)/12*1000*Study_MW,0)</f>
        <v>0</v>
      </c>
      <c r="E95" s="89">
        <f t="shared" si="34"/>
        <v>212777.5536968559</v>
      </c>
      <c r="F95" s="93">
        <v>11043.93</v>
      </c>
      <c r="G95" s="94">
        <f t="shared" si="35"/>
        <v>19.266470694477047</v>
      </c>
      <c r="I95" s="95">
        <f t="shared" si="37"/>
        <v>89</v>
      </c>
      <c r="J95" s="91">
        <f t="shared" si="36"/>
        <v>2024</v>
      </c>
      <c r="K95" s="96">
        <f t="shared" si="38"/>
        <v>45597</v>
      </c>
    </row>
    <row r="96" spans="2:11" outlineLevel="1">
      <c r="B96" s="100">
        <f t="shared" si="33"/>
        <v>45627</v>
      </c>
      <c r="C96" s="97">
        <v>173711.4816647768</v>
      </c>
      <c r="D96" s="98">
        <f>IF(F96&lt;&gt;0,VLOOKUP($J96,'Table 1'!$B$13:$C$33,2,FALSE)/12*1000*Study_MW,0)</f>
        <v>0</v>
      </c>
      <c r="E96" s="98">
        <f t="shared" si="34"/>
        <v>173711.4816647768</v>
      </c>
      <c r="F96" s="97">
        <v>8520.0400000000009</v>
      </c>
      <c r="G96" s="99">
        <f t="shared" si="35"/>
        <v>20.388575835885369</v>
      </c>
      <c r="I96" s="82">
        <f t="shared" si="37"/>
        <v>90</v>
      </c>
      <c r="J96" s="91">
        <f t="shared" si="36"/>
        <v>2024</v>
      </c>
      <c r="K96" s="100">
        <f t="shared" si="38"/>
        <v>45627</v>
      </c>
    </row>
    <row r="97" spans="2:11" outlineLevel="1">
      <c r="B97" s="92">
        <f t="shared" si="33"/>
        <v>45658</v>
      </c>
      <c r="C97" s="87">
        <v>211004.19451767206</v>
      </c>
      <c r="D97" s="88">
        <f>IF(F97&lt;&gt;0,VLOOKUP($J97,'Table 1'!$B$13:$C$33,2,FALSE)/12*1000*Study_MW,0)</f>
        <v>0</v>
      </c>
      <c r="E97" s="88">
        <f t="shared" si="34"/>
        <v>211004.19451767206</v>
      </c>
      <c r="F97" s="87">
        <v>10170.790000000001</v>
      </c>
      <c r="G97" s="90">
        <f t="shared" si="35"/>
        <v>20.74609686343657</v>
      </c>
      <c r="I97" s="78">
        <f>I85+13</f>
        <v>92</v>
      </c>
      <c r="J97" s="91">
        <f t="shared" si="36"/>
        <v>2025</v>
      </c>
      <c r="K97" s="92">
        <f t="shared" si="38"/>
        <v>45658</v>
      </c>
    </row>
    <row r="98" spans="2:11" outlineLevel="1">
      <c r="B98" s="96">
        <f t="shared" si="33"/>
        <v>45689</v>
      </c>
      <c r="C98" s="93">
        <v>246010.908112064</v>
      </c>
      <c r="D98" s="89">
        <f>IF(F98&lt;&gt;0,VLOOKUP($J98,'Table 1'!$B$13:$C$33,2,FALSE)/12*1000*Study_MW,0)</f>
        <v>0</v>
      </c>
      <c r="E98" s="89">
        <f t="shared" si="34"/>
        <v>246010.908112064</v>
      </c>
      <c r="F98" s="93">
        <v>11382.98</v>
      </c>
      <c r="G98" s="94">
        <f t="shared" si="35"/>
        <v>21.612170812218242</v>
      </c>
      <c r="I98" s="95">
        <f t="shared" ref="I98:I120" si="39">I86+13</f>
        <v>93</v>
      </c>
      <c r="J98" s="91">
        <f t="shared" si="36"/>
        <v>2025</v>
      </c>
      <c r="K98" s="96">
        <f t="shared" si="38"/>
        <v>45689</v>
      </c>
    </row>
    <row r="99" spans="2:11" outlineLevel="1">
      <c r="B99" s="96">
        <f t="shared" si="33"/>
        <v>45717</v>
      </c>
      <c r="C99" s="93">
        <v>387712.57608766854</v>
      </c>
      <c r="D99" s="89">
        <f>IF(F99&lt;&gt;0,VLOOKUP($J99,'Table 1'!$B$13:$C$33,2,FALSE)/12*1000*Study_MW,0)</f>
        <v>0</v>
      </c>
      <c r="E99" s="89">
        <f t="shared" si="34"/>
        <v>387712.57608766854</v>
      </c>
      <c r="F99" s="93">
        <v>17728.125</v>
      </c>
      <c r="G99" s="94">
        <f t="shared" si="35"/>
        <v>21.869914392394488</v>
      </c>
      <c r="I99" s="95">
        <f t="shared" si="39"/>
        <v>94</v>
      </c>
      <c r="J99" s="91">
        <f t="shared" si="36"/>
        <v>2025</v>
      </c>
      <c r="K99" s="96">
        <f t="shared" si="38"/>
        <v>45717</v>
      </c>
    </row>
    <row r="100" spans="2:11" outlineLevel="1">
      <c r="B100" s="96">
        <f t="shared" si="33"/>
        <v>45748</v>
      </c>
      <c r="C100" s="93">
        <v>445388.4869017452</v>
      </c>
      <c r="D100" s="89">
        <f>IF(F100&lt;&gt;0,VLOOKUP($J100,'Table 1'!$B$13:$C$33,2,FALSE)/12*1000*Study_MW,0)</f>
        <v>0</v>
      </c>
      <c r="E100" s="89">
        <f t="shared" si="34"/>
        <v>445388.4869017452</v>
      </c>
      <c r="F100" s="93">
        <v>20475.87</v>
      </c>
      <c r="G100" s="94">
        <f t="shared" si="35"/>
        <v>21.751871197743746</v>
      </c>
      <c r="I100" s="95">
        <f t="shared" si="39"/>
        <v>95</v>
      </c>
      <c r="J100" s="91">
        <f t="shared" si="36"/>
        <v>2025</v>
      </c>
      <c r="K100" s="96">
        <f t="shared" si="38"/>
        <v>45748</v>
      </c>
    </row>
    <row r="101" spans="2:11" outlineLevel="1">
      <c r="B101" s="96">
        <f t="shared" si="33"/>
        <v>45778</v>
      </c>
      <c r="C101" s="93">
        <v>519271.67210014164</v>
      </c>
      <c r="D101" s="89">
        <f>IF(F101&lt;&gt;0,VLOOKUP($J101,'Table 1'!$B$13:$C$33,2,FALSE)/12*1000*Study_MW,0)</f>
        <v>0</v>
      </c>
      <c r="E101" s="89">
        <f t="shared" si="34"/>
        <v>519271.67210014164</v>
      </c>
      <c r="F101" s="93">
        <v>23702.507000000001</v>
      </c>
      <c r="G101" s="94">
        <f t="shared" si="35"/>
        <v>21.907879706570348</v>
      </c>
      <c r="I101" s="95">
        <f t="shared" si="39"/>
        <v>96</v>
      </c>
      <c r="J101" s="91">
        <f t="shared" si="36"/>
        <v>2025</v>
      </c>
      <c r="K101" s="96">
        <f t="shared" si="38"/>
        <v>45778</v>
      </c>
    </row>
    <row r="102" spans="2:11" outlineLevel="1">
      <c r="B102" s="96">
        <f t="shared" si="33"/>
        <v>45809</v>
      </c>
      <c r="C102" s="93">
        <v>605731.75880455971</v>
      </c>
      <c r="D102" s="89">
        <f>IF(F102&lt;&gt;0,VLOOKUP($J102,'Table 1'!$B$13:$C$33,2,FALSE)/12*1000*Study_MW,0)</f>
        <v>0</v>
      </c>
      <c r="E102" s="89">
        <f t="shared" si="34"/>
        <v>605731.75880455971</v>
      </c>
      <c r="F102" s="93">
        <v>25181.19</v>
      </c>
      <c r="G102" s="94">
        <f t="shared" si="35"/>
        <v>24.054929842654765</v>
      </c>
      <c r="I102" s="95">
        <f t="shared" si="39"/>
        <v>97</v>
      </c>
      <c r="J102" s="91">
        <f t="shared" si="36"/>
        <v>2025</v>
      </c>
      <c r="K102" s="96">
        <f t="shared" si="38"/>
        <v>45809</v>
      </c>
    </row>
    <row r="103" spans="2:11" outlineLevel="1">
      <c r="B103" s="96">
        <f t="shared" si="33"/>
        <v>45839</v>
      </c>
      <c r="C103" s="93">
        <v>534721.73235753179</v>
      </c>
      <c r="D103" s="89">
        <f>IF(F103&lt;&gt;0,VLOOKUP($J103,'Table 1'!$B$13:$C$33,2,FALSE)/12*1000*Study_MW,0)</f>
        <v>0</v>
      </c>
      <c r="E103" s="89">
        <f t="shared" si="34"/>
        <v>534721.73235753179</v>
      </c>
      <c r="F103" s="93">
        <v>22792.161</v>
      </c>
      <c r="G103" s="94">
        <f t="shared" si="35"/>
        <v>23.460773743987321</v>
      </c>
      <c r="I103" s="95">
        <f t="shared" si="39"/>
        <v>98</v>
      </c>
      <c r="J103" s="91">
        <f t="shared" si="36"/>
        <v>2025</v>
      </c>
      <c r="K103" s="96">
        <f t="shared" si="38"/>
        <v>45839</v>
      </c>
    </row>
    <row r="104" spans="2:11" outlineLevel="1">
      <c r="B104" s="96">
        <f t="shared" si="33"/>
        <v>45870</v>
      </c>
      <c r="C104" s="93">
        <v>625982.58684554696</v>
      </c>
      <c r="D104" s="89">
        <f>IF(F104&lt;&gt;0,VLOOKUP($J104,'Table 1'!$B$13:$C$33,2,FALSE)/12*1000*Study_MW,0)</f>
        <v>0</v>
      </c>
      <c r="E104" s="89">
        <f t="shared" si="34"/>
        <v>625982.58684554696</v>
      </c>
      <c r="F104" s="93">
        <v>22829.33</v>
      </c>
      <c r="G104" s="94">
        <f t="shared" si="35"/>
        <v>27.420103298938116</v>
      </c>
      <c r="I104" s="95">
        <f t="shared" si="39"/>
        <v>99</v>
      </c>
      <c r="J104" s="91">
        <f t="shared" si="36"/>
        <v>2025</v>
      </c>
      <c r="K104" s="96">
        <f t="shared" si="38"/>
        <v>45870</v>
      </c>
    </row>
    <row r="105" spans="2:11" outlineLevel="1">
      <c r="B105" s="96">
        <f t="shared" si="33"/>
        <v>45901</v>
      </c>
      <c r="C105" s="93">
        <v>600870.5306892693</v>
      </c>
      <c r="D105" s="89">
        <f>IF(F105&lt;&gt;0,VLOOKUP($J105,'Table 1'!$B$13:$C$33,2,FALSE)/12*1000*Study_MW,0)</f>
        <v>0</v>
      </c>
      <c r="E105" s="89">
        <f t="shared" si="34"/>
        <v>600870.5306892693</v>
      </c>
      <c r="F105" s="93">
        <v>20123.79</v>
      </c>
      <c r="G105" s="94">
        <f t="shared" si="35"/>
        <v>29.858716011708992</v>
      </c>
      <c r="I105" s="95">
        <f t="shared" si="39"/>
        <v>100</v>
      </c>
      <c r="J105" s="91">
        <f t="shared" si="36"/>
        <v>2025</v>
      </c>
      <c r="K105" s="96">
        <f t="shared" si="38"/>
        <v>45901</v>
      </c>
    </row>
    <row r="106" spans="2:11" outlineLevel="1">
      <c r="B106" s="96">
        <f t="shared" si="33"/>
        <v>45931</v>
      </c>
      <c r="C106" s="93">
        <v>385368.19145847857</v>
      </c>
      <c r="D106" s="89">
        <f>IF(F106&lt;&gt;0,VLOOKUP($J106,'Table 1'!$B$13:$C$33,2,FALSE)/12*1000*Study_MW,0)</f>
        <v>0</v>
      </c>
      <c r="E106" s="89">
        <f t="shared" si="34"/>
        <v>385368.19145847857</v>
      </c>
      <c r="F106" s="93">
        <v>16314.804</v>
      </c>
      <c r="G106" s="94">
        <f t="shared" si="35"/>
        <v>23.620767461164633</v>
      </c>
      <c r="I106" s="95">
        <f t="shared" si="39"/>
        <v>101</v>
      </c>
      <c r="J106" s="91">
        <f t="shared" si="36"/>
        <v>2025</v>
      </c>
      <c r="K106" s="96">
        <f t="shared" si="38"/>
        <v>45931</v>
      </c>
    </row>
    <row r="107" spans="2:11" outlineLevel="1">
      <c r="B107" s="96">
        <f t="shared" si="33"/>
        <v>45962</v>
      </c>
      <c r="C107" s="93">
        <v>214912.70302905142</v>
      </c>
      <c r="D107" s="89">
        <f>IF(F107&lt;&gt;0,VLOOKUP($J107,'Table 1'!$B$13:$C$33,2,FALSE)/12*1000*Study_MW,0)</f>
        <v>0</v>
      </c>
      <c r="E107" s="89">
        <f t="shared" si="34"/>
        <v>214912.70302905142</v>
      </c>
      <c r="F107" s="93">
        <v>10988.67</v>
      </c>
      <c r="G107" s="94">
        <f t="shared" si="35"/>
        <v>19.557662849921911</v>
      </c>
      <c r="I107" s="95">
        <f t="shared" si="39"/>
        <v>102</v>
      </c>
      <c r="J107" s="91">
        <f t="shared" si="36"/>
        <v>2025</v>
      </c>
      <c r="K107" s="96">
        <f t="shared" si="38"/>
        <v>45962</v>
      </c>
    </row>
    <row r="108" spans="2:11" outlineLevel="1">
      <c r="B108" s="100">
        <f t="shared" si="33"/>
        <v>45992</v>
      </c>
      <c r="C108" s="97">
        <v>179440.45963841677</v>
      </c>
      <c r="D108" s="98">
        <f>IF(F108&lt;&gt;0,VLOOKUP($J108,'Table 1'!$B$13:$C$33,2,FALSE)/12*1000*Study_MW,0)</f>
        <v>0</v>
      </c>
      <c r="E108" s="98">
        <f t="shared" si="34"/>
        <v>179440.45963841677</v>
      </c>
      <c r="F108" s="97">
        <v>8477.4459999999999</v>
      </c>
      <c r="G108" s="99">
        <f t="shared" si="35"/>
        <v>21.166806563960037</v>
      </c>
      <c r="I108" s="82">
        <f t="shared" si="39"/>
        <v>103</v>
      </c>
      <c r="J108" s="91">
        <f t="shared" si="36"/>
        <v>2025</v>
      </c>
      <c r="K108" s="100">
        <f t="shared" si="38"/>
        <v>45992</v>
      </c>
    </row>
    <row r="109" spans="2:11" outlineLevel="1">
      <c r="B109" s="92">
        <f t="shared" si="33"/>
        <v>46023</v>
      </c>
      <c r="C109" s="87">
        <v>205675.70309847593</v>
      </c>
      <c r="D109" s="88">
        <f>IF(F109&lt;&gt;0,VLOOKUP($J109,'Table 1'!$B$13:$C$33,2,FALSE)/12*1000*Study_MW,0)</f>
        <v>0</v>
      </c>
      <c r="E109" s="88">
        <f t="shared" si="34"/>
        <v>205675.70309847593</v>
      </c>
      <c r="F109" s="87">
        <v>10119.950000000001</v>
      </c>
      <c r="G109" s="90">
        <f t="shared" si="35"/>
        <v>20.323786490889376</v>
      </c>
      <c r="I109" s="78">
        <f>I97+13</f>
        <v>105</v>
      </c>
      <c r="J109" s="91">
        <f t="shared" si="36"/>
        <v>2026</v>
      </c>
      <c r="K109" s="92">
        <f t="shared" si="38"/>
        <v>46023</v>
      </c>
    </row>
    <row r="110" spans="2:11" outlineLevel="1">
      <c r="B110" s="96">
        <f t="shared" si="33"/>
        <v>46054</v>
      </c>
      <c r="C110" s="93">
        <v>256414.35030470788</v>
      </c>
      <c r="D110" s="89">
        <f>IF(F110&lt;&gt;0,VLOOKUP($J110,'Table 1'!$B$13:$C$33,2,FALSE)/12*1000*Study_MW,0)</f>
        <v>0</v>
      </c>
      <c r="E110" s="89">
        <f t="shared" si="34"/>
        <v>256414.35030470788</v>
      </c>
      <c r="F110" s="93">
        <v>11326.056</v>
      </c>
      <c r="G110" s="94">
        <f t="shared" si="35"/>
        <v>22.639332730184972</v>
      </c>
      <c r="I110" s="95">
        <f t="shared" si="39"/>
        <v>106</v>
      </c>
      <c r="J110" s="91">
        <f t="shared" si="36"/>
        <v>2026</v>
      </c>
      <c r="K110" s="96">
        <f t="shared" si="38"/>
        <v>46054</v>
      </c>
    </row>
    <row r="111" spans="2:11" outlineLevel="1">
      <c r="B111" s="96">
        <f t="shared" si="33"/>
        <v>46082</v>
      </c>
      <c r="C111" s="93">
        <v>385418.35325886309</v>
      </c>
      <c r="D111" s="89">
        <f>IF(F111&lt;&gt;0,VLOOKUP($J111,'Table 1'!$B$13:$C$33,2,FALSE)/12*1000*Study_MW,0)</f>
        <v>0</v>
      </c>
      <c r="E111" s="89">
        <f t="shared" si="34"/>
        <v>385418.35325886309</v>
      </c>
      <c r="F111" s="93">
        <v>17639.434000000001</v>
      </c>
      <c r="G111" s="94">
        <f t="shared" si="35"/>
        <v>21.849814073334954</v>
      </c>
      <c r="I111" s="95">
        <f t="shared" si="39"/>
        <v>107</v>
      </c>
      <c r="J111" s="91">
        <f t="shared" si="36"/>
        <v>2026</v>
      </c>
      <c r="K111" s="96">
        <f t="shared" si="38"/>
        <v>46082</v>
      </c>
    </row>
    <row r="112" spans="2:11" outlineLevel="1">
      <c r="B112" s="96">
        <f t="shared" si="33"/>
        <v>46113</v>
      </c>
      <c r="C112" s="93">
        <v>449606.01907895505</v>
      </c>
      <c r="D112" s="89">
        <f>IF(F112&lt;&gt;0,VLOOKUP($J112,'Table 1'!$B$13:$C$33,2,FALSE)/12*1000*Study_MW,0)</f>
        <v>0</v>
      </c>
      <c r="E112" s="89">
        <f t="shared" si="34"/>
        <v>449606.01907895505</v>
      </c>
      <c r="F112" s="93">
        <v>20373.54</v>
      </c>
      <c r="G112" s="94">
        <f t="shared" si="35"/>
        <v>22.068134407616693</v>
      </c>
      <c r="I112" s="95">
        <f t="shared" si="39"/>
        <v>108</v>
      </c>
      <c r="J112" s="91">
        <f t="shared" si="36"/>
        <v>2026</v>
      </c>
      <c r="K112" s="96">
        <f t="shared" si="38"/>
        <v>46113</v>
      </c>
    </row>
    <row r="113" spans="2:11" outlineLevel="1">
      <c r="B113" s="96">
        <f t="shared" si="33"/>
        <v>46143</v>
      </c>
      <c r="C113" s="93">
        <v>523554.70554871857</v>
      </c>
      <c r="D113" s="89">
        <f>IF(F113&lt;&gt;0,VLOOKUP($J113,'Table 1'!$B$13:$C$33,2,FALSE)/12*1000*Study_MW,0)</f>
        <v>0</v>
      </c>
      <c r="E113" s="89">
        <f t="shared" si="34"/>
        <v>523554.70554871857</v>
      </c>
      <c r="F113" s="93">
        <v>23583.932000000001</v>
      </c>
      <c r="G113" s="94">
        <f t="shared" si="35"/>
        <v>22.199635987278057</v>
      </c>
      <c r="I113" s="95">
        <f t="shared" si="39"/>
        <v>109</v>
      </c>
      <c r="J113" s="91">
        <f t="shared" si="36"/>
        <v>2026</v>
      </c>
      <c r="K113" s="96">
        <f t="shared" si="38"/>
        <v>46143</v>
      </c>
    </row>
    <row r="114" spans="2:11" outlineLevel="1">
      <c r="B114" s="96">
        <f t="shared" si="33"/>
        <v>46174</v>
      </c>
      <c r="C114" s="93">
        <v>620583.07714539766</v>
      </c>
      <c r="D114" s="89">
        <f>IF(F114&lt;&gt;0,VLOOKUP($J114,'Table 1'!$B$13:$C$33,2,FALSE)/12*1000*Study_MW,0)</f>
        <v>0</v>
      </c>
      <c r="E114" s="89">
        <f t="shared" si="34"/>
        <v>620583.07714539766</v>
      </c>
      <c r="F114" s="93">
        <v>25055.279999999999</v>
      </c>
      <c r="G114" s="94">
        <f t="shared" si="35"/>
        <v>24.768554857315412</v>
      </c>
      <c r="I114" s="95">
        <f t="shared" si="39"/>
        <v>110</v>
      </c>
      <c r="J114" s="91">
        <f t="shared" si="36"/>
        <v>2026</v>
      </c>
      <c r="K114" s="96">
        <f t="shared" si="38"/>
        <v>46174</v>
      </c>
    </row>
    <row r="115" spans="2:11" outlineLevel="1">
      <c r="B115" s="96">
        <f t="shared" si="33"/>
        <v>46204</v>
      </c>
      <c r="C115" s="93">
        <v>559477.01975357533</v>
      </c>
      <c r="D115" s="89">
        <f>IF(F115&lt;&gt;0,VLOOKUP($J115,'Table 1'!$B$13:$C$33,2,FALSE)/12*1000*Study_MW,0)</f>
        <v>0</v>
      </c>
      <c r="E115" s="89">
        <f t="shared" si="34"/>
        <v>559477.01975357533</v>
      </c>
      <c r="F115" s="93">
        <v>22678.236000000001</v>
      </c>
      <c r="G115" s="94">
        <f t="shared" si="35"/>
        <v>24.670217725645649</v>
      </c>
      <c r="I115" s="95">
        <f t="shared" si="39"/>
        <v>111</v>
      </c>
      <c r="J115" s="91">
        <f t="shared" si="36"/>
        <v>2026</v>
      </c>
      <c r="K115" s="96">
        <f t="shared" si="38"/>
        <v>46204</v>
      </c>
    </row>
    <row r="116" spans="2:11" outlineLevel="1">
      <c r="B116" s="96">
        <f t="shared" si="33"/>
        <v>46235</v>
      </c>
      <c r="C116" s="93">
        <v>628989.13328841329</v>
      </c>
      <c r="D116" s="89">
        <f>IF(F116&lt;&gt;0,VLOOKUP($J116,'Table 1'!$B$13:$C$33,2,FALSE)/12*1000*Study_MW,0)</f>
        <v>0</v>
      </c>
      <c r="E116" s="89">
        <f t="shared" si="34"/>
        <v>628989.13328841329</v>
      </c>
      <c r="F116" s="93">
        <v>22715.095000000001</v>
      </c>
      <c r="G116" s="94">
        <f t="shared" si="35"/>
        <v>27.690358912802843</v>
      </c>
      <c r="I116" s="95">
        <f t="shared" si="39"/>
        <v>112</v>
      </c>
      <c r="J116" s="91">
        <f t="shared" si="36"/>
        <v>2026</v>
      </c>
      <c r="K116" s="96">
        <f t="shared" si="38"/>
        <v>46235</v>
      </c>
    </row>
    <row r="117" spans="2:11" outlineLevel="1">
      <c r="B117" s="96">
        <f t="shared" si="33"/>
        <v>46266</v>
      </c>
      <c r="C117" s="93">
        <v>610932.63482293487</v>
      </c>
      <c r="D117" s="89">
        <f>IF(F117&lt;&gt;0,VLOOKUP($J117,'Table 1'!$B$13:$C$33,2,FALSE)/12*1000*Study_MW,0)</f>
        <v>0</v>
      </c>
      <c r="E117" s="89">
        <f t="shared" si="34"/>
        <v>610932.63482293487</v>
      </c>
      <c r="F117" s="93">
        <v>20023.080000000002</v>
      </c>
      <c r="G117" s="94">
        <f t="shared" si="35"/>
        <v>30.511421560665731</v>
      </c>
      <c r="I117" s="95">
        <f t="shared" si="39"/>
        <v>113</v>
      </c>
      <c r="J117" s="91">
        <f t="shared" si="36"/>
        <v>2026</v>
      </c>
      <c r="K117" s="96">
        <f t="shared" si="38"/>
        <v>46266</v>
      </c>
    </row>
    <row r="118" spans="2:11" outlineLevel="1">
      <c r="B118" s="96">
        <f t="shared" si="33"/>
        <v>46296</v>
      </c>
      <c r="C118" s="93">
        <v>397438.32922528684</v>
      </c>
      <c r="D118" s="89">
        <f>IF(F118&lt;&gt;0,VLOOKUP($J118,'Table 1'!$B$13:$C$33,2,FALSE)/12*1000*Study_MW,0)</f>
        <v>0</v>
      </c>
      <c r="E118" s="89">
        <f t="shared" si="34"/>
        <v>397438.32922528684</v>
      </c>
      <c r="F118" s="93">
        <v>16233.273999999999</v>
      </c>
      <c r="G118" s="94">
        <f t="shared" si="35"/>
        <v>24.48294344229555</v>
      </c>
      <c r="I118" s="95">
        <f t="shared" si="39"/>
        <v>114</v>
      </c>
      <c r="J118" s="91">
        <f t="shared" si="36"/>
        <v>2026</v>
      </c>
      <c r="K118" s="96">
        <f t="shared" si="38"/>
        <v>46296</v>
      </c>
    </row>
    <row r="119" spans="2:11" outlineLevel="1">
      <c r="B119" s="96">
        <f t="shared" si="33"/>
        <v>46327</v>
      </c>
      <c r="C119" s="93">
        <v>211689.47515241802</v>
      </c>
      <c r="D119" s="89">
        <f>IF(F119&lt;&gt;0,VLOOKUP($J119,'Table 1'!$B$13:$C$33,2,FALSE)/12*1000*Study_MW,0)</f>
        <v>0</v>
      </c>
      <c r="E119" s="89">
        <f t="shared" si="34"/>
        <v>211689.47515241802</v>
      </c>
      <c r="F119" s="93">
        <v>10933.8</v>
      </c>
      <c r="G119" s="94">
        <f t="shared" si="35"/>
        <v>19.361015854727363</v>
      </c>
      <c r="I119" s="95">
        <f t="shared" si="39"/>
        <v>115</v>
      </c>
      <c r="J119" s="91">
        <f t="shared" si="36"/>
        <v>2026</v>
      </c>
      <c r="K119" s="96">
        <f t="shared" si="38"/>
        <v>46327</v>
      </c>
    </row>
    <row r="120" spans="2:11" outlineLevel="1">
      <c r="B120" s="100">
        <f t="shared" si="33"/>
        <v>46357</v>
      </c>
      <c r="C120" s="97">
        <v>176389.57486173511</v>
      </c>
      <c r="D120" s="98">
        <f>IF(F120&lt;&gt;0,VLOOKUP($J120,'Table 1'!$B$13:$C$33,2,FALSE)/12*1000*Study_MW,0)</f>
        <v>0</v>
      </c>
      <c r="E120" s="98">
        <f t="shared" si="34"/>
        <v>176389.57486173511</v>
      </c>
      <c r="F120" s="97">
        <v>8435.0069999999996</v>
      </c>
      <c r="G120" s="99">
        <f t="shared" si="35"/>
        <v>20.911609778360006</v>
      </c>
      <c r="I120" s="82">
        <f t="shared" si="39"/>
        <v>116</v>
      </c>
      <c r="J120" s="91">
        <f t="shared" si="36"/>
        <v>2026</v>
      </c>
      <c r="K120" s="100">
        <f t="shared" si="38"/>
        <v>46357</v>
      </c>
    </row>
    <row r="121" spans="2:11" outlineLevel="1">
      <c r="B121" s="92">
        <f t="shared" si="33"/>
        <v>46388</v>
      </c>
      <c r="C121" s="87">
        <v>209836.37637108564</v>
      </c>
      <c r="D121" s="88">
        <f>IF(F121&lt;&gt;0,VLOOKUP($J121,'Table 1'!$B$13:$C$33,2,FALSE)/12*1000*Study_MW,0)</f>
        <v>0</v>
      </c>
      <c r="E121" s="88">
        <f t="shared" si="34"/>
        <v>209836.37637108564</v>
      </c>
      <c r="F121" s="87">
        <v>10069.326999999999</v>
      </c>
      <c r="G121" s="90">
        <f t="shared" si="35"/>
        <v>20.839165951317863</v>
      </c>
      <c r="I121" s="78">
        <f>I109+13</f>
        <v>118</v>
      </c>
      <c r="J121" s="91">
        <f t="shared" si="36"/>
        <v>2027</v>
      </c>
      <c r="K121" s="92">
        <f t="shared" si="38"/>
        <v>46388</v>
      </c>
    </row>
    <row r="122" spans="2:11" outlineLevel="1">
      <c r="B122" s="96">
        <f t="shared" si="33"/>
        <v>46419</v>
      </c>
      <c r="C122" s="93">
        <v>257463.45352306962</v>
      </c>
      <c r="D122" s="89">
        <f>IF(F122&lt;&gt;0,VLOOKUP($J122,'Table 1'!$B$13:$C$33,2,FALSE)/12*1000*Study_MW,0)</f>
        <v>0</v>
      </c>
      <c r="E122" s="89">
        <f t="shared" si="34"/>
        <v>257463.45352306962</v>
      </c>
      <c r="F122" s="93">
        <v>11269.384</v>
      </c>
      <c r="G122" s="94">
        <f t="shared" si="35"/>
        <v>22.846275672483042</v>
      </c>
      <c r="I122" s="95">
        <f t="shared" ref="I122:I132" si="40">I110+13</f>
        <v>119</v>
      </c>
      <c r="J122" s="91">
        <f t="shared" si="36"/>
        <v>2027</v>
      </c>
      <c r="K122" s="96">
        <f t="shared" si="38"/>
        <v>46419</v>
      </c>
    </row>
    <row r="123" spans="2:11" outlineLevel="1">
      <c r="B123" s="96">
        <f t="shared" si="33"/>
        <v>46447</v>
      </c>
      <c r="C123" s="93">
        <v>393028.92947280407</v>
      </c>
      <c r="D123" s="89">
        <f>IF(F123&lt;&gt;0,VLOOKUP($J123,'Table 1'!$B$13:$C$33,2,FALSE)/12*1000*Study_MW,0)</f>
        <v>0</v>
      </c>
      <c r="E123" s="89">
        <f t="shared" si="34"/>
        <v>393028.92947280407</v>
      </c>
      <c r="F123" s="93">
        <v>17551.177</v>
      </c>
      <c r="G123" s="94">
        <f t="shared" si="35"/>
        <v>22.393308977101881</v>
      </c>
      <c r="I123" s="95">
        <f t="shared" si="40"/>
        <v>120</v>
      </c>
      <c r="J123" s="91">
        <f t="shared" si="36"/>
        <v>2027</v>
      </c>
      <c r="K123" s="96">
        <f t="shared" si="38"/>
        <v>46447</v>
      </c>
    </row>
    <row r="124" spans="2:11" outlineLevel="1">
      <c r="B124" s="96">
        <f t="shared" si="33"/>
        <v>46478</v>
      </c>
      <c r="C124" s="93">
        <v>448324.29327218235</v>
      </c>
      <c r="D124" s="89">
        <f>IF(F124&lt;&gt;0,VLOOKUP($J124,'Table 1'!$B$13:$C$33,2,FALSE)/12*1000*Study_MW,0)</f>
        <v>0</v>
      </c>
      <c r="E124" s="89">
        <f t="shared" si="34"/>
        <v>448324.29327218235</v>
      </c>
      <c r="F124" s="93">
        <v>20271.63</v>
      </c>
      <c r="G124" s="94">
        <f t="shared" si="35"/>
        <v>22.115848270325689</v>
      </c>
      <c r="I124" s="95">
        <f t="shared" si="40"/>
        <v>121</v>
      </c>
      <c r="J124" s="91">
        <f t="shared" si="36"/>
        <v>2027</v>
      </c>
      <c r="K124" s="96">
        <f t="shared" si="38"/>
        <v>46478</v>
      </c>
    </row>
    <row r="125" spans="2:11" outlineLevel="1">
      <c r="B125" s="96">
        <f t="shared" si="33"/>
        <v>46508</v>
      </c>
      <c r="C125" s="93">
        <v>529454.3434779644</v>
      </c>
      <c r="D125" s="89">
        <f>IF(F125&lt;&gt;0,VLOOKUP($J125,'Table 1'!$B$13:$C$33,2,FALSE)/12*1000*Study_MW,0)</f>
        <v>0</v>
      </c>
      <c r="E125" s="89">
        <f t="shared" si="34"/>
        <v>529454.3434779644</v>
      </c>
      <c r="F125" s="93">
        <v>23466.039000000001</v>
      </c>
      <c r="G125" s="94">
        <f t="shared" si="35"/>
        <v>22.562578348990403</v>
      </c>
      <c r="I125" s="95">
        <f t="shared" si="40"/>
        <v>122</v>
      </c>
      <c r="J125" s="91">
        <f t="shared" si="36"/>
        <v>2027</v>
      </c>
      <c r="K125" s="96">
        <f t="shared" si="38"/>
        <v>46508</v>
      </c>
    </row>
    <row r="126" spans="2:11" outlineLevel="1">
      <c r="B126" s="96">
        <f t="shared" si="33"/>
        <v>46539</v>
      </c>
      <c r="C126" s="93">
        <v>628137.01749026775</v>
      </c>
      <c r="D126" s="89">
        <f>IF(F126&lt;&gt;0,VLOOKUP($J126,'Table 1'!$B$13:$C$33,2,FALSE)/12*1000*Study_MW,0)</f>
        <v>0</v>
      </c>
      <c r="E126" s="89">
        <f t="shared" si="34"/>
        <v>628137.01749026775</v>
      </c>
      <c r="F126" s="93">
        <v>24930.03</v>
      </c>
      <c r="G126" s="94">
        <f t="shared" si="35"/>
        <v>25.195999262346167</v>
      </c>
      <c r="I126" s="95">
        <f t="shared" si="40"/>
        <v>123</v>
      </c>
      <c r="J126" s="91">
        <f t="shared" si="36"/>
        <v>2027</v>
      </c>
      <c r="K126" s="96">
        <f t="shared" si="38"/>
        <v>46539</v>
      </c>
    </row>
    <row r="127" spans="2:11" outlineLevel="1">
      <c r="B127" s="96">
        <f t="shared" si="33"/>
        <v>46569</v>
      </c>
      <c r="C127" s="93">
        <v>541734.19107678533</v>
      </c>
      <c r="D127" s="89">
        <f>IF(F127&lt;&gt;0,VLOOKUP($J127,'Table 1'!$B$13:$C$33,2,FALSE)/12*1000*Study_MW,0)</f>
        <v>0</v>
      </c>
      <c r="E127" s="89">
        <f t="shared" si="34"/>
        <v>541734.19107678533</v>
      </c>
      <c r="F127" s="93">
        <v>22564.776000000002</v>
      </c>
      <c r="G127" s="94">
        <f t="shared" si="35"/>
        <v>24.007957848851913</v>
      </c>
      <c r="I127" s="95">
        <f t="shared" si="40"/>
        <v>124</v>
      </c>
      <c r="J127" s="91">
        <f t="shared" si="36"/>
        <v>2027</v>
      </c>
      <c r="K127" s="96">
        <f t="shared" si="38"/>
        <v>46569</v>
      </c>
    </row>
    <row r="128" spans="2:11" outlineLevel="1">
      <c r="B128" s="96">
        <f t="shared" si="33"/>
        <v>46600</v>
      </c>
      <c r="C128" s="93">
        <v>646512.86866402626</v>
      </c>
      <c r="D128" s="89">
        <f>IF(F128&lt;&gt;0,VLOOKUP($J128,'Table 1'!$B$13:$C$33,2,FALSE)/12*1000*Study_MW,0)</f>
        <v>0</v>
      </c>
      <c r="E128" s="89">
        <f t="shared" si="34"/>
        <v>646512.86866402626</v>
      </c>
      <c r="F128" s="93">
        <v>22601.510999999999</v>
      </c>
      <c r="G128" s="94">
        <f t="shared" si="35"/>
        <v>28.604851625363732</v>
      </c>
      <c r="I128" s="95">
        <f t="shared" si="40"/>
        <v>125</v>
      </c>
      <c r="J128" s="91">
        <f t="shared" si="36"/>
        <v>2027</v>
      </c>
      <c r="K128" s="96">
        <f t="shared" si="38"/>
        <v>46600</v>
      </c>
    </row>
    <row r="129" spans="2:11" outlineLevel="1">
      <c r="B129" s="96">
        <f t="shared" si="33"/>
        <v>46631</v>
      </c>
      <c r="C129" s="93">
        <v>604640.20681038499</v>
      </c>
      <c r="D129" s="89">
        <f>IF(F129&lt;&gt;0,VLOOKUP($J129,'Table 1'!$B$13:$C$33,2,FALSE)/12*1000*Study_MW,0)</f>
        <v>0</v>
      </c>
      <c r="E129" s="89">
        <f t="shared" si="34"/>
        <v>604640.20681038499</v>
      </c>
      <c r="F129" s="93">
        <v>19923.060000000001</v>
      </c>
      <c r="G129" s="94">
        <f t="shared" si="35"/>
        <v>30.348762028041122</v>
      </c>
      <c r="I129" s="95">
        <f t="shared" si="40"/>
        <v>126</v>
      </c>
      <c r="J129" s="91">
        <f t="shared" si="36"/>
        <v>2027</v>
      </c>
      <c r="K129" s="96">
        <f t="shared" si="38"/>
        <v>46631</v>
      </c>
    </row>
    <row r="130" spans="2:11" outlineLevel="1">
      <c r="B130" s="96">
        <f t="shared" si="33"/>
        <v>46661</v>
      </c>
      <c r="C130" s="93">
        <v>411493.51732614636</v>
      </c>
      <c r="D130" s="89">
        <f>IF(F130&lt;&gt;0,VLOOKUP($J130,'Table 1'!$B$13:$C$33,2,FALSE)/12*1000*Study_MW,0)</f>
        <v>0</v>
      </c>
      <c r="E130" s="89">
        <f t="shared" si="34"/>
        <v>411493.51732614636</v>
      </c>
      <c r="F130" s="93">
        <v>16152.054</v>
      </c>
      <c r="G130" s="94">
        <f t="shared" si="35"/>
        <v>25.476234621686281</v>
      </c>
      <c r="I130" s="95">
        <f t="shared" si="40"/>
        <v>127</v>
      </c>
      <c r="J130" s="91">
        <f t="shared" si="36"/>
        <v>2027</v>
      </c>
      <c r="K130" s="96">
        <f t="shared" si="38"/>
        <v>46661</v>
      </c>
    </row>
    <row r="131" spans="2:11" outlineLevel="1">
      <c r="B131" s="96">
        <f t="shared" si="33"/>
        <v>46692</v>
      </c>
      <c r="C131" s="93">
        <v>225728.99815239012</v>
      </c>
      <c r="D131" s="89">
        <f>IF(F131&lt;&gt;0,VLOOKUP($J131,'Table 1'!$B$13:$C$33,2,FALSE)/12*1000*Study_MW,0)</f>
        <v>0</v>
      </c>
      <c r="E131" s="89">
        <f t="shared" si="34"/>
        <v>225728.99815239012</v>
      </c>
      <c r="F131" s="93">
        <v>10879.14</v>
      </c>
      <c r="G131" s="94">
        <f t="shared" si="35"/>
        <v>20.748790635325047</v>
      </c>
      <c r="I131" s="95">
        <f t="shared" si="40"/>
        <v>128</v>
      </c>
      <c r="J131" s="91">
        <f t="shared" si="36"/>
        <v>2027</v>
      </c>
      <c r="K131" s="96">
        <f t="shared" si="38"/>
        <v>46692</v>
      </c>
    </row>
    <row r="132" spans="2:11" outlineLevel="1">
      <c r="B132" s="100">
        <f t="shared" si="33"/>
        <v>46722</v>
      </c>
      <c r="C132" s="97">
        <v>174944.41126266122</v>
      </c>
      <c r="D132" s="98">
        <f>IF(F132&lt;&gt;0,VLOOKUP($J132,'Table 1'!$B$13:$C$33,2,FALSE)/12*1000*Study_MW,0)</f>
        <v>0</v>
      </c>
      <c r="E132" s="98">
        <f t="shared" si="34"/>
        <v>174944.41126266122</v>
      </c>
      <c r="F132" s="97">
        <v>8392.8780000000006</v>
      </c>
      <c r="G132" s="99">
        <f t="shared" si="35"/>
        <v>20.844388690346889</v>
      </c>
      <c r="I132" s="82">
        <f t="shared" si="40"/>
        <v>129</v>
      </c>
      <c r="J132" s="91">
        <f t="shared" si="36"/>
        <v>2027</v>
      </c>
      <c r="K132" s="100">
        <f t="shared" si="38"/>
        <v>46722</v>
      </c>
    </row>
    <row r="133" spans="2:11" outlineLevel="1">
      <c r="B133" s="92">
        <f t="shared" si="33"/>
        <v>46753</v>
      </c>
      <c r="C133" s="87">
        <v>220501.3507976234</v>
      </c>
      <c r="D133" s="88">
        <f>IF(F133&lt;&gt;0,VLOOKUP($J133,'Table 1'!$B$13:$C$33,2,FALSE)/12*1000*Study_MW,0)</f>
        <v>0</v>
      </c>
      <c r="E133" s="88">
        <f t="shared" si="34"/>
        <v>220501.3507976234</v>
      </c>
      <c r="F133" s="87">
        <v>10018.983</v>
      </c>
      <c r="G133" s="90">
        <f t="shared" si="35"/>
        <v>22.008356616397432</v>
      </c>
      <c r="I133" s="78">
        <f>I13</f>
        <v>1</v>
      </c>
      <c r="J133" s="91">
        <f t="shared" si="36"/>
        <v>2028</v>
      </c>
      <c r="K133" s="92">
        <f t="shared" si="38"/>
        <v>46753</v>
      </c>
    </row>
    <row r="134" spans="2:11" outlineLevel="1">
      <c r="B134" s="96">
        <f t="shared" si="33"/>
        <v>46784</v>
      </c>
      <c r="C134" s="93">
        <v>280279.47986662388</v>
      </c>
      <c r="D134" s="89">
        <f>IF(F134&lt;&gt;0,VLOOKUP($J134,'Table 1'!$B$13:$C$33,2,FALSE)/12*1000*Study_MW,0)</f>
        <v>0</v>
      </c>
      <c r="E134" s="89">
        <f t="shared" si="34"/>
        <v>280279.47986662388</v>
      </c>
      <c r="F134" s="93">
        <v>11613.543</v>
      </c>
      <c r="G134" s="94">
        <f t="shared" si="35"/>
        <v>24.133847859057642</v>
      </c>
      <c r="I134" s="95">
        <f t="shared" ref="I134:I197" si="41">I14</f>
        <v>2</v>
      </c>
      <c r="J134" s="91">
        <f t="shared" si="36"/>
        <v>2028</v>
      </c>
      <c r="K134" s="96">
        <f t="shared" si="38"/>
        <v>46784</v>
      </c>
    </row>
    <row r="135" spans="2:11" outlineLevel="1">
      <c r="B135" s="96">
        <f t="shared" si="33"/>
        <v>46813</v>
      </c>
      <c r="C135" s="93">
        <v>403500.13520570099</v>
      </c>
      <c r="D135" s="89">
        <f>IF(F135&lt;&gt;0,VLOOKUP($J135,'Table 1'!$B$13:$C$33,2,FALSE)/12*1000*Study_MW,0)</f>
        <v>0</v>
      </c>
      <c r="E135" s="89">
        <f t="shared" si="34"/>
        <v>403500.13520570099</v>
      </c>
      <c r="F135" s="93">
        <v>17463.416000000001</v>
      </c>
      <c r="G135" s="94">
        <f t="shared" si="35"/>
        <v>23.105452862469804</v>
      </c>
      <c r="I135" s="95">
        <f t="shared" si="41"/>
        <v>3</v>
      </c>
      <c r="J135" s="91">
        <f t="shared" si="36"/>
        <v>2028</v>
      </c>
      <c r="K135" s="96">
        <f t="shared" si="38"/>
        <v>46813</v>
      </c>
    </row>
    <row r="136" spans="2:11" outlineLevel="1">
      <c r="B136" s="96">
        <f t="shared" si="33"/>
        <v>46844</v>
      </c>
      <c r="C136" s="93">
        <v>471731.68003770709</v>
      </c>
      <c r="D136" s="89">
        <f>IF(F136&lt;&gt;0,VLOOKUP($J136,'Table 1'!$B$13:$C$33,2,FALSE)/12*1000*Study_MW,0)</f>
        <v>0</v>
      </c>
      <c r="E136" s="89">
        <f t="shared" si="34"/>
        <v>471731.68003770709</v>
      </c>
      <c r="F136" s="93">
        <v>20170.29</v>
      </c>
      <c r="G136" s="94">
        <f t="shared" si="35"/>
        <v>23.387451545699495</v>
      </c>
      <c r="I136" s="95">
        <f t="shared" si="41"/>
        <v>4</v>
      </c>
      <c r="J136" s="91">
        <f t="shared" si="36"/>
        <v>2028</v>
      </c>
      <c r="K136" s="96">
        <f t="shared" si="38"/>
        <v>46844</v>
      </c>
    </row>
    <row r="137" spans="2:11" outlineLevel="1">
      <c r="B137" s="96">
        <f t="shared" si="33"/>
        <v>46874</v>
      </c>
      <c r="C137" s="93">
        <v>557276.50852298737</v>
      </c>
      <c r="D137" s="89">
        <f>IF(F137&lt;&gt;0,VLOOKUP($J137,'Table 1'!$B$13:$C$33,2,FALSE)/12*1000*Study_MW,0)</f>
        <v>0</v>
      </c>
      <c r="E137" s="89">
        <f t="shared" si="34"/>
        <v>557276.50852298737</v>
      </c>
      <c r="F137" s="93">
        <v>23348.704000000002</v>
      </c>
      <c r="G137" s="94">
        <f t="shared" si="35"/>
        <v>23.867556354433518</v>
      </c>
      <c r="I137" s="95">
        <f t="shared" si="41"/>
        <v>5</v>
      </c>
      <c r="J137" s="91">
        <f t="shared" si="36"/>
        <v>2028</v>
      </c>
      <c r="K137" s="96">
        <f t="shared" si="38"/>
        <v>46874</v>
      </c>
    </row>
    <row r="138" spans="2:11" outlineLevel="1">
      <c r="B138" s="96">
        <f t="shared" si="33"/>
        <v>46905</v>
      </c>
      <c r="C138" s="93">
        <v>633903.66161352396</v>
      </c>
      <c r="D138" s="89">
        <f>IF(F138&lt;&gt;0,VLOOKUP($J138,'Table 1'!$B$13:$C$33,2,FALSE)/12*1000*Study_MW,0)</f>
        <v>0</v>
      </c>
      <c r="E138" s="89">
        <f t="shared" si="34"/>
        <v>633903.66161352396</v>
      </c>
      <c r="F138" s="93">
        <v>24805.35</v>
      </c>
      <c r="G138" s="94">
        <f t="shared" si="35"/>
        <v>25.555118618101499</v>
      </c>
      <c r="I138" s="95">
        <f t="shared" si="41"/>
        <v>6</v>
      </c>
      <c r="J138" s="91">
        <f t="shared" si="36"/>
        <v>2028</v>
      </c>
      <c r="K138" s="96">
        <f t="shared" si="38"/>
        <v>46905</v>
      </c>
    </row>
    <row r="139" spans="2:11" outlineLevel="1">
      <c r="B139" s="96">
        <f t="shared" si="33"/>
        <v>46935</v>
      </c>
      <c r="C139" s="93">
        <v>559139.10959634185</v>
      </c>
      <c r="D139" s="89">
        <f>IF(F139&lt;&gt;0,VLOOKUP($J139,'Table 1'!$B$13:$C$33,2,FALSE)/12*1000*Study_MW,0)</f>
        <v>0</v>
      </c>
      <c r="E139" s="89">
        <f t="shared" si="34"/>
        <v>559139.10959634185</v>
      </c>
      <c r="F139" s="93">
        <v>22451.998</v>
      </c>
      <c r="G139" s="94">
        <f t="shared" si="35"/>
        <v>24.903757322459313</v>
      </c>
      <c r="I139" s="95">
        <f t="shared" si="41"/>
        <v>7</v>
      </c>
      <c r="J139" s="91">
        <f t="shared" si="36"/>
        <v>2028</v>
      </c>
      <c r="K139" s="96">
        <f t="shared" si="38"/>
        <v>46935</v>
      </c>
    </row>
    <row r="140" spans="2:11" outlineLevel="1">
      <c r="B140" s="96">
        <f t="shared" si="33"/>
        <v>46966</v>
      </c>
      <c r="C140" s="93">
        <v>658180.45288306475</v>
      </c>
      <c r="D140" s="89">
        <f>IF(F140&lt;&gt;0,VLOOKUP($J140,'Table 1'!$B$13:$C$33,2,FALSE)/12*1000*Study_MW,0)</f>
        <v>0</v>
      </c>
      <c r="E140" s="89">
        <f t="shared" si="34"/>
        <v>658180.45288306475</v>
      </c>
      <c r="F140" s="93">
        <v>22488.546999999999</v>
      </c>
      <c r="G140" s="94">
        <f t="shared" si="35"/>
        <v>29.26736231038247</v>
      </c>
      <c r="I140" s="95">
        <f t="shared" si="41"/>
        <v>8</v>
      </c>
      <c r="J140" s="91">
        <f t="shared" si="36"/>
        <v>2028</v>
      </c>
      <c r="K140" s="96">
        <f t="shared" si="38"/>
        <v>46966</v>
      </c>
    </row>
    <row r="141" spans="2:11" outlineLevel="1">
      <c r="B141" s="96">
        <f t="shared" si="33"/>
        <v>46997</v>
      </c>
      <c r="C141" s="93">
        <v>617671.17315176129</v>
      </c>
      <c r="D141" s="89">
        <f>IF(F141&lt;&gt;0,VLOOKUP($J141,'Table 1'!$B$13:$C$33,2,FALSE)/12*1000*Study_MW,0)</f>
        <v>0</v>
      </c>
      <c r="E141" s="89">
        <f t="shared" si="34"/>
        <v>617671.17315176129</v>
      </c>
      <c r="F141" s="93">
        <v>19823.400000000001</v>
      </c>
      <c r="G141" s="94">
        <f t="shared" si="35"/>
        <v>31.158689889310676</v>
      </c>
      <c r="I141" s="95">
        <f t="shared" si="41"/>
        <v>9</v>
      </c>
      <c r="J141" s="91">
        <f t="shared" si="36"/>
        <v>2028</v>
      </c>
      <c r="K141" s="96">
        <f t="shared" si="38"/>
        <v>46997</v>
      </c>
    </row>
    <row r="142" spans="2:11" outlineLevel="1">
      <c r="B142" s="96">
        <f t="shared" ref="B142:B205" si="42">EDATE(B141,1)</f>
        <v>47027</v>
      </c>
      <c r="C142" s="93">
        <v>414806.29923643172</v>
      </c>
      <c r="D142" s="89">
        <f>IF(F142&lt;&gt;0,VLOOKUP($J142,'Table 1'!$B$13:$C$33,2,FALSE)/12*1000*Study_MW,0)</f>
        <v>0</v>
      </c>
      <c r="E142" s="89">
        <f t="shared" ref="E142:E205" si="43">C142+D142</f>
        <v>414806.29923643172</v>
      </c>
      <c r="F142" s="93">
        <v>16071.33</v>
      </c>
      <c r="G142" s="94">
        <f t="shared" ref="G142:G192" si="44">IF(ISNUMBER($F142),E142/$F142,"")</f>
        <v>25.810328033612134</v>
      </c>
      <c r="I142" s="95">
        <f t="shared" si="41"/>
        <v>10</v>
      </c>
      <c r="J142" s="91">
        <f t="shared" ref="J142:J205" si="45">YEAR(B142)</f>
        <v>2028</v>
      </c>
      <c r="K142" s="96">
        <f t="shared" si="38"/>
        <v>47027</v>
      </c>
    </row>
    <row r="143" spans="2:11" outlineLevel="1">
      <c r="B143" s="96">
        <f t="shared" si="42"/>
        <v>47058</v>
      </c>
      <c r="C143" s="93">
        <v>230753.5579765141</v>
      </c>
      <c r="D143" s="89">
        <f>IF(F143&lt;&gt;0,VLOOKUP($J143,'Table 1'!$B$13:$C$33,2,FALSE)/12*1000*Study_MW,0)</f>
        <v>0</v>
      </c>
      <c r="E143" s="89">
        <f t="shared" si="43"/>
        <v>230753.5579765141</v>
      </c>
      <c r="F143" s="93">
        <v>10824.72</v>
      </c>
      <c r="G143" s="94">
        <f t="shared" si="44"/>
        <v>21.317277303848424</v>
      </c>
      <c r="I143" s="95">
        <f t="shared" si="41"/>
        <v>11</v>
      </c>
      <c r="J143" s="91">
        <f t="shared" si="45"/>
        <v>2028</v>
      </c>
      <c r="K143" s="96">
        <f t="shared" si="38"/>
        <v>47058</v>
      </c>
    </row>
    <row r="144" spans="2:11" outlineLevel="1">
      <c r="B144" s="100">
        <f t="shared" si="42"/>
        <v>47088</v>
      </c>
      <c r="C144" s="97">
        <v>183177.78677049279</v>
      </c>
      <c r="D144" s="98">
        <f>IF(F144&lt;&gt;0,VLOOKUP($J144,'Table 1'!$B$13:$C$33,2,FALSE)/12*1000*Study_MW,0)</f>
        <v>0</v>
      </c>
      <c r="E144" s="98">
        <f t="shared" si="43"/>
        <v>183177.78677049279</v>
      </c>
      <c r="F144" s="97">
        <v>8350.9349999999995</v>
      </c>
      <c r="G144" s="99">
        <f t="shared" si="44"/>
        <v>21.935003298492063</v>
      </c>
      <c r="I144" s="82">
        <f t="shared" si="41"/>
        <v>12</v>
      </c>
      <c r="J144" s="91">
        <f t="shared" si="45"/>
        <v>2028</v>
      </c>
      <c r="K144" s="100">
        <f t="shared" si="38"/>
        <v>47088</v>
      </c>
    </row>
    <row r="145" spans="2:11" outlineLevel="1">
      <c r="B145" s="92">
        <f t="shared" si="42"/>
        <v>47119</v>
      </c>
      <c r="C145" s="87">
        <v>238687.2570579946</v>
      </c>
      <c r="D145" s="88">
        <f>IF(F145&lt;&gt;0,VLOOKUP($J145,'Table 1'!$B$13:$C$33,2,FALSE)/12*1000*Study_MW,0)</f>
        <v>0</v>
      </c>
      <c r="E145" s="88">
        <f t="shared" si="43"/>
        <v>238687.2570579946</v>
      </c>
      <c r="F145" s="87">
        <v>9968.9179999999997</v>
      </c>
      <c r="G145" s="90">
        <f t="shared" si="44"/>
        <v>23.943145791548751</v>
      </c>
      <c r="I145" s="78">
        <f>I25</f>
        <v>14</v>
      </c>
      <c r="J145" s="91">
        <f t="shared" si="45"/>
        <v>2029</v>
      </c>
      <c r="K145" s="92">
        <f t="shared" si="38"/>
        <v>47119</v>
      </c>
    </row>
    <row r="146" spans="2:11" outlineLevel="1">
      <c r="B146" s="96">
        <f t="shared" si="42"/>
        <v>47150</v>
      </c>
      <c r="C146" s="93">
        <v>293827.69149711728</v>
      </c>
      <c r="D146" s="89">
        <f>IF(F146&lt;&gt;0,VLOOKUP($J146,'Table 1'!$B$13:$C$33,2,FALSE)/12*1000*Study_MW,0)</f>
        <v>0</v>
      </c>
      <c r="E146" s="89">
        <f t="shared" si="43"/>
        <v>293827.69149711728</v>
      </c>
      <c r="F146" s="93">
        <v>11157.02</v>
      </c>
      <c r="G146" s="94">
        <f t="shared" si="44"/>
        <v>26.335678478403487</v>
      </c>
      <c r="I146" s="95">
        <f t="shared" si="41"/>
        <v>15</v>
      </c>
      <c r="J146" s="91">
        <f t="shared" si="45"/>
        <v>2029</v>
      </c>
      <c r="K146" s="96">
        <f t="shared" si="38"/>
        <v>47150</v>
      </c>
    </row>
    <row r="147" spans="2:11" outlineLevel="1">
      <c r="B147" s="96">
        <f t="shared" si="42"/>
        <v>47178</v>
      </c>
      <c r="C147" s="93">
        <v>439895.26567026973</v>
      </c>
      <c r="D147" s="89">
        <f>IF(F147&lt;&gt;0,VLOOKUP($J147,'Table 1'!$B$13:$C$33,2,FALSE)/12*1000*Study_MW,0)</f>
        <v>0</v>
      </c>
      <c r="E147" s="89">
        <f t="shared" si="43"/>
        <v>439895.26567026973</v>
      </c>
      <c r="F147" s="93">
        <v>17376.089</v>
      </c>
      <c r="G147" s="94">
        <f t="shared" si="44"/>
        <v>25.316126412006163</v>
      </c>
      <c r="I147" s="95">
        <f t="shared" si="41"/>
        <v>16</v>
      </c>
      <c r="J147" s="91">
        <f t="shared" si="45"/>
        <v>2029</v>
      </c>
      <c r="K147" s="96">
        <f t="shared" si="38"/>
        <v>47178</v>
      </c>
    </row>
    <row r="148" spans="2:11" outlineLevel="1">
      <c r="B148" s="96">
        <f t="shared" si="42"/>
        <v>47209</v>
      </c>
      <c r="C148" s="93">
        <v>495199.1261460036</v>
      </c>
      <c r="D148" s="89">
        <f>IF(F148&lt;&gt;0,VLOOKUP($J148,'Table 1'!$B$13:$C$33,2,FALSE)/12*1000*Study_MW,0)</f>
        <v>0</v>
      </c>
      <c r="E148" s="89">
        <f t="shared" si="43"/>
        <v>495199.1261460036</v>
      </c>
      <c r="F148" s="93">
        <v>20069.46</v>
      </c>
      <c r="G148" s="94">
        <f t="shared" si="44"/>
        <v>24.674262593313603</v>
      </c>
      <c r="I148" s="95">
        <f t="shared" si="41"/>
        <v>17</v>
      </c>
      <c r="J148" s="91">
        <f t="shared" si="45"/>
        <v>2029</v>
      </c>
      <c r="K148" s="96">
        <f t="shared" si="38"/>
        <v>47209</v>
      </c>
    </row>
    <row r="149" spans="2:11" outlineLevel="1">
      <c r="B149" s="96">
        <f t="shared" si="42"/>
        <v>47239</v>
      </c>
      <c r="C149" s="93">
        <v>589827.74712136388</v>
      </c>
      <c r="D149" s="89">
        <f>IF(F149&lt;&gt;0,VLOOKUP($J149,'Table 1'!$B$13:$C$33,2,FALSE)/12*1000*Study_MW,0)</f>
        <v>0</v>
      </c>
      <c r="E149" s="89">
        <f t="shared" si="43"/>
        <v>589827.74712136388</v>
      </c>
      <c r="F149" s="93">
        <v>23231.927</v>
      </c>
      <c r="G149" s="94">
        <f t="shared" si="44"/>
        <v>25.388670820176213</v>
      </c>
      <c r="I149" s="95">
        <f t="shared" si="41"/>
        <v>18</v>
      </c>
      <c r="J149" s="91">
        <f t="shared" si="45"/>
        <v>2029</v>
      </c>
      <c r="K149" s="96">
        <f t="shared" si="38"/>
        <v>47239</v>
      </c>
    </row>
    <row r="150" spans="2:11" outlineLevel="1">
      <c r="B150" s="96">
        <f t="shared" si="42"/>
        <v>47270</v>
      </c>
      <c r="C150" s="93">
        <v>640241.80184674263</v>
      </c>
      <c r="D150" s="89">
        <f>IF(F150&lt;&gt;0,VLOOKUP($J150,'Table 1'!$B$13:$C$33,2,FALSE)/12*1000*Study_MW,0)</f>
        <v>0</v>
      </c>
      <c r="E150" s="89">
        <f t="shared" si="43"/>
        <v>640241.80184674263</v>
      </c>
      <c r="F150" s="93">
        <v>24681.360000000001</v>
      </c>
      <c r="G150" s="94">
        <f t="shared" si="44"/>
        <v>25.940296719740832</v>
      </c>
      <c r="I150" s="95">
        <f t="shared" si="41"/>
        <v>19</v>
      </c>
      <c r="J150" s="91">
        <f t="shared" si="45"/>
        <v>2029</v>
      </c>
      <c r="K150" s="96">
        <f t="shared" si="38"/>
        <v>47270</v>
      </c>
    </row>
    <row r="151" spans="2:11" outlineLevel="1">
      <c r="B151" s="96">
        <f t="shared" si="42"/>
        <v>47300</v>
      </c>
      <c r="C151" s="93">
        <v>593567.51868677139</v>
      </c>
      <c r="D151" s="89">
        <f>IF(F151&lt;&gt;0,VLOOKUP($J151,'Table 1'!$B$13:$C$33,2,FALSE)/12*1000*Study_MW,0)</f>
        <v>0</v>
      </c>
      <c r="E151" s="89">
        <f t="shared" si="43"/>
        <v>593567.51868677139</v>
      </c>
      <c r="F151" s="93">
        <v>22339.746999999999</v>
      </c>
      <c r="G151" s="94">
        <f t="shared" si="44"/>
        <v>26.570019735978722</v>
      </c>
      <c r="I151" s="95">
        <f t="shared" si="41"/>
        <v>20</v>
      </c>
      <c r="J151" s="91">
        <f t="shared" si="45"/>
        <v>2029</v>
      </c>
      <c r="K151" s="96">
        <f t="shared" si="38"/>
        <v>47300</v>
      </c>
    </row>
    <row r="152" spans="2:11" outlineLevel="1">
      <c r="B152" s="96">
        <f t="shared" si="42"/>
        <v>47331</v>
      </c>
      <c r="C152" s="93">
        <v>676325.02345180511</v>
      </c>
      <c r="D152" s="89">
        <f>IF(F152&lt;&gt;0,VLOOKUP($J152,'Table 1'!$B$13:$C$33,2,FALSE)/12*1000*Study_MW,0)</f>
        <v>0</v>
      </c>
      <c r="E152" s="89">
        <f t="shared" si="43"/>
        <v>676325.02345180511</v>
      </c>
      <c r="F152" s="93">
        <v>22376.017</v>
      </c>
      <c r="G152" s="94">
        <f t="shared" si="44"/>
        <v>30.225442868219357</v>
      </c>
      <c r="I152" s="95">
        <f t="shared" si="41"/>
        <v>21</v>
      </c>
      <c r="J152" s="91">
        <f t="shared" si="45"/>
        <v>2029</v>
      </c>
      <c r="K152" s="96">
        <f t="shared" si="38"/>
        <v>47331</v>
      </c>
    </row>
    <row r="153" spans="2:11" outlineLevel="1">
      <c r="B153" s="96">
        <f t="shared" si="42"/>
        <v>47362</v>
      </c>
      <c r="C153" s="93">
        <v>659770.7403255105</v>
      </c>
      <c r="D153" s="89">
        <f>IF(F153&lt;&gt;0,VLOOKUP($J153,'Table 1'!$B$13:$C$33,2,FALSE)/12*1000*Study_MW,0)</f>
        <v>0</v>
      </c>
      <c r="E153" s="89">
        <f t="shared" si="43"/>
        <v>659770.7403255105</v>
      </c>
      <c r="F153" s="93">
        <v>19724.25</v>
      </c>
      <c r="G153" s="94">
        <f t="shared" si="44"/>
        <v>33.449725101107042</v>
      </c>
      <c r="I153" s="95">
        <f t="shared" si="41"/>
        <v>22</v>
      </c>
      <c r="J153" s="91">
        <f t="shared" si="45"/>
        <v>2029</v>
      </c>
      <c r="K153" s="96">
        <f t="shared" si="38"/>
        <v>47362</v>
      </c>
    </row>
    <row r="154" spans="2:11" outlineLevel="1">
      <c r="B154" s="96">
        <f t="shared" si="42"/>
        <v>47392</v>
      </c>
      <c r="C154" s="93">
        <v>473749.93743538857</v>
      </c>
      <c r="D154" s="89">
        <f>IF(F154&lt;&gt;0,VLOOKUP($J154,'Table 1'!$B$13:$C$33,2,FALSE)/12*1000*Study_MW,0)</f>
        <v>0</v>
      </c>
      <c r="E154" s="89">
        <f t="shared" si="43"/>
        <v>473749.93743538857</v>
      </c>
      <c r="F154" s="93">
        <v>15990.915999999999</v>
      </c>
      <c r="G154" s="94">
        <f t="shared" si="44"/>
        <v>29.626191359856346</v>
      </c>
      <c r="I154" s="95">
        <f t="shared" si="41"/>
        <v>23</v>
      </c>
      <c r="J154" s="91">
        <f t="shared" si="45"/>
        <v>2029</v>
      </c>
      <c r="K154" s="96">
        <f t="shared" ref="K154:K217" si="46">IF(ISNUMBER(F154),IF(F154&lt;&gt;0,B154,""),"")</f>
        <v>47392</v>
      </c>
    </row>
    <row r="155" spans="2:11" outlineLevel="1">
      <c r="B155" s="96">
        <f t="shared" si="42"/>
        <v>47423</v>
      </c>
      <c r="C155" s="93">
        <v>250712.22460079193</v>
      </c>
      <c r="D155" s="89">
        <f>IF(F155&lt;&gt;0,VLOOKUP($J155,'Table 1'!$B$13:$C$33,2,FALSE)/12*1000*Study_MW,0)</f>
        <v>0</v>
      </c>
      <c r="E155" s="89">
        <f t="shared" si="43"/>
        <v>250712.22460079193</v>
      </c>
      <c r="F155" s="93">
        <v>10770.57</v>
      </c>
      <c r="G155" s="94">
        <f t="shared" si="44"/>
        <v>23.27752612914562</v>
      </c>
      <c r="I155" s="95">
        <f t="shared" si="41"/>
        <v>24</v>
      </c>
      <c r="J155" s="91">
        <f t="shared" si="45"/>
        <v>2029</v>
      </c>
      <c r="K155" s="96">
        <f t="shared" si="46"/>
        <v>47423</v>
      </c>
    </row>
    <row r="156" spans="2:11" outlineLevel="1">
      <c r="B156" s="100">
        <f t="shared" si="42"/>
        <v>47453</v>
      </c>
      <c r="C156" s="97">
        <v>194516.24988013506</v>
      </c>
      <c r="D156" s="98">
        <f>IF(F156&lt;&gt;0,VLOOKUP($J156,'Table 1'!$B$13:$C$33,2,FALSE)/12*1000*Study_MW,0)</f>
        <v>0</v>
      </c>
      <c r="E156" s="98">
        <f t="shared" si="43"/>
        <v>194516.24988013506</v>
      </c>
      <c r="F156" s="97">
        <v>8309.1779999999999</v>
      </c>
      <c r="G156" s="99">
        <f t="shared" si="44"/>
        <v>23.409806587382658</v>
      </c>
      <c r="I156" s="82">
        <f t="shared" si="41"/>
        <v>25</v>
      </c>
      <c r="J156" s="91">
        <f t="shared" si="45"/>
        <v>2029</v>
      </c>
      <c r="K156" s="100">
        <f t="shared" si="46"/>
        <v>47453</v>
      </c>
    </row>
    <row r="157" spans="2:11" outlineLevel="1">
      <c r="B157" s="92">
        <f t="shared" si="42"/>
        <v>47484</v>
      </c>
      <c r="C157" s="87">
        <v>249969.98997929692</v>
      </c>
      <c r="D157" s="88">
        <f>IF(F157&lt;&gt;0,VLOOKUP($J157,'Table 1'!$B$13:$C$33,2,FALSE)/12*1000*Study_MW,0)</f>
        <v>0</v>
      </c>
      <c r="E157" s="88">
        <f t="shared" si="43"/>
        <v>249969.98997929692</v>
      </c>
      <c r="F157" s="87">
        <v>9919.0390000000007</v>
      </c>
      <c r="G157" s="90">
        <f t="shared" si="44"/>
        <v>25.201029049215041</v>
      </c>
      <c r="I157" s="78">
        <f>I37</f>
        <v>27</v>
      </c>
      <c r="J157" s="91">
        <f t="shared" si="45"/>
        <v>2030</v>
      </c>
      <c r="K157" s="92">
        <f t="shared" si="46"/>
        <v>47484</v>
      </c>
    </row>
    <row r="158" spans="2:11" outlineLevel="1">
      <c r="B158" s="96">
        <f t="shared" si="42"/>
        <v>47515</v>
      </c>
      <c r="C158" s="93">
        <v>308879.17988747358</v>
      </c>
      <c r="D158" s="89">
        <f>IF(F158&lt;&gt;0,VLOOKUP($J158,'Table 1'!$B$13:$C$33,2,FALSE)/12*1000*Study_MW,0)</f>
        <v>0</v>
      </c>
      <c r="E158" s="89">
        <f t="shared" si="43"/>
        <v>308879.17988747358</v>
      </c>
      <c r="F158" s="93">
        <v>11101.244000000001</v>
      </c>
      <c r="G158" s="94">
        <f t="shared" si="44"/>
        <v>27.823834868188968</v>
      </c>
      <c r="I158" s="95">
        <f t="shared" si="41"/>
        <v>28</v>
      </c>
      <c r="J158" s="91">
        <f t="shared" si="45"/>
        <v>2030</v>
      </c>
      <c r="K158" s="96">
        <f t="shared" si="46"/>
        <v>47515</v>
      </c>
    </row>
    <row r="159" spans="2:11" outlineLevel="1">
      <c r="B159" s="96">
        <f t="shared" si="42"/>
        <v>47543</v>
      </c>
      <c r="C159" s="93">
        <v>466344.02930951118</v>
      </c>
      <c r="D159" s="89">
        <f>IF(F159&lt;&gt;0,VLOOKUP($J159,'Table 1'!$B$13:$C$33,2,FALSE)/12*1000*Study_MW,0)</f>
        <v>0</v>
      </c>
      <c r="E159" s="89">
        <f t="shared" si="43"/>
        <v>466344.02930951118</v>
      </c>
      <c r="F159" s="93">
        <v>17289.258000000002</v>
      </c>
      <c r="G159" s="94">
        <f t="shared" si="44"/>
        <v>26.973050509715982</v>
      </c>
      <c r="I159" s="95">
        <f t="shared" si="41"/>
        <v>29</v>
      </c>
      <c r="J159" s="91">
        <f t="shared" si="45"/>
        <v>2030</v>
      </c>
      <c r="K159" s="96">
        <f t="shared" si="46"/>
        <v>47543</v>
      </c>
    </row>
    <row r="160" spans="2:11" outlineLevel="1">
      <c r="B160" s="96">
        <f t="shared" si="42"/>
        <v>47574</v>
      </c>
      <c r="C160" s="93">
        <v>527089.73944118619</v>
      </c>
      <c r="D160" s="89">
        <f>IF(F160&lt;&gt;0,VLOOKUP($J160,'Table 1'!$B$13:$C$33,2,FALSE)/12*1000*Study_MW,0)</f>
        <v>0</v>
      </c>
      <c r="E160" s="89">
        <f t="shared" si="43"/>
        <v>527089.73944118619</v>
      </c>
      <c r="F160" s="93">
        <v>19969.11</v>
      </c>
      <c r="G160" s="94">
        <f t="shared" si="44"/>
        <v>26.39525444254582</v>
      </c>
      <c r="I160" s="95">
        <f t="shared" si="41"/>
        <v>30</v>
      </c>
      <c r="J160" s="91">
        <f t="shared" si="45"/>
        <v>2030</v>
      </c>
      <c r="K160" s="96">
        <f t="shared" si="46"/>
        <v>47574</v>
      </c>
    </row>
    <row r="161" spans="2:11" outlineLevel="1">
      <c r="B161" s="96">
        <f t="shared" si="42"/>
        <v>47604</v>
      </c>
      <c r="C161" s="93">
        <v>611301.64085355401</v>
      </c>
      <c r="D161" s="89">
        <f>IF(F161&lt;&gt;0,VLOOKUP($J161,'Table 1'!$B$13:$C$33,2,FALSE)/12*1000*Study_MW,0)</f>
        <v>0</v>
      </c>
      <c r="E161" s="89">
        <f t="shared" si="43"/>
        <v>611301.64085355401</v>
      </c>
      <c r="F161" s="93">
        <v>23115.739000000001</v>
      </c>
      <c r="G161" s="94">
        <f t="shared" si="44"/>
        <v>26.445256232281995</v>
      </c>
      <c r="I161" s="95">
        <f t="shared" si="41"/>
        <v>31</v>
      </c>
      <c r="J161" s="91">
        <f t="shared" si="45"/>
        <v>2030</v>
      </c>
      <c r="K161" s="96">
        <f t="shared" si="46"/>
        <v>47604</v>
      </c>
    </row>
    <row r="162" spans="2:11" outlineLevel="1">
      <c r="B162" s="96">
        <f t="shared" si="42"/>
        <v>47635</v>
      </c>
      <c r="C162" s="93">
        <v>673872.1240452826</v>
      </c>
      <c r="D162" s="89">
        <f>IF(F162&lt;&gt;0,VLOOKUP($J162,'Table 1'!$B$13:$C$33,2,FALSE)/12*1000*Study_MW,0)</f>
        <v>0</v>
      </c>
      <c r="E162" s="89">
        <f t="shared" si="43"/>
        <v>673872.1240452826</v>
      </c>
      <c r="F162" s="93">
        <v>24557.85</v>
      </c>
      <c r="G162" s="94">
        <f t="shared" si="44"/>
        <v>27.440192201079601</v>
      </c>
      <c r="I162" s="95">
        <f t="shared" si="41"/>
        <v>32</v>
      </c>
      <c r="J162" s="91">
        <f t="shared" si="45"/>
        <v>2030</v>
      </c>
      <c r="K162" s="96">
        <f t="shared" si="46"/>
        <v>47635</v>
      </c>
    </row>
    <row r="163" spans="2:11" outlineLevel="1">
      <c r="B163" s="96">
        <f t="shared" si="42"/>
        <v>47665</v>
      </c>
      <c r="C163" s="93">
        <v>623330.02966699004</v>
      </c>
      <c r="D163" s="89">
        <f>IF(F163&lt;&gt;0,VLOOKUP($J163,'Table 1'!$B$13:$C$33,2,FALSE)/12*1000*Study_MW,0)</f>
        <v>0</v>
      </c>
      <c r="E163" s="89">
        <f t="shared" si="43"/>
        <v>623330.02966699004</v>
      </c>
      <c r="F163" s="93">
        <v>22228.084999999999</v>
      </c>
      <c r="G163" s="94">
        <f t="shared" si="44"/>
        <v>28.042453034842637</v>
      </c>
      <c r="I163" s="95">
        <f t="shared" si="41"/>
        <v>33</v>
      </c>
      <c r="J163" s="91">
        <f t="shared" si="45"/>
        <v>2030</v>
      </c>
      <c r="K163" s="96">
        <f t="shared" si="46"/>
        <v>47665</v>
      </c>
    </row>
    <row r="164" spans="2:11" outlineLevel="1">
      <c r="B164" s="96">
        <f t="shared" si="42"/>
        <v>47696</v>
      </c>
      <c r="C164" s="93">
        <v>690788.45637822151</v>
      </c>
      <c r="D164" s="89">
        <f>IF(F164&lt;&gt;0,VLOOKUP($J164,'Table 1'!$B$13:$C$33,2,FALSE)/12*1000*Study_MW,0)</f>
        <v>0</v>
      </c>
      <c r="E164" s="89">
        <f t="shared" si="43"/>
        <v>690788.45637822151</v>
      </c>
      <c r="F164" s="93">
        <v>22264.231</v>
      </c>
      <c r="G164" s="94">
        <f t="shared" si="44"/>
        <v>31.026827577301976</v>
      </c>
      <c r="I164" s="95">
        <f t="shared" si="41"/>
        <v>34</v>
      </c>
      <c r="J164" s="91">
        <f t="shared" si="45"/>
        <v>2030</v>
      </c>
      <c r="K164" s="96">
        <f t="shared" si="46"/>
        <v>47696</v>
      </c>
    </row>
    <row r="165" spans="2:11" outlineLevel="1">
      <c r="B165" s="96">
        <f t="shared" si="42"/>
        <v>47727</v>
      </c>
      <c r="C165" s="93">
        <v>686836.94473865628</v>
      </c>
      <c r="D165" s="89">
        <f>IF(F165&lt;&gt;0,VLOOKUP($J165,'Table 1'!$B$13:$C$33,2,FALSE)/12*1000*Study_MW,0)</f>
        <v>0</v>
      </c>
      <c r="E165" s="89">
        <f t="shared" si="43"/>
        <v>686836.94473865628</v>
      </c>
      <c r="F165" s="93">
        <v>19625.669999999998</v>
      </c>
      <c r="G165" s="94">
        <f t="shared" si="44"/>
        <v>34.99686608093667</v>
      </c>
      <c r="I165" s="95">
        <f t="shared" si="41"/>
        <v>35</v>
      </c>
      <c r="J165" s="91">
        <f t="shared" si="45"/>
        <v>2030</v>
      </c>
      <c r="K165" s="96">
        <f t="shared" si="46"/>
        <v>47727</v>
      </c>
    </row>
    <row r="166" spans="2:11" outlineLevel="1">
      <c r="B166" s="96">
        <f t="shared" si="42"/>
        <v>47757</v>
      </c>
      <c r="C166" s="93">
        <v>472636.86639785767</v>
      </c>
      <c r="D166" s="89">
        <f>IF(F166&lt;&gt;0,VLOOKUP($J166,'Table 1'!$B$13:$C$33,2,FALSE)/12*1000*Study_MW,0)</f>
        <v>0</v>
      </c>
      <c r="E166" s="89">
        <f t="shared" si="43"/>
        <v>472636.86639785767</v>
      </c>
      <c r="F166" s="93">
        <v>15910.967000000001</v>
      </c>
      <c r="G166" s="94">
        <f t="shared" si="44"/>
        <v>29.705100035582856</v>
      </c>
      <c r="I166" s="95">
        <f t="shared" si="41"/>
        <v>36</v>
      </c>
      <c r="J166" s="91">
        <f t="shared" si="45"/>
        <v>2030</v>
      </c>
      <c r="K166" s="96">
        <f t="shared" si="46"/>
        <v>47757</v>
      </c>
    </row>
    <row r="167" spans="2:11" outlineLevel="1">
      <c r="B167" s="96">
        <f t="shared" si="42"/>
        <v>47788</v>
      </c>
      <c r="C167" s="93">
        <v>273363.06362637877</v>
      </c>
      <c r="D167" s="89">
        <f>IF(F167&lt;&gt;0,VLOOKUP($J167,'Table 1'!$B$13:$C$33,2,FALSE)/12*1000*Study_MW,0)</f>
        <v>0</v>
      </c>
      <c r="E167" s="89">
        <f t="shared" si="43"/>
        <v>273363.06362637877</v>
      </c>
      <c r="F167" s="93">
        <v>10716.72</v>
      </c>
      <c r="G167" s="94">
        <f t="shared" si="44"/>
        <v>25.508090500300352</v>
      </c>
      <c r="I167" s="95">
        <f t="shared" si="41"/>
        <v>37</v>
      </c>
      <c r="J167" s="91">
        <f t="shared" si="45"/>
        <v>2030</v>
      </c>
      <c r="K167" s="96">
        <f t="shared" si="46"/>
        <v>47788</v>
      </c>
    </row>
    <row r="168" spans="2:11" outlineLevel="1">
      <c r="B168" s="100">
        <f t="shared" si="42"/>
        <v>47818</v>
      </c>
      <c r="C168" s="97">
        <v>209913.54838079214</v>
      </c>
      <c r="D168" s="98">
        <f>IF(F168&lt;&gt;0,VLOOKUP($J168,'Table 1'!$B$13:$C$33,2,FALSE)/12*1000*Study_MW,0)</f>
        <v>0</v>
      </c>
      <c r="E168" s="98">
        <f t="shared" si="43"/>
        <v>209913.54838079214</v>
      </c>
      <c r="F168" s="97">
        <v>8267.5759999999991</v>
      </c>
      <c r="G168" s="99">
        <f t="shared" si="44"/>
        <v>25.389975052033652</v>
      </c>
      <c r="I168" s="82">
        <f t="shared" si="41"/>
        <v>38</v>
      </c>
      <c r="J168" s="91">
        <f t="shared" si="45"/>
        <v>2030</v>
      </c>
      <c r="K168" s="100">
        <f t="shared" si="46"/>
        <v>47818</v>
      </c>
    </row>
    <row r="169" spans="2:11" outlineLevel="1">
      <c r="B169" s="92">
        <f t="shared" si="42"/>
        <v>47849</v>
      </c>
      <c r="C169" s="87">
        <v>266175.45046412945</v>
      </c>
      <c r="D169" s="88">
        <f>IF(F169&lt;&gt;0,VLOOKUP($J169,'Table 1'!$B$13:$C$33,2,FALSE)/12*1000*Study_MW,0)</f>
        <v>0</v>
      </c>
      <c r="E169" s="88">
        <f t="shared" si="43"/>
        <v>266175.45046412945</v>
      </c>
      <c r="F169" s="87">
        <v>9869.4699999999993</v>
      </c>
      <c r="G169" s="90">
        <f t="shared" si="44"/>
        <v>26.969578960585469</v>
      </c>
      <c r="I169" s="78">
        <f>I49</f>
        <v>40</v>
      </c>
      <c r="J169" s="91">
        <f t="shared" si="45"/>
        <v>2031</v>
      </c>
      <c r="K169" s="92">
        <f t="shared" si="46"/>
        <v>47849</v>
      </c>
    </row>
    <row r="170" spans="2:11" outlineLevel="1">
      <c r="B170" s="96">
        <f t="shared" si="42"/>
        <v>47880</v>
      </c>
      <c r="C170" s="93">
        <v>307985.9430142343</v>
      </c>
      <c r="D170" s="89">
        <f>IF(F170&lt;&gt;0,VLOOKUP($J170,'Table 1'!$B$13:$C$33,2,FALSE)/12*1000*Study_MW,0)</f>
        <v>0</v>
      </c>
      <c r="E170" s="89">
        <f t="shared" si="43"/>
        <v>307985.9430142343</v>
      </c>
      <c r="F170" s="93">
        <v>11045.664000000001</v>
      </c>
      <c r="G170" s="94">
        <f t="shared" si="44"/>
        <v>27.882972269863927</v>
      </c>
      <c r="I170" s="95">
        <f t="shared" si="41"/>
        <v>41</v>
      </c>
      <c r="J170" s="91">
        <f t="shared" si="45"/>
        <v>2031</v>
      </c>
      <c r="K170" s="96">
        <f t="shared" si="46"/>
        <v>47880</v>
      </c>
    </row>
    <row r="171" spans="2:11" outlineLevel="1">
      <c r="B171" s="96">
        <f t="shared" si="42"/>
        <v>47908</v>
      </c>
      <c r="C171" s="93">
        <v>468986.85115340352</v>
      </c>
      <c r="D171" s="89">
        <f>IF(F171&lt;&gt;0,VLOOKUP($J171,'Table 1'!$B$13:$C$33,2,FALSE)/12*1000*Study_MW,0)</f>
        <v>0</v>
      </c>
      <c r="E171" s="89">
        <f t="shared" si="43"/>
        <v>468986.85115340352</v>
      </c>
      <c r="F171" s="93">
        <v>17202.737000000001</v>
      </c>
      <c r="G171" s="94">
        <f t="shared" si="44"/>
        <v>27.262339193664559</v>
      </c>
      <c r="I171" s="95">
        <f t="shared" si="41"/>
        <v>42</v>
      </c>
      <c r="J171" s="91">
        <f t="shared" si="45"/>
        <v>2031</v>
      </c>
      <c r="K171" s="96">
        <f t="shared" si="46"/>
        <v>47908</v>
      </c>
    </row>
    <row r="172" spans="2:11" outlineLevel="1">
      <c r="B172" s="96">
        <f t="shared" si="42"/>
        <v>47939</v>
      </c>
      <c r="C172" s="93">
        <v>538525.00691267848</v>
      </c>
      <c r="D172" s="89">
        <f>IF(F172&lt;&gt;0,VLOOKUP($J172,'Table 1'!$B$13:$C$33,2,FALSE)/12*1000*Study_MW,0)</f>
        <v>0</v>
      </c>
      <c r="E172" s="89">
        <f t="shared" si="43"/>
        <v>538525.00691267848</v>
      </c>
      <c r="F172" s="93">
        <v>19869.27</v>
      </c>
      <c r="G172" s="94">
        <f t="shared" si="44"/>
        <v>27.103411796843993</v>
      </c>
      <c r="I172" s="95">
        <f t="shared" si="41"/>
        <v>43</v>
      </c>
      <c r="J172" s="91">
        <f t="shared" si="45"/>
        <v>2031</v>
      </c>
      <c r="K172" s="96">
        <f t="shared" si="46"/>
        <v>47939</v>
      </c>
    </row>
    <row r="173" spans="2:11" outlineLevel="1">
      <c r="B173" s="96">
        <f t="shared" si="42"/>
        <v>47969</v>
      </c>
      <c r="C173" s="93">
        <v>630241.64590510726</v>
      </c>
      <c r="D173" s="89">
        <f>IF(F173&lt;&gt;0,VLOOKUP($J173,'Table 1'!$B$13:$C$33,2,FALSE)/12*1000*Study_MW,0)</f>
        <v>0</v>
      </c>
      <c r="E173" s="89">
        <f t="shared" si="43"/>
        <v>630241.64590510726</v>
      </c>
      <c r="F173" s="93">
        <v>23000.170999999998</v>
      </c>
      <c r="G173" s="94">
        <f t="shared" si="44"/>
        <v>27.401606966535478</v>
      </c>
      <c r="I173" s="95">
        <f t="shared" si="41"/>
        <v>44</v>
      </c>
      <c r="J173" s="91">
        <f t="shared" si="45"/>
        <v>2031</v>
      </c>
      <c r="K173" s="96">
        <f t="shared" si="46"/>
        <v>47969</v>
      </c>
    </row>
    <row r="174" spans="2:11" outlineLevel="1">
      <c r="B174" s="96">
        <f t="shared" si="42"/>
        <v>48000</v>
      </c>
      <c r="C174" s="93">
        <v>714111.45627275109</v>
      </c>
      <c r="D174" s="89">
        <f>IF(F174&lt;&gt;0,VLOOKUP($J174,'Table 1'!$B$13:$C$33,2,FALSE)/12*1000*Study_MW,0)</f>
        <v>0</v>
      </c>
      <c r="E174" s="89">
        <f t="shared" si="43"/>
        <v>714111.45627275109</v>
      </c>
      <c r="F174" s="93">
        <v>24435.119999999999</v>
      </c>
      <c r="G174" s="94">
        <f t="shared" si="44"/>
        <v>29.224798416081079</v>
      </c>
      <c r="I174" s="95">
        <f t="shared" si="41"/>
        <v>45</v>
      </c>
      <c r="J174" s="91">
        <f t="shared" si="45"/>
        <v>2031</v>
      </c>
      <c r="K174" s="96">
        <f t="shared" si="46"/>
        <v>48000</v>
      </c>
    </row>
    <row r="175" spans="2:11" outlineLevel="1">
      <c r="B175" s="96">
        <f t="shared" si="42"/>
        <v>48030</v>
      </c>
      <c r="C175" s="93">
        <v>671025.26764276624</v>
      </c>
      <c r="D175" s="89">
        <f>IF(F175&lt;&gt;0,VLOOKUP($J175,'Table 1'!$B$13:$C$33,2,FALSE)/12*1000*Study_MW,0)</f>
        <v>0</v>
      </c>
      <c r="E175" s="89">
        <f t="shared" si="43"/>
        <v>671025.26764276624</v>
      </c>
      <c r="F175" s="93">
        <v>22116.857</v>
      </c>
      <c r="G175" s="94">
        <f t="shared" si="44"/>
        <v>30.33999214457851</v>
      </c>
      <c r="I175" s="95">
        <f t="shared" si="41"/>
        <v>46</v>
      </c>
      <c r="J175" s="91">
        <f t="shared" si="45"/>
        <v>2031</v>
      </c>
      <c r="K175" s="96">
        <f t="shared" si="46"/>
        <v>48030</v>
      </c>
    </row>
    <row r="176" spans="2:11" outlineLevel="1">
      <c r="B176" s="96">
        <f t="shared" si="42"/>
        <v>48061</v>
      </c>
      <c r="C176" s="93">
        <v>680456.97665500641</v>
      </c>
      <c r="D176" s="89">
        <f>IF(F176&lt;&gt;0,VLOOKUP($J176,'Table 1'!$B$13:$C$33,2,FALSE)/12*1000*Study_MW,0)</f>
        <v>0</v>
      </c>
      <c r="E176" s="89">
        <f t="shared" si="43"/>
        <v>680456.97665500641</v>
      </c>
      <c r="F176" s="93">
        <v>22152.848000000002</v>
      </c>
      <c r="G176" s="94">
        <f t="shared" si="44"/>
        <v>30.716455809880806</v>
      </c>
      <c r="I176" s="95">
        <f t="shared" si="41"/>
        <v>47</v>
      </c>
      <c r="J176" s="91">
        <f t="shared" si="45"/>
        <v>2031</v>
      </c>
      <c r="K176" s="96">
        <f t="shared" si="46"/>
        <v>48061</v>
      </c>
    </row>
    <row r="177" spans="2:11" outlineLevel="1">
      <c r="B177" s="96">
        <f t="shared" si="42"/>
        <v>48092</v>
      </c>
      <c r="C177" s="93">
        <v>698971.84946665168</v>
      </c>
      <c r="D177" s="89">
        <f>IF(F177&lt;&gt;0,VLOOKUP($J177,'Table 1'!$B$13:$C$33,2,FALSE)/12*1000*Study_MW,0)</f>
        <v>0</v>
      </c>
      <c r="E177" s="89">
        <f t="shared" si="43"/>
        <v>698971.84946665168</v>
      </c>
      <c r="F177" s="93">
        <v>19527.57</v>
      </c>
      <c r="G177" s="94">
        <f t="shared" si="44"/>
        <v>35.794102874379746</v>
      </c>
      <c r="I177" s="95">
        <f t="shared" si="41"/>
        <v>48</v>
      </c>
      <c r="J177" s="91">
        <f t="shared" si="45"/>
        <v>2031</v>
      </c>
      <c r="K177" s="96">
        <f t="shared" si="46"/>
        <v>48092</v>
      </c>
    </row>
    <row r="178" spans="2:11" outlineLevel="1">
      <c r="B178" s="96">
        <f t="shared" si="42"/>
        <v>48122</v>
      </c>
      <c r="C178" s="93">
        <v>491973.84119200706</v>
      </c>
      <c r="D178" s="89">
        <f>IF(F178&lt;&gt;0,VLOOKUP($J178,'Table 1'!$B$13:$C$33,2,FALSE)/12*1000*Study_MW,0)</f>
        <v>0</v>
      </c>
      <c r="E178" s="89">
        <f t="shared" si="43"/>
        <v>491973.84119200706</v>
      </c>
      <c r="F178" s="93">
        <v>15831.483</v>
      </c>
      <c r="G178" s="94">
        <f t="shared" si="44"/>
        <v>31.075663675475447</v>
      </c>
      <c r="I178" s="95">
        <f t="shared" si="41"/>
        <v>49</v>
      </c>
      <c r="J178" s="91">
        <f t="shared" si="45"/>
        <v>2031</v>
      </c>
      <c r="K178" s="96">
        <f t="shared" si="46"/>
        <v>48122</v>
      </c>
    </row>
    <row r="179" spans="2:11" outlineLevel="1">
      <c r="B179" s="96">
        <f t="shared" si="42"/>
        <v>48153</v>
      </c>
      <c r="C179" s="93">
        <v>291850.03533914685</v>
      </c>
      <c r="D179" s="89">
        <f>IF(F179&lt;&gt;0,VLOOKUP($J179,'Table 1'!$B$13:$C$33,2,FALSE)/12*1000*Study_MW,0)</f>
        <v>0</v>
      </c>
      <c r="E179" s="89">
        <f t="shared" si="43"/>
        <v>291850.03533914685</v>
      </c>
      <c r="F179" s="93">
        <v>10663.17</v>
      </c>
      <c r="G179" s="94">
        <f t="shared" si="44"/>
        <v>27.369913012654479</v>
      </c>
      <c r="I179" s="95">
        <f t="shared" si="41"/>
        <v>50</v>
      </c>
      <c r="J179" s="91">
        <f t="shared" si="45"/>
        <v>2031</v>
      </c>
      <c r="K179" s="96">
        <f t="shared" si="46"/>
        <v>48153</v>
      </c>
    </row>
    <row r="180" spans="2:11" outlineLevel="1">
      <c r="B180" s="100">
        <f t="shared" si="42"/>
        <v>48183</v>
      </c>
      <c r="C180" s="97">
        <v>219772.61528018117</v>
      </c>
      <c r="D180" s="98">
        <f>IF(F180&lt;&gt;0,VLOOKUP($J180,'Table 1'!$B$13:$C$33,2,FALSE)/12*1000*Study_MW,0)</f>
        <v>0</v>
      </c>
      <c r="E180" s="98">
        <f t="shared" si="43"/>
        <v>219772.61528018117</v>
      </c>
      <c r="F180" s="97">
        <v>8226.2219999999998</v>
      </c>
      <c r="G180" s="99">
        <f t="shared" si="44"/>
        <v>26.716105556132714</v>
      </c>
      <c r="I180" s="82">
        <f t="shared" si="41"/>
        <v>51</v>
      </c>
      <c r="J180" s="91">
        <f t="shared" si="45"/>
        <v>2031</v>
      </c>
      <c r="K180" s="100">
        <f t="shared" si="46"/>
        <v>48183</v>
      </c>
    </row>
    <row r="181" spans="2:11" outlineLevel="1" collapsed="1">
      <c r="B181" s="92">
        <f t="shared" si="42"/>
        <v>48214</v>
      </c>
      <c r="C181" s="87">
        <v>272542.23265558481</v>
      </c>
      <c r="D181" s="88">
        <f>IF(F181&lt;&gt;0,VLOOKUP($J181,'Table 1'!$B$13:$C$33,2,FALSE)/12*1000*Study_MW,0)</f>
        <v>0</v>
      </c>
      <c r="E181" s="88">
        <f t="shared" si="43"/>
        <v>272542.23265558481</v>
      </c>
      <c r="F181" s="87">
        <v>9820.1180000000004</v>
      </c>
      <c r="G181" s="90">
        <f t="shared" si="44"/>
        <v>27.753458019097611</v>
      </c>
      <c r="I181" s="78">
        <f>I61</f>
        <v>53</v>
      </c>
      <c r="J181" s="91">
        <f t="shared" si="45"/>
        <v>2032</v>
      </c>
      <c r="K181" s="92">
        <f t="shared" si="46"/>
        <v>48214</v>
      </c>
    </row>
    <row r="182" spans="2:11" outlineLevel="1">
      <c r="B182" s="96">
        <f t="shared" si="42"/>
        <v>48245</v>
      </c>
      <c r="C182" s="93">
        <v>324024.17750769854</v>
      </c>
      <c r="D182" s="89">
        <f>IF(F182&lt;&gt;0,VLOOKUP($J182,'Table 1'!$B$13:$C$33,2,FALSE)/12*1000*Study_MW,0)</f>
        <v>0</v>
      </c>
      <c r="E182" s="89">
        <f t="shared" si="43"/>
        <v>324024.17750769854</v>
      </c>
      <c r="F182" s="93">
        <v>11382.964</v>
      </c>
      <c r="G182" s="94">
        <f t="shared" si="44"/>
        <v>28.465712226419985</v>
      </c>
      <c r="I182" s="95">
        <f t="shared" si="41"/>
        <v>54</v>
      </c>
      <c r="J182" s="91">
        <f t="shared" si="45"/>
        <v>2032</v>
      </c>
      <c r="K182" s="96">
        <f t="shared" si="46"/>
        <v>48245</v>
      </c>
    </row>
    <row r="183" spans="2:11" outlineLevel="1">
      <c r="B183" s="96">
        <f t="shared" si="42"/>
        <v>48274</v>
      </c>
      <c r="C183" s="93">
        <v>489661.53937283158</v>
      </c>
      <c r="D183" s="89">
        <f>IF(F183&lt;&gt;0,VLOOKUP($J183,'Table 1'!$B$13:$C$33,2,FALSE)/12*1000*Study_MW,0)</f>
        <v>0</v>
      </c>
      <c r="E183" s="89">
        <f t="shared" si="43"/>
        <v>489661.53937283158</v>
      </c>
      <c r="F183" s="93">
        <v>17116.742999999999</v>
      </c>
      <c r="G183" s="94">
        <f t="shared" si="44"/>
        <v>28.607167810653674</v>
      </c>
      <c r="I183" s="95">
        <f t="shared" si="41"/>
        <v>55</v>
      </c>
      <c r="J183" s="91">
        <f t="shared" si="45"/>
        <v>2032</v>
      </c>
      <c r="K183" s="96">
        <f t="shared" si="46"/>
        <v>48274</v>
      </c>
    </row>
    <row r="184" spans="2:11" outlineLevel="1">
      <c r="B184" s="96">
        <f t="shared" si="42"/>
        <v>48305</v>
      </c>
      <c r="C184" s="93">
        <v>547072.42522394657</v>
      </c>
      <c r="D184" s="89">
        <f>IF(F184&lt;&gt;0,VLOOKUP($J184,'Table 1'!$B$13:$C$33,2,FALSE)/12*1000*Study_MW,0)</f>
        <v>0</v>
      </c>
      <c r="E184" s="89">
        <f t="shared" si="43"/>
        <v>547072.42522394657</v>
      </c>
      <c r="F184" s="93">
        <v>19769.939999999999</v>
      </c>
      <c r="G184" s="94">
        <f t="shared" si="44"/>
        <v>27.671931489116638</v>
      </c>
      <c r="I184" s="95">
        <f t="shared" si="41"/>
        <v>56</v>
      </c>
      <c r="J184" s="91">
        <f t="shared" si="45"/>
        <v>2032</v>
      </c>
      <c r="K184" s="96">
        <f t="shared" si="46"/>
        <v>48305</v>
      </c>
    </row>
    <row r="185" spans="2:11" outlineLevel="1">
      <c r="B185" s="96">
        <f t="shared" si="42"/>
        <v>48335</v>
      </c>
      <c r="C185" s="93">
        <v>641495.60757306218</v>
      </c>
      <c r="D185" s="89">
        <f>IF(F185&lt;&gt;0,VLOOKUP($J185,'Table 1'!$B$13:$C$33,2,FALSE)/12*1000*Study_MW,0)</f>
        <v>0</v>
      </c>
      <c r="E185" s="89">
        <f t="shared" si="43"/>
        <v>641495.60757306218</v>
      </c>
      <c r="F185" s="93">
        <v>22885.254000000001</v>
      </c>
      <c r="G185" s="94">
        <f t="shared" si="44"/>
        <v>28.030958606492291</v>
      </c>
      <c r="I185" s="95">
        <f t="shared" si="41"/>
        <v>57</v>
      </c>
      <c r="J185" s="91">
        <f t="shared" si="45"/>
        <v>2032</v>
      </c>
      <c r="K185" s="96">
        <f t="shared" si="46"/>
        <v>48335</v>
      </c>
    </row>
    <row r="186" spans="2:11" outlineLevel="1">
      <c r="B186" s="96">
        <f t="shared" si="42"/>
        <v>48366</v>
      </c>
      <c r="C186" s="93">
        <v>782948.02462846041</v>
      </c>
      <c r="D186" s="89">
        <f>IF(F186&lt;&gt;0,VLOOKUP($J186,'Table 1'!$B$13:$C$33,2,FALSE)/12*1000*Study_MW,0)</f>
        <v>0</v>
      </c>
      <c r="E186" s="89">
        <f t="shared" si="43"/>
        <v>782948.02462846041</v>
      </c>
      <c r="F186" s="93">
        <v>24312.9</v>
      </c>
      <c r="G186" s="94">
        <f t="shared" si="44"/>
        <v>32.202987904711506</v>
      </c>
      <c r="I186" s="95">
        <f t="shared" si="41"/>
        <v>58</v>
      </c>
      <c r="J186" s="91">
        <f t="shared" si="45"/>
        <v>2032</v>
      </c>
      <c r="K186" s="96">
        <f t="shared" si="46"/>
        <v>48366</v>
      </c>
    </row>
    <row r="187" spans="2:11" outlineLevel="1">
      <c r="B187" s="96">
        <f t="shared" si="42"/>
        <v>48396</v>
      </c>
      <c r="C187" s="93">
        <v>666900.56308862567</v>
      </c>
      <c r="D187" s="89">
        <f>IF(F187&lt;&gt;0,VLOOKUP($J187,'Table 1'!$B$13:$C$33,2,FALSE)/12*1000*Study_MW,0)</f>
        <v>0</v>
      </c>
      <c r="E187" s="89">
        <f t="shared" si="43"/>
        <v>666900.56308862567</v>
      </c>
      <c r="F187" s="93">
        <v>22006.311000000002</v>
      </c>
      <c r="G187" s="94">
        <f t="shared" si="44"/>
        <v>30.304968565091425</v>
      </c>
      <c r="I187" s="95">
        <f t="shared" si="41"/>
        <v>59</v>
      </c>
      <c r="J187" s="91">
        <f t="shared" si="45"/>
        <v>2032</v>
      </c>
      <c r="K187" s="96">
        <f t="shared" si="46"/>
        <v>48396</v>
      </c>
    </row>
    <row r="188" spans="2:11" outlineLevel="1">
      <c r="B188" s="96">
        <f t="shared" si="42"/>
        <v>48427</v>
      </c>
      <c r="C188" s="93">
        <v>691442.95980599523</v>
      </c>
      <c r="D188" s="89">
        <f>IF(F188&lt;&gt;0,VLOOKUP($J188,'Table 1'!$B$13:$C$33,2,FALSE)/12*1000*Study_MW,0)</f>
        <v>0</v>
      </c>
      <c r="E188" s="89">
        <f t="shared" si="43"/>
        <v>691442.95980599523</v>
      </c>
      <c r="F188" s="93">
        <v>22042.084999999999</v>
      </c>
      <c r="G188" s="94">
        <f t="shared" si="44"/>
        <v>31.369217558411343</v>
      </c>
      <c r="I188" s="95">
        <f t="shared" si="41"/>
        <v>60</v>
      </c>
      <c r="J188" s="91">
        <f t="shared" si="45"/>
        <v>2032</v>
      </c>
      <c r="K188" s="96">
        <f t="shared" si="46"/>
        <v>48427</v>
      </c>
    </row>
    <row r="189" spans="2:11" outlineLevel="1">
      <c r="B189" s="96">
        <f t="shared" si="42"/>
        <v>48458</v>
      </c>
      <c r="C189" s="93">
        <v>698682.5118355155</v>
      </c>
      <c r="D189" s="89">
        <f>IF(F189&lt;&gt;0,VLOOKUP($J189,'Table 1'!$B$13:$C$33,2,FALSE)/12*1000*Study_MW,0)</f>
        <v>0</v>
      </c>
      <c r="E189" s="89">
        <f t="shared" si="43"/>
        <v>698682.5118355155</v>
      </c>
      <c r="F189" s="93">
        <v>19429.919999999998</v>
      </c>
      <c r="G189" s="94">
        <f t="shared" si="44"/>
        <v>35.959103889028654</v>
      </c>
      <c r="I189" s="95">
        <f t="shared" si="41"/>
        <v>61</v>
      </c>
      <c r="J189" s="91">
        <f t="shared" si="45"/>
        <v>2032</v>
      </c>
      <c r="K189" s="96">
        <f t="shared" si="46"/>
        <v>48458</v>
      </c>
    </row>
    <row r="190" spans="2:11" outlineLevel="1">
      <c r="B190" s="96">
        <f t="shared" si="42"/>
        <v>48488</v>
      </c>
      <c r="C190" s="93">
        <v>492612.86224573851</v>
      </c>
      <c r="D190" s="89">
        <f>IF(F190&lt;&gt;0,VLOOKUP($J190,'Table 1'!$B$13:$C$33,2,FALSE)/12*1000*Study_MW,0)</f>
        <v>0</v>
      </c>
      <c r="E190" s="89">
        <f t="shared" si="43"/>
        <v>492612.86224573851</v>
      </c>
      <c r="F190" s="93">
        <v>15752.308999999999</v>
      </c>
      <c r="G190" s="94">
        <f t="shared" si="44"/>
        <v>31.272422490298947</v>
      </c>
      <c r="I190" s="95">
        <f t="shared" si="41"/>
        <v>62</v>
      </c>
      <c r="J190" s="91">
        <f t="shared" si="45"/>
        <v>2032</v>
      </c>
      <c r="K190" s="96">
        <f t="shared" si="46"/>
        <v>48488</v>
      </c>
    </row>
    <row r="191" spans="2:11" outlineLevel="1">
      <c r="B191" s="96">
        <f t="shared" si="42"/>
        <v>48519</v>
      </c>
      <c r="C191" s="93">
        <v>292567.29066544771</v>
      </c>
      <c r="D191" s="89">
        <f>IF(F191&lt;&gt;0,VLOOKUP($J191,'Table 1'!$B$13:$C$33,2,FALSE)/12*1000*Study_MW,0)</f>
        <v>0</v>
      </c>
      <c r="E191" s="89">
        <f t="shared" si="43"/>
        <v>292567.29066544771</v>
      </c>
      <c r="F191" s="93">
        <v>10609.8</v>
      </c>
      <c r="G191" s="94">
        <f t="shared" si="44"/>
        <v>27.575193751573803</v>
      </c>
      <c r="I191" s="95">
        <f t="shared" si="41"/>
        <v>63</v>
      </c>
      <c r="J191" s="91">
        <f t="shared" si="45"/>
        <v>2032</v>
      </c>
      <c r="K191" s="96">
        <f t="shared" si="46"/>
        <v>48519</v>
      </c>
    </row>
    <row r="192" spans="2:11" outlineLevel="1">
      <c r="B192" s="100">
        <f t="shared" si="42"/>
        <v>48549</v>
      </c>
      <c r="C192" s="97">
        <v>222928.27067446709</v>
      </c>
      <c r="D192" s="98">
        <f>IF(F192&lt;&gt;0,VLOOKUP($J192,'Table 1'!$B$13:$C$33,2,FALSE)/12*1000*Study_MW,0)</f>
        <v>0</v>
      </c>
      <c r="E192" s="98">
        <f t="shared" si="43"/>
        <v>222928.27067446709</v>
      </c>
      <c r="F192" s="97">
        <v>8185.0540000000001</v>
      </c>
      <c r="G192" s="99">
        <f t="shared" si="44"/>
        <v>27.236017095851423</v>
      </c>
      <c r="I192" s="82">
        <f t="shared" si="41"/>
        <v>64</v>
      </c>
      <c r="J192" s="91">
        <f t="shared" si="45"/>
        <v>2032</v>
      </c>
      <c r="K192" s="100">
        <f t="shared" si="46"/>
        <v>48549</v>
      </c>
    </row>
    <row r="193" spans="2:11">
      <c r="B193" s="92">
        <f t="shared" si="42"/>
        <v>48580</v>
      </c>
      <c r="C193" s="87">
        <v>280724.14774468541</v>
      </c>
      <c r="D193" s="88">
        <f>IF(F193&lt;&gt;0,VLOOKUP($J193,'Table 1'!$B$13:$C$33,2,FALSE)/12*1000*Study_MW,0)</f>
        <v>0</v>
      </c>
      <c r="E193" s="88">
        <f t="shared" si="43"/>
        <v>280724.14774468541</v>
      </c>
      <c r="F193" s="87">
        <v>9771.0139999999992</v>
      </c>
      <c r="G193" s="90">
        <f>IFERROR(E193/$F193,0)</f>
        <v>28.730298385068881</v>
      </c>
      <c r="I193" s="78">
        <f>I73</f>
        <v>66</v>
      </c>
      <c r="J193" s="91">
        <f t="shared" si="45"/>
        <v>2033</v>
      </c>
      <c r="K193" s="92">
        <f t="shared" si="46"/>
        <v>48580</v>
      </c>
    </row>
    <row r="194" spans="2:11">
      <c r="B194" s="96">
        <f t="shared" si="42"/>
        <v>48611</v>
      </c>
      <c r="C194" s="93">
        <v>325893.17925170064</v>
      </c>
      <c r="D194" s="89">
        <f>IF(F194&lt;&gt;0,VLOOKUP($J194,'Table 1'!$B$13:$C$33,2,FALSE)/12*1000*Study_MW,0)</f>
        <v>0</v>
      </c>
      <c r="E194" s="89">
        <f t="shared" si="43"/>
        <v>325893.17925170064</v>
      </c>
      <c r="F194" s="93">
        <v>10935.512000000001</v>
      </c>
      <c r="G194" s="94">
        <f t="shared" ref="G194:G228" si="47">IFERROR(E194/$F194,0)</f>
        <v>29.801364513312283</v>
      </c>
      <c r="I194" s="95">
        <f t="shared" si="41"/>
        <v>67</v>
      </c>
      <c r="J194" s="91">
        <f t="shared" si="45"/>
        <v>2033</v>
      </c>
      <c r="K194" s="96">
        <f t="shared" si="46"/>
        <v>48611</v>
      </c>
    </row>
    <row r="195" spans="2:11">
      <c r="B195" s="96">
        <f t="shared" si="42"/>
        <v>48639</v>
      </c>
      <c r="C195" s="93">
        <v>510949.49175858498</v>
      </c>
      <c r="D195" s="89">
        <f>IF(F195&lt;&gt;0,VLOOKUP($J195,'Table 1'!$B$13:$C$33,2,FALSE)/12*1000*Study_MW,0)</f>
        <v>0</v>
      </c>
      <c r="E195" s="89">
        <f t="shared" si="43"/>
        <v>510949.49175858498</v>
      </c>
      <c r="F195" s="93">
        <v>17031.244999999999</v>
      </c>
      <c r="G195" s="94">
        <f t="shared" si="47"/>
        <v>30.000712910805113</v>
      </c>
      <c r="I195" s="95">
        <f t="shared" si="41"/>
        <v>68</v>
      </c>
      <c r="J195" s="91">
        <f t="shared" si="45"/>
        <v>2033</v>
      </c>
      <c r="K195" s="96">
        <f t="shared" si="46"/>
        <v>48639</v>
      </c>
    </row>
    <row r="196" spans="2:11">
      <c r="B196" s="96">
        <f t="shared" si="42"/>
        <v>48670</v>
      </c>
      <c r="C196" s="93">
        <v>582850.70681330562</v>
      </c>
      <c r="D196" s="89">
        <f>IF(F196&lt;&gt;0,VLOOKUP($J196,'Table 1'!$B$13:$C$33,2,FALSE)/12*1000*Study_MW,0)</f>
        <v>0</v>
      </c>
      <c r="E196" s="89">
        <f t="shared" si="43"/>
        <v>582850.70681330562</v>
      </c>
      <c r="F196" s="93">
        <v>19671.060000000001</v>
      </c>
      <c r="G196" s="94">
        <f t="shared" si="47"/>
        <v>29.629857608756495</v>
      </c>
      <c r="I196" s="95">
        <f t="shared" si="41"/>
        <v>69</v>
      </c>
      <c r="J196" s="91">
        <f t="shared" si="45"/>
        <v>2033</v>
      </c>
      <c r="K196" s="96">
        <f t="shared" si="46"/>
        <v>48670</v>
      </c>
    </row>
    <row r="197" spans="2:11">
      <c r="B197" s="96">
        <f t="shared" si="42"/>
        <v>48700</v>
      </c>
      <c r="C197" s="93">
        <v>677589.8888643086</v>
      </c>
      <c r="D197" s="89">
        <f>IF(F197&lt;&gt;0,VLOOKUP($J197,'Table 1'!$B$13:$C$33,2,FALSE)/12*1000*Study_MW,0)</f>
        <v>0</v>
      </c>
      <c r="E197" s="89">
        <f t="shared" si="43"/>
        <v>677589.8888643086</v>
      </c>
      <c r="F197" s="93">
        <v>22770.74</v>
      </c>
      <c r="G197" s="94">
        <f t="shared" si="47"/>
        <v>29.757042979907922</v>
      </c>
      <c r="I197" s="95">
        <f t="shared" si="41"/>
        <v>70</v>
      </c>
      <c r="J197" s="91">
        <f t="shared" si="45"/>
        <v>2033</v>
      </c>
      <c r="K197" s="96">
        <f t="shared" si="46"/>
        <v>48700</v>
      </c>
    </row>
    <row r="198" spans="2:11">
      <c r="B198" s="96">
        <f t="shared" si="42"/>
        <v>48731</v>
      </c>
      <c r="C198" s="93">
        <v>790365.8852019608</v>
      </c>
      <c r="D198" s="89">
        <f>IF(F198&lt;&gt;0,VLOOKUP($J198,'Table 1'!$B$13:$C$33,2,FALSE)/12*1000*Study_MW,0)</f>
        <v>0</v>
      </c>
      <c r="E198" s="89">
        <f t="shared" si="43"/>
        <v>790365.8852019608</v>
      </c>
      <c r="F198" s="93">
        <v>24191.37</v>
      </c>
      <c r="G198" s="94">
        <f t="shared" si="47"/>
        <v>32.671398321052543</v>
      </c>
      <c r="I198" s="95">
        <f t="shared" ref="I198:I204" si="48">I78</f>
        <v>71</v>
      </c>
      <c r="J198" s="91">
        <f t="shared" si="45"/>
        <v>2033</v>
      </c>
      <c r="K198" s="96">
        <f t="shared" si="46"/>
        <v>48731</v>
      </c>
    </row>
    <row r="199" spans="2:11">
      <c r="B199" s="96">
        <f t="shared" si="42"/>
        <v>48761</v>
      </c>
      <c r="C199" s="93">
        <v>745737.88437524438</v>
      </c>
      <c r="D199" s="89">
        <f>IF(F199&lt;&gt;0,VLOOKUP($J199,'Table 1'!$B$13:$C$33,2,FALSE)/12*1000*Study_MW,0)</f>
        <v>0</v>
      </c>
      <c r="E199" s="89">
        <f t="shared" si="43"/>
        <v>745737.88437524438</v>
      </c>
      <c r="F199" s="93">
        <v>21896.292000000001</v>
      </c>
      <c r="G199" s="94">
        <f t="shared" si="47"/>
        <v>34.057724676636774</v>
      </c>
      <c r="I199" s="95">
        <f t="shared" si="48"/>
        <v>72</v>
      </c>
      <c r="J199" s="91">
        <f t="shared" si="45"/>
        <v>2033</v>
      </c>
      <c r="K199" s="96">
        <f t="shared" si="46"/>
        <v>48761</v>
      </c>
    </row>
    <row r="200" spans="2:11">
      <c r="B200" s="96">
        <f t="shared" si="42"/>
        <v>48792</v>
      </c>
      <c r="C200" s="93">
        <v>716163.10140910745</v>
      </c>
      <c r="D200" s="89">
        <f>IF(F200&lt;&gt;0,VLOOKUP($J200,'Table 1'!$B$13:$C$33,2,FALSE)/12*1000*Study_MW,0)</f>
        <v>0</v>
      </c>
      <c r="E200" s="89">
        <f t="shared" si="43"/>
        <v>716163.10140910745</v>
      </c>
      <c r="F200" s="93">
        <v>21931.911</v>
      </c>
      <c r="G200" s="94">
        <f t="shared" si="47"/>
        <v>32.653930677044393</v>
      </c>
      <c r="I200" s="95">
        <f t="shared" si="48"/>
        <v>73</v>
      </c>
      <c r="J200" s="91">
        <f t="shared" si="45"/>
        <v>2033</v>
      </c>
      <c r="K200" s="96">
        <f t="shared" si="46"/>
        <v>48792</v>
      </c>
    </row>
    <row r="201" spans="2:11">
      <c r="B201" s="96">
        <f t="shared" si="42"/>
        <v>48823</v>
      </c>
      <c r="C201" s="93">
        <v>705373.42115521431</v>
      </c>
      <c r="D201" s="89">
        <f>IF(F201&lt;&gt;0,VLOOKUP($J201,'Table 1'!$B$13:$C$33,2,FALSE)/12*1000*Study_MW,0)</f>
        <v>0</v>
      </c>
      <c r="E201" s="89">
        <f t="shared" si="43"/>
        <v>705373.42115521431</v>
      </c>
      <c r="F201" s="93">
        <v>19332.75</v>
      </c>
      <c r="G201" s="94">
        <f t="shared" si="47"/>
        <v>36.485932997386008</v>
      </c>
      <c r="I201" s="95">
        <f t="shared" si="48"/>
        <v>74</v>
      </c>
      <c r="J201" s="91">
        <f t="shared" si="45"/>
        <v>2033</v>
      </c>
      <c r="K201" s="96">
        <f t="shared" si="46"/>
        <v>48823</v>
      </c>
    </row>
    <row r="202" spans="2:11">
      <c r="B202" s="96">
        <f t="shared" si="42"/>
        <v>48853</v>
      </c>
      <c r="C202" s="93">
        <v>518343.62568435073</v>
      </c>
      <c r="D202" s="89">
        <f>IF(F202&lt;&gt;0,VLOOKUP($J202,'Table 1'!$B$13:$C$33,2,FALSE)/12*1000*Study_MW,0)</f>
        <v>0</v>
      </c>
      <c r="E202" s="89">
        <f t="shared" si="43"/>
        <v>518343.62568435073</v>
      </c>
      <c r="F202" s="93">
        <v>15673.569</v>
      </c>
      <c r="G202" s="94">
        <f t="shared" si="47"/>
        <v>33.071193018281335</v>
      </c>
      <c r="I202" s="95">
        <f t="shared" si="48"/>
        <v>75</v>
      </c>
      <c r="J202" s="91">
        <f t="shared" si="45"/>
        <v>2033</v>
      </c>
      <c r="K202" s="96">
        <f t="shared" si="46"/>
        <v>48853</v>
      </c>
    </row>
    <row r="203" spans="2:11">
      <c r="B203" s="96">
        <f t="shared" si="42"/>
        <v>48884</v>
      </c>
      <c r="C203" s="93">
        <v>293181.35484343767</v>
      </c>
      <c r="D203" s="89">
        <f>IF(F203&lt;&gt;0,VLOOKUP($J203,'Table 1'!$B$13:$C$33,2,FALSE)/12*1000*Study_MW,0)</f>
        <v>0</v>
      </c>
      <c r="E203" s="89">
        <f t="shared" si="43"/>
        <v>293181.35484343767</v>
      </c>
      <c r="F203" s="93">
        <v>10556.76</v>
      </c>
      <c r="G203" s="94">
        <f t="shared" si="47"/>
        <v>27.771906801275929</v>
      </c>
      <c r="I203" s="95">
        <f t="shared" si="48"/>
        <v>76</v>
      </c>
      <c r="J203" s="91">
        <f t="shared" si="45"/>
        <v>2033</v>
      </c>
      <c r="K203" s="96">
        <f t="shared" si="46"/>
        <v>48884</v>
      </c>
    </row>
    <row r="204" spans="2:11">
      <c r="B204" s="100">
        <f t="shared" si="42"/>
        <v>48914</v>
      </c>
      <c r="C204" s="97">
        <v>242623.18126377463</v>
      </c>
      <c r="D204" s="98">
        <f>IF(F204&lt;&gt;0,VLOOKUP($J204,'Table 1'!$B$13:$C$33,2,FALSE)/12*1000*Study_MW,0)</f>
        <v>0</v>
      </c>
      <c r="E204" s="98">
        <f t="shared" si="43"/>
        <v>242623.18126377463</v>
      </c>
      <c r="F204" s="97">
        <v>8144.1959999999999</v>
      </c>
      <c r="G204" s="99">
        <f t="shared" si="47"/>
        <v>29.790931021769936</v>
      </c>
      <c r="I204" s="82">
        <f t="shared" si="48"/>
        <v>77</v>
      </c>
      <c r="J204" s="91">
        <f t="shared" si="45"/>
        <v>2033</v>
      </c>
      <c r="K204" s="100">
        <f t="shared" si="46"/>
        <v>48914</v>
      </c>
    </row>
    <row r="205" spans="2:11" outlineLevel="1">
      <c r="B205" s="92">
        <f t="shared" si="42"/>
        <v>48945</v>
      </c>
      <c r="C205" s="87">
        <v>291252.66856202483</v>
      </c>
      <c r="D205" s="88">
        <f>IF(ISNUMBER($F205)*SUM(F205:F216)&lt;&gt;0,VLOOKUP($J205,'Table 1'!$B$13:$C$33,2,FALSE)/12*1000*Study_MW,0)</f>
        <v>0</v>
      </c>
      <c r="E205" s="88">
        <f t="shared" si="43"/>
        <v>291252.66856202483</v>
      </c>
      <c r="F205" s="87">
        <v>9722.1579999999994</v>
      </c>
      <c r="G205" s="90">
        <f t="shared" si="47"/>
        <v>29.957615229255158</v>
      </c>
      <c r="I205" s="78">
        <f>I85</f>
        <v>79</v>
      </c>
      <c r="J205" s="91">
        <f t="shared" si="45"/>
        <v>2034</v>
      </c>
      <c r="K205" s="92">
        <f t="shared" si="46"/>
        <v>48945</v>
      </c>
    </row>
    <row r="206" spans="2:11" outlineLevel="1">
      <c r="B206" s="96">
        <f t="shared" ref="B206:B240" si="49">EDATE(B205,1)</f>
        <v>48976</v>
      </c>
      <c r="C206" s="93">
        <v>335500.73762583733</v>
      </c>
      <c r="D206" s="89">
        <f>IF(ISNUMBER($F206)*SUM(F206:F217)&lt;&gt;0,VLOOKUP($J206,'Table 1'!$B$13:$C$33,2,FALSE)/12*1000*Study_MW,0)</f>
        <v>0</v>
      </c>
      <c r="E206" s="89">
        <f t="shared" ref="E206:E228" si="50">C206+D206</f>
        <v>335500.73762583733</v>
      </c>
      <c r="F206" s="93">
        <v>10880.856</v>
      </c>
      <c r="G206" s="94">
        <f t="shared" si="47"/>
        <v>30.834038941957999</v>
      </c>
      <c r="I206" s="95">
        <f t="shared" ref="I206:I228" si="51">I86</f>
        <v>80</v>
      </c>
      <c r="J206" s="91">
        <f t="shared" ref="J206:J240" si="52">YEAR(B206)</f>
        <v>2034</v>
      </c>
      <c r="K206" s="96">
        <f t="shared" si="46"/>
        <v>48976</v>
      </c>
    </row>
    <row r="207" spans="2:11" outlineLevel="1">
      <c r="B207" s="96">
        <f t="shared" si="49"/>
        <v>49004</v>
      </c>
      <c r="C207" s="93">
        <v>519136.97051754594</v>
      </c>
      <c r="D207" s="89">
        <f>IF(ISNUMBER($F207)*SUM(F207:F218)&lt;&gt;0,VLOOKUP($J207,'Table 1'!$B$13:$C$33,2,FALSE)/12*1000*Study_MW,0)</f>
        <v>0</v>
      </c>
      <c r="E207" s="89">
        <f t="shared" si="50"/>
        <v>519136.97051754594</v>
      </c>
      <c r="F207" s="93">
        <v>16946.118999999999</v>
      </c>
      <c r="G207" s="94">
        <f t="shared" si="47"/>
        <v>30.634564204201915</v>
      </c>
      <c r="I207" s="95">
        <f t="shared" si="51"/>
        <v>81</v>
      </c>
      <c r="J207" s="91">
        <f t="shared" si="52"/>
        <v>2034</v>
      </c>
      <c r="K207" s="96">
        <f t="shared" si="46"/>
        <v>49004</v>
      </c>
    </row>
    <row r="208" spans="2:11" outlineLevel="1">
      <c r="B208" s="96">
        <f t="shared" si="49"/>
        <v>49035</v>
      </c>
      <c r="C208" s="93">
        <v>585668.8001832962</v>
      </c>
      <c r="D208" s="89">
        <f>IF(ISNUMBER($F208)*SUM(F208:F219)&lt;&gt;0,VLOOKUP($J208,'Table 1'!$B$13:$C$33,2,FALSE)/12*1000*Study_MW,0)</f>
        <v>0</v>
      </c>
      <c r="E208" s="89">
        <f t="shared" si="50"/>
        <v>585668.8001832962</v>
      </c>
      <c r="F208" s="93">
        <v>19572.689999999999</v>
      </c>
      <c r="G208" s="94">
        <f t="shared" si="47"/>
        <v>29.922754623063884</v>
      </c>
      <c r="I208" s="95">
        <f t="shared" si="51"/>
        <v>82</v>
      </c>
      <c r="J208" s="91">
        <f t="shared" si="52"/>
        <v>2034</v>
      </c>
      <c r="K208" s="96">
        <f t="shared" si="46"/>
        <v>49035</v>
      </c>
    </row>
    <row r="209" spans="2:11" outlineLevel="1">
      <c r="B209" s="96">
        <f t="shared" si="49"/>
        <v>49065</v>
      </c>
      <c r="C209" s="93">
        <v>692484.72225725651</v>
      </c>
      <c r="D209" s="89">
        <f>IF(ISNUMBER($F209)*SUM(F209:F220)&lt;&gt;0,VLOOKUP($J209,'Table 1'!$B$13:$C$33,2,FALSE)/12*1000*Study_MW,0)</f>
        <v>0</v>
      </c>
      <c r="E209" s="89">
        <f t="shared" si="50"/>
        <v>692484.72225725651</v>
      </c>
      <c r="F209" s="93">
        <v>22656.907999999999</v>
      </c>
      <c r="G209" s="94">
        <f t="shared" si="47"/>
        <v>30.563955251848864</v>
      </c>
      <c r="I209" s="95">
        <f t="shared" si="51"/>
        <v>83</v>
      </c>
      <c r="J209" s="91">
        <f t="shared" si="52"/>
        <v>2034</v>
      </c>
      <c r="K209" s="96">
        <f t="shared" si="46"/>
        <v>49065</v>
      </c>
    </row>
    <row r="210" spans="2:11" outlineLevel="1">
      <c r="B210" s="96">
        <f t="shared" si="49"/>
        <v>49096</v>
      </c>
      <c r="C210" s="93">
        <v>790654.28624978662</v>
      </c>
      <c r="D210" s="89">
        <f>IF(ISNUMBER($F210)*SUM(F210:F221)&lt;&gt;0,VLOOKUP($J210,'Table 1'!$B$13:$C$33,2,FALSE)/12*1000*Study_MW,0)</f>
        <v>0</v>
      </c>
      <c r="E210" s="89">
        <f t="shared" si="50"/>
        <v>790654.28624978662</v>
      </c>
      <c r="F210" s="93">
        <v>24070.44</v>
      </c>
      <c r="G210" s="94">
        <f t="shared" si="47"/>
        <v>32.847521119256093</v>
      </c>
      <c r="I210" s="95">
        <f t="shared" si="51"/>
        <v>84</v>
      </c>
      <c r="J210" s="91">
        <f t="shared" si="52"/>
        <v>2034</v>
      </c>
      <c r="K210" s="96">
        <f t="shared" si="46"/>
        <v>49096</v>
      </c>
    </row>
    <row r="211" spans="2:11" outlineLevel="1">
      <c r="B211" s="96">
        <f t="shared" si="49"/>
        <v>49126</v>
      </c>
      <c r="C211" s="93">
        <v>731217.9322527945</v>
      </c>
      <c r="D211" s="89">
        <f>IF(ISNUMBER($F211)*SUM(F211:F222)&lt;&gt;0,VLOOKUP($J211,'Table 1'!$B$13:$C$33,2,FALSE)/12*1000*Study_MW,0)</f>
        <v>0</v>
      </c>
      <c r="E211" s="89">
        <f t="shared" si="50"/>
        <v>731217.9322527945</v>
      </c>
      <c r="F211" s="93">
        <v>21786.738000000001</v>
      </c>
      <c r="G211" s="94">
        <f t="shared" si="47"/>
        <v>33.562524699787296</v>
      </c>
      <c r="I211" s="95">
        <f t="shared" si="51"/>
        <v>85</v>
      </c>
      <c r="J211" s="91">
        <f t="shared" si="52"/>
        <v>2034</v>
      </c>
      <c r="K211" s="96">
        <f t="shared" si="46"/>
        <v>49126</v>
      </c>
    </row>
    <row r="212" spans="2:11" outlineLevel="1">
      <c r="B212" s="96">
        <f t="shared" si="49"/>
        <v>49157</v>
      </c>
      <c r="C212" s="93">
        <v>738717.65895369649</v>
      </c>
      <c r="D212" s="89">
        <f>IF(ISNUMBER($F212)*SUM(F212:F223)&lt;&gt;0,VLOOKUP($J212,'Table 1'!$B$13:$C$33,2,FALSE)/12*1000*Study_MW,0)</f>
        <v>0</v>
      </c>
      <c r="E212" s="89">
        <f t="shared" si="50"/>
        <v>738717.65895369649</v>
      </c>
      <c r="F212" s="93">
        <v>21822.263999999999</v>
      </c>
      <c r="G212" s="94">
        <f t="shared" si="47"/>
        <v>33.851559075341427</v>
      </c>
      <c r="I212" s="95">
        <f t="shared" si="51"/>
        <v>86</v>
      </c>
      <c r="J212" s="91">
        <f t="shared" si="52"/>
        <v>2034</v>
      </c>
      <c r="K212" s="96">
        <f t="shared" si="46"/>
        <v>49157</v>
      </c>
    </row>
    <row r="213" spans="2:11" outlineLevel="1">
      <c r="B213" s="96">
        <f t="shared" si="49"/>
        <v>49188</v>
      </c>
      <c r="C213" s="93">
        <v>687234.36102566123</v>
      </c>
      <c r="D213" s="89">
        <f>IF(ISNUMBER($F213)*SUM(F213:F224)&lt;&gt;0,VLOOKUP($J213,'Table 1'!$B$13:$C$33,2,FALSE)/12*1000*Study_MW,0)</f>
        <v>0</v>
      </c>
      <c r="E213" s="89">
        <f t="shared" si="50"/>
        <v>687234.36102566123</v>
      </c>
      <c r="F213" s="93">
        <v>19236.09</v>
      </c>
      <c r="G213" s="94">
        <f t="shared" si="47"/>
        <v>35.726302020091467</v>
      </c>
      <c r="I213" s="95">
        <f t="shared" si="51"/>
        <v>87</v>
      </c>
      <c r="J213" s="91">
        <f t="shared" si="52"/>
        <v>2034</v>
      </c>
      <c r="K213" s="96">
        <f t="shared" si="46"/>
        <v>49188</v>
      </c>
    </row>
    <row r="214" spans="2:11" outlineLevel="1">
      <c r="B214" s="96">
        <f t="shared" si="49"/>
        <v>49218</v>
      </c>
      <c r="C214" s="93">
        <v>513181.92968147993</v>
      </c>
      <c r="D214" s="89">
        <f>IF(ISNUMBER($F214)*SUM(F214:F225)&lt;&gt;0,VLOOKUP($J214,'Table 1'!$B$13:$C$33,2,FALSE)/12*1000*Study_MW,0)</f>
        <v>0</v>
      </c>
      <c r="E214" s="89">
        <f t="shared" si="50"/>
        <v>513181.92968147993</v>
      </c>
      <c r="F214" s="93">
        <v>15595.138999999999</v>
      </c>
      <c r="G214" s="94">
        <f t="shared" si="47"/>
        <v>32.906531303214415</v>
      </c>
      <c r="I214" s="95">
        <f t="shared" si="51"/>
        <v>88</v>
      </c>
      <c r="J214" s="91">
        <f t="shared" si="52"/>
        <v>2034</v>
      </c>
      <c r="K214" s="96">
        <f t="shared" si="46"/>
        <v>49218</v>
      </c>
    </row>
    <row r="215" spans="2:11" outlineLevel="1">
      <c r="B215" s="96">
        <f t="shared" si="49"/>
        <v>49249</v>
      </c>
      <c r="C215" s="93">
        <v>291264.14452672005</v>
      </c>
      <c r="D215" s="89">
        <f>IF(ISNUMBER($F215)*SUM(F215:F226)&lt;&gt;0,VLOOKUP($J215,'Table 1'!$B$13:$C$33,2,FALSE)/12*1000*Study_MW,0)</f>
        <v>0</v>
      </c>
      <c r="E215" s="89">
        <f t="shared" si="50"/>
        <v>291264.14452672005</v>
      </c>
      <c r="F215" s="93">
        <v>10503.99</v>
      </c>
      <c r="G215" s="94">
        <f t="shared" si="47"/>
        <v>27.7289053518444</v>
      </c>
      <c r="I215" s="95">
        <f t="shared" si="51"/>
        <v>89</v>
      </c>
      <c r="J215" s="91">
        <f t="shared" si="52"/>
        <v>2034</v>
      </c>
      <c r="K215" s="96">
        <f t="shared" si="46"/>
        <v>49249</v>
      </c>
    </row>
    <row r="216" spans="2:11" outlineLevel="1">
      <c r="B216" s="100">
        <f t="shared" si="49"/>
        <v>49279</v>
      </c>
      <c r="C216" s="97">
        <v>278007.10392773151</v>
      </c>
      <c r="D216" s="98">
        <f>IF(ISNUMBER($F216)*SUM(F216:F227)&lt;&gt;0,VLOOKUP($J216,'Table 1'!$B$13:$C$33,2,FALSE)/12*1000*Study_MW,0)</f>
        <v>0</v>
      </c>
      <c r="E216" s="98">
        <f t="shared" si="50"/>
        <v>278007.10392773151</v>
      </c>
      <c r="F216" s="97">
        <v>8103.4620000000004</v>
      </c>
      <c r="G216" s="99">
        <f t="shared" si="47"/>
        <v>34.307201530374485</v>
      </c>
      <c r="I216" s="82">
        <f t="shared" si="51"/>
        <v>90</v>
      </c>
      <c r="J216" s="91">
        <f t="shared" si="52"/>
        <v>2034</v>
      </c>
      <c r="K216" s="100">
        <f t="shared" si="46"/>
        <v>49279</v>
      </c>
    </row>
    <row r="217" spans="2:11" outlineLevel="1">
      <c r="B217" s="92">
        <f t="shared" si="49"/>
        <v>49310</v>
      </c>
      <c r="C217" s="87">
        <v>2611.6462391614914</v>
      </c>
      <c r="D217" s="88">
        <f>IF(ISNUMBER($F217)*SUM(F217:F228)&lt;&gt;0,VLOOKUP($J217,'Table 1'!$B$13:$C$33,2,FALSE)/12*1000*Study_MW,0)</f>
        <v>1428336.8738718648</v>
      </c>
      <c r="E217" s="88">
        <f t="shared" si="50"/>
        <v>1430948.5201110262</v>
      </c>
      <c r="F217" s="87">
        <v>9673.5499999999993</v>
      </c>
      <c r="G217" s="90">
        <f t="shared" si="47"/>
        <v>147.92382528761689</v>
      </c>
      <c r="I217" s="78">
        <f>I97</f>
        <v>92</v>
      </c>
      <c r="J217" s="91">
        <f t="shared" si="52"/>
        <v>2035</v>
      </c>
      <c r="K217" s="92">
        <f t="shared" si="46"/>
        <v>49310</v>
      </c>
    </row>
    <row r="218" spans="2:11" outlineLevel="1">
      <c r="B218" s="96">
        <f t="shared" si="49"/>
        <v>49341</v>
      </c>
      <c r="C218" s="93">
        <v>2574.2307306528091</v>
      </c>
      <c r="D218" s="89">
        <f>IF(ISNUMBER($F218)*SUM(F218:F229)&lt;&gt;0,VLOOKUP($J218,'Table 1'!$B$13:$C$33,2,FALSE)/12*1000*Study_MW,0)</f>
        <v>1428336.8738718648</v>
      </c>
      <c r="E218" s="89">
        <f t="shared" si="50"/>
        <v>1430911.1046025176</v>
      </c>
      <c r="F218" s="93">
        <v>10826.451999999999</v>
      </c>
      <c r="G218" s="94">
        <f t="shared" si="47"/>
        <v>132.1680551119164</v>
      </c>
      <c r="I218" s="95">
        <f t="shared" si="51"/>
        <v>93</v>
      </c>
      <c r="J218" s="91">
        <f t="shared" si="52"/>
        <v>2035</v>
      </c>
      <c r="K218" s="96">
        <f t="shared" ref="K218:K240" si="53">IF(ISNUMBER(F218),IF(F218&lt;&gt;0,B218,""),"")</f>
        <v>49341</v>
      </c>
    </row>
    <row r="219" spans="2:11" outlineLevel="1">
      <c r="B219" s="96">
        <f t="shared" si="49"/>
        <v>49369</v>
      </c>
      <c r="C219" s="93">
        <v>4135.6022102832794</v>
      </c>
      <c r="D219" s="89">
        <f>IF(ISNUMBER($F219)*SUM(F219:F230)&lt;&gt;0,VLOOKUP($J219,'Table 1'!$B$13:$C$33,2,FALSE)/12*1000*Study_MW,0)</f>
        <v>1428336.8738718648</v>
      </c>
      <c r="E219" s="89">
        <f t="shared" si="50"/>
        <v>1432472.476082148</v>
      </c>
      <c r="F219" s="93">
        <v>16861.333999999999</v>
      </c>
      <c r="G219" s="94">
        <f t="shared" si="47"/>
        <v>84.956058404521741</v>
      </c>
      <c r="I219" s="95">
        <f t="shared" si="51"/>
        <v>94</v>
      </c>
      <c r="J219" s="91">
        <f t="shared" si="52"/>
        <v>2035</v>
      </c>
      <c r="K219" s="96">
        <f t="shared" si="53"/>
        <v>49369</v>
      </c>
    </row>
    <row r="220" spans="2:11" outlineLevel="1">
      <c r="B220" s="96">
        <f t="shared" si="49"/>
        <v>49400</v>
      </c>
      <c r="C220" s="93">
        <v>4320.3447707593441</v>
      </c>
      <c r="D220" s="89">
        <f>IF(ISNUMBER($F220)*SUM(F220:F231)&lt;&gt;0,VLOOKUP($J220,'Table 1'!$B$13:$C$33,2,FALSE)/12*1000*Study_MW,0)</f>
        <v>1428336.8738718648</v>
      </c>
      <c r="E220" s="89">
        <f t="shared" si="50"/>
        <v>1432657.2186426241</v>
      </c>
      <c r="F220" s="93">
        <v>19474.830000000002</v>
      </c>
      <c r="G220" s="94">
        <f t="shared" si="47"/>
        <v>73.564555821161164</v>
      </c>
      <c r="I220" s="95">
        <f t="shared" si="51"/>
        <v>95</v>
      </c>
      <c r="J220" s="91">
        <f t="shared" si="52"/>
        <v>2035</v>
      </c>
      <c r="K220" s="96">
        <f t="shared" si="53"/>
        <v>49400</v>
      </c>
    </row>
    <row r="221" spans="2:11" outlineLevel="1">
      <c r="B221" s="96">
        <f t="shared" si="49"/>
        <v>49430</v>
      </c>
      <c r="C221" s="93">
        <v>5034.4387463033199</v>
      </c>
      <c r="D221" s="89">
        <f>IF(ISNUMBER($F221)*SUM(F221:F232)&lt;&gt;0,VLOOKUP($J221,'Table 1'!$B$13:$C$33,2,FALSE)/12*1000*Study_MW,0)</f>
        <v>1428336.8738718648</v>
      </c>
      <c r="E221" s="89">
        <f t="shared" si="50"/>
        <v>1433371.3126181681</v>
      </c>
      <c r="F221" s="93">
        <v>22543.602999999999</v>
      </c>
      <c r="G221" s="94">
        <f t="shared" si="47"/>
        <v>63.582175068384949</v>
      </c>
      <c r="I221" s="95">
        <f t="shared" si="51"/>
        <v>96</v>
      </c>
      <c r="J221" s="91">
        <f t="shared" si="52"/>
        <v>2035</v>
      </c>
      <c r="K221" s="96">
        <f t="shared" si="53"/>
        <v>49430</v>
      </c>
    </row>
    <row r="222" spans="2:11" outlineLevel="1">
      <c r="B222" s="96">
        <f t="shared" si="49"/>
        <v>49461</v>
      </c>
      <c r="C222" s="93">
        <v>5241.9217814207077</v>
      </c>
      <c r="D222" s="89">
        <f>IF(ISNUMBER($F222)*SUM(F222:F233)&lt;&gt;0,VLOOKUP($J222,'Table 1'!$B$13:$C$33,2,FALSE)/12*1000*Study_MW,0)</f>
        <v>1428336.8738718648</v>
      </c>
      <c r="E222" s="89">
        <f t="shared" si="50"/>
        <v>1433578.7956532855</v>
      </c>
      <c r="F222" s="93">
        <v>23950.080000000002</v>
      </c>
      <c r="G222" s="94">
        <f t="shared" si="47"/>
        <v>59.856952279628516</v>
      </c>
      <c r="I222" s="95">
        <f t="shared" si="51"/>
        <v>97</v>
      </c>
      <c r="J222" s="91">
        <f t="shared" si="52"/>
        <v>2035</v>
      </c>
      <c r="K222" s="96">
        <f t="shared" si="53"/>
        <v>49461</v>
      </c>
    </row>
    <row r="223" spans="2:11" outlineLevel="1">
      <c r="B223" s="96">
        <f t="shared" si="49"/>
        <v>49491</v>
      </c>
      <c r="C223" s="93">
        <v>7499.6271642446518</v>
      </c>
      <c r="D223" s="89">
        <f>IF(ISNUMBER($F223)*SUM(F223:F234)&lt;&gt;0,VLOOKUP($J223,'Table 1'!$B$13:$C$33,2,FALSE)/12*1000*Study_MW,0)</f>
        <v>1428336.8738718648</v>
      </c>
      <c r="E223" s="89">
        <f t="shared" si="50"/>
        <v>1435836.5010361094</v>
      </c>
      <c r="F223" s="93">
        <v>21677.834999999999</v>
      </c>
      <c r="G223" s="94">
        <f t="shared" si="47"/>
        <v>66.235235254632641</v>
      </c>
      <c r="I223" s="95">
        <f t="shared" si="51"/>
        <v>98</v>
      </c>
      <c r="J223" s="91">
        <f t="shared" si="52"/>
        <v>2035</v>
      </c>
      <c r="K223" s="96">
        <f t="shared" si="53"/>
        <v>49491</v>
      </c>
    </row>
    <row r="224" spans="2:11" outlineLevel="1">
      <c r="B224" s="96">
        <f t="shared" si="49"/>
        <v>49522</v>
      </c>
      <c r="C224" s="93">
        <v>6822.2184718847275</v>
      </c>
      <c r="D224" s="89">
        <f>IF(ISNUMBER($F224)*SUM(F224:F235)&lt;&gt;0,VLOOKUP($J224,'Table 1'!$B$13:$C$33,2,FALSE)/12*1000*Study_MW,0)</f>
        <v>1428336.8738718648</v>
      </c>
      <c r="E224" s="89">
        <f t="shared" si="50"/>
        <v>1435159.0923437495</v>
      </c>
      <c r="F224" s="93">
        <v>21713.144</v>
      </c>
      <c r="G224" s="94">
        <f t="shared" si="47"/>
        <v>66.09632821224551</v>
      </c>
      <c r="I224" s="95">
        <f t="shared" si="51"/>
        <v>99</v>
      </c>
      <c r="J224" s="91">
        <f t="shared" si="52"/>
        <v>2035</v>
      </c>
      <c r="K224" s="96">
        <f t="shared" si="53"/>
        <v>49522</v>
      </c>
    </row>
    <row r="225" spans="2:20" outlineLevel="1">
      <c r="B225" s="96">
        <f t="shared" si="49"/>
        <v>49553</v>
      </c>
      <c r="C225" s="93">
        <v>4728.3799573779106</v>
      </c>
      <c r="D225" s="89">
        <f>IF(ISNUMBER($F225)*SUM(F225:F236)&lt;&gt;0,VLOOKUP($J225,'Table 1'!$B$13:$C$33,2,FALSE)/12*1000*Study_MW,0)</f>
        <v>1428336.8738718648</v>
      </c>
      <c r="E225" s="89">
        <f t="shared" si="50"/>
        <v>1433065.2538292427</v>
      </c>
      <c r="F225" s="93">
        <v>19140</v>
      </c>
      <c r="G225" s="94">
        <f t="shared" si="47"/>
        <v>74.872792781047167</v>
      </c>
      <c r="I225" s="95">
        <f t="shared" si="51"/>
        <v>100</v>
      </c>
      <c r="J225" s="91">
        <f t="shared" si="52"/>
        <v>2035</v>
      </c>
      <c r="K225" s="96">
        <f t="shared" si="53"/>
        <v>49553</v>
      </c>
    </row>
    <row r="226" spans="2:20" outlineLevel="1">
      <c r="B226" s="96">
        <f t="shared" si="49"/>
        <v>49583</v>
      </c>
      <c r="C226" s="93">
        <v>3944.5790030658245</v>
      </c>
      <c r="D226" s="89">
        <f>IF(ISNUMBER($F226)*SUM(F226:F237)&lt;&gt;0,VLOOKUP($J226,'Table 1'!$B$13:$C$33,2,FALSE)/12*1000*Study_MW,0)</f>
        <v>1428336.8738718648</v>
      </c>
      <c r="E226" s="89">
        <f t="shared" si="50"/>
        <v>1432281.4528749306</v>
      </c>
      <c r="F226" s="93">
        <v>15517.143</v>
      </c>
      <c r="G226" s="94">
        <f t="shared" si="47"/>
        <v>92.303167720689984</v>
      </c>
      <c r="I226" s="95">
        <f t="shared" si="51"/>
        <v>101</v>
      </c>
      <c r="J226" s="91">
        <f t="shared" si="52"/>
        <v>2035</v>
      </c>
      <c r="K226" s="96">
        <f t="shared" si="53"/>
        <v>49583</v>
      </c>
    </row>
    <row r="227" spans="2:20" outlineLevel="1">
      <c r="B227" s="96">
        <f t="shared" si="49"/>
        <v>49614</v>
      </c>
      <c r="C227" s="93">
        <v>2551.4333001375198</v>
      </c>
      <c r="D227" s="89">
        <f>IF(ISNUMBER($F227)*SUM(F227:F238)&lt;&gt;0,VLOOKUP($J227,'Table 1'!$B$13:$C$33,2,FALSE)/12*1000*Study_MW,0)</f>
        <v>1428336.8738718648</v>
      </c>
      <c r="E227" s="89">
        <f t="shared" si="50"/>
        <v>1430888.3071720023</v>
      </c>
      <c r="F227" s="93">
        <v>10451.459999999999</v>
      </c>
      <c r="G227" s="94">
        <f t="shared" si="47"/>
        <v>136.90798292028123</v>
      </c>
      <c r="I227" s="95">
        <f t="shared" si="51"/>
        <v>102</v>
      </c>
      <c r="J227" s="91">
        <f t="shared" si="52"/>
        <v>2035</v>
      </c>
      <c r="K227" s="96">
        <f t="shared" si="53"/>
        <v>49614</v>
      </c>
      <c r="T227" s="276"/>
    </row>
    <row r="228" spans="2:20" outlineLevel="1">
      <c r="B228" s="100">
        <f t="shared" si="49"/>
        <v>49644</v>
      </c>
      <c r="C228" s="97">
        <v>2298.932169675827</v>
      </c>
      <c r="D228" s="98">
        <f>IF(ISNUMBER($F228)*SUM(F228:F239)&lt;&gt;0,VLOOKUP($J228,'Table 1'!$B$13:$C$33,2,FALSE)/12*1000*Study_MW,0)</f>
        <v>1428336.8738718648</v>
      </c>
      <c r="E228" s="98">
        <f t="shared" si="50"/>
        <v>1430635.8060415406</v>
      </c>
      <c r="F228" s="97">
        <v>8062.9449999999997</v>
      </c>
      <c r="G228" s="99">
        <f t="shared" si="47"/>
        <v>177.43340752560519</v>
      </c>
      <c r="I228" s="82">
        <f t="shared" si="51"/>
        <v>103</v>
      </c>
      <c r="J228" s="91">
        <f t="shared" si="52"/>
        <v>2035</v>
      </c>
      <c r="K228" s="100">
        <f t="shared" si="53"/>
        <v>49644</v>
      </c>
      <c r="T228" s="276"/>
    </row>
    <row r="229" spans="2:20" outlineLevel="1">
      <c r="B229" s="92">
        <f t="shared" si="49"/>
        <v>49675</v>
      </c>
      <c r="C229" s="87">
        <v>2954.6548483669758</v>
      </c>
      <c r="D229" s="88">
        <f>IF(ISNUMBER($F229)*SUM(F229:F240)&lt;&gt;0,VLOOKUP($J229,'Table 1'!$B$13:$C$33,2,FALSE)/12*1000*Study_MW,0)</f>
        <v>1459819.0845566907</v>
      </c>
      <c r="E229" s="88">
        <f t="shared" ref="E229:E240" si="54">C229+D229</f>
        <v>1462773.7394050576</v>
      </c>
      <c r="F229" s="87">
        <v>9625.19</v>
      </c>
      <c r="G229" s="90">
        <f t="shared" ref="G229:G240" si="55">IFERROR(E229/$F229,0)</f>
        <v>151.97349240950646</v>
      </c>
      <c r="I229" s="78">
        <f>I109</f>
        <v>105</v>
      </c>
      <c r="J229" s="91">
        <f t="shared" si="52"/>
        <v>2036</v>
      </c>
      <c r="K229" s="92">
        <f t="shared" si="53"/>
        <v>49675</v>
      </c>
      <c r="M229" s="57"/>
      <c r="T229" s="276"/>
    </row>
    <row r="230" spans="2:20" outlineLevel="1">
      <c r="B230" s="96">
        <f t="shared" si="49"/>
        <v>49706</v>
      </c>
      <c r="C230" s="93">
        <v>2941.4331684410572</v>
      </c>
      <c r="D230" s="89">
        <f>IF(ISNUMBER($F230)*SUM(F230:F241)&lt;&gt;0,VLOOKUP($J230,'Table 1'!$B$13:$C$33,2,FALSE)/12*1000*Study_MW,0)</f>
        <v>1459819.0845566907</v>
      </c>
      <c r="E230" s="89">
        <f t="shared" si="54"/>
        <v>1462760.5177251317</v>
      </c>
      <c r="F230" s="93">
        <v>11156.995999999999</v>
      </c>
      <c r="G230" s="94">
        <f t="shared" si="55"/>
        <v>131.1070217937814</v>
      </c>
      <c r="I230" s="95">
        <f t="shared" ref="I230:I240" si="56">I110</f>
        <v>106</v>
      </c>
      <c r="J230" s="91">
        <f t="shared" si="52"/>
        <v>2036</v>
      </c>
      <c r="K230" s="96">
        <f t="shared" si="53"/>
        <v>49706</v>
      </c>
      <c r="M230" s="57"/>
      <c r="T230" s="276"/>
    </row>
    <row r="231" spans="2:20" outlineLevel="1">
      <c r="B231" s="96">
        <f t="shared" si="49"/>
        <v>49735</v>
      </c>
      <c r="C231" s="93">
        <v>4184.5285640656948</v>
      </c>
      <c r="D231" s="89">
        <f>IF(ISNUMBER($F231)*SUM(F231:F242)&lt;&gt;0,VLOOKUP($J231,'Table 1'!$B$13:$C$33,2,FALSE)/12*1000*Study_MW,0)</f>
        <v>1459819.0845566907</v>
      </c>
      <c r="E231" s="89">
        <f t="shared" si="54"/>
        <v>1464003.6131207563</v>
      </c>
      <c r="F231" s="93">
        <v>16777.013999999999</v>
      </c>
      <c r="G231" s="94">
        <f t="shared" si="55"/>
        <v>87.262465962104841</v>
      </c>
      <c r="I231" s="95">
        <f t="shared" si="56"/>
        <v>107</v>
      </c>
      <c r="J231" s="91">
        <f t="shared" si="52"/>
        <v>2036</v>
      </c>
      <c r="K231" s="96">
        <f t="shared" si="53"/>
        <v>49735</v>
      </c>
      <c r="M231" s="57"/>
      <c r="T231" s="276"/>
    </row>
    <row r="232" spans="2:20" outlineLevel="1">
      <c r="B232" s="96">
        <f t="shared" si="49"/>
        <v>49766</v>
      </c>
      <c r="C232" s="93">
        <v>4356.7664949297905</v>
      </c>
      <c r="D232" s="89">
        <f>IF(ISNUMBER($F232)*SUM(F232:F243)&lt;&gt;0,VLOOKUP($J232,'Table 1'!$B$13:$C$33,2,FALSE)/12*1000*Study_MW,0)</f>
        <v>1459819.0845566907</v>
      </c>
      <c r="E232" s="89">
        <f t="shared" si="54"/>
        <v>1464175.8510516204</v>
      </c>
      <c r="F232" s="93">
        <v>19377.48</v>
      </c>
      <c r="G232" s="94">
        <f t="shared" si="55"/>
        <v>75.560694736963754</v>
      </c>
      <c r="I232" s="95">
        <f t="shared" si="56"/>
        <v>108</v>
      </c>
      <c r="J232" s="91">
        <f t="shared" si="52"/>
        <v>2036</v>
      </c>
      <c r="K232" s="96">
        <f t="shared" si="53"/>
        <v>49766</v>
      </c>
      <c r="M232" s="57"/>
      <c r="T232" s="276"/>
    </row>
    <row r="233" spans="2:20" outlineLevel="1">
      <c r="B233" s="96">
        <f t="shared" si="49"/>
        <v>49796</v>
      </c>
      <c r="C233" s="93">
        <v>5205.0644183754921</v>
      </c>
      <c r="D233" s="89">
        <f>IF(ISNUMBER($F233)*SUM(F233:F244)&lt;&gt;0,VLOOKUP($J233,'Table 1'!$B$13:$C$33,2,FALSE)/12*1000*Study_MW,0)</f>
        <v>1459819.0845566907</v>
      </c>
      <c r="E233" s="89">
        <f t="shared" si="54"/>
        <v>1465024.1489750661</v>
      </c>
      <c r="F233" s="93">
        <v>22430.98</v>
      </c>
      <c r="G233" s="94">
        <f t="shared" si="55"/>
        <v>65.312534226104532</v>
      </c>
      <c r="I233" s="95">
        <f t="shared" si="56"/>
        <v>109</v>
      </c>
      <c r="J233" s="91">
        <f t="shared" si="52"/>
        <v>2036</v>
      </c>
      <c r="K233" s="96">
        <f t="shared" si="53"/>
        <v>49796</v>
      </c>
      <c r="M233" s="57"/>
      <c r="T233" s="276"/>
    </row>
    <row r="234" spans="2:20" outlineLevel="1">
      <c r="B234" s="96">
        <f t="shared" si="49"/>
        <v>49827</v>
      </c>
      <c r="C234" s="93">
        <v>6251.2323761880398</v>
      </c>
      <c r="D234" s="89">
        <f>IF(ISNUMBER($F234)*SUM(F234:F245)&lt;&gt;0,VLOOKUP($J234,'Table 1'!$B$13:$C$33,2,FALSE)/12*1000*Study_MW,0)</f>
        <v>1459819.0845566907</v>
      </c>
      <c r="E234" s="89">
        <f t="shared" si="54"/>
        <v>1466070.3169328787</v>
      </c>
      <c r="F234" s="93">
        <v>23830.32</v>
      </c>
      <c r="G234" s="94">
        <f t="shared" si="55"/>
        <v>61.52121821834028</v>
      </c>
      <c r="I234" s="95">
        <f t="shared" si="56"/>
        <v>110</v>
      </c>
      <c r="J234" s="91">
        <f t="shared" si="52"/>
        <v>2036</v>
      </c>
      <c r="K234" s="96">
        <f t="shared" si="53"/>
        <v>49827</v>
      </c>
      <c r="M234" s="57"/>
      <c r="T234" s="276"/>
    </row>
    <row r="235" spans="2:20" outlineLevel="1">
      <c r="B235" s="96">
        <f t="shared" si="49"/>
        <v>49857</v>
      </c>
      <c r="C235" s="93">
        <v>8575.6958256065845</v>
      </c>
      <c r="D235" s="89">
        <f>IF(ISNUMBER($F235)*SUM(F235:F246)&lt;&gt;0,VLOOKUP($J235,'Table 1'!$B$13:$C$33,2,FALSE)/12*1000*Study_MW,0)</f>
        <v>1459819.0845566907</v>
      </c>
      <c r="E235" s="89">
        <f t="shared" si="54"/>
        <v>1468394.7803822972</v>
      </c>
      <c r="F235" s="93">
        <v>21569.458999999999</v>
      </c>
      <c r="G235" s="94">
        <f t="shared" si="55"/>
        <v>68.077497000842598</v>
      </c>
      <c r="I235" s="95">
        <f t="shared" si="56"/>
        <v>111</v>
      </c>
      <c r="J235" s="91">
        <f t="shared" si="52"/>
        <v>2036</v>
      </c>
      <c r="K235" s="96">
        <f t="shared" si="53"/>
        <v>49857</v>
      </c>
      <c r="M235" s="57"/>
      <c r="T235" s="276"/>
    </row>
    <row r="236" spans="2:20" outlineLevel="1">
      <c r="B236" s="96">
        <f t="shared" si="49"/>
        <v>49888</v>
      </c>
      <c r="C236" s="93">
        <v>9194.4047173857689</v>
      </c>
      <c r="D236" s="89">
        <f>IF(ISNUMBER($F236)*SUM(F236:F247)&lt;&gt;0,VLOOKUP($J236,'Table 1'!$B$13:$C$33,2,FALSE)/12*1000*Study_MW,0)</f>
        <v>1459819.0845566907</v>
      </c>
      <c r="E236" s="89">
        <f t="shared" si="54"/>
        <v>1469013.4892740764</v>
      </c>
      <c r="F236" s="93">
        <v>21604.52</v>
      </c>
      <c r="G236" s="94">
        <f t="shared" si="55"/>
        <v>67.995655042281726</v>
      </c>
      <c r="I236" s="95">
        <f t="shared" si="56"/>
        <v>112</v>
      </c>
      <c r="J236" s="91">
        <f t="shared" si="52"/>
        <v>2036</v>
      </c>
      <c r="K236" s="96">
        <f t="shared" si="53"/>
        <v>49888</v>
      </c>
      <c r="M236" s="57"/>
      <c r="T236" s="276"/>
    </row>
    <row r="237" spans="2:20" outlineLevel="1">
      <c r="B237" s="96">
        <f t="shared" si="49"/>
        <v>49919</v>
      </c>
      <c r="C237" s="93">
        <v>6844.5015205442905</v>
      </c>
      <c r="D237" s="89">
        <f>IF(ISNUMBER($F237)*SUM(F237:F248)&lt;&gt;0,VLOOKUP($J237,'Table 1'!$B$13:$C$33,2,FALSE)/12*1000*Study_MW,0)</f>
        <v>1459819.0845566907</v>
      </c>
      <c r="E237" s="89">
        <f t="shared" si="54"/>
        <v>1466663.5860772349</v>
      </c>
      <c r="F237" s="93">
        <v>19044.240000000002</v>
      </c>
      <c r="G237" s="94">
        <f t="shared" si="55"/>
        <v>77.013500464037151</v>
      </c>
      <c r="I237" s="95">
        <f t="shared" si="56"/>
        <v>113</v>
      </c>
      <c r="J237" s="91">
        <f t="shared" si="52"/>
        <v>2036</v>
      </c>
      <c r="K237" s="96">
        <f t="shared" si="53"/>
        <v>49919</v>
      </c>
      <c r="M237" s="57"/>
      <c r="T237" s="276"/>
    </row>
    <row r="238" spans="2:20" outlineLevel="1">
      <c r="B238" s="96">
        <f t="shared" si="49"/>
        <v>49949</v>
      </c>
      <c r="C238" s="93">
        <v>4777.9403460323811</v>
      </c>
      <c r="D238" s="89">
        <f>IF(ISNUMBER($F238)*SUM(F238:F249)&lt;&gt;0,VLOOKUP($J238,'Table 1'!$B$13:$C$33,2,FALSE)/12*1000*Study_MW,0)</f>
        <v>1459819.0845566907</v>
      </c>
      <c r="E238" s="89">
        <f t="shared" si="54"/>
        <v>1464597.024902723</v>
      </c>
      <c r="F238" s="93">
        <v>15439.611999999999</v>
      </c>
      <c r="G238" s="94">
        <f t="shared" si="55"/>
        <v>94.859704045847991</v>
      </c>
      <c r="I238" s="95">
        <f t="shared" si="56"/>
        <v>114</v>
      </c>
      <c r="J238" s="91">
        <f t="shared" si="52"/>
        <v>2036</v>
      </c>
      <c r="K238" s="96">
        <f t="shared" si="53"/>
        <v>49949</v>
      </c>
      <c r="M238" s="57"/>
      <c r="T238" s="276"/>
    </row>
    <row r="239" spans="2:20" outlineLevel="1">
      <c r="B239" s="96">
        <f t="shared" si="49"/>
        <v>49980</v>
      </c>
      <c r="C239" s="93">
        <v>3230.9138861596584</v>
      </c>
      <c r="D239" s="89">
        <f>IF(ISNUMBER($F239)*SUM(F239:F250)&lt;&gt;0,VLOOKUP($J239,'Table 1'!$B$13:$C$33,2,FALSE)/12*1000*Study_MW,0)</f>
        <v>1459819.0845566907</v>
      </c>
      <c r="E239" s="89">
        <f t="shared" si="54"/>
        <v>1463049.9984428503</v>
      </c>
      <c r="F239" s="93">
        <v>10399.200000000001</v>
      </c>
      <c r="G239" s="94">
        <f t="shared" si="55"/>
        <v>140.68870667386435</v>
      </c>
      <c r="I239" s="95">
        <f t="shared" si="56"/>
        <v>115</v>
      </c>
      <c r="J239" s="91">
        <f t="shared" si="52"/>
        <v>2036</v>
      </c>
      <c r="K239" s="96">
        <f t="shared" si="53"/>
        <v>49980</v>
      </c>
      <c r="M239" s="57"/>
      <c r="T239" s="276"/>
    </row>
    <row r="240" spans="2:20" outlineLevel="1">
      <c r="B240" s="100">
        <f t="shared" si="49"/>
        <v>50010</v>
      </c>
      <c r="C240" s="97">
        <v>2817.5846919119358</v>
      </c>
      <c r="D240" s="98">
        <f>IF(ISNUMBER($F240)*SUM(F240:F251)&lt;&gt;0,VLOOKUP($J240,'Table 1'!$B$13:$C$33,2,FALSE)/12*1000*Study_MW,0)</f>
        <v>1459819.0845566907</v>
      </c>
      <c r="E240" s="98">
        <f t="shared" si="54"/>
        <v>1462636.6692486026</v>
      </c>
      <c r="F240" s="97">
        <v>8022.6760000000004</v>
      </c>
      <c r="G240" s="99">
        <f t="shared" si="55"/>
        <v>182.31281797352935</v>
      </c>
      <c r="I240" s="82">
        <f t="shared" si="56"/>
        <v>116</v>
      </c>
      <c r="J240" s="91">
        <f t="shared" si="52"/>
        <v>2036</v>
      </c>
      <c r="K240" s="100">
        <f t="shared" si="53"/>
        <v>50010</v>
      </c>
      <c r="M240" s="57"/>
      <c r="T240" s="276"/>
    </row>
    <row r="241" spans="2:20" outlineLevel="1">
      <c r="B241" s="277"/>
      <c r="C241" s="278"/>
      <c r="D241" s="279"/>
      <c r="E241" s="279"/>
      <c r="F241" s="278"/>
      <c r="G241" s="280"/>
      <c r="I241" s="78"/>
      <c r="J241" s="91"/>
      <c r="K241" s="92"/>
      <c r="M241" s="57"/>
      <c r="T241" s="276"/>
    </row>
    <row r="242" spans="2:20" outlineLevel="1">
      <c r="B242" s="281"/>
      <c r="C242" s="282"/>
      <c r="D242" s="283"/>
      <c r="E242" s="283"/>
      <c r="F242" s="282"/>
      <c r="G242" s="284"/>
      <c r="I242" s="95"/>
      <c r="J242" s="91"/>
      <c r="K242" s="96"/>
      <c r="M242" s="57"/>
      <c r="T242" s="276"/>
    </row>
    <row r="243" spans="2:20" outlineLevel="1">
      <c r="B243" s="281"/>
      <c r="C243" s="282"/>
      <c r="D243" s="283"/>
      <c r="E243" s="283"/>
      <c r="F243" s="282"/>
      <c r="G243" s="284"/>
      <c r="I243" s="95"/>
      <c r="J243" s="91"/>
      <c r="K243" s="96"/>
      <c r="M243" s="57"/>
      <c r="T243" s="276"/>
    </row>
    <row r="244" spans="2:20" outlineLevel="1">
      <c r="B244" s="281"/>
      <c r="C244" s="282"/>
      <c r="D244" s="283"/>
      <c r="E244" s="283"/>
      <c r="F244" s="282"/>
      <c r="G244" s="284"/>
      <c r="I244" s="95"/>
      <c r="J244" s="91"/>
      <c r="K244" s="96"/>
      <c r="M244" s="57"/>
      <c r="T244" s="276"/>
    </row>
    <row r="245" spans="2:20" outlineLevel="1">
      <c r="B245" s="281"/>
      <c r="C245" s="282"/>
      <c r="D245" s="283"/>
      <c r="E245" s="283"/>
      <c r="F245" s="282"/>
      <c r="G245" s="284"/>
      <c r="I245" s="95"/>
      <c r="J245" s="91"/>
      <c r="K245" s="96"/>
      <c r="M245" s="57"/>
      <c r="T245" s="276"/>
    </row>
    <row r="246" spans="2:20" outlineLevel="1">
      <c r="B246" s="281"/>
      <c r="C246" s="282"/>
      <c r="D246" s="283"/>
      <c r="E246" s="283"/>
      <c r="F246" s="282"/>
      <c r="G246" s="284"/>
      <c r="I246" s="95"/>
      <c r="J246" s="91"/>
      <c r="K246" s="96"/>
      <c r="M246" s="57"/>
      <c r="T246" s="276"/>
    </row>
    <row r="247" spans="2:20" outlineLevel="1">
      <c r="B247" s="281"/>
      <c r="C247" s="282"/>
      <c r="D247" s="283"/>
      <c r="E247" s="283"/>
      <c r="F247" s="282"/>
      <c r="G247" s="284"/>
      <c r="I247" s="95"/>
      <c r="J247" s="91"/>
      <c r="K247" s="96"/>
      <c r="M247" s="57"/>
      <c r="T247" s="276"/>
    </row>
    <row r="248" spans="2:20" outlineLevel="1">
      <c r="B248" s="281"/>
      <c r="C248" s="282"/>
      <c r="D248" s="283"/>
      <c r="E248" s="283"/>
      <c r="F248" s="282"/>
      <c r="G248" s="284"/>
      <c r="I248" s="95"/>
      <c r="J248" s="91"/>
      <c r="K248" s="96"/>
      <c r="M248" s="57"/>
      <c r="T248" s="276"/>
    </row>
    <row r="249" spans="2:20" outlineLevel="1">
      <c r="B249" s="281"/>
      <c r="C249" s="282"/>
      <c r="D249" s="283"/>
      <c r="E249" s="283"/>
      <c r="F249" s="282"/>
      <c r="G249" s="284"/>
      <c r="I249" s="95"/>
      <c r="J249" s="91"/>
      <c r="K249" s="96"/>
      <c r="M249" s="57"/>
      <c r="T249" s="276"/>
    </row>
    <row r="250" spans="2:20" outlineLevel="1">
      <c r="B250" s="281"/>
      <c r="C250" s="282"/>
      <c r="D250" s="283"/>
      <c r="E250" s="283"/>
      <c r="F250" s="282"/>
      <c r="G250" s="284"/>
      <c r="I250" s="95"/>
      <c r="J250" s="91"/>
      <c r="K250" s="96"/>
      <c r="M250" s="57"/>
      <c r="T250" s="276"/>
    </row>
    <row r="251" spans="2:20" outlineLevel="1">
      <c r="B251" s="281"/>
      <c r="C251" s="282"/>
      <c r="D251" s="283"/>
      <c r="E251" s="283"/>
      <c r="F251" s="282"/>
      <c r="G251" s="284"/>
      <c r="I251" s="95"/>
      <c r="J251" s="91"/>
      <c r="K251" s="96"/>
      <c r="M251" s="57"/>
      <c r="T251" s="276"/>
    </row>
    <row r="252" spans="2:20" outlineLevel="1" collapsed="1">
      <c r="B252" s="285"/>
      <c r="C252" s="286"/>
      <c r="D252" s="287"/>
      <c r="E252" s="287"/>
      <c r="F252" s="286"/>
      <c r="G252" s="288"/>
      <c r="I252" s="82"/>
      <c r="J252" s="91"/>
      <c r="K252" s="100"/>
      <c r="M252" s="57"/>
      <c r="T252" s="276"/>
    </row>
    <row r="253" spans="2:20" outlineLevel="1">
      <c r="B253" s="277"/>
      <c r="C253" s="278"/>
      <c r="D253" s="279"/>
      <c r="E253" s="279"/>
      <c r="F253" s="278"/>
      <c r="G253" s="280"/>
      <c r="I253" s="78"/>
      <c r="J253" s="91"/>
      <c r="K253" s="92"/>
      <c r="M253" s="57"/>
      <c r="T253" s="276"/>
    </row>
    <row r="254" spans="2:20" outlineLevel="1">
      <c r="B254" s="281"/>
      <c r="C254" s="282"/>
      <c r="D254" s="283"/>
      <c r="E254" s="283"/>
      <c r="F254" s="282"/>
      <c r="G254" s="284"/>
      <c r="I254" s="95"/>
      <c r="J254" s="91"/>
      <c r="K254" s="96"/>
      <c r="M254" s="57"/>
      <c r="T254" s="276"/>
    </row>
    <row r="255" spans="2:20" outlineLevel="1">
      <c r="B255" s="281"/>
      <c r="C255" s="282"/>
      <c r="D255" s="283"/>
      <c r="E255" s="283"/>
      <c r="F255" s="282"/>
      <c r="G255" s="284"/>
      <c r="I255" s="95"/>
      <c r="J255" s="91"/>
      <c r="K255" s="96"/>
      <c r="M255" s="57"/>
      <c r="T255" s="276"/>
    </row>
    <row r="256" spans="2:20" outlineLevel="1">
      <c r="B256" s="281"/>
      <c r="C256" s="282"/>
      <c r="D256" s="283"/>
      <c r="E256" s="283"/>
      <c r="F256" s="282"/>
      <c r="G256" s="284"/>
      <c r="I256" s="95"/>
      <c r="J256" s="91"/>
      <c r="K256" s="96"/>
      <c r="M256" s="57"/>
      <c r="T256" s="276"/>
    </row>
    <row r="257" spans="2:20" outlineLevel="1">
      <c r="B257" s="281"/>
      <c r="C257" s="282"/>
      <c r="D257" s="283"/>
      <c r="E257" s="283"/>
      <c r="F257" s="282"/>
      <c r="G257" s="284"/>
      <c r="I257" s="95"/>
      <c r="J257" s="91"/>
      <c r="K257" s="96"/>
      <c r="M257" s="57"/>
      <c r="T257" s="276"/>
    </row>
    <row r="258" spans="2:20" outlineLevel="1">
      <c r="B258" s="281"/>
      <c r="C258" s="282"/>
      <c r="D258" s="283"/>
      <c r="E258" s="283"/>
      <c r="F258" s="282"/>
      <c r="G258" s="284"/>
      <c r="I258" s="95"/>
      <c r="J258" s="91"/>
      <c r="K258" s="96"/>
      <c r="M258" s="57"/>
      <c r="T258" s="276"/>
    </row>
    <row r="259" spans="2:20" outlineLevel="1">
      <c r="B259" s="281"/>
      <c r="C259" s="282"/>
      <c r="D259" s="283"/>
      <c r="E259" s="283"/>
      <c r="F259" s="282"/>
      <c r="G259" s="284"/>
      <c r="I259" s="95"/>
      <c r="J259" s="91"/>
      <c r="K259" s="96"/>
      <c r="M259" s="57"/>
    </row>
    <row r="260" spans="2:20" outlineLevel="1">
      <c r="B260" s="281"/>
      <c r="C260" s="282"/>
      <c r="D260" s="283"/>
      <c r="E260" s="283"/>
      <c r="F260" s="282"/>
      <c r="G260" s="284"/>
      <c r="I260" s="95"/>
      <c r="J260" s="91"/>
      <c r="K260" s="96"/>
      <c r="M260" s="57"/>
    </row>
    <row r="261" spans="2:20" outlineLevel="1">
      <c r="B261" s="281"/>
      <c r="C261" s="282"/>
      <c r="D261" s="283"/>
      <c r="E261" s="283"/>
      <c r="F261" s="282"/>
      <c r="G261" s="284"/>
      <c r="I261" s="95"/>
      <c r="J261" s="91"/>
      <c r="K261" s="96"/>
      <c r="M261" s="57"/>
    </row>
    <row r="262" spans="2:20" outlineLevel="1">
      <c r="B262" s="281"/>
      <c r="C262" s="282"/>
      <c r="D262" s="283"/>
      <c r="E262" s="283"/>
      <c r="F262" s="282"/>
      <c r="G262" s="284"/>
      <c r="I262" s="95"/>
      <c r="J262" s="91"/>
      <c r="K262" s="96"/>
      <c r="M262" s="57"/>
    </row>
    <row r="263" spans="2:20" outlineLevel="1">
      <c r="B263" s="281"/>
      <c r="C263" s="282"/>
      <c r="D263" s="283"/>
      <c r="E263" s="283"/>
      <c r="F263" s="282"/>
      <c r="G263" s="284"/>
      <c r="I263" s="95"/>
      <c r="J263" s="91"/>
      <c r="K263" s="96"/>
      <c r="M263" s="57"/>
    </row>
    <row r="264" spans="2:20" outlineLevel="1">
      <c r="B264" s="285"/>
      <c r="C264" s="290"/>
      <c r="D264" s="287"/>
      <c r="E264" s="287"/>
      <c r="F264" s="286"/>
      <c r="G264" s="288"/>
      <c r="I264" s="82"/>
      <c r="J264" s="91"/>
      <c r="K264" s="100"/>
      <c r="M264" s="57"/>
    </row>
    <row r="265" spans="2:20">
      <c r="B265" s="101"/>
      <c r="K265" s="91"/>
    </row>
    <row r="266" spans="2:20" hidden="1">
      <c r="B266" s="73" t="str">
        <f>"Note: Energy Dollars in "&amp;YEAR(B253)&amp;" are "&amp;YEAR(B241)&amp;" x ("&amp;YEAR(B241)&amp;" / "&amp;YEAR(B193)&amp;" ) ^ (1/4)"</f>
        <v>Note: Energy Dollars in 1900 are 1900 x (1900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zoomScaleNormal="100" workbookViewId="0">
      <selection activeCell="I31" sqref="I31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3" width="9.33203125" style="190"/>
    <col min="14" max="14" width="9.33203125" style="245"/>
    <col min="15" max="16384" width="9.33203125" style="190"/>
  </cols>
  <sheetData>
    <row r="1" spans="2:17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7" ht="15.75">
      <c r="B2" s="188" t="s">
        <v>158</v>
      </c>
      <c r="C2" s="189"/>
      <c r="D2" s="189"/>
      <c r="E2" s="189"/>
      <c r="F2" s="189"/>
      <c r="G2" s="189"/>
      <c r="H2" s="189"/>
      <c r="I2" s="189"/>
      <c r="J2" s="189"/>
    </row>
    <row r="3" spans="2:17" ht="15.75">
      <c r="B3" s="188" t="str">
        <f>TEXT($C$63,"0%")&amp;" Capacity Factor"</f>
        <v>41% Capacity Factor</v>
      </c>
      <c r="C3" s="189"/>
      <c r="D3" s="189"/>
      <c r="E3" s="189"/>
      <c r="F3" s="189"/>
      <c r="G3" s="189"/>
      <c r="H3" s="189"/>
      <c r="I3" s="189"/>
      <c r="J3" s="189"/>
    </row>
    <row r="4" spans="2:17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7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134</v>
      </c>
      <c r="J5" s="19" t="s">
        <v>73</v>
      </c>
      <c r="K5" s="194" t="s">
        <v>110</v>
      </c>
    </row>
    <row r="6" spans="2:17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7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7" ht="6" customHeight="1">
      <c r="K8" s="192"/>
    </row>
    <row r="9" spans="2:17" ht="15.75">
      <c r="B9" s="60" t="str">
        <f>C52</f>
        <v>2017 IRP Wyoming Wind Resource - 41% Capacity Factor</v>
      </c>
      <c r="C9" s="192"/>
      <c r="E9" s="192"/>
      <c r="F9" s="192"/>
      <c r="G9" s="192"/>
      <c r="H9" s="192"/>
      <c r="I9" s="192"/>
      <c r="J9" s="192"/>
      <c r="K9" s="192"/>
      <c r="N9" s="190"/>
    </row>
    <row r="10" spans="2:17">
      <c r="B10" s="199">
        <v>2016</v>
      </c>
      <c r="C10" s="200">
        <f>C55</f>
        <v>1637</v>
      </c>
      <c r="D10" s="201">
        <f>C10*$C$62</f>
        <v>115.6947435682565</v>
      </c>
      <c r="E10" s="201">
        <f>C56</f>
        <v>37.565582271006477</v>
      </c>
      <c r="F10" s="202">
        <f t="shared" ref="F10:F36" si="0">(D10+E10)/(8.76*$C$63)</f>
        <v>42.464735403439889</v>
      </c>
      <c r="G10" s="202">
        <f>C58</f>
        <v>0.65</v>
      </c>
      <c r="H10" s="201"/>
      <c r="I10" s="203">
        <f>F10+H10+G10</f>
        <v>43.114735403439887</v>
      </c>
      <c r="J10" s="203">
        <f>ROUND(I10*$C$63*8.76,2)</f>
        <v>155.61000000000001</v>
      </c>
      <c r="K10" s="201">
        <f>$C$57</f>
        <v>0.57299999999999995</v>
      </c>
      <c r="N10" s="246"/>
    </row>
    <row r="11" spans="2:17">
      <c r="B11" s="199">
        <f t="shared" ref="B11:B36" si="1">B10+1</f>
        <v>2017</v>
      </c>
      <c r="C11" s="205"/>
      <c r="D11" s="201">
        <f>ROUND(D10*(1+$D66),2)</f>
        <v>117.89</v>
      </c>
      <c r="E11" s="201">
        <f>ROUND(E10*(1+$D66),2)</f>
        <v>38.28</v>
      </c>
      <c r="F11" s="202">
        <f t="shared" si="0"/>
        <v>43.270935851398683</v>
      </c>
      <c r="G11" s="201">
        <f>ROUND(G10*(1+$D66),2)</f>
        <v>0.66</v>
      </c>
      <c r="H11" s="201"/>
      <c r="I11" s="203">
        <f>F11+H11+G11</f>
        <v>43.930935851398679</v>
      </c>
      <c r="J11" s="203">
        <f t="shared" ref="J11:J36" si="2">ROUND(I11*$C$63*8.76,2)</f>
        <v>158.55000000000001</v>
      </c>
      <c r="K11" s="201">
        <f>ROUND(K10*(1+$D66),2)</f>
        <v>0.57999999999999996</v>
      </c>
      <c r="N11" s="246"/>
    </row>
    <row r="12" spans="2:17">
      <c r="B12" s="212">
        <f t="shared" si="1"/>
        <v>2018</v>
      </c>
      <c r="C12" s="213"/>
      <c r="D12" s="201">
        <f t="shared" ref="D12:G19" si="3">ROUND(D11*(1+$D67),2)</f>
        <v>120.01</v>
      </c>
      <c r="E12" s="201">
        <f t="shared" si="3"/>
        <v>38.97</v>
      </c>
      <c r="F12" s="203">
        <f t="shared" si="0"/>
        <v>44.049518996320437</v>
      </c>
      <c r="G12" s="201">
        <f t="shared" si="3"/>
        <v>0.67</v>
      </c>
      <c r="H12" s="214"/>
      <c r="I12" s="203">
        <f t="shared" ref="I12:I36" si="4">F12+H12+G12</f>
        <v>44.719518996320438</v>
      </c>
      <c r="J12" s="203">
        <f t="shared" si="2"/>
        <v>161.4</v>
      </c>
      <c r="K12" s="201">
        <f t="shared" ref="K12:K19" si="5">ROUND(K11*(1+$D67),2)</f>
        <v>0.59</v>
      </c>
      <c r="L12" s="192"/>
      <c r="N12" s="246"/>
    </row>
    <row r="13" spans="2:17">
      <c r="B13" s="212">
        <f t="shared" si="1"/>
        <v>2019</v>
      </c>
      <c r="C13" s="213"/>
      <c r="D13" s="201">
        <f t="shared" si="3"/>
        <v>122.77</v>
      </c>
      <c r="E13" s="201">
        <f t="shared" si="3"/>
        <v>39.869999999999997</v>
      </c>
      <c r="F13" s="203">
        <f t="shared" si="0"/>
        <v>45.063616615684708</v>
      </c>
      <c r="G13" s="201">
        <f t="shared" si="3"/>
        <v>0.69</v>
      </c>
      <c r="H13" s="214"/>
      <c r="I13" s="203">
        <f t="shared" si="4"/>
        <v>45.753616615684706</v>
      </c>
      <c r="J13" s="203">
        <f t="shared" si="2"/>
        <v>165.13</v>
      </c>
      <c r="K13" s="201">
        <f t="shared" si="5"/>
        <v>0.6</v>
      </c>
      <c r="L13" s="192"/>
      <c r="N13" s="246"/>
    </row>
    <row r="14" spans="2:17">
      <c r="B14" s="212">
        <f t="shared" si="1"/>
        <v>2020</v>
      </c>
      <c r="C14" s="213"/>
      <c r="D14" s="201">
        <f t="shared" si="3"/>
        <v>125.96</v>
      </c>
      <c r="E14" s="201">
        <f t="shared" si="3"/>
        <v>40.909999999999997</v>
      </c>
      <c r="F14" s="203">
        <f t="shared" si="0"/>
        <v>46.235647470851625</v>
      </c>
      <c r="G14" s="201">
        <f t="shared" si="3"/>
        <v>0.71</v>
      </c>
      <c r="H14" s="214"/>
      <c r="I14" s="203">
        <f t="shared" si="4"/>
        <v>46.945647470851625</v>
      </c>
      <c r="J14" s="203">
        <f t="shared" si="2"/>
        <v>169.43</v>
      </c>
      <c r="K14" s="201">
        <f t="shared" si="5"/>
        <v>0.62</v>
      </c>
      <c r="L14" s="192"/>
      <c r="N14" s="246"/>
      <c r="O14" s="209"/>
      <c r="P14" s="321"/>
      <c r="Q14" s="322"/>
    </row>
    <row r="15" spans="2:17">
      <c r="B15" s="212">
        <f t="shared" si="1"/>
        <v>2021</v>
      </c>
      <c r="C15" s="213"/>
      <c r="D15" s="201">
        <f t="shared" si="3"/>
        <v>128.97999999999999</v>
      </c>
      <c r="E15" s="201">
        <f t="shared" si="3"/>
        <v>41.89</v>
      </c>
      <c r="F15" s="203">
        <f t="shared" si="0"/>
        <v>47.34395087999291</v>
      </c>
      <c r="G15" s="201">
        <f t="shared" si="3"/>
        <v>0.73</v>
      </c>
      <c r="H15" s="214">
        <v>-41.902367483762831</v>
      </c>
      <c r="I15" s="203">
        <f t="shared" si="4"/>
        <v>6.1715833962300799</v>
      </c>
      <c r="J15" s="203">
        <f t="shared" si="2"/>
        <v>22.27</v>
      </c>
      <c r="K15" s="201">
        <f t="shared" si="5"/>
        <v>0.63</v>
      </c>
      <c r="L15" s="192"/>
      <c r="N15" s="246"/>
      <c r="O15" s="321"/>
      <c r="P15" s="321"/>
      <c r="Q15" s="322"/>
    </row>
    <row r="16" spans="2:17">
      <c r="B16" s="212">
        <f t="shared" si="1"/>
        <v>2022</v>
      </c>
      <c r="C16" s="213"/>
      <c r="D16" s="201">
        <f t="shared" si="3"/>
        <v>131.94999999999999</v>
      </c>
      <c r="E16" s="201">
        <f t="shared" si="3"/>
        <v>42.85</v>
      </c>
      <c r="F16" s="203">
        <f t="shared" si="0"/>
        <v>48.432858979474219</v>
      </c>
      <c r="G16" s="201">
        <f t="shared" si="3"/>
        <v>0.75</v>
      </c>
      <c r="H16" s="214">
        <v>-41.902367483762831</v>
      </c>
      <c r="I16" s="203">
        <f t="shared" si="4"/>
        <v>7.280491495711388</v>
      </c>
      <c r="J16" s="203">
        <f t="shared" si="2"/>
        <v>26.28</v>
      </c>
      <c r="K16" s="201">
        <f t="shared" si="5"/>
        <v>0.64</v>
      </c>
      <c r="L16" s="192"/>
      <c r="N16" s="246"/>
    </row>
    <row r="17" spans="2:16">
      <c r="B17" s="212">
        <f t="shared" si="1"/>
        <v>2023</v>
      </c>
      <c r="C17" s="213"/>
      <c r="D17" s="201">
        <f t="shared" si="3"/>
        <v>134.97999999999999</v>
      </c>
      <c r="E17" s="201">
        <f t="shared" si="3"/>
        <v>43.84</v>
      </c>
      <c r="F17" s="203">
        <f t="shared" si="0"/>
        <v>49.546703905661211</v>
      </c>
      <c r="G17" s="201">
        <f t="shared" si="3"/>
        <v>0.77</v>
      </c>
      <c r="H17" s="214">
        <v>-43.513997002369095</v>
      </c>
      <c r="I17" s="203">
        <f t="shared" si="4"/>
        <v>6.8027069032921155</v>
      </c>
      <c r="J17" s="203">
        <f t="shared" si="2"/>
        <v>24.55</v>
      </c>
      <c r="K17" s="201">
        <f t="shared" si="5"/>
        <v>0.65</v>
      </c>
      <c r="L17" s="192"/>
      <c r="N17" s="246"/>
      <c r="O17" s="209"/>
    </row>
    <row r="18" spans="2:16">
      <c r="B18" s="212">
        <f t="shared" si="1"/>
        <v>2024</v>
      </c>
      <c r="C18" s="213"/>
      <c r="D18" s="201">
        <f t="shared" si="3"/>
        <v>138.08000000000001</v>
      </c>
      <c r="E18" s="201">
        <f t="shared" si="3"/>
        <v>44.85</v>
      </c>
      <c r="F18" s="203">
        <f t="shared" si="0"/>
        <v>50.685485658553887</v>
      </c>
      <c r="G18" s="201">
        <f t="shared" si="3"/>
        <v>0.79</v>
      </c>
      <c r="H18" s="214">
        <v>-43.513997002369095</v>
      </c>
      <c r="I18" s="203">
        <f t="shared" si="4"/>
        <v>7.961488656184792</v>
      </c>
      <c r="J18" s="203">
        <f t="shared" si="2"/>
        <v>28.73</v>
      </c>
      <c r="K18" s="201">
        <f t="shared" si="5"/>
        <v>0.66</v>
      </c>
      <c r="L18" s="192"/>
      <c r="N18" s="246"/>
    </row>
    <row r="19" spans="2:16">
      <c r="B19" s="212">
        <f t="shared" si="1"/>
        <v>2025</v>
      </c>
      <c r="C19" s="213"/>
      <c r="D19" s="201">
        <f t="shared" si="3"/>
        <v>141.26</v>
      </c>
      <c r="E19" s="201">
        <f t="shared" si="3"/>
        <v>45.88</v>
      </c>
      <c r="F19" s="203">
        <f t="shared" si="0"/>
        <v>51.851974996675089</v>
      </c>
      <c r="G19" s="201">
        <f t="shared" si="3"/>
        <v>0.81</v>
      </c>
      <c r="H19" s="214">
        <v>-45.125626520975359</v>
      </c>
      <c r="I19" s="203">
        <f t="shared" si="4"/>
        <v>7.5363484756997305</v>
      </c>
      <c r="J19" s="203">
        <f t="shared" si="2"/>
        <v>27.2</v>
      </c>
      <c r="K19" s="201">
        <f t="shared" si="5"/>
        <v>0.68</v>
      </c>
      <c r="L19" s="192"/>
      <c r="N19" s="246"/>
    </row>
    <row r="20" spans="2:16">
      <c r="B20" s="212">
        <f t="shared" si="1"/>
        <v>2026</v>
      </c>
      <c r="C20" s="213"/>
      <c r="D20" s="201">
        <f>ROUND(D19*(1+$G66),2)</f>
        <v>144.37</v>
      </c>
      <c r="E20" s="201">
        <f>ROUND(E19*(1+$G66),2)</f>
        <v>46.89</v>
      </c>
      <c r="F20" s="203">
        <f t="shared" si="0"/>
        <v>52.993527508090615</v>
      </c>
      <c r="G20" s="201">
        <f>ROUND(G19*(1+$G66),2)</f>
        <v>0.83</v>
      </c>
      <c r="H20" s="214">
        <v>-45.125626520975359</v>
      </c>
      <c r="I20" s="203">
        <f t="shared" si="4"/>
        <v>8.6979009871152559</v>
      </c>
      <c r="J20" s="203">
        <f t="shared" si="2"/>
        <v>31.39</v>
      </c>
      <c r="K20" s="201">
        <f>ROUND(K19*(1+$G66),2)</f>
        <v>0.69</v>
      </c>
      <c r="L20" s="192"/>
      <c r="N20" s="246"/>
      <c r="P20" s="243"/>
    </row>
    <row r="21" spans="2:16">
      <c r="B21" s="212">
        <f t="shared" si="1"/>
        <v>2027</v>
      </c>
      <c r="C21" s="213"/>
      <c r="D21" s="201">
        <f t="shared" ref="D21:G28" si="6">ROUND(D20*(1+$G67),2)</f>
        <v>147.55000000000001</v>
      </c>
      <c r="E21" s="201">
        <f t="shared" si="6"/>
        <v>47.92</v>
      </c>
      <c r="F21" s="203">
        <f t="shared" si="0"/>
        <v>54.160016846211825</v>
      </c>
      <c r="G21" s="201">
        <f t="shared" si="6"/>
        <v>0.85</v>
      </c>
      <c r="H21" s="214">
        <v>-46.737256039581631</v>
      </c>
      <c r="I21" s="203">
        <f t="shared" si="4"/>
        <v>8.2727608066301936</v>
      </c>
      <c r="J21" s="203">
        <f t="shared" si="2"/>
        <v>29.86</v>
      </c>
      <c r="K21" s="201">
        <f t="shared" ref="K21:K28" si="7">ROUND(K20*(1+$G67),2)</f>
        <v>0.71</v>
      </c>
      <c r="L21" s="192"/>
      <c r="N21" s="246"/>
    </row>
    <row r="22" spans="2:16">
      <c r="B22" s="212">
        <f t="shared" si="1"/>
        <v>2028</v>
      </c>
      <c r="C22" s="213"/>
      <c r="D22" s="201">
        <f t="shared" si="6"/>
        <v>150.80000000000001</v>
      </c>
      <c r="E22" s="201">
        <f t="shared" si="6"/>
        <v>48.97</v>
      </c>
      <c r="F22" s="203">
        <f t="shared" si="0"/>
        <v>55.351443011038704</v>
      </c>
      <c r="G22" s="201">
        <f t="shared" si="6"/>
        <v>0.87</v>
      </c>
      <c r="H22" s="214">
        <v>-46.737256039581631</v>
      </c>
      <c r="I22" s="203">
        <f t="shared" si="4"/>
        <v>9.4841869714570723</v>
      </c>
      <c r="J22" s="203">
        <f t="shared" si="2"/>
        <v>34.229999999999997</v>
      </c>
      <c r="K22" s="201">
        <f t="shared" si="7"/>
        <v>0.73</v>
      </c>
      <c r="L22" s="192"/>
      <c r="N22" s="246"/>
    </row>
    <row r="23" spans="2:16">
      <c r="B23" s="212">
        <f t="shared" si="1"/>
        <v>2029</v>
      </c>
      <c r="C23" s="213"/>
      <c r="D23" s="201">
        <f t="shared" si="6"/>
        <v>154.12</v>
      </c>
      <c r="E23" s="201">
        <f t="shared" si="6"/>
        <v>50.05</v>
      </c>
      <c r="F23" s="203">
        <f t="shared" si="0"/>
        <v>56.570576761094124</v>
      </c>
      <c r="G23" s="201">
        <f t="shared" si="6"/>
        <v>0.89</v>
      </c>
      <c r="H23" s="214">
        <v>-48.348885558187888</v>
      </c>
      <c r="I23" s="203">
        <f t="shared" si="4"/>
        <v>9.1116912029062362</v>
      </c>
      <c r="J23" s="203">
        <f t="shared" si="2"/>
        <v>32.89</v>
      </c>
      <c r="K23" s="201">
        <f t="shared" si="7"/>
        <v>0.75</v>
      </c>
      <c r="L23" s="192"/>
      <c r="N23" s="246"/>
    </row>
    <row r="24" spans="2:16">
      <c r="B24" s="212">
        <f t="shared" si="1"/>
        <v>2030</v>
      </c>
      <c r="C24" s="206"/>
      <c r="D24" s="207">
        <f t="shared" si="6"/>
        <v>157.51</v>
      </c>
      <c r="E24" s="207">
        <f t="shared" si="6"/>
        <v>51.15</v>
      </c>
      <c r="F24" s="208">
        <f t="shared" si="0"/>
        <v>57.814647337855213</v>
      </c>
      <c r="G24" s="207">
        <f t="shared" si="6"/>
        <v>0.91</v>
      </c>
      <c r="H24" s="207">
        <v>-49.960515076794145</v>
      </c>
      <c r="I24" s="208">
        <f t="shared" si="4"/>
        <v>8.7641322610610679</v>
      </c>
      <c r="J24" s="208">
        <f t="shared" si="2"/>
        <v>31.63</v>
      </c>
      <c r="K24" s="207">
        <f t="shared" si="7"/>
        <v>0.77</v>
      </c>
      <c r="L24" s="192"/>
      <c r="N24" s="246"/>
    </row>
    <row r="25" spans="2:16">
      <c r="B25" s="212">
        <f t="shared" si="1"/>
        <v>2031</v>
      </c>
      <c r="C25" s="213"/>
      <c r="D25" s="201">
        <f t="shared" si="6"/>
        <v>160.97999999999999</v>
      </c>
      <c r="E25" s="201">
        <f t="shared" si="6"/>
        <v>52.28</v>
      </c>
      <c r="F25" s="203">
        <f t="shared" si="0"/>
        <v>59.089196258367693</v>
      </c>
      <c r="G25" s="201">
        <f t="shared" si="6"/>
        <v>0.93</v>
      </c>
      <c r="H25" s="214"/>
      <c r="I25" s="203">
        <f t="shared" si="4"/>
        <v>60.019196258367693</v>
      </c>
      <c r="J25" s="203">
        <f t="shared" si="2"/>
        <v>216.62</v>
      </c>
      <c r="K25" s="201">
        <f t="shared" si="7"/>
        <v>0.79</v>
      </c>
      <c r="L25" s="192"/>
      <c r="N25" s="246"/>
    </row>
    <row r="26" spans="2:16">
      <c r="B26" s="212">
        <f t="shared" si="1"/>
        <v>2032</v>
      </c>
      <c r="C26" s="213"/>
      <c r="D26" s="201">
        <f t="shared" si="6"/>
        <v>164.52</v>
      </c>
      <c r="E26" s="201">
        <f t="shared" si="6"/>
        <v>53.43</v>
      </c>
      <c r="F26" s="203">
        <f t="shared" si="0"/>
        <v>60.388682005585856</v>
      </c>
      <c r="G26" s="201">
        <f t="shared" si="6"/>
        <v>0.95</v>
      </c>
      <c r="H26" s="214"/>
      <c r="I26" s="203">
        <f t="shared" si="4"/>
        <v>61.338682005585859</v>
      </c>
      <c r="J26" s="203">
        <f t="shared" si="2"/>
        <v>221.38</v>
      </c>
      <c r="K26" s="201">
        <f t="shared" si="7"/>
        <v>0.81</v>
      </c>
      <c r="L26" s="192"/>
      <c r="N26" s="246"/>
    </row>
    <row r="27" spans="2:16">
      <c r="B27" s="212">
        <f t="shared" si="1"/>
        <v>2033</v>
      </c>
      <c r="C27" s="213"/>
      <c r="D27" s="201">
        <f t="shared" si="6"/>
        <v>168.14</v>
      </c>
      <c r="E27" s="201">
        <f t="shared" si="6"/>
        <v>54.61</v>
      </c>
      <c r="F27" s="203">
        <f t="shared" si="0"/>
        <v>61.718646096555396</v>
      </c>
      <c r="G27" s="201">
        <f t="shared" si="6"/>
        <v>0.97</v>
      </c>
      <c r="H27" s="214"/>
      <c r="I27" s="203">
        <f t="shared" si="4"/>
        <v>62.688646096555395</v>
      </c>
      <c r="J27" s="203">
        <f t="shared" si="2"/>
        <v>226.25</v>
      </c>
      <c r="K27" s="201">
        <f t="shared" si="7"/>
        <v>0.83</v>
      </c>
      <c r="L27" s="192"/>
      <c r="N27" s="246"/>
    </row>
    <row r="28" spans="2:16">
      <c r="B28" s="212">
        <f t="shared" si="1"/>
        <v>2034</v>
      </c>
      <c r="C28" s="213"/>
      <c r="D28" s="201">
        <f t="shared" si="6"/>
        <v>171.84</v>
      </c>
      <c r="E28" s="201">
        <f t="shared" si="6"/>
        <v>55.81</v>
      </c>
      <c r="F28" s="203">
        <f t="shared" si="0"/>
        <v>63.07631777275347</v>
      </c>
      <c r="G28" s="201">
        <f t="shared" si="6"/>
        <v>0.99</v>
      </c>
      <c r="H28" s="214"/>
      <c r="I28" s="203">
        <f t="shared" si="4"/>
        <v>64.066317772753465</v>
      </c>
      <c r="J28" s="203">
        <f t="shared" si="2"/>
        <v>231.22</v>
      </c>
      <c r="K28" s="201">
        <f t="shared" si="7"/>
        <v>0.85</v>
      </c>
      <c r="L28" s="192"/>
      <c r="N28" s="246"/>
    </row>
    <row r="29" spans="2:16">
      <c r="B29" s="212">
        <f t="shared" si="1"/>
        <v>2035</v>
      </c>
      <c r="C29" s="213"/>
      <c r="D29" s="201">
        <f>ROUND(D28*(1+$K66),2)</f>
        <v>175.62</v>
      </c>
      <c r="E29" s="201">
        <f>ROUND(E28*(1+$K66),2)</f>
        <v>57.04</v>
      </c>
      <c r="F29" s="203">
        <f t="shared" si="0"/>
        <v>64.464467792702933</v>
      </c>
      <c r="G29" s="201">
        <f>ROUND(G28*(1+$K66),2)</f>
        <v>1.01</v>
      </c>
      <c r="H29" s="214"/>
      <c r="I29" s="203">
        <f t="shared" si="4"/>
        <v>65.474467792702939</v>
      </c>
      <c r="J29" s="203">
        <f t="shared" si="2"/>
        <v>236.31</v>
      </c>
      <c r="K29" s="201">
        <f>ROUND(K28*(1+$K66),2)</f>
        <v>0.87</v>
      </c>
      <c r="L29" s="192"/>
      <c r="N29" s="246"/>
    </row>
    <row r="30" spans="2:16">
      <c r="B30" s="212">
        <f t="shared" si="1"/>
        <v>2036</v>
      </c>
      <c r="C30" s="213"/>
      <c r="D30" s="201">
        <f t="shared" ref="D30:G36" si="8">ROUND(D29*(1+$K67),2)</f>
        <v>179.48</v>
      </c>
      <c r="E30" s="201">
        <f t="shared" si="8"/>
        <v>58.29</v>
      </c>
      <c r="F30" s="203">
        <f t="shared" si="0"/>
        <v>65.880325397880924</v>
      </c>
      <c r="G30" s="201">
        <f t="shared" si="8"/>
        <v>1.03</v>
      </c>
      <c r="H30" s="214"/>
      <c r="I30" s="203">
        <f t="shared" si="4"/>
        <v>66.910325397880925</v>
      </c>
      <c r="J30" s="203">
        <f t="shared" si="2"/>
        <v>241.49</v>
      </c>
      <c r="K30" s="201">
        <f t="shared" ref="K30:K36" si="9">ROUND(K29*(1+$K67),2)</f>
        <v>0.89</v>
      </c>
      <c r="L30" s="192"/>
      <c r="N30" s="246"/>
    </row>
    <row r="31" spans="2:16">
      <c r="B31" s="212">
        <f t="shared" si="1"/>
        <v>2037</v>
      </c>
      <c r="C31" s="213"/>
      <c r="D31" s="201">
        <f t="shared" si="8"/>
        <v>183.43</v>
      </c>
      <c r="E31" s="201">
        <f t="shared" si="8"/>
        <v>59.57</v>
      </c>
      <c r="F31" s="203">
        <f t="shared" si="0"/>
        <v>67.329432105333154</v>
      </c>
      <c r="G31" s="201">
        <f t="shared" si="8"/>
        <v>1.05</v>
      </c>
      <c r="H31" s="214"/>
      <c r="I31" s="203">
        <f t="shared" si="4"/>
        <v>68.379432105333152</v>
      </c>
      <c r="J31" s="203">
        <f t="shared" si="2"/>
        <v>246.79</v>
      </c>
      <c r="K31" s="201">
        <f t="shared" si="9"/>
        <v>0.91</v>
      </c>
      <c r="L31" s="192"/>
      <c r="N31" s="246"/>
    </row>
    <row r="32" spans="2:16">
      <c r="B32" s="212">
        <f t="shared" si="1"/>
        <v>2038</v>
      </c>
      <c r="C32" s="213"/>
      <c r="D32" s="201">
        <f t="shared" si="8"/>
        <v>187.47</v>
      </c>
      <c r="E32" s="201">
        <f t="shared" si="8"/>
        <v>60.88</v>
      </c>
      <c r="F32" s="203">
        <f t="shared" si="0"/>
        <v>68.811787915059625</v>
      </c>
      <c r="G32" s="201">
        <f t="shared" si="8"/>
        <v>1.07</v>
      </c>
      <c r="H32" s="214"/>
      <c r="I32" s="203">
        <f t="shared" si="4"/>
        <v>69.881787915059618</v>
      </c>
      <c r="J32" s="203">
        <f t="shared" si="2"/>
        <v>252.21</v>
      </c>
      <c r="K32" s="201">
        <f t="shared" si="9"/>
        <v>0.93</v>
      </c>
      <c r="L32" s="192"/>
      <c r="N32" s="246"/>
    </row>
    <row r="33" spans="2:14">
      <c r="B33" s="212">
        <f t="shared" si="1"/>
        <v>2039</v>
      </c>
      <c r="C33" s="213"/>
      <c r="D33" s="201">
        <f t="shared" si="8"/>
        <v>191.59</v>
      </c>
      <c r="E33" s="201">
        <f t="shared" si="8"/>
        <v>62.22</v>
      </c>
      <c r="F33" s="203">
        <f t="shared" si="0"/>
        <v>70.324622068537479</v>
      </c>
      <c r="G33" s="201">
        <f t="shared" si="8"/>
        <v>1.0900000000000001</v>
      </c>
      <c r="H33" s="214"/>
      <c r="I33" s="203">
        <f t="shared" si="4"/>
        <v>71.414622068537483</v>
      </c>
      <c r="J33" s="203">
        <f t="shared" si="2"/>
        <v>257.74</v>
      </c>
      <c r="K33" s="201">
        <f t="shared" si="9"/>
        <v>0.95</v>
      </c>
      <c r="L33" s="192"/>
      <c r="N33" s="246"/>
    </row>
    <row r="34" spans="2:14">
      <c r="B34" s="212">
        <f t="shared" si="1"/>
        <v>2040</v>
      </c>
      <c r="C34" s="213"/>
      <c r="D34" s="201">
        <f t="shared" si="8"/>
        <v>195.8</v>
      </c>
      <c r="E34" s="201">
        <f t="shared" si="8"/>
        <v>63.59</v>
      </c>
      <c r="F34" s="203">
        <f t="shared" si="0"/>
        <v>71.870705324289574</v>
      </c>
      <c r="G34" s="201">
        <f t="shared" si="8"/>
        <v>1.1100000000000001</v>
      </c>
      <c r="H34" s="214"/>
      <c r="I34" s="203">
        <f t="shared" si="4"/>
        <v>72.980705324289573</v>
      </c>
      <c r="J34" s="203">
        <f t="shared" si="2"/>
        <v>263.39999999999998</v>
      </c>
      <c r="K34" s="201">
        <f t="shared" si="9"/>
        <v>0.97</v>
      </c>
      <c r="L34" s="192"/>
      <c r="N34" s="246"/>
    </row>
    <row r="35" spans="2:14">
      <c r="B35" s="212">
        <f t="shared" si="1"/>
        <v>2041</v>
      </c>
      <c r="C35" s="213"/>
      <c r="D35" s="201">
        <f t="shared" si="8"/>
        <v>200.11</v>
      </c>
      <c r="E35" s="201">
        <f t="shared" si="8"/>
        <v>64.989999999999995</v>
      </c>
      <c r="F35" s="203">
        <f t="shared" si="0"/>
        <v>73.452808440838766</v>
      </c>
      <c r="G35" s="201">
        <f t="shared" si="8"/>
        <v>1.1299999999999999</v>
      </c>
      <c r="H35" s="214"/>
      <c r="I35" s="203">
        <f t="shared" si="4"/>
        <v>74.582808440838761</v>
      </c>
      <c r="J35" s="203">
        <f t="shared" si="2"/>
        <v>269.18</v>
      </c>
      <c r="K35" s="201">
        <f t="shared" si="9"/>
        <v>0.99</v>
      </c>
      <c r="L35" s="192"/>
      <c r="N35" s="246"/>
    </row>
    <row r="36" spans="2:14">
      <c r="B36" s="212">
        <f t="shared" si="1"/>
        <v>2042</v>
      </c>
      <c r="C36" s="213"/>
      <c r="D36" s="201">
        <f t="shared" si="8"/>
        <v>204.51</v>
      </c>
      <c r="E36" s="201">
        <f t="shared" si="8"/>
        <v>66.42</v>
      </c>
      <c r="F36" s="203">
        <f t="shared" si="0"/>
        <v>75.068160659662198</v>
      </c>
      <c r="G36" s="201">
        <f t="shared" si="8"/>
        <v>1.1499999999999999</v>
      </c>
      <c r="H36" s="214"/>
      <c r="I36" s="203">
        <f t="shared" si="4"/>
        <v>76.218160659662203</v>
      </c>
      <c r="J36" s="203">
        <f t="shared" si="2"/>
        <v>275.08</v>
      </c>
      <c r="K36" s="201">
        <f t="shared" si="9"/>
        <v>1.01</v>
      </c>
      <c r="L36" s="192"/>
      <c r="N36" s="246"/>
    </row>
    <row r="37" spans="2:14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4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4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4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4" ht="14.25">
      <c r="B42" s="216" t="s">
        <v>31</v>
      </c>
      <c r="C42" s="217"/>
      <c r="D42" s="217"/>
      <c r="E42" s="217"/>
      <c r="F42" s="217"/>
      <c r="G42" s="217"/>
      <c r="H42" s="217"/>
    </row>
    <row r="44" spans="2:14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4">
      <c r="C45" s="218" t="str">
        <f>C7</f>
        <v>(a)</v>
      </c>
      <c r="D45" s="190" t="s">
        <v>113</v>
      </c>
    </row>
    <row r="46" spans="2:14">
      <c r="C46" s="218" t="str">
        <f>D7</f>
        <v>(b)</v>
      </c>
      <c r="D46" s="203" t="str">
        <f>"= "&amp;C7&amp;" x "&amp;C62</f>
        <v>= (a) x 0.0706748586244695</v>
      </c>
    </row>
    <row r="47" spans="2:14">
      <c r="C47" s="218" t="str">
        <f>F7</f>
        <v>(d)</v>
      </c>
      <c r="D47" s="203" t="str">
        <f>"= ("&amp;$D$7&amp;" + "&amp;$E$7&amp;") /  (8.76 x "&amp;TEXT(C63,"0.0%")&amp;")"</f>
        <v>= ((b) + (c)) /  (8.76 x 41.2%)</v>
      </c>
    </row>
    <row r="48" spans="2:14">
      <c r="C48" s="218" t="str">
        <f>I7</f>
        <v>(g)</v>
      </c>
      <c r="D48" s="203" t="str">
        <f>"= "&amp;$F$7&amp;" + "&amp;$H$7</f>
        <v>= (d) + (f)</v>
      </c>
    </row>
    <row r="49" spans="2:23">
      <c r="C49" s="218" t="str">
        <f>K7</f>
        <v>(h)</v>
      </c>
      <c r="D49" s="105" t="str">
        <f>D44</f>
        <v xml:space="preserve">Plant Costs  - 2017 IRP - Table 6.1 &amp; 6.2 </v>
      </c>
    </row>
    <row r="50" spans="2:23">
      <c r="C50" s="218"/>
      <c r="D50" s="203"/>
    </row>
    <row r="51" spans="2:23" ht="13.5" thickBot="1"/>
    <row r="52" spans="2:23" ht="13.5" thickBot="1">
      <c r="C52" s="58" t="str">
        <f>B2&amp;" - "&amp;B3</f>
        <v>2017 IRP Wyoming Wind Resource - 41%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3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3">
      <c r="B55" s="105" t="s">
        <v>102</v>
      </c>
      <c r="C55" s="226">
        <v>1637</v>
      </c>
      <c r="D55" s="190" t="s">
        <v>113</v>
      </c>
      <c r="H55" s="190" t="s">
        <v>9</v>
      </c>
      <c r="J55" s="190" t="s">
        <v>149</v>
      </c>
    </row>
    <row r="56" spans="2:23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3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3">
      <c r="B58" s="105" t="s">
        <v>102</v>
      </c>
      <c r="C58" s="227">
        <v>0.65</v>
      </c>
      <c r="D58" s="190" t="s">
        <v>117</v>
      </c>
      <c r="H58" s="190" t="s">
        <v>118</v>
      </c>
      <c r="K58" s="192"/>
      <c r="L58" s="323"/>
      <c r="M58" s="69"/>
      <c r="N58" s="247"/>
      <c r="O58" s="69"/>
      <c r="P58" s="69"/>
      <c r="Q58" s="192"/>
      <c r="R58" s="192"/>
      <c r="S58" s="192"/>
      <c r="T58" s="192"/>
      <c r="U58" s="192"/>
      <c r="V58" s="192"/>
      <c r="W58" s="192"/>
    </row>
    <row r="59" spans="2:23">
      <c r="B59" s="105" t="s">
        <v>102</v>
      </c>
      <c r="C59" s="324">
        <v>-17.762272248602351</v>
      </c>
      <c r="D59" s="190" t="s">
        <v>119</v>
      </c>
      <c r="H59" s="190" t="s">
        <v>118</v>
      </c>
      <c r="J59" s="190" t="s">
        <v>150</v>
      </c>
      <c r="K59" s="325"/>
      <c r="L59" s="325"/>
      <c r="M59" s="231"/>
      <c r="O59" s="229"/>
      <c r="P59" s="192"/>
      <c r="Q59" s="192"/>
      <c r="R59" s="192"/>
      <c r="S59" s="192"/>
      <c r="T59" s="192"/>
      <c r="U59" s="192"/>
      <c r="V59" s="192"/>
      <c r="W59" s="192"/>
    </row>
    <row r="60" spans="2:23">
      <c r="K60" s="325"/>
      <c r="L60" s="325"/>
      <c r="M60" s="325"/>
      <c r="N60" s="248"/>
      <c r="O60" s="229"/>
      <c r="P60" s="192"/>
      <c r="Q60" s="192"/>
      <c r="R60" s="192"/>
      <c r="S60" s="192"/>
      <c r="T60" s="192"/>
      <c r="U60" s="192"/>
      <c r="V60" s="192"/>
      <c r="W60" s="192"/>
    </row>
    <row r="61" spans="2:23">
      <c r="C61" s="234"/>
      <c r="K61" s="325"/>
      <c r="L61" s="325"/>
      <c r="M61" s="325"/>
      <c r="N61" s="248"/>
      <c r="O61" s="325"/>
      <c r="R61" s="192"/>
      <c r="S61" s="192"/>
      <c r="T61" s="192"/>
      <c r="U61" s="192"/>
      <c r="V61" s="192"/>
      <c r="W61" s="192"/>
    </row>
    <row r="62" spans="2:23">
      <c r="C62" s="235">
        <v>7.0674858624469455E-2</v>
      </c>
      <c r="D62" s="190" t="s">
        <v>54</v>
      </c>
      <c r="K62" s="108"/>
      <c r="L62" s="237"/>
      <c r="M62" s="237"/>
      <c r="O62" s="238"/>
    </row>
    <row r="63" spans="2:23">
      <c r="C63" s="239">
        <v>0.41199999999999998</v>
      </c>
      <c r="D63" s="190" t="s">
        <v>55</v>
      </c>
      <c r="J63" s="190" t="s">
        <v>149</v>
      </c>
    </row>
    <row r="64" spans="2:23" ht="13.5" thickBot="1">
      <c r="D64" s="233"/>
    </row>
    <row r="65" spans="3:14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4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4">
      <c r="C67" s="130">
        <f t="shared" ref="C67:C74" si="10">C66+1</f>
        <v>2018</v>
      </c>
      <c r="D67" s="57">
        <v>1.7999999999999999E-2</v>
      </c>
      <c r="E67" s="105"/>
      <c r="F67" s="130">
        <f t="shared" ref="F67:F74" si="11">F66+1</f>
        <v>2027</v>
      </c>
      <c r="G67" s="57">
        <v>2.1999999999999999E-2</v>
      </c>
      <c r="H67" s="105"/>
      <c r="I67" s="130">
        <f t="shared" ref="I67:I74" si="12">I66+1</f>
        <v>2036</v>
      </c>
      <c r="J67" s="130"/>
      <c r="K67" s="57">
        <v>2.1999999999999999E-2</v>
      </c>
    </row>
    <row r="68" spans="3:14">
      <c r="C68" s="130">
        <f t="shared" si="10"/>
        <v>2019</v>
      </c>
      <c r="D68" s="57">
        <v>2.3E-2</v>
      </c>
      <c r="E68" s="105"/>
      <c r="F68" s="130">
        <f t="shared" si="11"/>
        <v>2028</v>
      </c>
      <c r="G68" s="57">
        <v>2.1999999999999999E-2</v>
      </c>
      <c r="H68" s="105"/>
      <c r="I68" s="130">
        <f t="shared" si="12"/>
        <v>2037</v>
      </c>
      <c r="J68" s="130"/>
      <c r="K68" s="57">
        <v>2.1999999999999999E-2</v>
      </c>
    </row>
    <row r="69" spans="3:14">
      <c r="C69" s="130">
        <f t="shared" si="10"/>
        <v>2020</v>
      </c>
      <c r="D69" s="57">
        <v>2.5999999999999999E-2</v>
      </c>
      <c r="E69" s="105"/>
      <c r="F69" s="130">
        <f t="shared" si="11"/>
        <v>2029</v>
      </c>
      <c r="G69" s="57">
        <v>2.1999999999999999E-2</v>
      </c>
      <c r="H69" s="105"/>
      <c r="I69" s="130">
        <f t="shared" si="12"/>
        <v>2038</v>
      </c>
      <c r="J69" s="130"/>
      <c r="K69" s="57">
        <v>2.1999999999999999E-2</v>
      </c>
    </row>
    <row r="70" spans="3:14">
      <c r="C70" s="130">
        <f t="shared" si="10"/>
        <v>2021</v>
      </c>
      <c r="D70" s="57">
        <v>2.4E-2</v>
      </c>
      <c r="E70" s="105"/>
      <c r="F70" s="130">
        <f t="shared" si="11"/>
        <v>2030</v>
      </c>
      <c r="G70" s="57">
        <v>2.1999999999999999E-2</v>
      </c>
      <c r="H70" s="105"/>
      <c r="I70" s="130">
        <f t="shared" si="12"/>
        <v>2039</v>
      </c>
      <c r="J70" s="130"/>
      <c r="K70" s="57">
        <v>2.1999999999999999E-2</v>
      </c>
    </row>
    <row r="71" spans="3:14">
      <c r="C71" s="130">
        <f t="shared" si="10"/>
        <v>2022</v>
      </c>
      <c r="D71" s="57">
        <v>2.3E-2</v>
      </c>
      <c r="E71" s="105"/>
      <c r="F71" s="130">
        <f t="shared" si="11"/>
        <v>2031</v>
      </c>
      <c r="G71" s="57">
        <v>2.1999999999999999E-2</v>
      </c>
      <c r="H71" s="105"/>
      <c r="I71" s="130">
        <f t="shared" si="12"/>
        <v>2040</v>
      </c>
      <c r="J71" s="130"/>
      <c r="K71" s="57">
        <v>2.1999999999999999E-2</v>
      </c>
    </row>
    <row r="72" spans="3:14" s="192" customFormat="1">
      <c r="C72" s="130">
        <f t="shared" si="10"/>
        <v>2023</v>
      </c>
      <c r="D72" s="57">
        <v>2.3E-2</v>
      </c>
      <c r="E72" s="107"/>
      <c r="F72" s="130">
        <f t="shared" si="11"/>
        <v>2032</v>
      </c>
      <c r="G72" s="57">
        <v>2.1999999999999999E-2</v>
      </c>
      <c r="H72" s="107"/>
      <c r="I72" s="130">
        <f t="shared" si="12"/>
        <v>2041</v>
      </c>
      <c r="J72" s="130"/>
      <c r="K72" s="57">
        <v>2.1999999999999999E-2</v>
      </c>
      <c r="N72" s="248"/>
    </row>
    <row r="73" spans="3:14" s="192" customFormat="1">
      <c r="C73" s="130">
        <f t="shared" si="10"/>
        <v>2024</v>
      </c>
      <c r="D73" s="57">
        <v>2.3E-2</v>
      </c>
      <c r="E73" s="107"/>
      <c r="F73" s="130">
        <f t="shared" si="11"/>
        <v>2033</v>
      </c>
      <c r="G73" s="57">
        <v>2.1999999999999999E-2</v>
      </c>
      <c r="H73" s="107"/>
      <c r="I73" s="130">
        <f t="shared" si="12"/>
        <v>2042</v>
      </c>
      <c r="J73" s="130"/>
      <c r="K73" s="57">
        <v>2.1999999999999999E-2</v>
      </c>
      <c r="N73" s="248"/>
    </row>
    <row r="74" spans="3:14" s="192" customFormat="1">
      <c r="C74" s="130">
        <f t="shared" si="10"/>
        <v>2025</v>
      </c>
      <c r="D74" s="57">
        <v>2.3E-2</v>
      </c>
      <c r="E74" s="107"/>
      <c r="F74" s="130">
        <f t="shared" si="11"/>
        <v>2034</v>
      </c>
      <c r="G74" s="57">
        <v>2.1999999999999999E-2</v>
      </c>
      <c r="H74" s="107"/>
      <c r="I74" s="130">
        <f t="shared" si="12"/>
        <v>2043</v>
      </c>
      <c r="J74" s="130"/>
      <c r="K74" s="57">
        <v>2.3E-2</v>
      </c>
      <c r="N74" s="248"/>
    </row>
    <row r="75" spans="3:14" s="192" customFormat="1">
      <c r="N75" s="248"/>
    </row>
    <row r="76" spans="3:14" s="192" customFormat="1">
      <c r="N76" s="248"/>
    </row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B2" sqref="B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0" style="190" hidden="1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159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43%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134</v>
      </c>
      <c r="J5" s="19" t="s">
        <v>73</v>
      </c>
      <c r="K5" s="194" t="s">
        <v>110</v>
      </c>
      <c r="P5" s="194" t="s">
        <v>109</v>
      </c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30</v>
      </c>
    </row>
    <row r="8" spans="2:18" ht="6" customHeight="1">
      <c r="K8" s="192"/>
    </row>
    <row r="9" spans="2:18" ht="15.75">
      <c r="B9" s="60" t="str">
        <f>C52</f>
        <v>2017 IRP Wyoming DJ Wind Resource - 43%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1737.2476650701883</v>
      </c>
      <c r="D10" s="201">
        <f>C10*$C$62</f>
        <v>122.77973312452522</v>
      </c>
      <c r="E10" s="201">
        <f>C56</f>
        <v>37.565582271006477</v>
      </c>
      <c r="F10" s="202">
        <f t="shared" ref="F10:F36" si="0">(D10+E10)/(8.76*$C$63)</f>
        <v>42.568045926391555</v>
      </c>
      <c r="G10" s="202">
        <f>C58</f>
        <v>0.65</v>
      </c>
      <c r="H10" s="249">
        <f>C59</f>
        <v>0</v>
      </c>
      <c r="I10" s="203">
        <f t="shared" ref="I10:I36" si="1">F10+H10+G10</f>
        <v>43.218045926391554</v>
      </c>
      <c r="J10" s="203">
        <f>ROUND(I10*$C$63*8.76,2)</f>
        <v>162.79</v>
      </c>
      <c r="K10" s="201">
        <f>$C$57</f>
        <v>0.57299999999999995</v>
      </c>
      <c r="N10" s="204"/>
      <c r="P10" s="242">
        <f>$C$59</f>
        <v>0</v>
      </c>
    </row>
    <row r="11" spans="2:18">
      <c r="B11" s="199">
        <f t="shared" ref="B11:B36" si="2">B10+1</f>
        <v>2017</v>
      </c>
      <c r="C11" s="205"/>
      <c r="D11" s="201">
        <f>ROUND(D10*(1+$D66),2)</f>
        <v>125.11</v>
      </c>
      <c r="E11" s="201">
        <f>ROUND(E10*(1+$D66),2)</f>
        <v>38.28</v>
      </c>
      <c r="F11" s="202">
        <f t="shared" si="0"/>
        <v>43.376340660507587</v>
      </c>
      <c r="G11" s="201">
        <f>ROUND(G10*(1+$D66),2)</f>
        <v>0.66</v>
      </c>
      <c r="H11" s="201">
        <f>ROUND(H10*(1+$D66),2)</f>
        <v>0</v>
      </c>
      <c r="I11" s="203">
        <f t="shared" si="1"/>
        <v>44.036340660507584</v>
      </c>
      <c r="J11" s="203">
        <f t="shared" ref="J11:J36" si="3">ROUND(I11*$C$63*8.76,2)</f>
        <v>165.88</v>
      </c>
      <c r="K11" s="201">
        <f>ROUND(K10*(1+$D66),2)</f>
        <v>0.57999999999999996</v>
      </c>
      <c r="N11" s="204"/>
      <c r="P11" s="242">
        <f>ROUND(P10*(1+$D66),2)</f>
        <v>0</v>
      </c>
    </row>
    <row r="12" spans="2:18">
      <c r="B12" s="212">
        <f t="shared" si="2"/>
        <v>2018</v>
      </c>
      <c r="C12" s="213"/>
      <c r="D12" s="201">
        <f t="shared" ref="D12:E19" si="4">ROUND(D11*(1+$D67),2)</f>
        <v>127.36</v>
      </c>
      <c r="E12" s="201">
        <f t="shared" si="4"/>
        <v>38.97</v>
      </c>
      <c r="F12" s="203">
        <f t="shared" si="0"/>
        <v>44.156844005521926</v>
      </c>
      <c r="G12" s="201">
        <f t="shared" ref="G12:G19" si="5">ROUND(G11*(1+$D67),2)</f>
        <v>0.67</v>
      </c>
      <c r="H12" s="214">
        <f t="shared" ref="H12" si="6">ROUND(H11*(1+$D67),2)</f>
        <v>0</v>
      </c>
      <c r="I12" s="203">
        <f t="shared" si="1"/>
        <v>44.826844005521927</v>
      </c>
      <c r="J12" s="203">
        <f t="shared" si="3"/>
        <v>168.85</v>
      </c>
      <c r="K12" s="201">
        <f t="shared" ref="K12:K19" si="7">ROUND(K11*(1+$D67),2)</f>
        <v>0.59</v>
      </c>
      <c r="L12" s="192"/>
      <c r="N12" s="204"/>
      <c r="P12" s="242">
        <f t="shared" ref="P12:P19" si="8">ROUND(P11*(1+$D67),2)</f>
        <v>0</v>
      </c>
    </row>
    <row r="13" spans="2:18">
      <c r="B13" s="212">
        <f t="shared" si="2"/>
        <v>2019</v>
      </c>
      <c r="C13" s="213"/>
      <c r="D13" s="201">
        <f t="shared" si="4"/>
        <v>130.29</v>
      </c>
      <c r="E13" s="201">
        <f t="shared" si="4"/>
        <v>39.869999999999997</v>
      </c>
      <c r="F13" s="203">
        <f t="shared" si="0"/>
        <v>45.173622172666455</v>
      </c>
      <c r="G13" s="201">
        <f t="shared" si="5"/>
        <v>0.69</v>
      </c>
      <c r="H13" s="214">
        <f t="shared" ref="H13" si="9">ROUND(H12*(1+$D68),2)</f>
        <v>0</v>
      </c>
      <c r="I13" s="203">
        <f t="shared" si="1"/>
        <v>45.863622172666453</v>
      </c>
      <c r="J13" s="203">
        <f t="shared" si="3"/>
        <v>172.76</v>
      </c>
      <c r="K13" s="201">
        <f t="shared" si="7"/>
        <v>0.6</v>
      </c>
      <c r="L13" s="192"/>
      <c r="N13" s="204"/>
      <c r="P13" s="242">
        <f t="shared" si="8"/>
        <v>0</v>
      </c>
    </row>
    <row r="14" spans="2:18">
      <c r="B14" s="212">
        <f t="shared" si="2"/>
        <v>2020</v>
      </c>
      <c r="C14" s="213"/>
      <c r="D14" s="201">
        <f t="shared" si="4"/>
        <v>133.68</v>
      </c>
      <c r="E14" s="201">
        <f t="shared" si="4"/>
        <v>40.909999999999997</v>
      </c>
      <c r="F14" s="203">
        <f t="shared" si="0"/>
        <v>46.34968673675268</v>
      </c>
      <c r="G14" s="201">
        <f t="shared" si="5"/>
        <v>0.71</v>
      </c>
      <c r="H14" s="214">
        <f t="shared" ref="H14" si="10">ROUND(H13*(1+$D69),2)</f>
        <v>0</v>
      </c>
      <c r="I14" s="203">
        <f t="shared" si="1"/>
        <v>47.059686736752681</v>
      </c>
      <c r="J14" s="203">
        <f t="shared" si="3"/>
        <v>177.26</v>
      </c>
      <c r="K14" s="201">
        <f t="shared" si="7"/>
        <v>0.62</v>
      </c>
      <c r="L14" s="192"/>
      <c r="N14" s="204"/>
      <c r="O14" s="209"/>
      <c r="P14" s="242">
        <f t="shared" si="8"/>
        <v>0</v>
      </c>
      <c r="Q14" s="210"/>
      <c r="R14" s="211"/>
    </row>
    <row r="15" spans="2:18">
      <c r="B15" s="212">
        <f t="shared" si="2"/>
        <v>2021</v>
      </c>
      <c r="C15" s="213"/>
      <c r="D15" s="201">
        <f t="shared" si="4"/>
        <v>136.88999999999999</v>
      </c>
      <c r="E15" s="201">
        <f t="shared" si="4"/>
        <v>41.89</v>
      </c>
      <c r="F15" s="203">
        <f t="shared" si="0"/>
        <v>47.462036742062224</v>
      </c>
      <c r="G15" s="201">
        <f t="shared" si="5"/>
        <v>0.73</v>
      </c>
      <c r="H15" s="214">
        <f t="shared" ref="H15" si="11">ROUND(H14*(1+$D70),2)</f>
        <v>0</v>
      </c>
      <c r="I15" s="203">
        <f t="shared" si="1"/>
        <v>48.192036742062221</v>
      </c>
      <c r="J15" s="203">
        <f t="shared" si="3"/>
        <v>181.53</v>
      </c>
      <c r="K15" s="201">
        <f t="shared" si="7"/>
        <v>0.63</v>
      </c>
      <c r="L15" s="192"/>
      <c r="N15" s="210"/>
      <c r="O15" s="210"/>
      <c r="P15" s="242">
        <f t="shared" si="8"/>
        <v>0</v>
      </c>
      <c r="Q15" s="210"/>
      <c r="R15" s="211"/>
    </row>
    <row r="16" spans="2:18">
      <c r="B16" s="212">
        <f t="shared" si="2"/>
        <v>2022</v>
      </c>
      <c r="C16" s="213"/>
      <c r="D16" s="201">
        <f t="shared" si="4"/>
        <v>140.04</v>
      </c>
      <c r="E16" s="201">
        <f t="shared" si="4"/>
        <v>42.85</v>
      </c>
      <c r="F16" s="203">
        <f t="shared" si="0"/>
        <v>48.553148561112877</v>
      </c>
      <c r="G16" s="201">
        <f t="shared" si="5"/>
        <v>0.75</v>
      </c>
      <c r="H16" s="214">
        <f t="shared" ref="H16" si="12">ROUND(H15*(1+$D71),2)</f>
        <v>0</v>
      </c>
      <c r="I16" s="203">
        <f t="shared" si="1"/>
        <v>49.303148561112877</v>
      </c>
      <c r="J16" s="203">
        <f t="shared" si="3"/>
        <v>185.72</v>
      </c>
      <c r="K16" s="201">
        <f t="shared" si="7"/>
        <v>0.64</v>
      </c>
      <c r="L16" s="192"/>
      <c r="N16" s="204"/>
      <c r="P16" s="242">
        <f t="shared" si="8"/>
        <v>0</v>
      </c>
    </row>
    <row r="17" spans="2:17">
      <c r="B17" s="212">
        <f t="shared" si="2"/>
        <v>2023</v>
      </c>
      <c r="C17" s="213"/>
      <c r="D17" s="201">
        <f t="shared" si="4"/>
        <v>143.26</v>
      </c>
      <c r="E17" s="201">
        <f t="shared" si="4"/>
        <v>43.84</v>
      </c>
      <c r="F17" s="203">
        <f t="shared" si="0"/>
        <v>49.670808112987153</v>
      </c>
      <c r="G17" s="201">
        <f t="shared" si="5"/>
        <v>0.77</v>
      </c>
      <c r="H17" s="214">
        <f t="shared" ref="H17" si="13">ROUND(H16*(1+$D72),2)</f>
        <v>0</v>
      </c>
      <c r="I17" s="203">
        <f t="shared" si="1"/>
        <v>50.440808112987156</v>
      </c>
      <c r="J17" s="203">
        <f t="shared" si="3"/>
        <v>190</v>
      </c>
      <c r="K17" s="201">
        <f t="shared" si="7"/>
        <v>0.65</v>
      </c>
      <c r="L17" s="192"/>
      <c r="N17" s="204"/>
      <c r="O17" s="209"/>
      <c r="P17" s="242">
        <f t="shared" si="8"/>
        <v>0</v>
      </c>
    </row>
    <row r="18" spans="2:17">
      <c r="B18" s="212">
        <f t="shared" si="2"/>
        <v>2024</v>
      </c>
      <c r="C18" s="213"/>
      <c r="D18" s="201">
        <f t="shared" si="4"/>
        <v>146.55000000000001</v>
      </c>
      <c r="E18" s="201">
        <f t="shared" si="4"/>
        <v>44.85</v>
      </c>
      <c r="F18" s="203">
        <f t="shared" si="0"/>
        <v>50.812360624402679</v>
      </c>
      <c r="G18" s="201">
        <f t="shared" si="5"/>
        <v>0.79</v>
      </c>
      <c r="H18" s="214">
        <f t="shared" ref="H18" si="14">ROUND(H17*(1+$D73),2)</f>
        <v>0</v>
      </c>
      <c r="I18" s="203">
        <f t="shared" si="1"/>
        <v>51.602360624402678</v>
      </c>
      <c r="J18" s="203">
        <f t="shared" si="3"/>
        <v>194.38</v>
      </c>
      <c r="K18" s="201">
        <f t="shared" si="7"/>
        <v>0.66</v>
      </c>
      <c r="L18" s="192"/>
      <c r="P18" s="242">
        <f t="shared" si="8"/>
        <v>0</v>
      </c>
    </row>
    <row r="19" spans="2:17">
      <c r="B19" s="212">
        <f t="shared" si="2"/>
        <v>2025</v>
      </c>
      <c r="C19" s="213"/>
      <c r="D19" s="201">
        <f t="shared" si="4"/>
        <v>149.91999999999999</v>
      </c>
      <c r="E19" s="201">
        <f t="shared" si="4"/>
        <v>45.88</v>
      </c>
      <c r="F19" s="203">
        <f t="shared" si="0"/>
        <v>51.980460868641813</v>
      </c>
      <c r="G19" s="201">
        <f t="shared" si="5"/>
        <v>0.81</v>
      </c>
      <c r="H19" s="214">
        <f t="shared" ref="H19" si="15">ROUND(H18*(1+$D74),2)</f>
        <v>0</v>
      </c>
      <c r="I19" s="203">
        <f t="shared" si="1"/>
        <v>52.790460868641816</v>
      </c>
      <c r="J19" s="203">
        <f t="shared" si="3"/>
        <v>198.85</v>
      </c>
      <c r="K19" s="201">
        <f t="shared" si="7"/>
        <v>0.68</v>
      </c>
      <c r="L19" s="192"/>
      <c r="P19" s="242">
        <f t="shared" si="8"/>
        <v>0</v>
      </c>
    </row>
    <row r="20" spans="2:17">
      <c r="B20" s="212">
        <f t="shared" si="2"/>
        <v>2026</v>
      </c>
      <c r="C20" s="213"/>
      <c r="D20" s="201">
        <f t="shared" ref="D20:D28" si="16">ROUND(D19*(1+$G66),2)</f>
        <v>153.22</v>
      </c>
      <c r="E20" s="201">
        <f t="shared" ref="E20:E28" si="17">ROUND(E19*(1+$G66),2)</f>
        <v>46.89</v>
      </c>
      <c r="F20" s="203">
        <f t="shared" si="0"/>
        <v>53.124668153339712</v>
      </c>
      <c r="G20" s="201">
        <f t="shared" ref="G20:G28" si="18">ROUND(G19*(1+$G66),2)</f>
        <v>0.83</v>
      </c>
      <c r="H20" s="214">
        <f t="shared" ref="H20:H28" si="19">ROUND(H19*(1+$G66),2)</f>
        <v>0</v>
      </c>
      <c r="I20" s="203">
        <f t="shared" si="1"/>
        <v>53.954668153339711</v>
      </c>
      <c r="J20" s="203">
        <f t="shared" si="3"/>
        <v>203.24</v>
      </c>
      <c r="K20" s="201">
        <f t="shared" ref="K20:K28" si="20">ROUND(K19*(1+$G66),2)</f>
        <v>0.69</v>
      </c>
      <c r="L20" s="192"/>
      <c r="P20" s="242">
        <f t="shared" ref="P20:P28" si="21">ROUND(P19*(1+$G66),2)</f>
        <v>0</v>
      </c>
      <c r="Q20" s="243"/>
    </row>
    <row r="21" spans="2:17">
      <c r="B21" s="212">
        <f t="shared" si="2"/>
        <v>2027</v>
      </c>
      <c r="C21" s="213"/>
      <c r="D21" s="201">
        <f t="shared" si="16"/>
        <v>156.59</v>
      </c>
      <c r="E21" s="201">
        <f t="shared" si="17"/>
        <v>47.92</v>
      </c>
      <c r="F21" s="203">
        <f t="shared" si="0"/>
        <v>54.292768397578847</v>
      </c>
      <c r="G21" s="201">
        <f t="shared" si="18"/>
        <v>0.85</v>
      </c>
      <c r="H21" s="214">
        <f t="shared" si="19"/>
        <v>0</v>
      </c>
      <c r="I21" s="203">
        <f t="shared" si="1"/>
        <v>55.142768397578848</v>
      </c>
      <c r="J21" s="203">
        <f t="shared" si="3"/>
        <v>207.71</v>
      </c>
      <c r="K21" s="201">
        <f t="shared" si="20"/>
        <v>0.71</v>
      </c>
      <c r="L21" s="192"/>
      <c r="P21" s="242">
        <f t="shared" si="21"/>
        <v>0</v>
      </c>
    </row>
    <row r="22" spans="2:17">
      <c r="B22" s="212">
        <f t="shared" si="2"/>
        <v>2028</v>
      </c>
      <c r="C22" s="213"/>
      <c r="D22" s="201">
        <f t="shared" si="16"/>
        <v>160.03</v>
      </c>
      <c r="E22" s="201">
        <f t="shared" si="17"/>
        <v>48.97</v>
      </c>
      <c r="F22" s="203">
        <f t="shared" si="0"/>
        <v>55.484761601359246</v>
      </c>
      <c r="G22" s="201">
        <f t="shared" si="18"/>
        <v>0.87</v>
      </c>
      <c r="H22" s="214">
        <f t="shared" si="19"/>
        <v>0</v>
      </c>
      <c r="I22" s="203">
        <f t="shared" si="1"/>
        <v>56.354761601359243</v>
      </c>
      <c r="J22" s="203">
        <f t="shared" si="3"/>
        <v>212.28</v>
      </c>
      <c r="K22" s="201">
        <f t="shared" si="20"/>
        <v>0.73</v>
      </c>
      <c r="L22" s="192"/>
      <c r="P22" s="242">
        <f t="shared" si="21"/>
        <v>0</v>
      </c>
    </row>
    <row r="23" spans="2:17">
      <c r="B23" s="212">
        <f t="shared" si="2"/>
        <v>2029</v>
      </c>
      <c r="C23" s="213"/>
      <c r="D23" s="201">
        <f t="shared" si="16"/>
        <v>163.55000000000001</v>
      </c>
      <c r="E23" s="201">
        <f t="shared" si="17"/>
        <v>50.05</v>
      </c>
      <c r="F23" s="203">
        <f t="shared" si="0"/>
        <v>56.705957311245626</v>
      </c>
      <c r="G23" s="201">
        <f t="shared" si="18"/>
        <v>0.89</v>
      </c>
      <c r="H23" s="214">
        <f t="shared" si="19"/>
        <v>0</v>
      </c>
      <c r="I23" s="203">
        <f t="shared" si="1"/>
        <v>57.595957311245627</v>
      </c>
      <c r="J23" s="203">
        <f t="shared" si="3"/>
        <v>216.95</v>
      </c>
      <c r="K23" s="201">
        <f t="shared" si="20"/>
        <v>0.75</v>
      </c>
      <c r="L23" s="192"/>
      <c r="P23" s="242">
        <f t="shared" si="21"/>
        <v>0</v>
      </c>
    </row>
    <row r="24" spans="2:17">
      <c r="B24" s="212">
        <f t="shared" si="2"/>
        <v>2030</v>
      </c>
      <c r="C24" s="206"/>
      <c r="D24" s="207">
        <f t="shared" si="16"/>
        <v>167.15</v>
      </c>
      <c r="E24" s="207">
        <f t="shared" si="17"/>
        <v>51.15</v>
      </c>
      <c r="F24" s="208">
        <f t="shared" si="0"/>
        <v>57.953700753955616</v>
      </c>
      <c r="G24" s="207">
        <f t="shared" si="18"/>
        <v>0.91</v>
      </c>
      <c r="H24" s="207">
        <f t="shared" si="19"/>
        <v>0</v>
      </c>
      <c r="I24" s="208">
        <f t="shared" si="1"/>
        <v>58.863700753955612</v>
      </c>
      <c r="J24" s="208">
        <f t="shared" si="3"/>
        <v>221.73</v>
      </c>
      <c r="K24" s="207">
        <f t="shared" si="20"/>
        <v>0.77</v>
      </c>
      <c r="L24" s="192"/>
      <c r="P24" s="242">
        <f t="shared" si="21"/>
        <v>0</v>
      </c>
    </row>
    <row r="25" spans="2:17">
      <c r="B25" s="212">
        <f t="shared" si="2"/>
        <v>2031</v>
      </c>
      <c r="C25" s="213"/>
      <c r="D25" s="201">
        <f t="shared" si="16"/>
        <v>170.83</v>
      </c>
      <c r="E25" s="201">
        <f t="shared" si="17"/>
        <v>52.28</v>
      </c>
      <c r="F25" s="203">
        <f t="shared" si="0"/>
        <v>59.230646702771587</v>
      </c>
      <c r="G25" s="201">
        <f t="shared" si="18"/>
        <v>0.93</v>
      </c>
      <c r="H25" s="214">
        <f t="shared" si="19"/>
        <v>0</v>
      </c>
      <c r="I25" s="203">
        <f t="shared" si="1"/>
        <v>60.160646702771587</v>
      </c>
      <c r="J25" s="203">
        <f t="shared" si="3"/>
        <v>226.61</v>
      </c>
      <c r="K25" s="201">
        <f t="shared" si="20"/>
        <v>0.79</v>
      </c>
      <c r="L25" s="192"/>
      <c r="P25" s="242">
        <f t="shared" si="21"/>
        <v>0</v>
      </c>
    </row>
    <row r="26" spans="2:17">
      <c r="B26" s="212">
        <f t="shared" si="2"/>
        <v>2032</v>
      </c>
      <c r="C26" s="213"/>
      <c r="D26" s="201">
        <f t="shared" si="16"/>
        <v>174.59</v>
      </c>
      <c r="E26" s="201">
        <f t="shared" si="17"/>
        <v>53.43</v>
      </c>
      <c r="F26" s="203">
        <f t="shared" si="0"/>
        <v>60.534140384411174</v>
      </c>
      <c r="G26" s="201">
        <f t="shared" si="18"/>
        <v>0.95</v>
      </c>
      <c r="H26" s="214">
        <f t="shared" si="19"/>
        <v>0</v>
      </c>
      <c r="I26" s="203">
        <f t="shared" si="1"/>
        <v>61.484140384411177</v>
      </c>
      <c r="J26" s="203">
        <f t="shared" si="3"/>
        <v>231.6</v>
      </c>
      <c r="K26" s="201">
        <f t="shared" si="20"/>
        <v>0.81</v>
      </c>
      <c r="L26" s="192"/>
      <c r="P26" s="242">
        <f t="shared" si="21"/>
        <v>0</v>
      </c>
    </row>
    <row r="27" spans="2:17">
      <c r="B27" s="212">
        <f t="shared" si="2"/>
        <v>2033</v>
      </c>
      <c r="C27" s="213"/>
      <c r="D27" s="201">
        <f t="shared" si="16"/>
        <v>178.43</v>
      </c>
      <c r="E27" s="201">
        <f t="shared" si="17"/>
        <v>54.61</v>
      </c>
      <c r="F27" s="203">
        <f t="shared" si="0"/>
        <v>61.866836572156743</v>
      </c>
      <c r="G27" s="201">
        <f t="shared" si="18"/>
        <v>0.97</v>
      </c>
      <c r="H27" s="214">
        <f t="shared" si="19"/>
        <v>0</v>
      </c>
      <c r="I27" s="203">
        <f t="shared" si="1"/>
        <v>62.836836572156741</v>
      </c>
      <c r="J27" s="203">
        <f t="shared" si="3"/>
        <v>236.69</v>
      </c>
      <c r="K27" s="201">
        <f t="shared" si="20"/>
        <v>0.83</v>
      </c>
      <c r="L27" s="192"/>
      <c r="P27" s="242">
        <f t="shared" si="21"/>
        <v>0</v>
      </c>
    </row>
    <row r="28" spans="2:17">
      <c r="B28" s="212">
        <f t="shared" si="2"/>
        <v>2034</v>
      </c>
      <c r="C28" s="213"/>
      <c r="D28" s="201">
        <f t="shared" si="16"/>
        <v>182.36</v>
      </c>
      <c r="E28" s="201">
        <f t="shared" si="17"/>
        <v>55.81</v>
      </c>
      <c r="F28" s="203">
        <f t="shared" si="0"/>
        <v>63.228735266008286</v>
      </c>
      <c r="G28" s="201">
        <f t="shared" si="18"/>
        <v>0.99</v>
      </c>
      <c r="H28" s="214">
        <f t="shared" si="19"/>
        <v>0</v>
      </c>
      <c r="I28" s="203">
        <f t="shared" si="1"/>
        <v>64.218735266008281</v>
      </c>
      <c r="J28" s="203">
        <f t="shared" si="3"/>
        <v>241.9</v>
      </c>
      <c r="K28" s="201">
        <f t="shared" si="20"/>
        <v>0.85</v>
      </c>
      <c r="L28" s="192"/>
      <c r="P28" s="242">
        <f t="shared" si="21"/>
        <v>0</v>
      </c>
    </row>
    <row r="29" spans="2:17">
      <c r="B29" s="212">
        <f t="shared" si="2"/>
        <v>2035</v>
      </c>
      <c r="C29" s="213"/>
      <c r="D29" s="201">
        <f t="shared" ref="D29:E36" si="22">ROUND(D28*(1+$K66),2)</f>
        <v>186.37</v>
      </c>
      <c r="E29" s="201">
        <f t="shared" si="22"/>
        <v>57.04</v>
      </c>
      <c r="F29" s="203">
        <f t="shared" si="0"/>
        <v>64.619836465965804</v>
      </c>
      <c r="G29" s="201">
        <f>ROUND(G28*(1+$K66),2)</f>
        <v>1.01</v>
      </c>
      <c r="H29" s="214">
        <f>ROUND(H28*(1+$K66),2)</f>
        <v>0</v>
      </c>
      <c r="I29" s="203">
        <f t="shared" si="1"/>
        <v>65.629836465965809</v>
      </c>
      <c r="J29" s="203">
        <f t="shared" si="3"/>
        <v>247.21</v>
      </c>
      <c r="K29" s="201">
        <f>ROUND(K28*(1+$K66),2)</f>
        <v>0.87</v>
      </c>
      <c r="L29" s="192"/>
      <c r="P29" s="242">
        <f>ROUND(P28*(1+$K66),2)</f>
        <v>0</v>
      </c>
    </row>
    <row r="30" spans="2:17">
      <c r="B30" s="212">
        <f t="shared" si="2"/>
        <v>2036</v>
      </c>
      <c r="C30" s="213"/>
      <c r="D30" s="201">
        <f t="shared" si="22"/>
        <v>190.47</v>
      </c>
      <c r="E30" s="201">
        <f t="shared" si="22"/>
        <v>58.29</v>
      </c>
      <c r="F30" s="203">
        <f t="shared" si="0"/>
        <v>66.040140172029311</v>
      </c>
      <c r="G30" s="201">
        <f t="shared" ref="G30:G36" si="23">ROUND(G29*(1+$K67),2)</f>
        <v>1.03</v>
      </c>
      <c r="H30" s="214">
        <f t="shared" ref="H30" si="24">ROUND(H29*(1+$K67),2)</f>
        <v>0</v>
      </c>
      <c r="I30" s="203">
        <f t="shared" si="1"/>
        <v>67.070140172029312</v>
      </c>
      <c r="J30" s="203">
        <f t="shared" si="3"/>
        <v>252.64</v>
      </c>
      <c r="K30" s="201">
        <f t="shared" ref="K30:K36" si="25">ROUND(K29*(1+$K67),2)</f>
        <v>0.89</v>
      </c>
      <c r="L30" s="192"/>
      <c r="P30" s="242">
        <f t="shared" ref="P30:P36" si="26">ROUND(P29*(1+$K67),2)</f>
        <v>0</v>
      </c>
    </row>
    <row r="31" spans="2:17">
      <c r="B31" s="212">
        <f t="shared" si="2"/>
        <v>2037</v>
      </c>
      <c r="C31" s="213"/>
      <c r="D31" s="201">
        <f t="shared" si="22"/>
        <v>194.66</v>
      </c>
      <c r="E31" s="201">
        <f t="shared" si="22"/>
        <v>59.57</v>
      </c>
      <c r="F31" s="203">
        <f t="shared" si="0"/>
        <v>67.492301157481151</v>
      </c>
      <c r="G31" s="201">
        <f t="shared" si="23"/>
        <v>1.05</v>
      </c>
      <c r="H31" s="214">
        <f t="shared" ref="H31" si="27">ROUND(H30*(1+$K68),2)</f>
        <v>0</v>
      </c>
      <c r="I31" s="203">
        <f t="shared" si="1"/>
        <v>68.542301157481148</v>
      </c>
      <c r="J31" s="203">
        <f t="shared" si="3"/>
        <v>258.19</v>
      </c>
      <c r="K31" s="201">
        <f t="shared" si="25"/>
        <v>0.91</v>
      </c>
      <c r="L31" s="192"/>
      <c r="P31" s="242">
        <f t="shared" si="26"/>
        <v>0</v>
      </c>
    </row>
    <row r="32" spans="2:17">
      <c r="B32" s="212">
        <f t="shared" si="2"/>
        <v>2038</v>
      </c>
      <c r="C32" s="213"/>
      <c r="D32" s="201">
        <f t="shared" si="22"/>
        <v>198.94</v>
      </c>
      <c r="E32" s="201">
        <f t="shared" si="22"/>
        <v>60.88</v>
      </c>
      <c r="F32" s="203">
        <f t="shared" si="0"/>
        <v>68.976319422321339</v>
      </c>
      <c r="G32" s="201">
        <f t="shared" si="23"/>
        <v>1.07</v>
      </c>
      <c r="H32" s="214">
        <f t="shared" ref="H32" si="28">ROUND(H31*(1+$K69),2)</f>
        <v>0</v>
      </c>
      <c r="I32" s="203">
        <f t="shared" si="1"/>
        <v>70.046319422321332</v>
      </c>
      <c r="J32" s="203">
        <f t="shared" si="3"/>
        <v>263.85000000000002</v>
      </c>
      <c r="K32" s="201">
        <f t="shared" si="25"/>
        <v>0.93</v>
      </c>
      <c r="L32" s="192"/>
      <c r="P32" s="242">
        <f t="shared" si="26"/>
        <v>0</v>
      </c>
    </row>
    <row r="33" spans="2:16">
      <c r="B33" s="212">
        <f t="shared" si="2"/>
        <v>2039</v>
      </c>
      <c r="C33" s="213"/>
      <c r="D33" s="201">
        <f t="shared" si="22"/>
        <v>203.32</v>
      </c>
      <c r="E33" s="201">
        <f t="shared" si="22"/>
        <v>62.22</v>
      </c>
      <c r="F33" s="203">
        <f t="shared" si="0"/>
        <v>70.494849739832205</v>
      </c>
      <c r="G33" s="201">
        <f t="shared" si="23"/>
        <v>1.0900000000000001</v>
      </c>
      <c r="H33" s="214">
        <f t="shared" ref="H33" si="29">ROUND(H32*(1+$K70),2)</f>
        <v>0</v>
      </c>
      <c r="I33" s="203">
        <f t="shared" si="1"/>
        <v>71.584849739832208</v>
      </c>
      <c r="J33" s="203">
        <f t="shared" si="3"/>
        <v>269.64999999999998</v>
      </c>
      <c r="K33" s="201">
        <f t="shared" si="25"/>
        <v>0.95</v>
      </c>
      <c r="L33" s="192"/>
      <c r="P33" s="242">
        <f t="shared" si="26"/>
        <v>0</v>
      </c>
    </row>
    <row r="34" spans="2:16">
      <c r="B34" s="212">
        <f t="shared" si="2"/>
        <v>2040</v>
      </c>
      <c r="C34" s="213"/>
      <c r="D34" s="201">
        <f t="shared" si="22"/>
        <v>207.79</v>
      </c>
      <c r="E34" s="201">
        <f t="shared" si="22"/>
        <v>63.59</v>
      </c>
      <c r="F34" s="203">
        <f t="shared" si="0"/>
        <v>72.045237336731446</v>
      </c>
      <c r="G34" s="201">
        <f t="shared" si="23"/>
        <v>1.1100000000000001</v>
      </c>
      <c r="H34" s="214">
        <f t="shared" ref="H34" si="30">ROUND(H33*(1+$K71),2)</f>
        <v>0</v>
      </c>
      <c r="I34" s="203">
        <f t="shared" si="1"/>
        <v>73.155237336731446</v>
      </c>
      <c r="J34" s="203">
        <f t="shared" si="3"/>
        <v>275.56</v>
      </c>
      <c r="K34" s="201">
        <f t="shared" si="25"/>
        <v>0.97</v>
      </c>
      <c r="L34" s="192"/>
      <c r="P34" s="242">
        <f t="shared" si="26"/>
        <v>0</v>
      </c>
    </row>
    <row r="35" spans="2:16">
      <c r="B35" s="212">
        <f t="shared" si="2"/>
        <v>2041</v>
      </c>
      <c r="C35" s="213"/>
      <c r="D35" s="201">
        <f t="shared" si="22"/>
        <v>212.36</v>
      </c>
      <c r="E35" s="201">
        <f t="shared" si="22"/>
        <v>64.989999999999995</v>
      </c>
      <c r="F35" s="203">
        <f t="shared" si="0"/>
        <v>73.63013698630138</v>
      </c>
      <c r="G35" s="201">
        <f t="shared" si="23"/>
        <v>1.1299999999999999</v>
      </c>
      <c r="H35" s="214">
        <f t="shared" ref="H35" si="31">ROUND(H34*(1+$K72),2)</f>
        <v>0</v>
      </c>
      <c r="I35" s="203">
        <f t="shared" si="1"/>
        <v>74.760136986301376</v>
      </c>
      <c r="J35" s="203">
        <f t="shared" si="3"/>
        <v>281.61</v>
      </c>
      <c r="K35" s="201">
        <f t="shared" si="25"/>
        <v>0.99</v>
      </c>
      <c r="L35" s="192"/>
      <c r="P35" s="242">
        <f t="shared" si="26"/>
        <v>0</v>
      </c>
    </row>
    <row r="36" spans="2:16">
      <c r="B36" s="212">
        <f t="shared" si="2"/>
        <v>2042</v>
      </c>
      <c r="C36" s="213"/>
      <c r="D36" s="201">
        <f t="shared" si="22"/>
        <v>217.03</v>
      </c>
      <c r="E36" s="201">
        <f t="shared" si="22"/>
        <v>66.42</v>
      </c>
      <c r="F36" s="203">
        <f t="shared" si="0"/>
        <v>75.249548688541992</v>
      </c>
      <c r="G36" s="201">
        <f t="shared" si="23"/>
        <v>1.1499999999999999</v>
      </c>
      <c r="H36" s="214">
        <f t="shared" ref="H36" si="32">ROUND(H35*(1+$K73),2)</f>
        <v>0</v>
      </c>
      <c r="I36" s="203">
        <f t="shared" si="1"/>
        <v>76.399548688541998</v>
      </c>
      <c r="J36" s="203">
        <f t="shared" si="3"/>
        <v>287.77999999999997</v>
      </c>
      <c r="K36" s="201">
        <f t="shared" si="25"/>
        <v>1.01</v>
      </c>
      <c r="L36" s="192"/>
      <c r="P36" s="242">
        <f t="shared" si="26"/>
        <v>0</v>
      </c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0.0706748586244695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43.0%)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(i)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Wyoming DJ Wind Resource - 43%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1737.2476650701883</v>
      </c>
      <c r="D55" s="190" t="s">
        <v>113</v>
      </c>
      <c r="H55" s="190" t="s">
        <v>9</v>
      </c>
    </row>
    <row r="56" spans="2:24">
      <c r="B56" s="105" t="s">
        <v>102</v>
      </c>
      <c r="C56" s="227">
        <v>37.565582271006477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0.57299999999999995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0.65</v>
      </c>
      <c r="D58" s="190" t="s">
        <v>117</v>
      </c>
      <c r="H58" s="190" t="s">
        <v>118</v>
      </c>
      <c r="K58" s="192"/>
      <c r="L58" s="228"/>
      <c r="M58" s="69"/>
      <c r="N58" s="229"/>
      <c r="O58" s="69"/>
      <c r="P58" s="229"/>
      <c r="Q58" s="69"/>
      <c r="R58" s="192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/>
      <c r="D59" s="190" t="s">
        <v>119</v>
      </c>
      <c r="H59" s="190" t="s">
        <v>118</v>
      </c>
      <c r="K59" s="230"/>
      <c r="L59" s="230"/>
      <c r="M59" s="231"/>
      <c r="N59" s="232"/>
      <c r="O59" s="229"/>
      <c r="P59" s="233"/>
      <c r="Q59" s="192"/>
      <c r="R59" s="19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192"/>
      <c r="O60" s="229"/>
      <c r="P60" s="233"/>
      <c r="Q60" s="192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192"/>
      <c r="O61" s="230"/>
      <c r="P61" s="233"/>
      <c r="S61" s="192"/>
      <c r="T61" s="192"/>
      <c r="U61" s="192"/>
      <c r="V61" s="192"/>
      <c r="W61" s="192"/>
      <c r="X61" s="192"/>
    </row>
    <row r="62" spans="2:24">
      <c r="C62" s="235">
        <v>7.0674858624469455E-2</v>
      </c>
      <c r="D62" s="190" t="s">
        <v>54</v>
      </c>
      <c r="K62" s="236"/>
      <c r="L62" s="237"/>
      <c r="M62" s="237"/>
      <c r="O62" s="238"/>
    </row>
    <row r="63" spans="2:24">
      <c r="C63" s="239">
        <v>0.43</v>
      </c>
      <c r="D63" s="190" t="s">
        <v>55</v>
      </c>
    </row>
    <row r="64" spans="2:24" ht="13.5" thickBot="1">
      <c r="D64" s="233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33">C66+1</f>
        <v>2018</v>
      </c>
      <c r="D67" s="57">
        <v>1.7999999999999999E-2</v>
      </c>
      <c r="E67" s="105"/>
      <c r="F67" s="130">
        <f t="shared" ref="F67:F74" si="34">F66+1</f>
        <v>2027</v>
      </c>
      <c r="G67" s="57">
        <v>2.1999999999999999E-2</v>
      </c>
      <c r="H67" s="105"/>
      <c r="I67" s="130">
        <f t="shared" ref="I67:I74" si="35">I66+1</f>
        <v>2036</v>
      </c>
      <c r="J67" s="130"/>
      <c r="K67" s="57">
        <v>2.1999999999999999E-2</v>
      </c>
    </row>
    <row r="68" spans="3:11">
      <c r="C68" s="130">
        <f t="shared" si="33"/>
        <v>2019</v>
      </c>
      <c r="D68" s="57">
        <v>2.3E-2</v>
      </c>
      <c r="E68" s="105"/>
      <c r="F68" s="130">
        <f t="shared" si="34"/>
        <v>2028</v>
      </c>
      <c r="G68" s="57">
        <v>2.1999999999999999E-2</v>
      </c>
      <c r="H68" s="105"/>
      <c r="I68" s="130">
        <f t="shared" si="35"/>
        <v>2037</v>
      </c>
      <c r="J68" s="130"/>
      <c r="K68" s="57">
        <v>2.1999999999999999E-2</v>
      </c>
    </row>
    <row r="69" spans="3:11">
      <c r="C69" s="130">
        <f t="shared" si="33"/>
        <v>2020</v>
      </c>
      <c r="D69" s="57">
        <v>2.5999999999999999E-2</v>
      </c>
      <c r="E69" s="105"/>
      <c r="F69" s="130">
        <f t="shared" si="34"/>
        <v>2029</v>
      </c>
      <c r="G69" s="57">
        <v>2.1999999999999999E-2</v>
      </c>
      <c r="H69" s="105"/>
      <c r="I69" s="130">
        <f t="shared" si="35"/>
        <v>2038</v>
      </c>
      <c r="J69" s="130"/>
      <c r="K69" s="57">
        <v>2.1999999999999999E-2</v>
      </c>
    </row>
    <row r="70" spans="3:11">
      <c r="C70" s="130">
        <f t="shared" si="33"/>
        <v>2021</v>
      </c>
      <c r="D70" s="57">
        <v>2.4E-2</v>
      </c>
      <c r="E70" s="105"/>
      <c r="F70" s="130">
        <f t="shared" si="34"/>
        <v>2030</v>
      </c>
      <c r="G70" s="57">
        <v>2.1999999999999999E-2</v>
      </c>
      <c r="H70" s="105"/>
      <c r="I70" s="130">
        <f t="shared" si="35"/>
        <v>2039</v>
      </c>
      <c r="J70" s="130"/>
      <c r="K70" s="57">
        <v>2.1999999999999999E-2</v>
      </c>
    </row>
    <row r="71" spans="3:11">
      <c r="C71" s="130">
        <f t="shared" si="33"/>
        <v>2022</v>
      </c>
      <c r="D71" s="57">
        <v>2.3E-2</v>
      </c>
      <c r="E71" s="105"/>
      <c r="F71" s="130">
        <f t="shared" si="34"/>
        <v>2031</v>
      </c>
      <c r="G71" s="57">
        <v>2.1999999999999999E-2</v>
      </c>
      <c r="H71" s="105"/>
      <c r="I71" s="130">
        <f t="shared" si="35"/>
        <v>2040</v>
      </c>
      <c r="J71" s="130"/>
      <c r="K71" s="57">
        <v>2.1999999999999999E-2</v>
      </c>
    </row>
    <row r="72" spans="3:11" s="192" customFormat="1">
      <c r="C72" s="130">
        <f t="shared" si="33"/>
        <v>2023</v>
      </c>
      <c r="D72" s="57">
        <v>2.3E-2</v>
      </c>
      <c r="E72" s="107"/>
      <c r="F72" s="130">
        <f t="shared" si="34"/>
        <v>2032</v>
      </c>
      <c r="G72" s="57">
        <v>2.1999999999999999E-2</v>
      </c>
      <c r="H72" s="107"/>
      <c r="I72" s="130">
        <f t="shared" si="35"/>
        <v>2041</v>
      </c>
      <c r="J72" s="130"/>
      <c r="K72" s="57">
        <v>2.1999999999999999E-2</v>
      </c>
    </row>
    <row r="73" spans="3:11" s="192" customFormat="1">
      <c r="C73" s="130">
        <f t="shared" si="33"/>
        <v>2024</v>
      </c>
      <c r="D73" s="57">
        <v>2.3E-2</v>
      </c>
      <c r="E73" s="107"/>
      <c r="F73" s="130">
        <f t="shared" si="34"/>
        <v>2033</v>
      </c>
      <c r="G73" s="57">
        <v>2.1999999999999999E-2</v>
      </c>
      <c r="H73" s="107"/>
      <c r="I73" s="130">
        <f t="shared" si="35"/>
        <v>2042</v>
      </c>
      <c r="J73" s="130"/>
      <c r="K73" s="57">
        <v>2.1999999999999999E-2</v>
      </c>
    </row>
    <row r="74" spans="3:11" s="192" customFormat="1">
      <c r="C74" s="130">
        <f t="shared" si="33"/>
        <v>2025</v>
      </c>
      <c r="D74" s="57">
        <v>2.3E-2</v>
      </c>
      <c r="E74" s="107"/>
      <c r="F74" s="130">
        <f t="shared" si="34"/>
        <v>2034</v>
      </c>
      <c r="G74" s="57">
        <v>2.1999999999999999E-2</v>
      </c>
      <c r="H74" s="107"/>
      <c r="I74" s="130">
        <f t="shared" si="35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C33" sqref="C33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5" width="9.33203125" style="190"/>
    <col min="16" max="16" width="9.33203125" style="190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160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31%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  <c r="P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" t="s">
        <v>73</v>
      </c>
      <c r="J5" s="19" t="s">
        <v>73</v>
      </c>
      <c r="K5" s="194" t="s">
        <v>110</v>
      </c>
      <c r="P5" s="254"/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Utah Solar Resource - 31%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1822.4072122157659</v>
      </c>
      <c r="D10" s="201">
        <f>C10*$C$62</f>
        <v>140.61107266637151</v>
      </c>
      <c r="E10" s="201">
        <f>C56</f>
        <v>19.693557659779859</v>
      </c>
      <c r="F10" s="202">
        <f t="shared" ref="F10:F33" si="0">(D10+E10)/(8.76*$C$63)</f>
        <v>58.84120686185063</v>
      </c>
      <c r="G10" s="202">
        <f>C58</f>
        <v>0</v>
      </c>
      <c r="H10" s="201">
        <f>C59</f>
        <v>-2.446131410134015</v>
      </c>
      <c r="I10" s="203">
        <f t="shared" ref="I10:I36" si="1">F10+H10+G10</f>
        <v>56.395075451716615</v>
      </c>
      <c r="J10" s="203">
        <f>ROUND(I10*$C$63*8.76,2)</f>
        <v>153.63999999999999</v>
      </c>
      <c r="K10" s="201">
        <f>$C$57</f>
        <v>0.60299999999999998</v>
      </c>
      <c r="N10" s="204"/>
      <c r="P10" s="242"/>
    </row>
    <row r="11" spans="2:18">
      <c r="B11" s="199">
        <f t="shared" ref="B11:B36" si="2">B10+1</f>
        <v>2017</v>
      </c>
      <c r="C11" s="205"/>
      <c r="D11" s="201">
        <f>ROUND(D10*(1+$D66),2)</f>
        <v>143.28</v>
      </c>
      <c r="E11" s="201">
        <f>ROUND(E10*(1+$D66),2)</f>
        <v>20.07</v>
      </c>
      <c r="F11" s="202">
        <f t="shared" si="0"/>
        <v>59.959036250715762</v>
      </c>
      <c r="G11" s="201">
        <f>ROUND(G10*(1+$D66),2)</f>
        <v>0</v>
      </c>
      <c r="H11" s="201">
        <f>ROUND(H10*(1+$D66),2)</f>
        <v>-2.4900000000000002</v>
      </c>
      <c r="I11" s="203">
        <f t="shared" si="1"/>
        <v>57.46903625071576</v>
      </c>
      <c r="J11" s="203">
        <f t="shared" ref="J11:J36" si="3">ROUND(I11*$C$63*8.76,2)</f>
        <v>156.57</v>
      </c>
      <c r="K11" s="201">
        <f t="shared" ref="K11:K19" si="4">ROUND(K10*(1+$D66),2)</f>
        <v>0.61</v>
      </c>
      <c r="N11" s="204"/>
      <c r="P11" s="242"/>
    </row>
    <row r="12" spans="2:18">
      <c r="B12" s="212">
        <f t="shared" si="2"/>
        <v>2018</v>
      </c>
      <c r="C12" s="213"/>
      <c r="D12" s="201">
        <f t="shared" ref="D12:G19" si="5">ROUND(D11*(1+$D67),2)</f>
        <v>145.86000000000001</v>
      </c>
      <c r="E12" s="201">
        <f t="shared" si="5"/>
        <v>20.43</v>
      </c>
      <c r="F12" s="203">
        <f t="shared" si="0"/>
        <v>61.038188785623056</v>
      </c>
      <c r="G12" s="201">
        <f t="shared" si="5"/>
        <v>0</v>
      </c>
      <c r="H12" s="214">
        <f t="shared" ref="H12" si="6">ROUND(H11*(1+$D67),2)</f>
        <v>-2.5299999999999998</v>
      </c>
      <c r="I12" s="203">
        <f t="shared" si="1"/>
        <v>58.508188785623055</v>
      </c>
      <c r="J12" s="203">
        <f t="shared" si="3"/>
        <v>159.4</v>
      </c>
      <c r="K12" s="201">
        <f t="shared" si="4"/>
        <v>0.62</v>
      </c>
      <c r="L12" s="192"/>
      <c r="N12" s="204"/>
      <c r="P12" s="242"/>
    </row>
    <row r="13" spans="2:18">
      <c r="B13" s="212">
        <f t="shared" si="2"/>
        <v>2019</v>
      </c>
      <c r="C13" s="213"/>
      <c r="D13" s="201">
        <f t="shared" si="5"/>
        <v>149.21</v>
      </c>
      <c r="E13" s="201">
        <f t="shared" si="5"/>
        <v>20.9</v>
      </c>
      <c r="F13" s="203">
        <f t="shared" si="0"/>
        <v>62.440352963631831</v>
      </c>
      <c r="G13" s="201">
        <f t="shared" si="5"/>
        <v>0</v>
      </c>
      <c r="H13" s="214">
        <f t="shared" ref="H13" si="7">ROUND(H12*(1+$D68),2)</f>
        <v>-2.59</v>
      </c>
      <c r="I13" s="203">
        <f t="shared" si="1"/>
        <v>59.850352963631835</v>
      </c>
      <c r="J13" s="203">
        <f t="shared" si="3"/>
        <v>163.05000000000001</v>
      </c>
      <c r="K13" s="201">
        <f t="shared" si="4"/>
        <v>0.63</v>
      </c>
      <c r="L13" s="192"/>
      <c r="N13" s="204"/>
      <c r="P13" s="242"/>
    </row>
    <row r="14" spans="2:18">
      <c r="B14" s="212">
        <f t="shared" si="2"/>
        <v>2020</v>
      </c>
      <c r="C14" s="213"/>
      <c r="D14" s="201">
        <f t="shared" si="5"/>
        <v>153.09</v>
      </c>
      <c r="E14" s="201">
        <f t="shared" si="5"/>
        <v>21.44</v>
      </c>
      <c r="F14" s="203">
        <f t="shared" si="0"/>
        <v>64.062752352846175</v>
      </c>
      <c r="G14" s="201">
        <f t="shared" si="5"/>
        <v>0</v>
      </c>
      <c r="H14" s="214">
        <f t="shared" ref="H14" si="8">ROUND(H13*(1+$D69),2)</f>
        <v>-2.66</v>
      </c>
      <c r="I14" s="203">
        <f t="shared" si="1"/>
        <v>61.402752352846178</v>
      </c>
      <c r="J14" s="203">
        <f t="shared" si="3"/>
        <v>167.28</v>
      </c>
      <c r="K14" s="201">
        <f t="shared" si="4"/>
        <v>0.65</v>
      </c>
      <c r="L14" s="192"/>
      <c r="N14" s="204"/>
      <c r="O14" s="209"/>
      <c r="P14" s="242"/>
      <c r="Q14" s="210"/>
      <c r="R14" s="211"/>
    </row>
    <row r="15" spans="2:18">
      <c r="B15" s="212">
        <f t="shared" si="2"/>
        <v>2021</v>
      </c>
      <c r="C15" s="213"/>
      <c r="D15" s="201">
        <f t="shared" si="5"/>
        <v>156.76</v>
      </c>
      <c r="E15" s="201">
        <f t="shared" si="5"/>
        <v>21.95</v>
      </c>
      <c r="F15" s="203">
        <f t="shared" si="0"/>
        <v>65.59705765757829</v>
      </c>
      <c r="G15" s="201">
        <f t="shared" si="5"/>
        <v>0</v>
      </c>
      <c r="H15" s="214">
        <f t="shared" ref="H15" si="9">ROUND(H14*(1+$D70),2)</f>
        <v>-2.72</v>
      </c>
      <c r="I15" s="203">
        <f t="shared" si="1"/>
        <v>62.877057657578291</v>
      </c>
      <c r="J15" s="203">
        <f t="shared" si="3"/>
        <v>171.3</v>
      </c>
      <c r="K15" s="201">
        <f t="shared" si="4"/>
        <v>0.67</v>
      </c>
      <c r="L15" s="192"/>
      <c r="N15" s="210"/>
      <c r="O15" s="210"/>
      <c r="P15" s="242"/>
      <c r="Q15" s="210"/>
      <c r="R15" s="211"/>
    </row>
    <row r="16" spans="2:18">
      <c r="B16" s="212">
        <f t="shared" si="2"/>
        <v>2022</v>
      </c>
      <c r="C16" s="213"/>
      <c r="D16" s="201">
        <f t="shared" si="5"/>
        <v>160.37</v>
      </c>
      <c r="E16" s="201">
        <f t="shared" si="5"/>
        <v>22.45</v>
      </c>
      <c r="F16" s="203">
        <f t="shared" si="0"/>
        <v>67.105668854336429</v>
      </c>
      <c r="G16" s="201">
        <f t="shared" si="5"/>
        <v>0</v>
      </c>
      <c r="H16" s="214">
        <f t="shared" ref="H16" si="10">ROUND(H15*(1+$D71),2)</f>
        <v>-2.78</v>
      </c>
      <c r="I16" s="203">
        <f t="shared" si="1"/>
        <v>64.325668854336428</v>
      </c>
      <c r="J16" s="203">
        <f t="shared" si="3"/>
        <v>175.25</v>
      </c>
      <c r="K16" s="201">
        <f t="shared" si="4"/>
        <v>0.69</v>
      </c>
      <c r="L16" s="192"/>
      <c r="N16" s="204"/>
      <c r="P16" s="242"/>
    </row>
    <row r="17" spans="2:17">
      <c r="B17" s="212">
        <f t="shared" si="2"/>
        <v>2023</v>
      </c>
      <c r="C17" s="213"/>
      <c r="D17" s="201">
        <f t="shared" si="5"/>
        <v>164.06</v>
      </c>
      <c r="E17" s="201">
        <f t="shared" si="5"/>
        <v>22.97</v>
      </c>
      <c r="F17" s="203">
        <f t="shared" si="0"/>
        <v>68.650985919628837</v>
      </c>
      <c r="G17" s="201">
        <f t="shared" si="5"/>
        <v>0</v>
      </c>
      <c r="H17" s="214">
        <f t="shared" ref="H17" si="11">ROUND(H16*(1+$D72),2)</f>
        <v>-2.84</v>
      </c>
      <c r="I17" s="203">
        <f t="shared" si="1"/>
        <v>65.810985919628834</v>
      </c>
      <c r="J17" s="203">
        <f t="shared" si="3"/>
        <v>179.29</v>
      </c>
      <c r="K17" s="201">
        <f t="shared" si="4"/>
        <v>0.71</v>
      </c>
      <c r="L17" s="192"/>
      <c r="N17" s="204"/>
      <c r="O17" s="209"/>
      <c r="P17" s="242"/>
    </row>
    <row r="18" spans="2:17">
      <c r="B18" s="212">
        <f t="shared" si="2"/>
        <v>2024</v>
      </c>
      <c r="C18" s="213"/>
      <c r="D18" s="201">
        <f t="shared" si="5"/>
        <v>167.83</v>
      </c>
      <c r="E18" s="201">
        <f t="shared" si="5"/>
        <v>23.5</v>
      </c>
      <c r="F18" s="203">
        <f t="shared" si="0"/>
        <v>70.22933826660207</v>
      </c>
      <c r="G18" s="201">
        <f t="shared" si="5"/>
        <v>0</v>
      </c>
      <c r="H18" s="214">
        <f t="shared" ref="H18" si="12">ROUND(H17*(1+$D73),2)</f>
        <v>-2.91</v>
      </c>
      <c r="I18" s="203">
        <f t="shared" si="1"/>
        <v>67.319338266602074</v>
      </c>
      <c r="J18" s="203">
        <f t="shared" si="3"/>
        <v>183.4</v>
      </c>
      <c r="K18" s="201">
        <f t="shared" si="4"/>
        <v>0.73</v>
      </c>
      <c r="L18" s="192"/>
      <c r="P18" s="242"/>
    </row>
    <row r="19" spans="2:17">
      <c r="B19" s="212">
        <f t="shared" si="2"/>
        <v>2025</v>
      </c>
      <c r="C19" s="213"/>
      <c r="D19" s="201">
        <f t="shared" si="5"/>
        <v>171.69</v>
      </c>
      <c r="E19" s="201">
        <f t="shared" si="5"/>
        <v>24.04</v>
      </c>
      <c r="F19" s="203">
        <f t="shared" si="0"/>
        <v>71.844396482109559</v>
      </c>
      <c r="G19" s="201">
        <f t="shared" si="5"/>
        <v>0</v>
      </c>
      <c r="H19" s="214">
        <f t="shared" ref="H19" si="13">ROUND(H18*(1+$D74),2)</f>
        <v>-2.98</v>
      </c>
      <c r="I19" s="203">
        <f t="shared" si="1"/>
        <v>68.864396482109555</v>
      </c>
      <c r="J19" s="203">
        <f t="shared" si="3"/>
        <v>187.61</v>
      </c>
      <c r="K19" s="201">
        <f t="shared" si="4"/>
        <v>0.75</v>
      </c>
      <c r="L19" s="192"/>
      <c r="P19" s="242"/>
    </row>
    <row r="20" spans="2:17">
      <c r="B20" s="212">
        <f t="shared" si="2"/>
        <v>2026</v>
      </c>
      <c r="C20" s="213"/>
      <c r="D20" s="201">
        <f>ROUND(D19*(1+$G66),2)</f>
        <v>175.47</v>
      </c>
      <c r="E20" s="201">
        <f>ROUND(E19*(1+$G66),2)</f>
        <v>24.57</v>
      </c>
      <c r="F20" s="203">
        <f t="shared" si="0"/>
        <v>73.426419415936223</v>
      </c>
      <c r="G20" s="201">
        <f>ROUND(G19*(1+$G66),2)</f>
        <v>0</v>
      </c>
      <c r="H20" s="214">
        <f>ROUND(H19*(1+$G66),2)</f>
        <v>-3.05</v>
      </c>
      <c r="I20" s="203">
        <f t="shared" si="1"/>
        <v>70.376419415936226</v>
      </c>
      <c r="J20" s="203">
        <f t="shared" si="3"/>
        <v>191.73</v>
      </c>
      <c r="K20" s="201">
        <f t="shared" ref="K20:K28" si="14">ROUND(K19*(1+$G66),2)</f>
        <v>0.77</v>
      </c>
      <c r="L20" s="192"/>
      <c r="P20" s="242"/>
      <c r="Q20" s="243"/>
    </row>
    <row r="21" spans="2:17">
      <c r="B21" s="212">
        <f t="shared" si="2"/>
        <v>2027</v>
      </c>
      <c r="C21" s="213"/>
      <c r="D21" s="201">
        <f t="shared" ref="D21:G28" si="15">ROUND(D20*(1+$G67),2)</f>
        <v>179.33</v>
      </c>
      <c r="E21" s="201">
        <f t="shared" si="15"/>
        <v>25.11</v>
      </c>
      <c r="F21" s="203">
        <f t="shared" si="0"/>
        <v>75.041477631443712</v>
      </c>
      <c r="G21" s="201">
        <f t="shared" si="15"/>
        <v>0</v>
      </c>
      <c r="H21" s="214">
        <f t="shared" ref="H21" si="16">ROUND(H20*(1+$G67),2)</f>
        <v>-3.12</v>
      </c>
      <c r="I21" s="203">
        <f t="shared" si="1"/>
        <v>71.921477631443707</v>
      </c>
      <c r="J21" s="203">
        <f t="shared" si="3"/>
        <v>195.94</v>
      </c>
      <c r="K21" s="201">
        <f t="shared" si="14"/>
        <v>0.79</v>
      </c>
      <c r="L21" s="192"/>
      <c r="P21" s="242"/>
    </row>
    <row r="22" spans="2:17">
      <c r="B22" s="212">
        <f t="shared" si="2"/>
        <v>2028</v>
      </c>
      <c r="C22" s="213"/>
      <c r="D22" s="201">
        <f t="shared" si="15"/>
        <v>183.28</v>
      </c>
      <c r="E22" s="201">
        <f t="shared" si="15"/>
        <v>25.66</v>
      </c>
      <c r="F22" s="203">
        <f t="shared" si="0"/>
        <v>76.69324171548547</v>
      </c>
      <c r="G22" s="201">
        <f t="shared" si="15"/>
        <v>0</v>
      </c>
      <c r="H22" s="214">
        <f t="shared" ref="H22" si="17">ROUND(H21*(1+$G68),2)</f>
        <v>-3.19</v>
      </c>
      <c r="I22" s="203">
        <f t="shared" si="1"/>
        <v>73.503241715485473</v>
      </c>
      <c r="J22" s="203">
        <f t="shared" si="3"/>
        <v>200.25</v>
      </c>
      <c r="K22" s="201">
        <f t="shared" si="14"/>
        <v>0.81</v>
      </c>
      <c r="L22" s="192"/>
      <c r="P22" s="242"/>
    </row>
    <row r="23" spans="2:17">
      <c r="B23" s="212">
        <f t="shared" si="2"/>
        <v>2029</v>
      </c>
      <c r="C23" s="213"/>
      <c r="D23" s="201">
        <f t="shared" si="15"/>
        <v>187.31</v>
      </c>
      <c r="E23" s="201">
        <f t="shared" si="15"/>
        <v>26.22</v>
      </c>
      <c r="F23" s="203">
        <f t="shared" si="0"/>
        <v>78.378041081208067</v>
      </c>
      <c r="G23" s="201">
        <f t="shared" si="15"/>
        <v>0</v>
      </c>
      <c r="H23" s="214">
        <f t="shared" ref="H23" si="18">ROUND(H22*(1+$G69),2)</f>
        <v>-3.26</v>
      </c>
      <c r="I23" s="203">
        <f t="shared" si="1"/>
        <v>75.118041081208062</v>
      </c>
      <c r="J23" s="203">
        <f t="shared" si="3"/>
        <v>204.65</v>
      </c>
      <c r="K23" s="201">
        <f t="shared" si="14"/>
        <v>0.83</v>
      </c>
      <c r="L23" s="192"/>
      <c r="P23" s="242"/>
    </row>
    <row r="24" spans="2:17">
      <c r="B24" s="212">
        <f t="shared" si="2"/>
        <v>2030</v>
      </c>
      <c r="C24" s="206"/>
      <c r="D24" s="207">
        <f t="shared" si="15"/>
        <v>191.43</v>
      </c>
      <c r="E24" s="207">
        <f t="shared" si="15"/>
        <v>26.8</v>
      </c>
      <c r="F24" s="208">
        <f t="shared" si="0"/>
        <v>80.103216902318351</v>
      </c>
      <c r="G24" s="207">
        <f t="shared" si="15"/>
        <v>0</v>
      </c>
      <c r="H24" s="207">
        <f t="shared" ref="H24" si="19">ROUND(H23*(1+$G70),2)</f>
        <v>-3.33</v>
      </c>
      <c r="I24" s="208">
        <f t="shared" si="1"/>
        <v>76.773216902318353</v>
      </c>
      <c r="J24" s="208">
        <f t="shared" si="3"/>
        <v>209.16</v>
      </c>
      <c r="K24" s="207">
        <f t="shared" si="14"/>
        <v>0.85</v>
      </c>
      <c r="L24" s="192"/>
      <c r="P24" s="242"/>
    </row>
    <row r="25" spans="2:17">
      <c r="B25" s="212">
        <f t="shared" si="2"/>
        <v>2031</v>
      </c>
      <c r="C25" s="213"/>
      <c r="D25" s="201">
        <f t="shared" si="15"/>
        <v>195.64</v>
      </c>
      <c r="E25" s="201">
        <f t="shared" si="15"/>
        <v>27.39</v>
      </c>
      <c r="F25" s="203">
        <f t="shared" si="0"/>
        <v>81.865098591962877</v>
      </c>
      <c r="G25" s="201">
        <f t="shared" si="15"/>
        <v>0</v>
      </c>
      <c r="H25" s="214">
        <f t="shared" ref="H25" si="20">ROUND(H24*(1+$G71),2)</f>
        <v>-3.4</v>
      </c>
      <c r="I25" s="203">
        <f t="shared" si="1"/>
        <v>78.465098591962871</v>
      </c>
      <c r="J25" s="203">
        <f t="shared" si="3"/>
        <v>213.77</v>
      </c>
      <c r="K25" s="201">
        <f t="shared" si="14"/>
        <v>0.87</v>
      </c>
      <c r="L25" s="192"/>
      <c r="P25" s="242"/>
    </row>
    <row r="26" spans="2:17">
      <c r="B26" s="212">
        <f t="shared" si="2"/>
        <v>2032</v>
      </c>
      <c r="C26" s="213"/>
      <c r="D26" s="201">
        <f t="shared" si="15"/>
        <v>199.94</v>
      </c>
      <c r="E26" s="201">
        <f t="shared" si="15"/>
        <v>27.99</v>
      </c>
      <c r="F26" s="203">
        <f t="shared" si="0"/>
        <v>83.663686150141686</v>
      </c>
      <c r="G26" s="201">
        <f t="shared" si="15"/>
        <v>0</v>
      </c>
      <c r="H26" s="214">
        <f t="shared" ref="H26" si="21">ROUND(H25*(1+$G72),2)</f>
        <v>-3.47</v>
      </c>
      <c r="I26" s="203">
        <f t="shared" si="1"/>
        <v>80.193686150141687</v>
      </c>
      <c r="J26" s="203">
        <f t="shared" si="3"/>
        <v>218.48</v>
      </c>
      <c r="K26" s="201">
        <f t="shared" si="14"/>
        <v>0.89</v>
      </c>
      <c r="L26" s="192"/>
      <c r="P26" s="242"/>
    </row>
    <row r="27" spans="2:17">
      <c r="B27" s="212">
        <f t="shared" si="2"/>
        <v>2033</v>
      </c>
      <c r="C27" s="213"/>
      <c r="D27" s="201">
        <f t="shared" si="15"/>
        <v>204.34</v>
      </c>
      <c r="E27" s="201">
        <f t="shared" si="15"/>
        <v>28.61</v>
      </c>
      <c r="F27" s="203">
        <f t="shared" si="0"/>
        <v>85.506320750561599</v>
      </c>
      <c r="G27" s="201">
        <f t="shared" si="15"/>
        <v>0</v>
      </c>
      <c r="H27" s="214">
        <f t="shared" ref="H27" si="22">ROUND(H26*(1+$G73),2)</f>
        <v>-3.55</v>
      </c>
      <c r="I27" s="203">
        <f t="shared" si="1"/>
        <v>81.956320750561602</v>
      </c>
      <c r="J27" s="203">
        <f t="shared" si="3"/>
        <v>223.28</v>
      </c>
      <c r="K27" s="201">
        <f t="shared" si="14"/>
        <v>0.91</v>
      </c>
      <c r="L27" s="192"/>
      <c r="P27" s="242"/>
    </row>
    <row r="28" spans="2:17">
      <c r="B28" s="212">
        <f t="shared" si="2"/>
        <v>2034</v>
      </c>
      <c r="C28" s="213"/>
      <c r="D28" s="201">
        <f t="shared" si="15"/>
        <v>208.84</v>
      </c>
      <c r="E28" s="201">
        <f t="shared" si="15"/>
        <v>29.24</v>
      </c>
      <c r="F28" s="203">
        <f t="shared" si="0"/>
        <v>87.389331806369213</v>
      </c>
      <c r="G28" s="201">
        <f t="shared" si="15"/>
        <v>0</v>
      </c>
      <c r="H28" s="214">
        <f t="shared" ref="H28" si="23">ROUND(H27*(1+$G74),2)</f>
        <v>-3.63</v>
      </c>
      <c r="I28" s="203">
        <f t="shared" si="1"/>
        <v>83.759331806369218</v>
      </c>
      <c r="J28" s="203">
        <f t="shared" si="3"/>
        <v>228.19</v>
      </c>
      <c r="K28" s="201">
        <f t="shared" si="14"/>
        <v>0.93</v>
      </c>
      <c r="L28" s="192"/>
      <c r="P28" s="242"/>
    </row>
    <row r="29" spans="2:17">
      <c r="B29" s="212">
        <f t="shared" si="2"/>
        <v>2035</v>
      </c>
      <c r="C29" s="213"/>
      <c r="D29" s="201">
        <f t="shared" ref="D29:E36" si="24">ROUND(D28*(1+$K66),2)</f>
        <v>213.43</v>
      </c>
      <c r="E29" s="201">
        <f t="shared" si="24"/>
        <v>29.88</v>
      </c>
      <c r="F29" s="203">
        <f t="shared" si="0"/>
        <v>89.309048730711069</v>
      </c>
      <c r="G29" s="201">
        <f t="shared" ref="G29:H36" si="25">ROUND(G28*(1+$K66),2)</f>
        <v>0</v>
      </c>
      <c r="H29" s="214">
        <f t="shared" si="25"/>
        <v>-3.71</v>
      </c>
      <c r="I29" s="203">
        <f t="shared" si="1"/>
        <v>85.599048730711075</v>
      </c>
      <c r="J29" s="203">
        <f t="shared" si="3"/>
        <v>233.2</v>
      </c>
      <c r="K29" s="201">
        <f t="shared" ref="K29:K36" si="26">ROUND(K28*(1+$K66),2)</f>
        <v>0.95</v>
      </c>
      <c r="L29" s="192"/>
      <c r="P29" s="242"/>
    </row>
    <row r="30" spans="2:17">
      <c r="B30" s="212">
        <f t="shared" si="2"/>
        <v>2036</v>
      </c>
      <c r="C30" s="213"/>
      <c r="D30" s="201">
        <f t="shared" si="24"/>
        <v>218.13</v>
      </c>
      <c r="E30" s="201">
        <f t="shared" si="24"/>
        <v>30.54</v>
      </c>
      <c r="F30" s="203">
        <f t="shared" si="0"/>
        <v>91.276483284147474</v>
      </c>
      <c r="G30" s="201">
        <f t="shared" si="25"/>
        <v>0</v>
      </c>
      <c r="H30" s="214">
        <f t="shared" si="25"/>
        <v>-3.79</v>
      </c>
      <c r="I30" s="203">
        <f t="shared" si="1"/>
        <v>87.486483284147468</v>
      </c>
      <c r="J30" s="203">
        <f t="shared" si="3"/>
        <v>238.34</v>
      </c>
      <c r="K30" s="201">
        <f t="shared" si="26"/>
        <v>0.97</v>
      </c>
      <c r="L30" s="192"/>
      <c r="P30" s="242"/>
    </row>
    <row r="31" spans="2:17">
      <c r="B31" s="212">
        <f t="shared" si="2"/>
        <v>2037</v>
      </c>
      <c r="C31" s="213"/>
      <c r="D31" s="201">
        <f t="shared" si="24"/>
        <v>222.93</v>
      </c>
      <c r="E31" s="201">
        <f t="shared" si="24"/>
        <v>31.21</v>
      </c>
      <c r="F31" s="203">
        <f t="shared" si="0"/>
        <v>93.284294292971566</v>
      </c>
      <c r="G31" s="201">
        <f t="shared" si="25"/>
        <v>0</v>
      </c>
      <c r="H31" s="214">
        <f t="shared" si="25"/>
        <v>-3.87</v>
      </c>
      <c r="I31" s="203">
        <f t="shared" si="1"/>
        <v>89.414294292971562</v>
      </c>
      <c r="J31" s="203">
        <f t="shared" si="3"/>
        <v>243.6</v>
      </c>
      <c r="K31" s="201">
        <f t="shared" si="26"/>
        <v>0.99</v>
      </c>
      <c r="L31" s="192"/>
      <c r="P31" s="242"/>
    </row>
    <row r="32" spans="2:17">
      <c r="B32" s="212">
        <f t="shared" si="2"/>
        <v>2038</v>
      </c>
      <c r="C32" s="213"/>
      <c r="D32" s="201">
        <f t="shared" si="24"/>
        <v>227.83</v>
      </c>
      <c r="E32" s="201">
        <f t="shared" si="24"/>
        <v>31.9</v>
      </c>
      <c r="F32" s="203">
        <f t="shared" si="0"/>
        <v>95.336152344036776</v>
      </c>
      <c r="G32" s="201">
        <f t="shared" si="25"/>
        <v>0</v>
      </c>
      <c r="H32" s="214">
        <f t="shared" si="25"/>
        <v>-3.96</v>
      </c>
      <c r="I32" s="203">
        <f t="shared" si="1"/>
        <v>91.376152344036782</v>
      </c>
      <c r="J32" s="203">
        <f t="shared" si="3"/>
        <v>248.94</v>
      </c>
      <c r="K32" s="201">
        <f t="shared" si="26"/>
        <v>1.01</v>
      </c>
      <c r="L32" s="192"/>
      <c r="P32" s="242"/>
    </row>
    <row r="33" spans="2:16">
      <c r="B33" s="212">
        <f t="shared" si="2"/>
        <v>2039</v>
      </c>
      <c r="C33" s="213"/>
      <c r="D33" s="201">
        <f t="shared" si="24"/>
        <v>232.84</v>
      </c>
      <c r="E33" s="201">
        <f t="shared" si="24"/>
        <v>32.6</v>
      </c>
      <c r="F33" s="203">
        <f t="shared" si="0"/>
        <v>97.43205743734309</v>
      </c>
      <c r="G33" s="201">
        <f t="shared" si="25"/>
        <v>0</v>
      </c>
      <c r="H33" s="214">
        <f t="shared" si="25"/>
        <v>-4.05</v>
      </c>
      <c r="I33" s="203">
        <f t="shared" si="1"/>
        <v>93.382057437343093</v>
      </c>
      <c r="J33" s="203">
        <f t="shared" si="3"/>
        <v>254.41</v>
      </c>
      <c r="K33" s="201">
        <f t="shared" si="26"/>
        <v>1.03</v>
      </c>
      <c r="L33" s="192"/>
      <c r="P33" s="242"/>
    </row>
    <row r="34" spans="2:16">
      <c r="B34" s="212">
        <f t="shared" si="2"/>
        <v>2040</v>
      </c>
      <c r="C34" s="213"/>
      <c r="D34" s="201">
        <f t="shared" si="24"/>
        <v>237.96</v>
      </c>
      <c r="E34" s="201">
        <f t="shared" si="24"/>
        <v>33.32</v>
      </c>
      <c r="F34" s="203">
        <f t="shared" ref="F34:F36" si="27">(D34+E34)/(8.76*$C$63)</f>
        <v>99.575680159743953</v>
      </c>
      <c r="G34" s="201">
        <f t="shared" si="25"/>
        <v>0</v>
      </c>
      <c r="H34" s="214">
        <f t="shared" si="25"/>
        <v>-4.1399999999999997</v>
      </c>
      <c r="I34" s="203">
        <f t="shared" si="1"/>
        <v>95.435680159743953</v>
      </c>
      <c r="J34" s="203">
        <f t="shared" si="3"/>
        <v>260</v>
      </c>
      <c r="K34" s="201">
        <f t="shared" si="26"/>
        <v>1.05</v>
      </c>
      <c r="L34" s="192"/>
      <c r="P34" s="242"/>
    </row>
    <row r="35" spans="2:16">
      <c r="B35" s="212">
        <f t="shared" si="2"/>
        <v>2041</v>
      </c>
      <c r="C35" s="213"/>
      <c r="D35" s="201">
        <f t="shared" si="24"/>
        <v>243.2</v>
      </c>
      <c r="E35" s="201">
        <f t="shared" si="24"/>
        <v>34.049999999999997</v>
      </c>
      <c r="F35" s="203">
        <f t="shared" si="27"/>
        <v>101.76702051123934</v>
      </c>
      <c r="G35" s="201">
        <f t="shared" si="25"/>
        <v>0</v>
      </c>
      <c r="H35" s="214">
        <f t="shared" si="25"/>
        <v>-4.2300000000000004</v>
      </c>
      <c r="I35" s="203">
        <f t="shared" si="1"/>
        <v>97.537020511239334</v>
      </c>
      <c r="J35" s="203">
        <f t="shared" si="3"/>
        <v>265.73</v>
      </c>
      <c r="K35" s="201">
        <f t="shared" si="26"/>
        <v>1.07</v>
      </c>
      <c r="L35" s="192"/>
      <c r="P35" s="242"/>
    </row>
    <row r="36" spans="2:16">
      <c r="B36" s="212">
        <f t="shared" si="2"/>
        <v>2042</v>
      </c>
      <c r="C36" s="213"/>
      <c r="D36" s="201">
        <f t="shared" si="24"/>
        <v>248.55</v>
      </c>
      <c r="E36" s="201">
        <f t="shared" si="24"/>
        <v>34.799999999999997</v>
      </c>
      <c r="F36" s="203">
        <f t="shared" si="27"/>
        <v>104.00607849182929</v>
      </c>
      <c r="G36" s="201">
        <f t="shared" si="25"/>
        <v>0</v>
      </c>
      <c r="H36" s="214">
        <f t="shared" si="25"/>
        <v>-4.32</v>
      </c>
      <c r="I36" s="203">
        <f t="shared" si="1"/>
        <v>99.686078491829278</v>
      </c>
      <c r="J36" s="203">
        <f t="shared" si="3"/>
        <v>271.58</v>
      </c>
      <c r="K36" s="201">
        <f t="shared" si="26"/>
        <v>1.0900000000000001</v>
      </c>
      <c r="L36" s="192"/>
      <c r="P36" s="242"/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0.0771567801772526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31.1%)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Utah Solar Resource - 31%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114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1822.4072122157659</v>
      </c>
      <c r="D55" s="190" t="s">
        <v>113</v>
      </c>
      <c r="H55" s="190" t="s">
        <v>9</v>
      </c>
    </row>
    <row r="56" spans="2:24">
      <c r="B56" s="105" t="s">
        <v>102</v>
      </c>
      <c r="C56" s="227">
        <v>19.693557659779859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0.60299999999999998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 t="s">
        <v>124</v>
      </c>
      <c r="O58" s="69" t="s">
        <v>123</v>
      </c>
      <c r="P58" s="231" t="s">
        <v>125</v>
      </c>
      <c r="Q58" s="69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f>P63</f>
        <v>-2.446131410134015</v>
      </c>
      <c r="D59" s="190" t="s">
        <v>119</v>
      </c>
      <c r="H59" s="190" t="s">
        <v>118</v>
      </c>
      <c r="K59" s="230"/>
      <c r="L59" s="230"/>
      <c r="M59" s="231"/>
      <c r="N59" s="230">
        <f>C55</f>
        <v>1822.4072122157659</v>
      </c>
      <c r="O59" s="250">
        <v>6.910504691716815E-2</v>
      </c>
      <c r="P59" s="244">
        <f>O59*N59/8760/$C$63*1000-O60*N60/8760/$C$63*1000</f>
        <v>-5.386049113925985</v>
      </c>
      <c r="Q59" s="251"/>
      <c r="R59" s="232"/>
      <c r="S59" s="192"/>
      <c r="T59" s="192"/>
      <c r="U59" s="192"/>
      <c r="V59" s="192"/>
      <c r="W59" s="192"/>
      <c r="X59" s="192"/>
    </row>
    <row r="60" spans="2:24">
      <c r="K60" s="230"/>
      <c r="L60" s="230"/>
      <c r="M60" s="230"/>
      <c r="N60" s="230">
        <f>N59</f>
        <v>1822.4072122157659</v>
      </c>
      <c r="O60" s="250">
        <v>7.7156780177252568E-2</v>
      </c>
      <c r="P60" s="192"/>
      <c r="Q60" s="251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L61" s="230"/>
      <c r="M61" s="230"/>
      <c r="N61" s="237"/>
      <c r="O61" s="237"/>
      <c r="S61" s="192"/>
      <c r="T61" s="192"/>
      <c r="U61" s="192"/>
      <c r="V61" s="192"/>
      <c r="W61" s="192"/>
      <c r="X61" s="192"/>
    </row>
    <row r="62" spans="2:24">
      <c r="C62" s="235">
        <v>7.7156780177252568E-2</v>
      </c>
      <c r="D62" s="190" t="s">
        <v>54</v>
      </c>
      <c r="K62" s="236"/>
      <c r="L62" s="237"/>
      <c r="M62" s="237"/>
      <c r="N62" s="229" t="s">
        <v>124</v>
      </c>
      <c r="O62" s="69" t="s">
        <v>123</v>
      </c>
      <c r="P62" s="231" t="s">
        <v>126</v>
      </c>
    </row>
    <row r="63" spans="2:24">
      <c r="C63" s="241">
        <v>0.311</v>
      </c>
      <c r="D63" s="190" t="s">
        <v>55</v>
      </c>
      <c r="N63" s="230">
        <f>N59</f>
        <v>1822.4072122157659</v>
      </c>
      <c r="O63" s="252">
        <v>7.3499999999999996E-2</v>
      </c>
      <c r="P63" s="244">
        <f>O63*N63/8760/$C$63*1000-O64*N64/8760/$C$63*1000</f>
        <v>-2.446131410134015</v>
      </c>
      <c r="R63" s="253" t="s">
        <v>127</v>
      </c>
    </row>
    <row r="64" spans="2:24" ht="13.5" thickBot="1">
      <c r="D64" s="233"/>
      <c r="N64" s="230">
        <f>N59</f>
        <v>1822.4072122157659</v>
      </c>
      <c r="O64" s="250">
        <v>7.7156780177252568E-2</v>
      </c>
      <c r="P64" s="192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28">C66+1</f>
        <v>2018</v>
      </c>
      <c r="D67" s="57">
        <v>1.7999999999999999E-2</v>
      </c>
      <c r="E67" s="105"/>
      <c r="F67" s="130">
        <f t="shared" ref="F67:F74" si="29">F66+1</f>
        <v>2027</v>
      </c>
      <c r="G67" s="57">
        <v>2.1999999999999999E-2</v>
      </c>
      <c r="H67" s="105"/>
      <c r="I67" s="130">
        <f t="shared" ref="I67:I74" si="30">I66+1</f>
        <v>2036</v>
      </c>
      <c r="J67" s="130"/>
      <c r="K67" s="57">
        <v>2.1999999999999999E-2</v>
      </c>
    </row>
    <row r="68" spans="3:11">
      <c r="C68" s="130">
        <f t="shared" si="28"/>
        <v>2019</v>
      </c>
      <c r="D68" s="57">
        <v>2.3E-2</v>
      </c>
      <c r="E68" s="105"/>
      <c r="F68" s="130">
        <f t="shared" si="29"/>
        <v>2028</v>
      </c>
      <c r="G68" s="57">
        <v>2.1999999999999999E-2</v>
      </c>
      <c r="H68" s="105"/>
      <c r="I68" s="130">
        <f t="shared" si="30"/>
        <v>2037</v>
      </c>
      <c r="J68" s="130"/>
      <c r="K68" s="57">
        <v>2.1999999999999999E-2</v>
      </c>
    </row>
    <row r="69" spans="3:11">
      <c r="C69" s="130">
        <f t="shared" si="28"/>
        <v>2020</v>
      </c>
      <c r="D69" s="57">
        <v>2.5999999999999999E-2</v>
      </c>
      <c r="E69" s="105"/>
      <c r="F69" s="130">
        <f t="shared" si="29"/>
        <v>2029</v>
      </c>
      <c r="G69" s="57">
        <v>2.1999999999999999E-2</v>
      </c>
      <c r="H69" s="105"/>
      <c r="I69" s="130">
        <f t="shared" si="30"/>
        <v>2038</v>
      </c>
      <c r="J69" s="130"/>
      <c r="K69" s="57">
        <v>2.1999999999999999E-2</v>
      </c>
    </row>
    <row r="70" spans="3:11">
      <c r="C70" s="130">
        <f t="shared" si="28"/>
        <v>2021</v>
      </c>
      <c r="D70" s="57">
        <v>2.4E-2</v>
      </c>
      <c r="E70" s="105"/>
      <c r="F70" s="130">
        <f t="shared" si="29"/>
        <v>2030</v>
      </c>
      <c r="G70" s="57">
        <v>2.1999999999999999E-2</v>
      </c>
      <c r="H70" s="105"/>
      <c r="I70" s="130">
        <f t="shared" si="30"/>
        <v>2039</v>
      </c>
      <c r="J70" s="130"/>
      <c r="K70" s="57">
        <v>2.1999999999999999E-2</v>
      </c>
    </row>
    <row r="71" spans="3:11">
      <c r="C71" s="130">
        <f t="shared" si="28"/>
        <v>2022</v>
      </c>
      <c r="D71" s="57">
        <v>2.3E-2</v>
      </c>
      <c r="E71" s="105"/>
      <c r="F71" s="130">
        <f t="shared" si="29"/>
        <v>2031</v>
      </c>
      <c r="G71" s="57">
        <v>2.1999999999999999E-2</v>
      </c>
      <c r="H71" s="105"/>
      <c r="I71" s="130">
        <f t="shared" si="30"/>
        <v>2040</v>
      </c>
      <c r="J71" s="130"/>
      <c r="K71" s="57">
        <v>2.1999999999999999E-2</v>
      </c>
    </row>
    <row r="72" spans="3:11" s="192" customFormat="1">
      <c r="C72" s="130">
        <f t="shared" si="28"/>
        <v>2023</v>
      </c>
      <c r="D72" s="57">
        <v>2.3E-2</v>
      </c>
      <c r="E72" s="107"/>
      <c r="F72" s="130">
        <f t="shared" si="29"/>
        <v>2032</v>
      </c>
      <c r="G72" s="57">
        <v>2.1999999999999999E-2</v>
      </c>
      <c r="H72" s="107"/>
      <c r="I72" s="130">
        <f t="shared" si="30"/>
        <v>2041</v>
      </c>
      <c r="J72" s="130"/>
      <c r="K72" s="57">
        <v>2.1999999999999999E-2</v>
      </c>
    </row>
    <row r="73" spans="3:11" s="192" customFormat="1">
      <c r="C73" s="130">
        <f t="shared" si="28"/>
        <v>2024</v>
      </c>
      <c r="D73" s="57">
        <v>2.3E-2</v>
      </c>
      <c r="E73" s="107"/>
      <c r="F73" s="130">
        <f t="shared" si="29"/>
        <v>2033</v>
      </c>
      <c r="G73" s="57">
        <v>2.1999999999999999E-2</v>
      </c>
      <c r="H73" s="107"/>
      <c r="I73" s="130">
        <f t="shared" si="30"/>
        <v>2042</v>
      </c>
      <c r="J73" s="130"/>
      <c r="K73" s="57">
        <v>2.1999999999999999E-2</v>
      </c>
    </row>
    <row r="74" spans="3:11" s="192" customFormat="1">
      <c r="C74" s="130">
        <f t="shared" si="28"/>
        <v>2025</v>
      </c>
      <c r="D74" s="57">
        <v>2.3E-2</v>
      </c>
      <c r="E74" s="107"/>
      <c r="F74" s="130">
        <f t="shared" si="29"/>
        <v>2034</v>
      </c>
      <c r="G74" s="57">
        <v>2.1999999999999999E-2</v>
      </c>
      <c r="H74" s="107"/>
      <c r="I74" s="130">
        <f t="shared" si="30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73" orientation="portrait" r:id="rId1"/>
  <headerFooter alignWithMargins="0"/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2"/>
  <sheetViews>
    <sheetView zoomScaleNormal="100" workbookViewId="0">
      <selection activeCell="B2" sqref="B2"/>
    </sheetView>
  </sheetViews>
  <sheetFormatPr defaultColWidth="9.33203125" defaultRowHeight="12.75"/>
  <cols>
    <col min="1" max="1" width="1.5" style="190" customWidth="1"/>
    <col min="2" max="2" width="10.83203125" style="190" customWidth="1"/>
    <col min="3" max="3" width="14.1640625" style="190" customWidth="1"/>
    <col min="4" max="4" width="12.33203125" style="190" customWidth="1"/>
    <col min="5" max="5" width="9.1640625" style="190" customWidth="1"/>
    <col min="6" max="6" width="9.83203125" style="190" bestFit="1" customWidth="1"/>
    <col min="7" max="7" width="9.83203125" style="190" customWidth="1"/>
    <col min="8" max="8" width="10.5" style="190" customWidth="1"/>
    <col min="9" max="10" width="12.5" style="190" customWidth="1"/>
    <col min="11" max="11" width="11.6640625" style="190" customWidth="1"/>
    <col min="12" max="12" width="9.33203125" style="190"/>
    <col min="13" max="13" width="9.6640625" style="190" bestFit="1" customWidth="1"/>
    <col min="14" max="15" width="17" style="190" customWidth="1"/>
    <col min="16" max="16" width="9.33203125" style="190" customWidth="1"/>
    <col min="17" max="16384" width="9.33203125" style="190"/>
  </cols>
  <sheetData>
    <row r="1" spans="2:18" ht="15.75">
      <c r="B1" s="188" t="s">
        <v>85</v>
      </c>
      <c r="C1" s="189"/>
      <c r="D1" s="189"/>
      <c r="E1" s="189"/>
      <c r="F1" s="189"/>
      <c r="G1" s="189"/>
      <c r="H1" s="189"/>
      <c r="I1" s="189"/>
      <c r="J1" s="189"/>
    </row>
    <row r="2" spans="2:18" ht="15.75">
      <c r="B2" s="188" t="s">
        <v>161</v>
      </c>
      <c r="C2" s="189"/>
      <c r="D2" s="189"/>
      <c r="E2" s="189"/>
      <c r="F2" s="189"/>
      <c r="G2" s="189"/>
      <c r="H2" s="189"/>
      <c r="I2" s="189"/>
      <c r="J2" s="189"/>
    </row>
    <row r="3" spans="2:18" ht="15.75">
      <c r="B3" s="188" t="str">
        <f>TEXT($C$63,"0%")&amp;" Capacity Factor"</f>
        <v>25% Capacity Factor</v>
      </c>
      <c r="C3" s="189"/>
      <c r="D3" s="189"/>
      <c r="E3" s="189"/>
      <c r="F3" s="189"/>
      <c r="G3" s="189"/>
      <c r="H3" s="189"/>
      <c r="I3" s="189"/>
      <c r="J3" s="189"/>
    </row>
    <row r="4" spans="2:18">
      <c r="B4" s="191"/>
      <c r="C4" s="191"/>
      <c r="D4" s="191"/>
      <c r="E4" s="191"/>
      <c r="F4" s="191"/>
      <c r="G4" s="191"/>
      <c r="H4" s="191"/>
      <c r="I4" s="192"/>
      <c r="J4" s="192"/>
      <c r="K4" s="192"/>
    </row>
    <row r="5" spans="2:18" ht="51.75" customHeight="1">
      <c r="B5" s="193" t="s">
        <v>0</v>
      </c>
      <c r="C5" s="194" t="s">
        <v>10</v>
      </c>
      <c r="D5" s="194" t="s">
        <v>11</v>
      </c>
      <c r="E5" s="194" t="s">
        <v>12</v>
      </c>
      <c r="F5" s="194" t="s">
        <v>108</v>
      </c>
      <c r="G5" s="19" t="s">
        <v>13</v>
      </c>
      <c r="H5" s="194" t="s">
        <v>109</v>
      </c>
      <c r="I5" s="194" t="s">
        <v>122</v>
      </c>
      <c r="J5" s="19" t="s">
        <v>73</v>
      </c>
      <c r="K5" s="194" t="s">
        <v>110</v>
      </c>
      <c r="P5" s="194"/>
    </row>
    <row r="6" spans="2:18" ht="24" customHeight="1">
      <c r="B6" s="195"/>
      <c r="C6" s="196" t="s">
        <v>8</v>
      </c>
      <c r="D6" s="197" t="s">
        <v>9</v>
      </c>
      <c r="E6" s="197" t="s">
        <v>9</v>
      </c>
      <c r="F6" s="196" t="s">
        <v>39</v>
      </c>
      <c r="G6" s="22" t="s">
        <v>39</v>
      </c>
      <c r="H6" s="196" t="s">
        <v>39</v>
      </c>
      <c r="I6" s="196" t="s">
        <v>39</v>
      </c>
      <c r="J6" s="23" t="s">
        <v>9</v>
      </c>
      <c r="K6" s="196" t="s">
        <v>39</v>
      </c>
    </row>
    <row r="7" spans="2:18">
      <c r="C7" s="198" t="s">
        <v>1</v>
      </c>
      <c r="D7" s="198" t="s">
        <v>2</v>
      </c>
      <c r="E7" s="198" t="s">
        <v>3</v>
      </c>
      <c r="F7" s="198" t="s">
        <v>4</v>
      </c>
      <c r="G7" s="198" t="s">
        <v>5</v>
      </c>
      <c r="H7" s="198" t="s">
        <v>7</v>
      </c>
      <c r="I7" s="198" t="s">
        <v>28</v>
      </c>
      <c r="J7" s="198" t="s">
        <v>29</v>
      </c>
      <c r="K7" s="198" t="s">
        <v>29</v>
      </c>
    </row>
    <row r="8" spans="2:18" ht="6" customHeight="1">
      <c r="K8" s="192"/>
    </row>
    <row r="9" spans="2:18" ht="15.75">
      <c r="B9" s="60" t="str">
        <f>C52</f>
        <v>2017 IRP Yakima Solar Resource - 25% Capacity Factor</v>
      </c>
      <c r="C9" s="192"/>
      <c r="E9" s="192"/>
      <c r="F9" s="192"/>
      <c r="G9" s="192"/>
      <c r="H9" s="192"/>
      <c r="I9" s="192"/>
      <c r="J9" s="192"/>
      <c r="K9" s="192"/>
    </row>
    <row r="10" spans="2:18">
      <c r="B10" s="199">
        <v>2016</v>
      </c>
      <c r="C10" s="200">
        <f>C55</f>
        <v>1761.8947998896474</v>
      </c>
      <c r="D10" s="201">
        <f>C10*$C$62</f>
        <v>135.94212977052993</v>
      </c>
      <c r="E10" s="201">
        <f>C56</f>
        <v>18.739825346529312</v>
      </c>
      <c r="F10" s="202">
        <f t="shared" ref="F10:F36" si="0">(D10+E10)/(8.76*$C$63)</f>
        <v>70.914688487768075</v>
      </c>
      <c r="G10" s="202">
        <f>C58</f>
        <v>0</v>
      </c>
      <c r="H10" s="201">
        <f>C59</f>
        <v>-2.9537611535827537</v>
      </c>
      <c r="I10" s="203">
        <f t="shared" ref="I10:I36" si="1">F10+H10+G10</f>
        <v>67.960927334185328</v>
      </c>
      <c r="J10" s="203">
        <f>ROUND(I10*$C$63*8.76,2)</f>
        <v>148.24</v>
      </c>
      <c r="K10" s="201">
        <f>$C$57</f>
        <v>0.60299999999999998</v>
      </c>
      <c r="N10" s="204"/>
      <c r="P10" s="242"/>
    </row>
    <row r="11" spans="2:18">
      <c r="B11" s="199">
        <f t="shared" ref="B11:B36" si="2">B10+1</f>
        <v>2017</v>
      </c>
      <c r="C11" s="205"/>
      <c r="D11" s="201">
        <f t="shared" ref="D11:D19" si="3">ROUND(D10*(1+$D66),2)</f>
        <v>138.53</v>
      </c>
      <c r="E11" s="201">
        <f t="shared" ref="E11:E19" si="4">ROUND(E10*(1+$D66),2)</f>
        <v>19.100000000000001</v>
      </c>
      <c r="F11" s="202">
        <f t="shared" si="0"/>
        <v>72.266233885312943</v>
      </c>
      <c r="G11" s="201">
        <f t="shared" ref="G11:G19" si="5">ROUND(G10*(1+$D66),2)</f>
        <v>0</v>
      </c>
      <c r="H11" s="201">
        <f t="shared" ref="H11:H19" si="6">ROUND(H10*(1+$D66),2)</f>
        <v>-3.01</v>
      </c>
      <c r="I11" s="203">
        <f t="shared" si="1"/>
        <v>69.256233885312938</v>
      </c>
      <c r="J11" s="203">
        <f t="shared" ref="J11:J36" si="7">ROUND(I11*$C$63*8.76,2)</f>
        <v>151.06</v>
      </c>
      <c r="K11" s="201">
        <f t="shared" ref="K11:K19" si="8">ROUND(K10*(1+$D66),2)</f>
        <v>0.61</v>
      </c>
      <c r="N11" s="204"/>
      <c r="P11" s="242"/>
    </row>
    <row r="12" spans="2:18">
      <c r="B12" s="212">
        <f t="shared" si="2"/>
        <v>2018</v>
      </c>
      <c r="C12" s="213"/>
      <c r="D12" s="201">
        <f t="shared" si="3"/>
        <v>141.02000000000001</v>
      </c>
      <c r="E12" s="201">
        <f t="shared" si="4"/>
        <v>19.440000000000001</v>
      </c>
      <c r="F12" s="203">
        <f t="shared" si="0"/>
        <v>73.563661036841438</v>
      </c>
      <c r="G12" s="201">
        <f t="shared" si="5"/>
        <v>0</v>
      </c>
      <c r="H12" s="214">
        <f t="shared" si="6"/>
        <v>-3.06</v>
      </c>
      <c r="I12" s="203">
        <f t="shared" si="1"/>
        <v>70.503661036841436</v>
      </c>
      <c r="J12" s="203">
        <f t="shared" si="7"/>
        <v>153.79</v>
      </c>
      <c r="K12" s="201">
        <f t="shared" si="8"/>
        <v>0.62</v>
      </c>
      <c r="L12" s="192"/>
      <c r="N12" s="204"/>
      <c r="P12" s="242"/>
    </row>
    <row r="13" spans="2:18">
      <c r="B13" s="212">
        <f t="shared" si="2"/>
        <v>2019</v>
      </c>
      <c r="C13" s="213"/>
      <c r="D13" s="201">
        <f t="shared" si="3"/>
        <v>144.26</v>
      </c>
      <c r="E13" s="201">
        <f t="shared" si="4"/>
        <v>19.89</v>
      </c>
      <c r="F13" s="203">
        <f t="shared" si="0"/>
        <v>75.255359336890933</v>
      </c>
      <c r="G13" s="201">
        <f t="shared" si="5"/>
        <v>0</v>
      </c>
      <c r="H13" s="214">
        <f t="shared" si="6"/>
        <v>-3.13</v>
      </c>
      <c r="I13" s="203">
        <f t="shared" si="1"/>
        <v>72.125359336890938</v>
      </c>
      <c r="J13" s="203">
        <f t="shared" si="7"/>
        <v>157.32</v>
      </c>
      <c r="K13" s="201">
        <f t="shared" si="8"/>
        <v>0.63</v>
      </c>
      <c r="L13" s="192"/>
      <c r="N13" s="204"/>
      <c r="P13" s="242"/>
    </row>
    <row r="14" spans="2:18">
      <c r="B14" s="212">
        <f t="shared" si="2"/>
        <v>2020</v>
      </c>
      <c r="C14" s="213"/>
      <c r="D14" s="201">
        <f t="shared" si="3"/>
        <v>148.01</v>
      </c>
      <c r="E14" s="201">
        <f t="shared" si="4"/>
        <v>20.41</v>
      </c>
      <c r="F14" s="203">
        <f t="shared" si="0"/>
        <v>77.212961434780212</v>
      </c>
      <c r="G14" s="201">
        <f t="shared" si="5"/>
        <v>0</v>
      </c>
      <c r="H14" s="214">
        <f t="shared" si="6"/>
        <v>-3.21</v>
      </c>
      <c r="I14" s="203">
        <f t="shared" si="1"/>
        <v>74.002961434780218</v>
      </c>
      <c r="J14" s="203">
        <f t="shared" si="7"/>
        <v>161.41999999999999</v>
      </c>
      <c r="K14" s="201">
        <f t="shared" si="8"/>
        <v>0.65</v>
      </c>
      <c r="L14" s="192"/>
      <c r="N14" s="204"/>
      <c r="O14" s="209"/>
      <c r="P14" s="242"/>
      <c r="Q14" s="210"/>
      <c r="R14" s="211"/>
    </row>
    <row r="15" spans="2:18">
      <c r="B15" s="212">
        <f t="shared" si="2"/>
        <v>2021</v>
      </c>
      <c r="C15" s="213"/>
      <c r="D15" s="201">
        <f t="shared" si="3"/>
        <v>151.56</v>
      </c>
      <c r="E15" s="201">
        <f t="shared" si="4"/>
        <v>20.9</v>
      </c>
      <c r="F15" s="203">
        <f t="shared" si="0"/>
        <v>79.065118923181316</v>
      </c>
      <c r="G15" s="201">
        <f t="shared" si="5"/>
        <v>0</v>
      </c>
      <c r="H15" s="214">
        <f t="shared" si="6"/>
        <v>-3.29</v>
      </c>
      <c r="I15" s="203">
        <f t="shared" si="1"/>
        <v>75.77511892318131</v>
      </c>
      <c r="J15" s="203">
        <f t="shared" si="7"/>
        <v>165.28</v>
      </c>
      <c r="K15" s="201">
        <f t="shared" si="8"/>
        <v>0.67</v>
      </c>
      <c r="L15" s="192"/>
      <c r="N15" s="210"/>
      <c r="O15" s="210"/>
      <c r="P15" s="242"/>
      <c r="Q15" s="210"/>
      <c r="R15" s="211"/>
    </row>
    <row r="16" spans="2:18">
      <c r="B16" s="212">
        <f t="shared" si="2"/>
        <v>2022</v>
      </c>
      <c r="C16" s="213"/>
      <c r="D16" s="201">
        <f t="shared" si="3"/>
        <v>155.05000000000001</v>
      </c>
      <c r="E16" s="201">
        <f t="shared" si="4"/>
        <v>21.38</v>
      </c>
      <c r="F16" s="203">
        <f t="shared" si="0"/>
        <v>80.885184573912099</v>
      </c>
      <c r="G16" s="201">
        <f t="shared" si="5"/>
        <v>0</v>
      </c>
      <c r="H16" s="214">
        <f t="shared" si="6"/>
        <v>-3.37</v>
      </c>
      <c r="I16" s="203">
        <f t="shared" si="1"/>
        <v>77.515184573912094</v>
      </c>
      <c r="J16" s="203">
        <f t="shared" si="7"/>
        <v>169.08</v>
      </c>
      <c r="K16" s="201">
        <f t="shared" si="8"/>
        <v>0.69</v>
      </c>
      <c r="L16" s="192"/>
      <c r="N16" s="204"/>
      <c r="P16" s="242"/>
    </row>
    <row r="17" spans="2:17">
      <c r="B17" s="212">
        <f t="shared" si="2"/>
        <v>2023</v>
      </c>
      <c r="C17" s="213"/>
      <c r="D17" s="201">
        <f t="shared" si="3"/>
        <v>158.62</v>
      </c>
      <c r="E17" s="201">
        <f t="shared" si="4"/>
        <v>21.87</v>
      </c>
      <c r="F17" s="203">
        <f t="shared" si="0"/>
        <v>82.746511158790426</v>
      </c>
      <c r="G17" s="201">
        <f t="shared" si="5"/>
        <v>0</v>
      </c>
      <c r="H17" s="214">
        <f t="shared" si="6"/>
        <v>-3.45</v>
      </c>
      <c r="I17" s="203">
        <f t="shared" si="1"/>
        <v>79.296511158790423</v>
      </c>
      <c r="J17" s="203">
        <f t="shared" si="7"/>
        <v>172.96</v>
      </c>
      <c r="K17" s="201">
        <f t="shared" si="8"/>
        <v>0.71</v>
      </c>
      <c r="L17" s="192"/>
      <c r="N17" s="204"/>
      <c r="O17" s="209"/>
      <c r="P17" s="242"/>
    </row>
    <row r="18" spans="2:17">
      <c r="B18" s="212">
        <f t="shared" si="2"/>
        <v>2024</v>
      </c>
      <c r="C18" s="213"/>
      <c r="D18" s="201">
        <f t="shared" si="3"/>
        <v>162.27000000000001</v>
      </c>
      <c r="E18" s="201">
        <f t="shared" si="4"/>
        <v>22.37</v>
      </c>
      <c r="F18" s="203">
        <f t="shared" si="0"/>
        <v>84.649098677816298</v>
      </c>
      <c r="G18" s="201">
        <f t="shared" si="5"/>
        <v>0</v>
      </c>
      <c r="H18" s="214">
        <f t="shared" si="6"/>
        <v>-3.53</v>
      </c>
      <c r="I18" s="203">
        <f t="shared" si="1"/>
        <v>81.119098677816297</v>
      </c>
      <c r="J18" s="203">
        <f t="shared" si="7"/>
        <v>176.94</v>
      </c>
      <c r="K18" s="201">
        <f t="shared" si="8"/>
        <v>0.73</v>
      </c>
      <c r="L18" s="192"/>
      <c r="P18" s="242"/>
    </row>
    <row r="19" spans="2:17">
      <c r="B19" s="212">
        <f t="shared" si="2"/>
        <v>2025</v>
      </c>
      <c r="C19" s="213"/>
      <c r="D19" s="201">
        <f t="shared" si="3"/>
        <v>166</v>
      </c>
      <c r="E19" s="201">
        <f t="shared" si="4"/>
        <v>22.88</v>
      </c>
      <c r="F19" s="203">
        <f t="shared" si="0"/>
        <v>86.592947130989714</v>
      </c>
      <c r="G19" s="201">
        <f t="shared" si="5"/>
        <v>0</v>
      </c>
      <c r="H19" s="214">
        <f t="shared" si="6"/>
        <v>-3.61</v>
      </c>
      <c r="I19" s="203">
        <f t="shared" si="1"/>
        <v>82.982947130989714</v>
      </c>
      <c r="J19" s="203">
        <f t="shared" si="7"/>
        <v>181.01</v>
      </c>
      <c r="K19" s="201">
        <f t="shared" si="8"/>
        <v>0.75</v>
      </c>
      <c r="L19" s="192"/>
      <c r="P19" s="242"/>
    </row>
    <row r="20" spans="2:17">
      <c r="B20" s="212">
        <f t="shared" si="2"/>
        <v>2026</v>
      </c>
      <c r="C20" s="213"/>
      <c r="D20" s="201">
        <f t="shared" ref="D20:D28" si="9">ROUND(D19*(1+$G66),2)</f>
        <v>169.65</v>
      </c>
      <c r="E20" s="201">
        <f t="shared" ref="E20:E28" si="10">ROUND(E19*(1+$G66),2)</f>
        <v>23.38</v>
      </c>
      <c r="F20" s="203">
        <f t="shared" si="0"/>
        <v>88.4955346500156</v>
      </c>
      <c r="G20" s="201">
        <f t="shared" ref="G20:G28" si="11">ROUND(G19*(1+$G66),2)</f>
        <v>0</v>
      </c>
      <c r="H20" s="214">
        <f t="shared" ref="H20:H28" si="12">ROUND(H19*(1+$G66),2)</f>
        <v>-3.69</v>
      </c>
      <c r="I20" s="203">
        <f t="shared" si="1"/>
        <v>84.805534650015602</v>
      </c>
      <c r="J20" s="203">
        <f t="shared" si="7"/>
        <v>184.98</v>
      </c>
      <c r="K20" s="201">
        <f t="shared" ref="K20:K28" si="13">ROUND(K19*(1+$G66),2)</f>
        <v>0.77</v>
      </c>
      <c r="L20" s="192"/>
      <c r="P20" s="242"/>
      <c r="Q20" s="243"/>
    </row>
    <row r="21" spans="2:17">
      <c r="B21" s="212">
        <f t="shared" si="2"/>
        <v>2027</v>
      </c>
      <c r="C21" s="213"/>
      <c r="D21" s="201">
        <f t="shared" si="9"/>
        <v>173.38</v>
      </c>
      <c r="E21" s="201">
        <f t="shared" si="10"/>
        <v>23.89</v>
      </c>
      <c r="F21" s="203">
        <f t="shared" si="0"/>
        <v>90.439383103189016</v>
      </c>
      <c r="G21" s="201">
        <f t="shared" si="11"/>
        <v>0</v>
      </c>
      <c r="H21" s="214">
        <f t="shared" si="12"/>
        <v>-3.77</v>
      </c>
      <c r="I21" s="203">
        <f t="shared" si="1"/>
        <v>86.66938310318902</v>
      </c>
      <c r="J21" s="203">
        <f t="shared" si="7"/>
        <v>189.05</v>
      </c>
      <c r="K21" s="201">
        <f t="shared" si="13"/>
        <v>0.79</v>
      </c>
      <c r="L21" s="192"/>
      <c r="P21" s="242"/>
    </row>
    <row r="22" spans="2:17">
      <c r="B22" s="212">
        <f t="shared" si="2"/>
        <v>2028</v>
      </c>
      <c r="C22" s="213"/>
      <c r="D22" s="207">
        <f t="shared" si="9"/>
        <v>177.19</v>
      </c>
      <c r="E22" s="207">
        <f t="shared" si="10"/>
        <v>24.42</v>
      </c>
      <c r="F22" s="208">
        <f t="shared" si="0"/>
        <v>92.429077038748616</v>
      </c>
      <c r="G22" s="207">
        <f t="shared" si="11"/>
        <v>0</v>
      </c>
      <c r="H22" s="207">
        <f t="shared" si="12"/>
        <v>-3.85</v>
      </c>
      <c r="I22" s="208">
        <f t="shared" si="1"/>
        <v>88.579077038748622</v>
      </c>
      <c r="J22" s="208">
        <f t="shared" si="7"/>
        <v>193.21</v>
      </c>
      <c r="K22" s="207">
        <f t="shared" si="13"/>
        <v>0.81</v>
      </c>
      <c r="L22" s="192"/>
      <c r="P22" s="242"/>
    </row>
    <row r="23" spans="2:17">
      <c r="B23" s="212">
        <f t="shared" si="2"/>
        <v>2029</v>
      </c>
      <c r="C23" s="213"/>
      <c r="D23" s="201">
        <f t="shared" si="9"/>
        <v>181.09</v>
      </c>
      <c r="E23" s="201">
        <f t="shared" si="10"/>
        <v>24.96</v>
      </c>
      <c r="F23" s="203">
        <f t="shared" si="0"/>
        <v>94.464616456694372</v>
      </c>
      <c r="G23" s="201">
        <f t="shared" si="11"/>
        <v>0</v>
      </c>
      <c r="H23" s="214">
        <f t="shared" si="12"/>
        <v>-3.93</v>
      </c>
      <c r="I23" s="203">
        <f t="shared" si="1"/>
        <v>90.534616456694366</v>
      </c>
      <c r="J23" s="203">
        <f t="shared" si="7"/>
        <v>197.48</v>
      </c>
      <c r="K23" s="201">
        <f t="shared" si="13"/>
        <v>0.83</v>
      </c>
      <c r="L23" s="192"/>
      <c r="P23" s="242"/>
    </row>
    <row r="24" spans="2:17">
      <c r="B24" s="212">
        <f t="shared" si="2"/>
        <v>2030</v>
      </c>
      <c r="C24" s="213"/>
      <c r="D24" s="201">
        <f t="shared" si="9"/>
        <v>185.07</v>
      </c>
      <c r="E24" s="201">
        <f t="shared" si="10"/>
        <v>25.51</v>
      </c>
      <c r="F24" s="203">
        <f t="shared" si="0"/>
        <v>96.541416808787659</v>
      </c>
      <c r="G24" s="201">
        <f t="shared" si="11"/>
        <v>0</v>
      </c>
      <c r="H24" s="214">
        <f t="shared" si="12"/>
        <v>-4.0199999999999996</v>
      </c>
      <c r="I24" s="203">
        <f t="shared" si="1"/>
        <v>92.521416808787663</v>
      </c>
      <c r="J24" s="203">
        <f t="shared" si="7"/>
        <v>201.81</v>
      </c>
      <c r="K24" s="201">
        <f t="shared" si="13"/>
        <v>0.85</v>
      </c>
      <c r="L24" s="192"/>
      <c r="P24" s="242"/>
    </row>
    <row r="25" spans="2:17">
      <c r="B25" s="212">
        <f t="shared" si="2"/>
        <v>2031</v>
      </c>
      <c r="C25" s="213"/>
      <c r="D25" s="201">
        <f t="shared" si="9"/>
        <v>189.14</v>
      </c>
      <c r="E25" s="201">
        <f t="shared" si="10"/>
        <v>26.07</v>
      </c>
      <c r="F25" s="203">
        <f t="shared" si="0"/>
        <v>98.66406264326713</v>
      </c>
      <c r="G25" s="201">
        <f t="shared" si="11"/>
        <v>0</v>
      </c>
      <c r="H25" s="214">
        <f t="shared" si="12"/>
        <v>-4.1100000000000003</v>
      </c>
      <c r="I25" s="203">
        <f t="shared" si="1"/>
        <v>94.55406264326713</v>
      </c>
      <c r="J25" s="203">
        <f t="shared" si="7"/>
        <v>206.25</v>
      </c>
      <c r="K25" s="201">
        <f t="shared" si="13"/>
        <v>0.87</v>
      </c>
      <c r="L25" s="192"/>
      <c r="P25" s="242"/>
    </row>
    <row r="26" spans="2:17">
      <c r="B26" s="212">
        <f t="shared" si="2"/>
        <v>2032</v>
      </c>
      <c r="C26" s="213"/>
      <c r="D26" s="201">
        <f t="shared" si="9"/>
        <v>193.3</v>
      </c>
      <c r="E26" s="201">
        <f t="shared" si="10"/>
        <v>26.64</v>
      </c>
      <c r="F26" s="203">
        <f t="shared" si="0"/>
        <v>100.83255396013277</v>
      </c>
      <c r="G26" s="201">
        <f t="shared" si="11"/>
        <v>0</v>
      </c>
      <c r="H26" s="214">
        <f t="shared" si="12"/>
        <v>-4.2</v>
      </c>
      <c r="I26" s="203">
        <f t="shared" si="1"/>
        <v>96.632553960132768</v>
      </c>
      <c r="J26" s="203">
        <f t="shared" si="7"/>
        <v>210.78</v>
      </c>
      <c r="K26" s="201">
        <f t="shared" si="13"/>
        <v>0.89</v>
      </c>
      <c r="L26" s="192"/>
      <c r="P26" s="242"/>
    </row>
    <row r="27" spans="2:17">
      <c r="B27" s="212">
        <f t="shared" si="2"/>
        <v>2033</v>
      </c>
      <c r="C27" s="213"/>
      <c r="D27" s="201">
        <f t="shared" si="9"/>
        <v>197.55</v>
      </c>
      <c r="E27" s="201">
        <f t="shared" si="10"/>
        <v>27.23</v>
      </c>
      <c r="F27" s="203">
        <f t="shared" si="0"/>
        <v>103.05147530762319</v>
      </c>
      <c r="G27" s="201">
        <f t="shared" si="11"/>
        <v>0</v>
      </c>
      <c r="H27" s="214">
        <f t="shared" si="12"/>
        <v>-4.29</v>
      </c>
      <c r="I27" s="203">
        <f t="shared" si="1"/>
        <v>98.761475307623186</v>
      </c>
      <c r="J27" s="203">
        <f t="shared" si="7"/>
        <v>215.42</v>
      </c>
      <c r="K27" s="201">
        <f t="shared" si="13"/>
        <v>0.91</v>
      </c>
      <c r="L27" s="192"/>
      <c r="P27" s="242"/>
    </row>
    <row r="28" spans="2:17">
      <c r="B28" s="212">
        <f t="shared" si="2"/>
        <v>2034</v>
      </c>
      <c r="C28" s="213"/>
      <c r="D28" s="201">
        <f t="shared" si="9"/>
        <v>201.9</v>
      </c>
      <c r="E28" s="201">
        <f t="shared" si="10"/>
        <v>27.83</v>
      </c>
      <c r="F28" s="203">
        <f t="shared" si="0"/>
        <v>105.3208266857384</v>
      </c>
      <c r="G28" s="201">
        <f t="shared" si="11"/>
        <v>0</v>
      </c>
      <c r="H28" s="214">
        <f t="shared" si="12"/>
        <v>-4.38</v>
      </c>
      <c r="I28" s="203">
        <f t="shared" si="1"/>
        <v>100.9408266857384</v>
      </c>
      <c r="J28" s="203">
        <f t="shared" si="7"/>
        <v>220.18</v>
      </c>
      <c r="K28" s="201">
        <f t="shared" si="13"/>
        <v>0.93</v>
      </c>
      <c r="L28" s="192"/>
      <c r="P28" s="242"/>
    </row>
    <row r="29" spans="2:17">
      <c r="B29" s="212">
        <f t="shared" si="2"/>
        <v>2035</v>
      </c>
      <c r="C29" s="213"/>
      <c r="D29" s="201">
        <f t="shared" ref="D29:E36" si="14">ROUND(D28*(1+$K66),2)</f>
        <v>206.34</v>
      </c>
      <c r="E29" s="201">
        <f t="shared" si="14"/>
        <v>28.44</v>
      </c>
      <c r="F29" s="203">
        <f t="shared" si="0"/>
        <v>107.63602354623976</v>
      </c>
      <c r="G29" s="201">
        <f t="shared" ref="G29:H36" si="15">ROUND(G28*(1+$K66),2)</f>
        <v>0</v>
      </c>
      <c r="H29" s="214">
        <f t="shared" si="15"/>
        <v>-4.4800000000000004</v>
      </c>
      <c r="I29" s="203">
        <f t="shared" si="1"/>
        <v>103.15602354623975</v>
      </c>
      <c r="J29" s="203">
        <f t="shared" si="7"/>
        <v>225.01</v>
      </c>
      <c r="K29" s="201">
        <f>ROUND(K28*(1+$K66),2)</f>
        <v>0.95</v>
      </c>
      <c r="L29" s="192"/>
      <c r="P29" s="242"/>
    </row>
    <row r="30" spans="2:17">
      <c r="B30" s="212">
        <f t="shared" si="2"/>
        <v>2036</v>
      </c>
      <c r="C30" s="213"/>
      <c r="D30" s="201">
        <f t="shared" si="14"/>
        <v>210.88</v>
      </c>
      <c r="E30" s="201">
        <f t="shared" si="14"/>
        <v>29.07</v>
      </c>
      <c r="F30" s="203">
        <f t="shared" si="0"/>
        <v>110.00623498560452</v>
      </c>
      <c r="G30" s="201">
        <f t="shared" si="15"/>
        <v>0</v>
      </c>
      <c r="H30" s="214">
        <f t="shared" si="15"/>
        <v>-4.58</v>
      </c>
      <c r="I30" s="203">
        <f t="shared" si="1"/>
        <v>105.42623498560452</v>
      </c>
      <c r="J30" s="203">
        <f t="shared" si="7"/>
        <v>229.96</v>
      </c>
      <c r="K30" s="201">
        <f t="shared" ref="K30:K36" si="16">ROUND(K29*(1+$K67),2)</f>
        <v>0.97</v>
      </c>
      <c r="L30" s="192"/>
      <c r="P30" s="242"/>
    </row>
    <row r="31" spans="2:17">
      <c r="B31" s="212">
        <f t="shared" si="2"/>
        <v>2037</v>
      </c>
      <c r="C31" s="213"/>
      <c r="D31" s="201">
        <f t="shared" si="14"/>
        <v>215.52</v>
      </c>
      <c r="E31" s="201">
        <f t="shared" si="14"/>
        <v>29.71</v>
      </c>
      <c r="F31" s="203">
        <f t="shared" si="0"/>
        <v>112.42687645559408</v>
      </c>
      <c r="G31" s="201">
        <f t="shared" si="15"/>
        <v>0</v>
      </c>
      <c r="H31" s="214">
        <f t="shared" si="15"/>
        <v>-4.68</v>
      </c>
      <c r="I31" s="203">
        <f t="shared" si="1"/>
        <v>107.74687645559408</v>
      </c>
      <c r="J31" s="203">
        <f t="shared" si="7"/>
        <v>235.02</v>
      </c>
      <c r="K31" s="201">
        <f t="shared" si="16"/>
        <v>0.99</v>
      </c>
      <c r="L31" s="192"/>
      <c r="P31" s="242"/>
    </row>
    <row r="32" spans="2:17">
      <c r="B32" s="212">
        <f t="shared" si="2"/>
        <v>2038</v>
      </c>
      <c r="C32" s="213"/>
      <c r="D32" s="201">
        <f t="shared" si="14"/>
        <v>220.26</v>
      </c>
      <c r="E32" s="201">
        <f t="shared" si="14"/>
        <v>30.36</v>
      </c>
      <c r="F32" s="203">
        <f t="shared" si="0"/>
        <v>114.89794795620841</v>
      </c>
      <c r="G32" s="201">
        <f t="shared" si="15"/>
        <v>0</v>
      </c>
      <c r="H32" s="214">
        <f t="shared" si="15"/>
        <v>-4.78</v>
      </c>
      <c r="I32" s="203">
        <f t="shared" si="1"/>
        <v>110.11794795620841</v>
      </c>
      <c r="J32" s="203">
        <f t="shared" si="7"/>
        <v>240.19</v>
      </c>
      <c r="K32" s="201">
        <f t="shared" si="16"/>
        <v>1.01</v>
      </c>
      <c r="L32" s="192"/>
      <c r="P32" s="242"/>
    </row>
    <row r="33" spans="2:16">
      <c r="B33" s="212">
        <f t="shared" si="2"/>
        <v>2039</v>
      </c>
      <c r="C33" s="213"/>
      <c r="D33" s="201">
        <f t="shared" si="14"/>
        <v>225.11</v>
      </c>
      <c r="E33" s="201">
        <f t="shared" si="14"/>
        <v>31.03</v>
      </c>
      <c r="F33" s="203">
        <f t="shared" si="0"/>
        <v>117.42861858392475</v>
      </c>
      <c r="G33" s="201">
        <f t="shared" si="15"/>
        <v>0</v>
      </c>
      <c r="H33" s="214">
        <f t="shared" si="15"/>
        <v>-4.8899999999999997</v>
      </c>
      <c r="I33" s="203">
        <f t="shared" si="1"/>
        <v>112.53861858392474</v>
      </c>
      <c r="J33" s="203">
        <f t="shared" si="7"/>
        <v>245.47</v>
      </c>
      <c r="K33" s="201">
        <f t="shared" si="16"/>
        <v>1.03</v>
      </c>
      <c r="L33" s="192"/>
      <c r="P33" s="242"/>
    </row>
    <row r="34" spans="2:16">
      <c r="B34" s="212">
        <f t="shared" si="2"/>
        <v>2040</v>
      </c>
      <c r="C34" s="213"/>
      <c r="D34" s="201">
        <f t="shared" si="14"/>
        <v>230.06</v>
      </c>
      <c r="E34" s="201">
        <f t="shared" si="14"/>
        <v>31.71</v>
      </c>
      <c r="F34" s="203">
        <f t="shared" si="0"/>
        <v>120.00971924226587</v>
      </c>
      <c r="G34" s="201">
        <f t="shared" si="15"/>
        <v>0</v>
      </c>
      <c r="H34" s="214">
        <f t="shared" si="15"/>
        <v>-5</v>
      </c>
      <c r="I34" s="203">
        <f t="shared" si="1"/>
        <v>115.00971924226587</v>
      </c>
      <c r="J34" s="203">
        <f t="shared" si="7"/>
        <v>250.86</v>
      </c>
      <c r="K34" s="201">
        <f t="shared" si="16"/>
        <v>1.05</v>
      </c>
      <c r="L34" s="192"/>
      <c r="P34" s="242"/>
    </row>
    <row r="35" spans="2:16">
      <c r="B35" s="212">
        <f t="shared" si="2"/>
        <v>2041</v>
      </c>
      <c r="C35" s="213"/>
      <c r="D35" s="201">
        <f t="shared" si="14"/>
        <v>235.12</v>
      </c>
      <c r="E35" s="201">
        <f t="shared" si="14"/>
        <v>32.409999999999997</v>
      </c>
      <c r="F35" s="203">
        <f t="shared" si="0"/>
        <v>122.65041902770901</v>
      </c>
      <c r="G35" s="201">
        <f t="shared" si="15"/>
        <v>0</v>
      </c>
      <c r="H35" s="214">
        <f t="shared" si="15"/>
        <v>-5.1100000000000003</v>
      </c>
      <c r="I35" s="203">
        <f t="shared" si="1"/>
        <v>117.54041902770901</v>
      </c>
      <c r="J35" s="203">
        <f t="shared" si="7"/>
        <v>256.38</v>
      </c>
      <c r="K35" s="201">
        <f t="shared" si="16"/>
        <v>1.07</v>
      </c>
      <c r="L35" s="192"/>
      <c r="P35" s="242"/>
    </row>
    <row r="36" spans="2:16">
      <c r="B36" s="212">
        <f t="shared" si="2"/>
        <v>2042</v>
      </c>
      <c r="C36" s="213"/>
      <c r="D36" s="201">
        <f t="shared" si="14"/>
        <v>240.29</v>
      </c>
      <c r="E36" s="201">
        <f t="shared" si="14"/>
        <v>33.119999999999997</v>
      </c>
      <c r="F36" s="203">
        <f t="shared" si="0"/>
        <v>125.34613339201555</v>
      </c>
      <c r="G36" s="201">
        <f t="shared" si="15"/>
        <v>0</v>
      </c>
      <c r="H36" s="214">
        <f t="shared" si="15"/>
        <v>-5.22</v>
      </c>
      <c r="I36" s="203">
        <f t="shared" si="1"/>
        <v>120.12613339201555</v>
      </c>
      <c r="J36" s="203">
        <f t="shared" si="7"/>
        <v>262.02</v>
      </c>
      <c r="K36" s="201">
        <f t="shared" si="16"/>
        <v>1.0900000000000001</v>
      </c>
      <c r="L36" s="192"/>
      <c r="P36" s="242"/>
    </row>
    <row r="37" spans="2:16">
      <c r="B37" s="212"/>
      <c r="C37" s="205"/>
      <c r="D37" s="201"/>
      <c r="E37" s="201"/>
      <c r="F37" s="202"/>
      <c r="G37" s="201"/>
      <c r="H37" s="201"/>
      <c r="I37" s="203"/>
      <c r="J37" s="203"/>
      <c r="K37" s="215"/>
    </row>
    <row r="38" spans="2:16">
      <c r="B38" s="199"/>
      <c r="C38" s="205"/>
      <c r="D38" s="201"/>
      <c r="E38" s="201"/>
      <c r="F38" s="202"/>
      <c r="G38" s="201"/>
      <c r="H38" s="201"/>
      <c r="I38" s="203"/>
      <c r="J38" s="203"/>
      <c r="K38" s="215"/>
    </row>
    <row r="39" spans="2:16">
      <c r="B39" s="199"/>
      <c r="C39" s="205"/>
      <c r="D39" s="201"/>
      <c r="E39" s="201"/>
      <c r="F39" s="202"/>
      <c r="G39" s="201"/>
      <c r="H39" s="201"/>
      <c r="I39" s="203"/>
      <c r="J39" s="203"/>
      <c r="K39" s="215"/>
    </row>
    <row r="40" spans="2:16">
      <c r="B40" s="199"/>
      <c r="C40" s="205"/>
      <c r="D40" s="201"/>
      <c r="E40" s="201"/>
      <c r="F40" s="202"/>
      <c r="G40" s="201"/>
      <c r="H40" s="201"/>
      <c r="I40" s="203"/>
      <c r="J40" s="203"/>
      <c r="K40" s="215"/>
    </row>
    <row r="42" spans="2:16" ht="14.25">
      <c r="B42" s="216" t="s">
        <v>31</v>
      </c>
      <c r="C42" s="217"/>
      <c r="D42" s="217"/>
      <c r="E42" s="217"/>
      <c r="F42" s="217"/>
      <c r="G42" s="217"/>
      <c r="H42" s="217"/>
    </row>
    <row r="44" spans="2:16">
      <c r="B44" s="190" t="s">
        <v>111</v>
      </c>
      <c r="C44" s="218" t="s">
        <v>112</v>
      </c>
      <c r="D44" s="219" t="str">
        <f>'Table 3 200 MW (Wyo) 2033'!E68</f>
        <v xml:space="preserve">Plant Costs  - 2017 IRP - Table 6.1 &amp; 6.2 </v>
      </c>
    </row>
    <row r="45" spans="2:16">
      <c r="C45" s="218" t="str">
        <f>C7</f>
        <v>(a)</v>
      </c>
      <c r="D45" s="190" t="s">
        <v>113</v>
      </c>
    </row>
    <row r="46" spans="2:16">
      <c r="C46" s="218" t="str">
        <f>D7</f>
        <v>(b)</v>
      </c>
      <c r="D46" s="203" t="str">
        <f>"= "&amp;C7&amp;" x "&amp;C62</f>
        <v>= (a) x 0.0771567801772526</v>
      </c>
    </row>
    <row r="47" spans="2:16">
      <c r="C47" s="218" t="str">
        <f>F7</f>
        <v>(d)</v>
      </c>
      <c r="D47" s="203" t="str">
        <f>"= ("&amp;$D$7&amp;" + "&amp;$E$7&amp;") /  (8.76 x "&amp;TEXT(C63,"0.0%")&amp;")"</f>
        <v>= ((b) + (c)) /  (8.76 x 24.9%)</v>
      </c>
    </row>
    <row r="48" spans="2:16">
      <c r="C48" s="218" t="str">
        <f>I7</f>
        <v>(g)</v>
      </c>
      <c r="D48" s="203" t="str">
        <f>"= "&amp;$F$7&amp;" + "&amp;$H$7</f>
        <v>= (d) + (f)</v>
      </c>
    </row>
    <row r="49" spans="2:24">
      <c r="C49" s="218" t="str">
        <f>K7</f>
        <v>(h)</v>
      </c>
      <c r="D49" s="105" t="str">
        <f>D44</f>
        <v xml:space="preserve">Plant Costs  - 2017 IRP - Table 6.1 &amp; 6.2 </v>
      </c>
    </row>
    <row r="50" spans="2:24">
      <c r="C50" s="218"/>
      <c r="D50" s="203"/>
    </row>
    <row r="51" spans="2:24" ht="13.5" thickBot="1"/>
    <row r="52" spans="2:24" ht="13.5" thickBot="1">
      <c r="C52" s="58" t="str">
        <f>B2&amp;" - "&amp;B3</f>
        <v>2017 IRP Yakima Solar Resource - 25% Capacity Factor</v>
      </c>
      <c r="D52" s="220"/>
      <c r="E52" s="220"/>
      <c r="F52" s="220"/>
      <c r="G52" s="220"/>
      <c r="H52" s="220"/>
      <c r="I52" s="221"/>
      <c r="J52" s="221"/>
      <c r="K52" s="222"/>
    </row>
    <row r="53" spans="2:24" ht="13.5" thickBot="1">
      <c r="C53" s="223" t="s">
        <v>120</v>
      </c>
      <c r="D53" s="224" t="s">
        <v>115</v>
      </c>
      <c r="E53" s="224"/>
      <c r="F53" s="224"/>
      <c r="G53" s="224"/>
      <c r="H53" s="225"/>
      <c r="I53" s="221"/>
      <c r="J53" s="221"/>
      <c r="K53" s="222"/>
    </row>
    <row r="55" spans="2:24">
      <c r="B55" s="105" t="s">
        <v>102</v>
      </c>
      <c r="C55" s="226">
        <v>1761.8947998896474</v>
      </c>
      <c r="D55" s="190" t="s">
        <v>113</v>
      </c>
      <c r="H55" s="190" t="s">
        <v>9</v>
      </c>
    </row>
    <row r="56" spans="2:24">
      <c r="B56" s="105" t="s">
        <v>102</v>
      </c>
      <c r="C56" s="227">
        <v>18.739825346529312</v>
      </c>
      <c r="D56" s="190" t="s">
        <v>116</v>
      </c>
      <c r="H56" s="190" t="s">
        <v>9</v>
      </c>
    </row>
    <row r="57" spans="2:24">
      <c r="B57" s="105" t="s">
        <v>102</v>
      </c>
      <c r="C57" s="232">
        <v>0.60299999999999998</v>
      </c>
      <c r="D57" s="190" t="s">
        <v>121</v>
      </c>
      <c r="H57" s="190" t="s">
        <v>118</v>
      </c>
    </row>
    <row r="58" spans="2:24">
      <c r="B58" s="105" t="s">
        <v>102</v>
      </c>
      <c r="C58" s="227">
        <v>0</v>
      </c>
      <c r="D58" s="190" t="s">
        <v>117</v>
      </c>
      <c r="H58" s="190" t="s">
        <v>118</v>
      </c>
      <c r="K58" s="192"/>
      <c r="L58" s="228"/>
      <c r="M58" s="69"/>
      <c r="N58" s="229" t="s">
        <v>124</v>
      </c>
      <c r="O58" s="69" t="s">
        <v>123</v>
      </c>
      <c r="P58" s="231" t="s">
        <v>125</v>
      </c>
      <c r="Q58" s="69"/>
      <c r="S58" s="192"/>
      <c r="T58" s="192"/>
      <c r="U58" s="192"/>
      <c r="V58" s="192"/>
      <c r="W58" s="192"/>
      <c r="X58" s="192"/>
    </row>
    <row r="59" spans="2:24">
      <c r="B59" s="105" t="s">
        <v>102</v>
      </c>
      <c r="C59" s="240">
        <f>$P$63</f>
        <v>-2.9537611535827537</v>
      </c>
      <c r="D59" s="190" t="s">
        <v>119</v>
      </c>
      <c r="H59" s="190" t="s">
        <v>118</v>
      </c>
      <c r="K59" s="230"/>
      <c r="L59" s="230"/>
      <c r="N59" s="230">
        <f>C55</f>
        <v>1761.8947998896474</v>
      </c>
      <c r="O59" s="250">
        <v>6.910504691716815E-2</v>
      </c>
      <c r="P59" s="244">
        <f>O59*N59/8760/$C$63*1000-O60*N60/8760/$C$63*1000</f>
        <v>-6.5037808590715613</v>
      </c>
      <c r="Q59" s="251"/>
      <c r="R59" s="232"/>
      <c r="S59" s="192"/>
      <c r="T59" s="192"/>
      <c r="U59" s="192"/>
      <c r="V59" s="192"/>
      <c r="W59" s="192"/>
      <c r="X59" s="192"/>
    </row>
    <row r="60" spans="2:24">
      <c r="K60" s="230"/>
      <c r="N60" s="230">
        <f>N59</f>
        <v>1761.8947998896474</v>
      </c>
      <c r="O60" s="250">
        <v>7.7156780177252568E-2</v>
      </c>
      <c r="P60" s="192"/>
      <c r="Q60" s="251"/>
      <c r="R60" s="192"/>
      <c r="S60" s="192"/>
      <c r="T60" s="192"/>
      <c r="U60" s="192"/>
      <c r="V60" s="192"/>
      <c r="W60" s="192"/>
      <c r="X60" s="192"/>
    </row>
    <row r="61" spans="2:24">
      <c r="C61" s="234"/>
      <c r="K61" s="230"/>
      <c r="N61" s="237"/>
      <c r="O61" s="237"/>
      <c r="S61" s="192"/>
      <c r="T61" s="192"/>
      <c r="U61" s="192"/>
      <c r="V61" s="192"/>
      <c r="W61" s="192"/>
      <c r="X61" s="192"/>
    </row>
    <row r="62" spans="2:24">
      <c r="C62" s="235">
        <v>7.7156780177252568E-2</v>
      </c>
      <c r="D62" s="190" t="s">
        <v>54</v>
      </c>
      <c r="K62" s="236"/>
      <c r="N62" s="229" t="s">
        <v>124</v>
      </c>
      <c r="O62" s="69" t="s">
        <v>123</v>
      </c>
      <c r="P62" s="231" t="s">
        <v>126</v>
      </c>
    </row>
    <row r="63" spans="2:24">
      <c r="C63" s="241">
        <v>0.249</v>
      </c>
      <c r="D63" s="190" t="s">
        <v>55</v>
      </c>
      <c r="N63" s="230">
        <f>N59</f>
        <v>1761.8947998896474</v>
      </c>
      <c r="O63" s="250">
        <v>7.3499999999999996E-2</v>
      </c>
      <c r="P63" s="244">
        <f>O63*N63/8760/$C$63*1000-O64*N64/8760/$C$63*1000</f>
        <v>-2.9537611535827537</v>
      </c>
      <c r="R63" s="190" t="s">
        <v>127</v>
      </c>
    </row>
    <row r="64" spans="2:24" ht="13.5" thickBot="1">
      <c r="D64" s="233"/>
      <c r="N64" s="230">
        <f>N59</f>
        <v>1761.8947998896474</v>
      </c>
      <c r="O64" s="250">
        <v>7.7156780177252568E-2</v>
      </c>
      <c r="P64" s="192"/>
    </row>
    <row r="65" spans="3:11" ht="13.5" thickBot="1">
      <c r="C65" s="54" t="str">
        <f>"Company Official Inflation Forecast Dated "&amp;TEXT('Table 4'!$G$5,"mmmm dd, yyyy")</f>
        <v>Company Official Inflation Forecast Dated September 29, 2017</v>
      </c>
      <c r="D65" s="220"/>
      <c r="E65" s="220"/>
      <c r="F65" s="220"/>
      <c r="G65" s="220"/>
      <c r="H65" s="220"/>
      <c r="I65" s="220"/>
      <c r="J65" s="220"/>
      <c r="K65" s="222"/>
    </row>
    <row r="66" spans="3:11">
      <c r="C66" s="130">
        <v>2017</v>
      </c>
      <c r="D66" s="57">
        <v>1.9E-2</v>
      </c>
      <c r="E66" s="105"/>
      <c r="F66" s="130">
        <f>C74+1</f>
        <v>2026</v>
      </c>
      <c r="G66" s="57">
        <v>2.1999999999999999E-2</v>
      </c>
      <c r="H66" s="105"/>
      <c r="I66" s="130">
        <f>F74+1</f>
        <v>2035</v>
      </c>
      <c r="J66" s="130"/>
      <c r="K66" s="57">
        <v>2.1999999999999999E-2</v>
      </c>
    </row>
    <row r="67" spans="3:11">
      <c r="C67" s="130">
        <f t="shared" ref="C67:C74" si="17">C66+1</f>
        <v>2018</v>
      </c>
      <c r="D67" s="57">
        <v>1.7999999999999999E-2</v>
      </c>
      <c r="E67" s="105"/>
      <c r="F67" s="130">
        <f t="shared" ref="F67:F74" si="18">F66+1</f>
        <v>2027</v>
      </c>
      <c r="G67" s="57">
        <v>2.1999999999999999E-2</v>
      </c>
      <c r="H67" s="105"/>
      <c r="I67" s="130">
        <f t="shared" ref="I67:I74" si="19">I66+1</f>
        <v>2036</v>
      </c>
      <c r="J67" s="130"/>
      <c r="K67" s="57">
        <v>2.1999999999999999E-2</v>
      </c>
    </row>
    <row r="68" spans="3:11">
      <c r="C68" s="130">
        <f t="shared" si="17"/>
        <v>2019</v>
      </c>
      <c r="D68" s="57">
        <v>2.3E-2</v>
      </c>
      <c r="E68" s="105"/>
      <c r="F68" s="130">
        <f t="shared" si="18"/>
        <v>2028</v>
      </c>
      <c r="G68" s="57">
        <v>2.1999999999999999E-2</v>
      </c>
      <c r="H68" s="105"/>
      <c r="I68" s="130">
        <f t="shared" si="19"/>
        <v>2037</v>
      </c>
      <c r="J68" s="130"/>
      <c r="K68" s="57">
        <v>2.1999999999999999E-2</v>
      </c>
    </row>
    <row r="69" spans="3:11">
      <c r="C69" s="130">
        <f t="shared" si="17"/>
        <v>2020</v>
      </c>
      <c r="D69" s="57">
        <v>2.5999999999999999E-2</v>
      </c>
      <c r="E69" s="105"/>
      <c r="F69" s="130">
        <f t="shared" si="18"/>
        <v>2029</v>
      </c>
      <c r="G69" s="57">
        <v>2.1999999999999999E-2</v>
      </c>
      <c r="H69" s="105"/>
      <c r="I69" s="130">
        <f t="shared" si="19"/>
        <v>2038</v>
      </c>
      <c r="J69" s="130"/>
      <c r="K69" s="57">
        <v>2.1999999999999999E-2</v>
      </c>
    </row>
    <row r="70" spans="3:11">
      <c r="C70" s="130">
        <f t="shared" si="17"/>
        <v>2021</v>
      </c>
      <c r="D70" s="57">
        <v>2.4E-2</v>
      </c>
      <c r="E70" s="105"/>
      <c r="F70" s="130">
        <f t="shared" si="18"/>
        <v>2030</v>
      </c>
      <c r="G70" s="57">
        <v>2.1999999999999999E-2</v>
      </c>
      <c r="H70" s="105"/>
      <c r="I70" s="130">
        <f t="shared" si="19"/>
        <v>2039</v>
      </c>
      <c r="J70" s="130"/>
      <c r="K70" s="57">
        <v>2.1999999999999999E-2</v>
      </c>
    </row>
    <row r="71" spans="3:11">
      <c r="C71" s="130">
        <f t="shared" si="17"/>
        <v>2022</v>
      </c>
      <c r="D71" s="57">
        <v>2.3E-2</v>
      </c>
      <c r="E71" s="105"/>
      <c r="F71" s="130">
        <f t="shared" si="18"/>
        <v>2031</v>
      </c>
      <c r="G71" s="57">
        <v>2.1999999999999999E-2</v>
      </c>
      <c r="H71" s="105"/>
      <c r="I71" s="130">
        <f t="shared" si="19"/>
        <v>2040</v>
      </c>
      <c r="J71" s="130"/>
      <c r="K71" s="57">
        <v>2.1999999999999999E-2</v>
      </c>
    </row>
    <row r="72" spans="3:11" s="192" customFormat="1">
      <c r="C72" s="130">
        <f t="shared" si="17"/>
        <v>2023</v>
      </c>
      <c r="D72" s="57">
        <v>2.3E-2</v>
      </c>
      <c r="E72" s="107"/>
      <c r="F72" s="130">
        <f t="shared" si="18"/>
        <v>2032</v>
      </c>
      <c r="G72" s="57">
        <v>2.1999999999999999E-2</v>
      </c>
      <c r="H72" s="107"/>
      <c r="I72" s="130">
        <f t="shared" si="19"/>
        <v>2041</v>
      </c>
      <c r="J72" s="130"/>
      <c r="K72" s="57">
        <v>2.1999999999999999E-2</v>
      </c>
    </row>
    <row r="73" spans="3:11" s="192" customFormat="1">
      <c r="C73" s="130">
        <f t="shared" si="17"/>
        <v>2024</v>
      </c>
      <c r="D73" s="57">
        <v>2.3E-2</v>
      </c>
      <c r="E73" s="107"/>
      <c r="F73" s="130">
        <f t="shared" si="18"/>
        <v>2033</v>
      </c>
      <c r="G73" s="57">
        <v>2.1999999999999999E-2</v>
      </c>
      <c r="H73" s="107"/>
      <c r="I73" s="130">
        <f t="shared" si="19"/>
        <v>2042</v>
      </c>
      <c r="J73" s="130"/>
      <c r="K73" s="57">
        <v>2.1999999999999999E-2</v>
      </c>
    </row>
    <row r="74" spans="3:11" s="192" customFormat="1">
      <c r="C74" s="130">
        <f t="shared" si="17"/>
        <v>2025</v>
      </c>
      <c r="D74" s="57">
        <v>2.3E-2</v>
      </c>
      <c r="E74" s="107"/>
      <c r="F74" s="130">
        <f t="shared" si="18"/>
        <v>2034</v>
      </c>
      <c r="G74" s="57">
        <v>2.1999999999999999E-2</v>
      </c>
      <c r="H74" s="107"/>
      <c r="I74" s="130">
        <f t="shared" si="19"/>
        <v>2043</v>
      </c>
      <c r="J74" s="130"/>
      <c r="K74" s="57">
        <v>2.3E-2</v>
      </c>
    </row>
    <row r="75" spans="3:11" s="192" customFormat="1"/>
    <row r="76" spans="3:11" s="192" customFormat="1"/>
    <row r="93" spans="3:4">
      <c r="C93" s="229"/>
      <c r="D93" s="233"/>
    </row>
    <row r="94" spans="3:4">
      <c r="C94" s="229"/>
      <c r="D94" s="233"/>
    </row>
    <row r="95" spans="3:4">
      <c r="C95" s="229"/>
      <c r="D95" s="233"/>
    </row>
    <row r="96" spans="3:4">
      <c r="C96" s="229"/>
      <c r="D96" s="233"/>
    </row>
    <row r="97" spans="3:4">
      <c r="C97" s="229"/>
      <c r="D97" s="233"/>
    </row>
    <row r="98" spans="3:4">
      <c r="C98" s="229"/>
      <c r="D98" s="233"/>
    </row>
    <row r="99" spans="3:4">
      <c r="C99" s="229"/>
      <c r="D99" s="233"/>
    </row>
    <row r="100" spans="3:4">
      <c r="C100" s="229"/>
      <c r="D100" s="233"/>
    </row>
    <row r="101" spans="3:4">
      <c r="C101" s="229"/>
      <c r="D101" s="233"/>
    </row>
    <row r="102" spans="3:4">
      <c r="C102" s="229"/>
      <c r="D102" s="233"/>
    </row>
  </sheetData>
  <printOptions horizontalCentered="1"/>
  <pageMargins left="0.8" right="0.3" top="0.4" bottom="0.4" header="0.5" footer="0.2"/>
  <pageSetup scale="56" orientation="landscape" r:id="rId1"/>
  <headerFooter alignWithMargins="0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49</vt:i4>
      </vt:variant>
    </vt:vector>
  </HeadingPairs>
  <TitlesOfParts>
    <vt:vector size="64" baseType="lpstr">
      <vt:lpstr>Appendix B.2</vt:lpstr>
      <vt:lpstr>Table 1</vt:lpstr>
      <vt:lpstr>Table 2</vt:lpstr>
      <vt:lpstr>Table 4</vt:lpstr>
      <vt:lpstr>Table 5</vt:lpstr>
      <vt:lpstr>Table 3 WY Wind 2021</vt:lpstr>
      <vt:lpstr>Table 3 DJ Wind 2031</vt:lpstr>
      <vt:lpstr>Table 3 UT Solar 2031</vt:lpstr>
      <vt:lpstr>Table 3 Yakima Solar 2028</vt:lpstr>
      <vt:lpstr>Table 3 30 MW Geoth 2029</vt:lpstr>
      <vt:lpstr>Table 3 200 MW (UT N) 2029)</vt:lpstr>
      <vt:lpstr>Table 3 436MW (West M) 2030</vt:lpstr>
      <vt:lpstr>Table 3 477 MW (Wyo) 2033</vt:lpstr>
      <vt:lpstr>Table 3 200 MW (Wyo) 2033</vt:lpstr>
      <vt:lpstr>Table 3 ID Wind 2036</vt:lpstr>
      <vt:lpstr>_200_SCCT_UtahN</vt:lpstr>
      <vt:lpstr>_200_SCCT_WYNE</vt:lpstr>
      <vt:lpstr>'Appendix B.2'!_30_Geo_West</vt:lpstr>
      <vt:lpstr>_30_Geo_West</vt:lpstr>
      <vt:lpstr>'Appendix B.2'!_436_CCCT_WestMain</vt:lpstr>
      <vt:lpstr>_436_CCCT_WestMain</vt:lpstr>
      <vt:lpstr>'Appendix B.2'!_477_CCCT_WestMain</vt:lpstr>
      <vt:lpstr>_477_CCCT_WYNE</vt:lpstr>
      <vt:lpstr>'Appendix B.2'!_635_CCCT_UtahS</vt:lpstr>
      <vt:lpstr>'Appendix B.2'!_635_CCCT_WyoNE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B.2'!Print_Area</vt:lpstr>
      <vt:lpstr>'Table 1'!Print_Area</vt:lpstr>
      <vt:lpstr>'Table 2'!Print_Area</vt:lpstr>
      <vt:lpstr>'Table 3 200 MW (UT N) 2029)'!Print_Area</vt:lpstr>
      <vt:lpstr>'Table 3 200 MW (Wyo) 2033'!Print_Area</vt:lpstr>
      <vt:lpstr>'Table 3 30 MW Geoth 2029'!Print_Area</vt:lpstr>
      <vt:lpstr>'Table 3 436MW (West M) 2030'!Print_Area</vt:lpstr>
      <vt:lpstr>'Table 3 477 MW (Wyo) 2033'!Print_Area</vt:lpstr>
      <vt:lpstr>'Table 3 DJ Wind 2031'!Print_Area</vt:lpstr>
      <vt:lpstr>'Table 3 ID Wind 2036'!Print_Area</vt:lpstr>
      <vt:lpstr>'Table 3 UT Solar 2031'!Print_Area</vt:lpstr>
      <vt:lpstr>'Table 3 WY Wind 2021'!Print_Area</vt:lpstr>
      <vt:lpstr>'Table 3 Yakima Solar 2028'!Print_Area</vt:lpstr>
      <vt:lpstr>'Table 4'!Print_Area</vt:lpstr>
      <vt:lpstr>'Table 5'!Print_Area</vt:lpstr>
      <vt:lpstr>'Table 2'!Print_Titles</vt:lpstr>
      <vt:lpstr>'Table 3 200 MW (UT N) 2029)'!Print_Titles</vt:lpstr>
      <vt:lpstr>'Table 3 200 MW (Wyo) 2033'!Print_Titles</vt:lpstr>
      <vt:lpstr>'Table 3 436MW (West M) 2030'!Print_Titles</vt:lpstr>
      <vt:lpstr>'Table 3 477 MW (Wyo) 2033'!Print_Titles</vt:lpstr>
      <vt:lpstr>'Appendix B.2'!Study_Cap_Adj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2017-12-21T19:36:15Z</dcterms:created>
  <dcterms:modified xsi:type="dcterms:W3CDTF">2017-12-21T19:36:20Z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