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24226"/>
  <bookViews>
    <workbookView xWindow="-15" yWindow="-15" windowWidth="14370" windowHeight="12720" activeTab="1"/>
  </bookViews>
  <sheets>
    <sheet name="Summary" sheetId="13" r:id="rId1"/>
    <sheet name="Incremental" sheetId="6" r:id="rId2"/>
    <sheet name="Total" sheetId="5" r:id="rId3"/>
    <sheet name="Energy" sheetId="12" r:id="rId4"/>
    <sheet name="Capacity" sheetId="10" r:id="rId5"/>
  </sheets>
  <definedNames>
    <definedName name="_Order1" hidden="1">255</definedName>
    <definedName name="_Order2" hidden="1">0</definedName>
    <definedName name="Discount_Rate">Total!$B$36</definedName>
    <definedName name="_xlnm.Print_Area" localSheetId="4">Capacity!$A$1:$H$33</definedName>
    <definedName name="_xlnm.Print_Area" localSheetId="3">Energy!$A$1:$G$32</definedName>
    <definedName name="_xlnm.Print_Area" localSheetId="1">Incremental!$A$1:$G$32</definedName>
    <definedName name="_xlnm.Print_Area" localSheetId="2">Total!$A$1:$G$32</definedName>
    <definedName name="Study_CF">#REF!</definedName>
    <definedName name="Study_MW">#REF!</definedName>
    <definedName name="Study_Name">#REF!</definedName>
  </definedNames>
  <calcPr calcId="152511"/>
</workbook>
</file>

<file path=xl/calcChain.xml><?xml version="1.0" encoding="utf-8"?>
<calcChain xmlns="http://schemas.openxmlformats.org/spreadsheetml/2006/main">
  <c r="B34" i="12" l="1"/>
  <c r="C8" i="6" l="1"/>
  <c r="F7" i="5"/>
  <c r="D8" i="10" l="1"/>
  <c r="E7" i="6" l="1"/>
  <c r="C7" i="13" s="1"/>
  <c r="F38" i="12" l="1"/>
  <c r="D8" i="6" l="1"/>
  <c r="D7" i="6"/>
  <c r="C6" i="13" s="1"/>
  <c r="C7" i="6"/>
  <c r="C5" i="13" s="1"/>
  <c r="B39" i="10" l="1"/>
  <c r="G8" i="10"/>
  <c r="B4" i="10"/>
  <c r="B26" i="10" l="1"/>
  <c r="B11" i="10"/>
  <c r="F11" i="10" l="1"/>
  <c r="B12" i="10"/>
  <c r="F10" i="10"/>
  <c r="B13" i="10" l="1"/>
  <c r="F13" i="10" l="1"/>
  <c r="F12" i="10"/>
  <c r="B14" i="10"/>
  <c r="F14" i="10" l="1"/>
  <c r="B15" i="10"/>
  <c r="B16" i="10" l="1"/>
  <c r="F16" i="10" l="1"/>
  <c r="B17" i="10"/>
  <c r="F15" i="10"/>
  <c r="B18" i="10" l="1"/>
  <c r="F18" i="10" l="1"/>
  <c r="B19" i="10"/>
  <c r="F17" i="10"/>
  <c r="F19" i="10" l="1"/>
  <c r="B20" i="10"/>
  <c r="F20" i="10" l="1"/>
  <c r="B21" i="10"/>
  <c r="F21" i="10" l="1"/>
  <c r="B22" i="10"/>
  <c r="F22" i="10" l="1"/>
  <c r="B23" i="10"/>
  <c r="F23" i="10" l="1"/>
  <c r="B24" i="10"/>
  <c r="B27" i="10" l="1"/>
  <c r="F24" i="10" l="1"/>
  <c r="C27" i="10"/>
  <c r="F27" i="10" l="1"/>
  <c r="D38" i="12" l="1"/>
  <c r="E38" i="12"/>
  <c r="B38" i="12"/>
  <c r="C7" i="12" l="1"/>
  <c r="C38" i="12" s="1"/>
  <c r="E8" i="5" l="1"/>
  <c r="C8" i="5"/>
  <c r="E7" i="5"/>
  <c r="C7" i="5"/>
  <c r="B1" i="12" l="1"/>
  <c r="B3" i="12"/>
  <c r="B10" i="12"/>
  <c r="B29" i="12"/>
  <c r="B35" i="12"/>
  <c r="C10" i="5" l="1"/>
  <c r="B26" i="12"/>
  <c r="B11" i="12"/>
  <c r="C11" i="5" l="1"/>
  <c r="B12" i="12"/>
  <c r="C12" i="5" l="1"/>
  <c r="B13" i="12"/>
  <c r="C13" i="5" l="1"/>
  <c r="B14" i="12"/>
  <c r="B15" i="12" l="1"/>
  <c r="C14" i="5" l="1"/>
  <c r="B16" i="12"/>
  <c r="C15" i="5" l="1"/>
  <c r="B17" i="12"/>
  <c r="C17" i="5" l="1"/>
  <c r="C16" i="5"/>
  <c r="B18" i="12"/>
  <c r="B19" i="12" l="1"/>
  <c r="C18" i="5" l="1"/>
  <c r="B20" i="12"/>
  <c r="B31" i="5"/>
  <c r="C20" i="5" l="1"/>
  <c r="C19" i="5"/>
  <c r="B31" i="12"/>
  <c r="B21" i="12"/>
  <c r="C21" i="5" l="1"/>
  <c r="B22" i="12"/>
  <c r="B23" i="12" l="1"/>
  <c r="C22" i="5" l="1"/>
  <c r="B24" i="12"/>
  <c r="C27" i="12" l="1"/>
  <c r="C23" i="5"/>
  <c r="B27" i="12"/>
  <c r="C24" i="5" l="1"/>
  <c r="C27" i="5" s="1"/>
  <c r="D4" i="13" s="1"/>
  <c r="B26" i="5"/>
  <c r="B31" i="6" l="1"/>
  <c r="B29" i="6"/>
  <c r="D8" i="5" l="1"/>
  <c r="D7" i="5"/>
  <c r="B36" i="6" l="1"/>
  <c r="B26" i="6" l="1"/>
  <c r="B10" i="6" l="1"/>
  <c r="B11" i="5"/>
  <c r="B3" i="6"/>
  <c r="B1" i="6"/>
  <c r="B11" i="6" l="1"/>
  <c r="B12" i="5"/>
  <c r="B13" i="5" l="1"/>
  <c r="B12" i="6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7" i="6" l="1"/>
  <c r="B14" i="5"/>
  <c r="B4" i="12"/>
  <c r="B4" i="6"/>
  <c r="B4" i="5"/>
  <c r="B15" i="5" l="1"/>
  <c r="B16" i="5" l="1"/>
  <c r="B17" i="5" l="1"/>
  <c r="B18" i="5" l="1"/>
  <c r="B19" i="5" l="1"/>
  <c r="B20" i="5" l="1"/>
  <c r="B21" i="5" l="1"/>
  <c r="B22" i="5" l="1"/>
  <c r="B23" i="5" l="1"/>
  <c r="B24" i="5" l="1"/>
  <c r="B27" i="5" s="1"/>
  <c r="B30" i="5" l="1"/>
  <c r="B30" i="6" l="1"/>
  <c r="B30" i="12"/>
  <c r="F8" i="10" l="1"/>
  <c r="G11" i="10" l="1"/>
  <c r="G10" i="10"/>
  <c r="G12" i="10" l="1"/>
  <c r="G13" i="10" l="1"/>
  <c r="G14" i="10" l="1"/>
  <c r="G15" i="10" l="1"/>
  <c r="G16" i="10" l="1"/>
  <c r="G17" i="10" l="1"/>
  <c r="G18" i="10" l="1"/>
  <c r="G19" i="10" l="1"/>
  <c r="G20" i="10" l="1"/>
  <c r="G21" i="10" l="1"/>
  <c r="G22" i="10" l="1"/>
  <c r="G23" i="10" l="1"/>
  <c r="G24" i="10" l="1"/>
  <c r="D27" i="10"/>
  <c r="G27" i="10" l="1"/>
  <c r="F19" i="5" l="1"/>
  <c r="F12" i="5"/>
  <c r="F13" i="5"/>
  <c r="F11" i="5"/>
  <c r="F18" i="5" l="1"/>
  <c r="F14" i="5"/>
  <c r="F10" i="5"/>
  <c r="F16" i="5"/>
  <c r="F17" i="5"/>
  <c r="F15" i="5"/>
  <c r="F22" i="5" l="1"/>
  <c r="F23" i="5"/>
  <c r="F24" i="5" l="1"/>
  <c r="F21" i="5"/>
  <c r="F20" i="5" l="1"/>
  <c r="F27" i="12"/>
  <c r="F27" i="5" l="1"/>
  <c r="D8" i="13" l="1"/>
  <c r="D10" i="5" l="1"/>
  <c r="D13" i="5"/>
  <c r="C13" i="6" s="1"/>
  <c r="E13" i="5"/>
  <c r="D14" i="5"/>
  <c r="C14" i="6" s="1"/>
  <c r="E14" i="5"/>
  <c r="E12" i="5"/>
  <c r="D12" i="5"/>
  <c r="C12" i="6" s="1"/>
  <c r="D19" i="5"/>
  <c r="C19" i="6" s="1"/>
  <c r="E19" i="5"/>
  <c r="E11" i="5"/>
  <c r="D11" i="5"/>
  <c r="C11" i="6" s="1"/>
  <c r="E11" i="6" l="1"/>
  <c r="D11" i="6"/>
  <c r="F11" i="6" s="1"/>
  <c r="E15" i="5"/>
  <c r="D15" i="5"/>
  <c r="C15" i="6" s="1"/>
  <c r="D16" i="5"/>
  <c r="C16" i="6" s="1"/>
  <c r="E16" i="5"/>
  <c r="D13" i="6"/>
  <c r="E13" i="6"/>
  <c r="C10" i="6"/>
  <c r="D12" i="6"/>
  <c r="E12" i="6"/>
  <c r="F12" i="6" s="1"/>
  <c r="D18" i="5"/>
  <c r="C18" i="6" s="1"/>
  <c r="E18" i="5"/>
  <c r="E10" i="5"/>
  <c r="E19" i="6"/>
  <c r="D19" i="6"/>
  <c r="D14" i="6"/>
  <c r="E14" i="6"/>
  <c r="D17" i="5"/>
  <c r="C17" i="6" s="1"/>
  <c r="E17" i="5"/>
  <c r="F13" i="6" l="1"/>
  <c r="F14" i="6"/>
  <c r="D18" i="6"/>
  <c r="E18" i="6"/>
  <c r="F18" i="6" s="1"/>
  <c r="D15" i="6"/>
  <c r="E15" i="6"/>
  <c r="D17" i="6"/>
  <c r="E17" i="6"/>
  <c r="D10" i="6"/>
  <c r="E10" i="6"/>
  <c r="D16" i="6"/>
  <c r="E16" i="6"/>
  <c r="F17" i="6"/>
  <c r="F19" i="6"/>
  <c r="F16" i="6" l="1"/>
  <c r="F10" i="6"/>
  <c r="F15" i="6"/>
  <c r="E22" i="5" l="1"/>
  <c r="D22" i="5"/>
  <c r="C22" i="6" s="1"/>
  <c r="E23" i="5"/>
  <c r="D23" i="5"/>
  <c r="C23" i="6" s="1"/>
  <c r="D22" i="6" l="1"/>
  <c r="E22" i="6"/>
  <c r="D23" i="6"/>
  <c r="E23" i="6"/>
  <c r="F23" i="6" s="1"/>
  <c r="E21" i="5"/>
  <c r="D21" i="5"/>
  <c r="C21" i="6" s="1"/>
  <c r="D24" i="5"/>
  <c r="C24" i="6" s="1"/>
  <c r="E24" i="5"/>
  <c r="D20" i="5" l="1"/>
  <c r="D27" i="12"/>
  <c r="E21" i="6"/>
  <c r="D21" i="6"/>
  <c r="D24" i="6"/>
  <c r="E24" i="6"/>
  <c r="F22" i="6"/>
  <c r="F24" i="6" l="1"/>
  <c r="F21" i="6"/>
  <c r="C20" i="6"/>
  <c r="D27" i="5"/>
  <c r="C27" i="6" s="1"/>
  <c r="E20" i="5"/>
  <c r="E27" i="12"/>
  <c r="E20" i="6" l="1"/>
  <c r="D20" i="6"/>
  <c r="E27" i="5"/>
  <c r="E5" i="13"/>
  <c r="F20" i="6"/>
  <c r="D27" i="6" l="1"/>
  <c r="E27" i="6"/>
  <c r="E7" i="13" s="1"/>
  <c r="E6" i="13" l="1"/>
  <c r="F27" i="6"/>
  <c r="E8" i="13" s="1"/>
</calcChain>
</file>

<file path=xl/sharedStrings.xml><?xml version="1.0" encoding="utf-8"?>
<sst xmlns="http://schemas.openxmlformats.org/spreadsheetml/2006/main" count="37" uniqueCount="31">
  <si>
    <t>Year</t>
  </si>
  <si>
    <t>Utah Quarterly Compliance Filing</t>
  </si>
  <si>
    <t>$/kW-Year</t>
  </si>
  <si>
    <t xml:space="preserve">(1)   Capacity costs are allocated assuming an 85% capacity factor. </t>
  </si>
  <si>
    <t>Appendix C</t>
  </si>
  <si>
    <t>Total</t>
  </si>
  <si>
    <t>GRID Calculated Energy Avoided Cost Prices $/MWH (1)</t>
  </si>
  <si>
    <t>As Filed</t>
  </si>
  <si>
    <t>$/MWH  (1)</t>
  </si>
  <si>
    <t>Capacity Avoided Cost Prices</t>
  </si>
  <si>
    <t xml:space="preserve">(4)   Capacity costs are allocated assuming an 85% capacity factor. </t>
  </si>
  <si>
    <t>Total Avoided Cost Prices $/MWH (1) (4)</t>
  </si>
  <si>
    <t>OFPC Date</t>
  </si>
  <si>
    <t>Discount Rate - 2015 IRP Page 141</t>
  </si>
  <si>
    <t>Impact</t>
  </si>
  <si>
    <t>(1)   Studies are sequential.  The order of the studies would affect the price impact.</t>
  </si>
  <si>
    <t>(4)  15-Year Nominal Levelized Payment (2018-2032)</t>
  </si>
  <si>
    <t>OFPC</t>
  </si>
  <si>
    <t>Discount Rate - 2017 IRP</t>
  </si>
  <si>
    <t xml:space="preserve">(3)  No Capacity costs-All of the 2017 IRP Thermal resources are deferred due to the size of the Queue  </t>
  </si>
  <si>
    <t>2017.Q2</t>
  </si>
  <si>
    <t>Generic</t>
  </si>
  <si>
    <t xml:space="preserve"> Update</t>
  </si>
  <si>
    <t>Queue</t>
  </si>
  <si>
    <t>Avoided Cost Impact of Changing Assumptions $/MWH (1)</t>
  </si>
  <si>
    <t>2017.Q3</t>
  </si>
  <si>
    <t>1709</t>
  </si>
  <si>
    <t>2017.Q2 As Filed</t>
  </si>
  <si>
    <t>2017.Q3 As Filed</t>
  </si>
  <si>
    <t>(2)   Discount Rate - 2017 IRP</t>
  </si>
  <si>
    <t>2017.Q2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</si>
</sst>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* #,##0_);[Red]_(* \(#,##0\);_(* &quot;-&quot;_);_(@_)"/>
    <numFmt numFmtId="166" formatCode="_(&quot;$&quot;\ #,##0.00_);[Red]_(&quot;$&quot;\ \(#,##0.00\);_(\ &quot;-&quot;?_);_(@_)"/>
    <numFmt numFmtId="167" formatCode="0.000%"/>
    <numFmt numFmtId="168" formatCode="_(* #,##0.000_);[Red]_(* \(#,##0.000\);_(* &quot;-&quot;_);_(@_)"/>
    <numFmt numFmtId="169" formatCode="&quot;$&quot;###0;[Red]\(&quot;$&quot;###0\)"/>
    <numFmt numFmtId="170" formatCode="0.0"/>
    <numFmt numFmtId="171" formatCode="0.0%"/>
    <numFmt numFmtId="172" formatCode="\'\ \(\2\)\'"/>
    <numFmt numFmtId="173" formatCode="&quot;$&quot;#,##0.000_);[Red]\(&quot;$&quot;#,##0.000\)"/>
    <numFmt numFmtId="174" formatCode="_(&quot;$&quot;\ #,##0.000_);[Red]_(&quot;$&quot;\ \(#,##0.000\);_(\ &quot;-&quot;?_);_(@_)"/>
    <numFmt numFmtId="175" formatCode="&quot;$&quot;#,##0.000_);\(&quot;$&quot;#,##0.000\)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8"/>
      <name val="Helv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Helv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8">
    <xf numFmtId="165" fontId="0" fillId="0" borderId="0"/>
    <xf numFmtId="0" fontId="5" fillId="0" borderId="0" applyNumberFormat="0" applyFill="0" applyBorder="0" applyAlignment="0">
      <protection locked="0"/>
    </xf>
    <xf numFmtId="0" fontId="1" fillId="0" borderId="0"/>
    <xf numFmtId="9" fontId="1" fillId="0" borderId="0" applyFont="0" applyFill="0" applyBorder="0" applyAlignment="0" applyProtection="0"/>
    <xf numFmtId="165" fontId="1" fillId="0" borderId="0"/>
    <xf numFmtId="165" fontId="7" fillId="0" borderId="0"/>
    <xf numFmtId="165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8" fillId="0" borderId="0" applyFont="0" applyFill="0" applyBorder="0" applyProtection="0">
      <alignment horizontal="right"/>
    </xf>
    <xf numFmtId="170" fontId="9" fillId="0" borderId="0" applyNumberFormat="0" applyFill="0" applyBorder="0" applyAlignment="0" applyProtection="0"/>
    <xf numFmtId="0" fontId="2" fillId="0" borderId="6" applyNumberFormat="0" applyBorder="0" applyAlignment="0"/>
    <xf numFmtId="171" fontId="1" fillId="0" borderId="0"/>
    <xf numFmtId="12" fontId="3" fillId="3" borderId="7">
      <alignment horizontal="left"/>
    </xf>
    <xf numFmtId="37" fontId="2" fillId="4" borderId="0" applyNumberFormat="0" applyBorder="0" applyAlignment="0" applyProtection="0"/>
    <xf numFmtId="37" fontId="2" fillId="0" borderId="0"/>
    <xf numFmtId="3" fontId="10" fillId="5" borderId="8" applyProtection="0"/>
    <xf numFmtId="43" fontId="11" fillId="0" borderId="0" applyFont="0" applyFill="0" applyBorder="0" applyAlignment="0" applyProtection="0"/>
  </cellStyleXfs>
  <cellXfs count="76">
    <xf numFmtId="165" fontId="0" fillId="0" borderId="0" xfId="0"/>
    <xf numFmtId="165" fontId="4" fillId="0" borderId="0" xfId="0" applyFont="1"/>
    <xf numFmtId="165" fontId="3" fillId="0" borderId="1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165" fontId="4" fillId="0" borderId="0" xfId="0" applyFont="1" applyFill="1"/>
    <xf numFmtId="1" fontId="1" fillId="0" borderId="0" xfId="2" applyNumberFormat="1" applyFill="1" applyAlignment="1" applyProtection="1">
      <alignment horizontal="center"/>
      <protection locked="0"/>
    </xf>
    <xf numFmtId="165" fontId="3" fillId="0" borderId="0" xfId="0" applyFont="1" applyAlignment="1">
      <alignment horizontal="centerContinuous"/>
    </xf>
    <xf numFmtId="165" fontId="3" fillId="0" borderId="4" xfId="0" applyFont="1" applyBorder="1" applyAlignment="1">
      <alignment horizontal="center"/>
    </xf>
    <xf numFmtId="165" fontId="4" fillId="0" borderId="0" xfId="0" quotePrefix="1" applyFont="1"/>
    <xf numFmtId="165" fontId="4" fillId="0" borderId="0" xfId="0" applyFont="1" applyAlignment="1">
      <alignment horizontal="center"/>
    </xf>
    <xf numFmtId="164" fontId="4" fillId="0" borderId="0" xfId="0" applyNumberFormat="1" applyFont="1"/>
    <xf numFmtId="165" fontId="3" fillId="0" borderId="5" xfId="0" applyFont="1" applyFill="1" applyBorder="1" applyAlignment="1">
      <alignment horizontal="center"/>
    </xf>
    <xf numFmtId="165" fontId="3" fillId="0" borderId="1" xfId="0" applyFont="1" applyFill="1" applyBorder="1" applyAlignment="1">
      <alignment horizontal="center"/>
    </xf>
    <xf numFmtId="165" fontId="4" fillId="0" borderId="0" xfId="0" applyFont="1" applyFill="1" applyAlignment="1"/>
    <xf numFmtId="165" fontId="3" fillId="0" borderId="3" xfId="0" applyFont="1" applyFill="1" applyBorder="1"/>
    <xf numFmtId="165" fontId="3" fillId="0" borderId="4" xfId="0" applyFont="1" applyFill="1" applyBorder="1" applyAlignment="1">
      <alignment horizontal="center"/>
    </xf>
    <xf numFmtId="165" fontId="3" fillId="0" borderId="0" xfId="0" applyFont="1" applyFill="1" applyBorder="1" applyAlignment="1">
      <alignment horizontal="centerContinuous"/>
    </xf>
    <xf numFmtId="165" fontId="3" fillId="0" borderId="0" xfId="0" applyFont="1" applyFill="1" applyBorder="1" applyAlignment="1">
      <alignment horizontal="center"/>
    </xf>
    <xf numFmtId="165" fontId="4" fillId="0" borderId="0" xfId="0" applyFont="1" applyFill="1" applyBorder="1"/>
    <xf numFmtId="168" fontId="4" fillId="0" borderId="0" xfId="0" applyNumberFormat="1" applyFont="1"/>
    <xf numFmtId="167" fontId="4" fillId="0" borderId="0" xfId="0" applyNumberFormat="1" applyFont="1"/>
    <xf numFmtId="165" fontId="4" fillId="0" borderId="0" xfId="0" applyFont="1" applyAlignment="1"/>
    <xf numFmtId="14" fontId="6" fillId="2" borderId="2" xfId="0" applyNumberFormat="1" applyFont="1" applyFill="1" applyBorder="1" applyAlignment="1">
      <alignment horizontal="center"/>
    </xf>
    <xf numFmtId="165" fontId="3" fillId="0" borderId="0" xfId="4" applyFont="1" applyAlignment="1">
      <alignment horizontal="centerContinuous"/>
    </xf>
    <xf numFmtId="165" fontId="4" fillId="0" borderId="0" xfId="4" applyFont="1" applyAlignment="1">
      <alignment horizontal="centerContinuous"/>
    </xf>
    <xf numFmtId="165" fontId="4" fillId="0" borderId="0" xfId="4" applyFont="1"/>
    <xf numFmtId="165" fontId="3" fillId="0" borderId="3" xfId="4" applyFont="1" applyBorder="1"/>
    <xf numFmtId="165" fontId="3" fillId="0" borderId="3" xfId="4" applyFont="1" applyBorder="1" applyAlignment="1">
      <alignment horizontal="centerContinuous"/>
    </xf>
    <xf numFmtId="165" fontId="3" fillId="0" borderId="4" xfId="4" applyFont="1" applyBorder="1" applyAlignment="1">
      <alignment horizontal="center"/>
    </xf>
    <xf numFmtId="165" fontId="3" fillId="0" borderId="2" xfId="4" applyFont="1" applyBorder="1" applyAlignment="1">
      <alignment horizontal="center"/>
    </xf>
    <xf numFmtId="0" fontId="3" fillId="0" borderId="0" xfId="4" applyNumberFormat="1" applyFont="1" applyAlignment="1">
      <alignment horizontal="center"/>
    </xf>
    <xf numFmtId="166" fontId="4" fillId="0" borderId="0" xfId="4" applyNumberFormat="1" applyFont="1" applyFill="1" applyBorder="1" applyAlignment="1">
      <alignment horizontal="center"/>
    </xf>
    <xf numFmtId="7" fontId="4" fillId="0" borderId="0" xfId="4" applyNumberFormat="1" applyFont="1" applyFill="1" applyBorder="1" applyAlignment="1">
      <alignment horizontal="center"/>
    </xf>
    <xf numFmtId="165" fontId="4" fillId="0" borderId="0" xfId="4" applyFont="1" applyFill="1"/>
    <xf numFmtId="165" fontId="4" fillId="0" borderId="0" xfId="4" quotePrefix="1" applyFont="1"/>
    <xf numFmtId="7" fontId="4" fillId="0" borderId="2" xfId="4" applyNumberFormat="1" applyFont="1" applyFill="1" applyBorder="1" applyAlignment="1">
      <alignment horizontal="center"/>
    </xf>
    <xf numFmtId="167" fontId="4" fillId="0" borderId="0" xfId="4" applyNumberFormat="1" applyFont="1" applyAlignment="1">
      <alignment horizontal="center"/>
    </xf>
    <xf numFmtId="167" fontId="4" fillId="0" borderId="0" xfId="3" applyNumberFormat="1" applyFont="1"/>
    <xf numFmtId="167" fontId="4" fillId="0" borderId="0" xfId="4" applyNumberFormat="1" applyFont="1"/>
    <xf numFmtId="8" fontId="4" fillId="0" borderId="0" xfId="4" applyNumberFormat="1" applyFont="1"/>
    <xf numFmtId="165" fontId="3" fillId="0" borderId="1" xfId="4" applyFont="1" applyBorder="1" applyAlignment="1">
      <alignment horizontal="center"/>
    </xf>
    <xf numFmtId="165" fontId="3" fillId="0" borderId="5" xfId="4" applyFont="1" applyBorder="1" applyAlignment="1">
      <alignment horizontal="center"/>
    </xf>
    <xf numFmtId="165" fontId="3" fillId="0" borderId="5" xfId="4" applyFont="1" applyBorder="1" applyAlignment="1">
      <alignment horizontal="centerContinuous"/>
    </xf>
    <xf numFmtId="165" fontId="3" fillId="0" borderId="3" xfId="0" applyFont="1" applyBorder="1"/>
    <xf numFmtId="165" fontId="3" fillId="0" borderId="5" xfId="0" applyFont="1" applyBorder="1" applyAlignment="1">
      <alignment horizontal="center"/>
    </xf>
    <xf numFmtId="8" fontId="4" fillId="0" borderId="0" xfId="17" applyNumberFormat="1" applyFont="1"/>
    <xf numFmtId="165" fontId="3" fillId="0" borderId="1" xfId="4" quotePrefix="1" applyFont="1" applyBorder="1" applyAlignment="1">
      <alignment horizontal="center"/>
    </xf>
    <xf numFmtId="165" fontId="3" fillId="0" borderId="5" xfId="4" quotePrefix="1" applyFont="1" applyBorder="1" applyAlignment="1">
      <alignment horizontal="center"/>
    </xf>
    <xf numFmtId="165" fontId="3" fillId="0" borderId="0" xfId="4" quotePrefix="1" applyFont="1" applyAlignment="1">
      <alignment horizontal="centerContinuous"/>
    </xf>
    <xf numFmtId="166" fontId="4" fillId="0" borderId="0" xfId="0" applyNumberFormat="1" applyFont="1"/>
    <xf numFmtId="165" fontId="3" fillId="0" borderId="2" xfId="4" applyFont="1" applyBorder="1" applyAlignment="1">
      <alignment horizontal="center" wrapText="1"/>
    </xf>
    <xf numFmtId="166" fontId="4" fillId="0" borderId="0" xfId="0" quotePrefix="1" applyNumberFormat="1" applyFont="1" applyAlignment="1">
      <alignment horizontal="center"/>
    </xf>
    <xf numFmtId="43" fontId="4" fillId="0" borderId="0" xfId="17" applyFont="1"/>
    <xf numFmtId="0" fontId="4" fillId="0" borderId="2" xfId="4" applyNumberFormat="1" applyFont="1" applyBorder="1" applyAlignment="1">
      <alignment horizontal="center"/>
    </xf>
    <xf numFmtId="165" fontId="4" fillId="0" borderId="0" xfId="4" applyFont="1" applyAlignment="1"/>
    <xf numFmtId="165" fontId="0" fillId="0" borderId="0" xfId="0" applyAlignment="1"/>
    <xf numFmtId="165" fontId="3" fillId="0" borderId="0" xfId="4" applyFont="1" applyBorder="1" applyAlignment="1">
      <alignment horizontal="centerContinuous"/>
    </xf>
    <xf numFmtId="172" fontId="3" fillId="0" borderId="1" xfId="0" applyNumberFormat="1" applyFont="1" applyFill="1" applyBorder="1" applyAlignment="1">
      <alignment horizontal="center"/>
    </xf>
    <xf numFmtId="165" fontId="0" fillId="0" borderId="0" xfId="0" applyAlignment="1">
      <alignment horizontal="right"/>
    </xf>
    <xf numFmtId="43" fontId="0" fillId="0" borderId="0" xfId="17" applyFont="1"/>
    <xf numFmtId="165" fontId="3" fillId="0" borderId="1" xfId="0" quotePrefix="1" applyFont="1" applyFill="1" applyBorder="1" applyAlignment="1">
      <alignment horizontal="center"/>
    </xf>
    <xf numFmtId="173" fontId="4" fillId="0" borderId="2" xfId="4" applyNumberFormat="1" applyFont="1" applyFill="1" applyBorder="1" applyAlignment="1">
      <alignment horizontal="center"/>
    </xf>
    <xf numFmtId="173" fontId="4" fillId="0" borderId="0" xfId="4" applyNumberFormat="1" applyFont="1" applyFill="1" applyBorder="1" applyAlignment="1">
      <alignment horizontal="center"/>
    </xf>
    <xf numFmtId="165" fontId="3" fillId="0" borderId="0" xfId="0" applyFont="1" applyBorder="1" applyAlignment="1">
      <alignment horizontal="center"/>
    </xf>
    <xf numFmtId="165" fontId="4" fillId="0" borderId="0" xfId="0" applyFont="1" applyBorder="1"/>
    <xf numFmtId="166" fontId="4" fillId="0" borderId="0" xfId="0" applyNumberFormat="1" applyFont="1" applyBorder="1" applyAlignment="1">
      <alignment horizontal="center"/>
    </xf>
    <xf numFmtId="8" fontId="4" fillId="0" borderId="0" xfId="0" applyNumberFormat="1" applyFont="1" applyBorder="1"/>
    <xf numFmtId="173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/>
    <xf numFmtId="173" fontId="4" fillId="0" borderId="2" xfId="0" applyNumberFormat="1" applyFont="1" applyFill="1" applyBorder="1" applyAlignment="1">
      <alignment horizontal="center"/>
    </xf>
    <xf numFmtId="174" fontId="4" fillId="0" borderId="0" xfId="0" applyNumberFormat="1" applyFont="1"/>
    <xf numFmtId="175" fontId="4" fillId="0" borderId="0" xfId="4" applyNumberFormat="1" applyFont="1" applyFill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6" fontId="4" fillId="0" borderId="2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43" fontId="0" fillId="0" borderId="0" xfId="17" applyNumberFormat="1" applyFont="1"/>
  </cellXfs>
  <cellStyles count="18">
    <cellStyle name="Comma" xfId="17" builtinId="3"/>
    <cellStyle name="Comma 2" xfId="7"/>
    <cellStyle name="Currency 2" xfId="8"/>
    <cellStyle name="Currency No Comma" xfId="9"/>
    <cellStyle name="Input" xfId="1" builtinId="20" customBuiltin="1"/>
    <cellStyle name="MCP" xfId="10"/>
    <cellStyle name="noninput" xfId="11"/>
    <cellStyle name="Normal" xfId="0" builtinId="0" customBuiltin="1"/>
    <cellStyle name="Normal 2" xfId="4"/>
    <cellStyle name="Normal 2 2" xfId="6"/>
    <cellStyle name="Normal 3" xfId="12"/>
    <cellStyle name="Normal 5" xfId="5"/>
    <cellStyle name="Normal_T-INF-10-15-04-TEMPLATE" xfId="2"/>
    <cellStyle name="Password" xfId="13"/>
    <cellStyle name="Percent" xfId="3" builtinId="5"/>
    <cellStyle name="Unprot" xfId="14"/>
    <cellStyle name="Unprot$" xfId="15"/>
    <cellStyle name="Unprotect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C4:E8"/>
  <sheetViews>
    <sheetView workbookViewId="0">
      <selection activeCell="C33" sqref="C33"/>
    </sheetView>
  </sheetViews>
  <sheetFormatPr defaultRowHeight="12.75" x14ac:dyDescent="0.2"/>
  <cols>
    <col min="3" max="3" width="22" customWidth="1"/>
    <col min="5" max="5" width="7.7109375" customWidth="1"/>
  </cols>
  <sheetData>
    <row r="4" spans="3:5" x14ac:dyDescent="0.2">
      <c r="C4" t="s">
        <v>27</v>
      </c>
      <c r="D4" s="59">
        <f>Total!$C$27</f>
        <v>24.37</v>
      </c>
      <c r="E4" s="59"/>
    </row>
    <row r="5" spans="3:5" x14ac:dyDescent="0.2">
      <c r="C5" s="58" t="str">
        <f>Incremental!C7</f>
        <v>Generic</v>
      </c>
      <c r="D5" s="59"/>
      <c r="E5" s="75">
        <f>Incremental!C27</f>
        <v>0.65600000000000003</v>
      </c>
    </row>
    <row r="6" spans="3:5" x14ac:dyDescent="0.2">
      <c r="C6" s="58" t="str">
        <f>Incremental!D7</f>
        <v>OFPC</v>
      </c>
      <c r="D6" s="59"/>
      <c r="E6" s="75">
        <f>Incremental!D27</f>
        <v>-0.17799999999999999</v>
      </c>
    </row>
    <row r="7" spans="3:5" x14ac:dyDescent="0.2">
      <c r="C7" s="58" t="str">
        <f>Incremental!E7</f>
        <v>Queue</v>
      </c>
      <c r="D7" s="59"/>
      <c r="E7" s="75">
        <f>Incremental!$E$27</f>
        <v>-0.18</v>
      </c>
    </row>
    <row r="8" spans="3:5" x14ac:dyDescent="0.2">
      <c r="C8" t="s">
        <v>28</v>
      </c>
      <c r="D8" s="59">
        <f>Total!$F$27</f>
        <v>24.667999999999999</v>
      </c>
      <c r="E8" s="75">
        <f ca="1">Incremental!F27</f>
        <v>0.29800000000000004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2"/>
    <pageSetUpPr fitToPage="1"/>
  </sheetPr>
  <dimension ref="B1:I36"/>
  <sheetViews>
    <sheetView showGridLines="0" tabSelected="1" zoomScale="70" zoomScaleNormal="70" workbookViewId="0">
      <pane xSplit="2" ySplit="9" topLeftCell="C10" activePane="bottomRight" state="frozen"/>
      <selection activeCell="E39" sqref="E39"/>
      <selection pane="topRight" activeCell="E39" sqref="E39"/>
      <selection pane="bottomLeft" activeCell="E39" sqref="E39"/>
      <selection pane="bottomRight" activeCell="M16" sqref="M16"/>
    </sheetView>
  </sheetViews>
  <sheetFormatPr defaultRowHeight="15" x14ac:dyDescent="0.2"/>
  <cols>
    <col min="1" max="1" width="1.85546875" style="1" customWidth="1"/>
    <col min="2" max="2" width="13.7109375" style="1" customWidth="1"/>
    <col min="3" max="6" width="15.7109375" style="1" customWidth="1"/>
    <col min="7" max="7" width="2.28515625" style="1" customWidth="1"/>
    <col min="8" max="8" width="9.140625" style="1"/>
    <col min="9" max="9" width="10.85546875" style="1" bestFit="1" customWidth="1"/>
    <col min="10" max="16384" width="9.140625" style="1"/>
  </cols>
  <sheetData>
    <row r="1" spans="2:9" ht="15.75" x14ac:dyDescent="0.25">
      <c r="B1" s="6" t="str">
        <f>Total!B1</f>
        <v>Appendix C</v>
      </c>
      <c r="C1" s="6"/>
      <c r="D1" s="6"/>
      <c r="E1" s="6"/>
      <c r="F1" s="6"/>
    </row>
    <row r="2" spans="2:9" ht="8.25" customHeight="1" x14ac:dyDescent="0.25">
      <c r="B2" s="6"/>
      <c r="C2" s="6"/>
      <c r="D2" s="6"/>
      <c r="E2" s="6"/>
      <c r="F2" s="6"/>
    </row>
    <row r="3" spans="2:9" ht="15.75" x14ac:dyDescent="0.25">
      <c r="B3" s="6" t="str">
        <f>Total!B3</f>
        <v>Utah Quarterly Compliance Filing</v>
      </c>
      <c r="C3" s="6"/>
      <c r="D3" s="6"/>
      <c r="E3" s="6"/>
      <c r="F3" s="6"/>
    </row>
    <row r="4" spans="2:9" ht="15.75" x14ac:dyDescent="0.25">
      <c r="B4" s="6" t="str">
        <f>Capacity!$B$4</f>
        <v>Step Study between 2017.Q3 and 2017.Q2 Compliance Filing</v>
      </c>
      <c r="C4" s="6"/>
      <c r="D4" s="6"/>
      <c r="E4" s="6"/>
      <c r="F4" s="6"/>
    </row>
    <row r="5" spans="2:9" ht="15.75" x14ac:dyDescent="0.25">
      <c r="B5" s="6" t="s">
        <v>24</v>
      </c>
      <c r="C5" s="6"/>
      <c r="D5" s="6"/>
      <c r="E5" s="6"/>
      <c r="F5" s="6"/>
    </row>
    <row r="6" spans="2:9" x14ac:dyDescent="0.2">
      <c r="C6" s="9"/>
      <c r="D6" s="9"/>
      <c r="E6" s="9"/>
      <c r="F6" s="9"/>
    </row>
    <row r="7" spans="2:9" s="4" customFormat="1" ht="15.75" x14ac:dyDescent="0.25">
      <c r="B7" s="14"/>
      <c r="C7" s="11" t="str">
        <f>Energy!D7</f>
        <v>Generic</v>
      </c>
      <c r="D7" s="11" t="str">
        <f>Energy!E7</f>
        <v>OFPC</v>
      </c>
      <c r="E7" s="11" t="str">
        <f>Energy!F7</f>
        <v>Queue</v>
      </c>
      <c r="F7" s="11" t="s">
        <v>5</v>
      </c>
      <c r="G7" s="1"/>
    </row>
    <row r="8" spans="2:9" s="4" customFormat="1" ht="15.75" x14ac:dyDescent="0.25">
      <c r="B8" s="15" t="s">
        <v>0</v>
      </c>
      <c r="C8" s="57" t="str">
        <f>Energy!D8</f>
        <v xml:space="preserve"> Update</v>
      </c>
      <c r="D8" s="12" t="str">
        <f>Energy!E8</f>
        <v>1709</v>
      </c>
      <c r="E8" s="12"/>
      <c r="F8" s="12" t="s">
        <v>14</v>
      </c>
      <c r="G8" s="1"/>
    </row>
    <row r="9" spans="2:9" ht="4.5" customHeight="1" x14ac:dyDescent="0.2"/>
    <row r="10" spans="2:9" ht="15.75" x14ac:dyDescent="0.25">
      <c r="B10" s="3">
        <f>Total!B10</f>
        <v>2018</v>
      </c>
      <c r="C10" s="72">
        <f>ROUND(Total!D10-Total!C10,3)</f>
        <v>0.61099999999999999</v>
      </c>
      <c r="D10" s="72">
        <f>ROUND(Total!E10-Total!D10,3)</f>
        <v>-0.59299999999999997</v>
      </c>
      <c r="E10" s="72">
        <f>ROUND(Total!F10-Total!E10,3)</f>
        <v>-7.2999999999999995E-2</v>
      </c>
      <c r="F10" s="72">
        <f t="shared" ref="F10" ca="1" si="0">SUM(OFFSET($C10,0,0,1,COLUMN(F10)-3))</f>
        <v>-5.4999999999999979E-2</v>
      </c>
      <c r="G10" s="70"/>
      <c r="I10" s="19"/>
    </row>
    <row r="11" spans="2:9" ht="15.75" x14ac:dyDescent="0.25">
      <c r="B11" s="3">
        <f t="shared" ref="B11:B24" si="1">B10+1</f>
        <v>2019</v>
      </c>
      <c r="C11" s="72">
        <f>ROUND(Total!D11-Total!C11,3)</f>
        <v>3.4000000000000002E-2</v>
      </c>
      <c r="D11" s="72">
        <f>ROUND(Total!E11-Total!D11,3)</f>
        <v>-1.7789999999999999</v>
      </c>
      <c r="E11" s="72">
        <f>ROUND(Total!F11-Total!E11,3)</f>
        <v>-0.14599999999999999</v>
      </c>
      <c r="F11" s="72">
        <f ca="1">SUM(OFFSET($C11,0,0,1,COLUMN(F11)-3))</f>
        <v>-1.8909999999999998</v>
      </c>
      <c r="G11" s="70"/>
      <c r="I11" s="19"/>
    </row>
    <row r="12" spans="2:9" ht="15.75" x14ac:dyDescent="0.25">
      <c r="B12" s="3">
        <f t="shared" si="1"/>
        <v>2020</v>
      </c>
      <c r="C12" s="72">
        <f>ROUND(Total!D12-Total!C12,3)</f>
        <v>0.82599999999999996</v>
      </c>
      <c r="D12" s="72">
        <f>ROUND(Total!E12-Total!D12,3)</f>
        <v>-2.629</v>
      </c>
      <c r="E12" s="72">
        <f>ROUND(Total!F12-Total!E12,3)</f>
        <v>-0.21</v>
      </c>
      <c r="F12" s="72">
        <f t="shared" ref="F12:F24" ca="1" si="2">SUM(OFFSET($C12,0,0,1,COLUMN(F12)-3))</f>
        <v>-2.0129999999999999</v>
      </c>
      <c r="G12" s="70"/>
      <c r="I12" s="19"/>
    </row>
    <row r="13" spans="2:9" ht="15.75" x14ac:dyDescent="0.25">
      <c r="B13" s="3">
        <f t="shared" si="1"/>
        <v>2021</v>
      </c>
      <c r="C13" s="72">
        <f>ROUND(Total!D13-Total!C13,3)</f>
        <v>0.60099999999999998</v>
      </c>
      <c r="D13" s="72">
        <f>ROUND(Total!E13-Total!D13,3)</f>
        <v>-0.99</v>
      </c>
      <c r="E13" s="72">
        <f>ROUND(Total!F13-Total!E13,3)</f>
        <v>0.04</v>
      </c>
      <c r="F13" s="72">
        <f t="shared" ca="1" si="2"/>
        <v>-0.34900000000000003</v>
      </c>
      <c r="G13" s="70"/>
      <c r="I13" s="19"/>
    </row>
    <row r="14" spans="2:9" ht="15.75" x14ac:dyDescent="0.25">
      <c r="B14" s="3">
        <f t="shared" si="1"/>
        <v>2022</v>
      </c>
      <c r="C14" s="72">
        <f>ROUND(Total!D14-Total!C14,3)</f>
        <v>0.89100000000000001</v>
      </c>
      <c r="D14" s="72">
        <f>ROUND(Total!E14-Total!D14,3)</f>
        <v>-1.7090000000000001</v>
      </c>
      <c r="E14" s="72">
        <f>ROUND(Total!F14-Total!E14,3)</f>
        <v>-9.2999999999999999E-2</v>
      </c>
      <c r="F14" s="72">
        <f t="shared" ca="1" si="2"/>
        <v>-0.91100000000000003</v>
      </c>
      <c r="G14" s="70"/>
      <c r="I14" s="19"/>
    </row>
    <row r="15" spans="2:9" ht="15.75" x14ac:dyDescent="0.25">
      <c r="B15" s="3">
        <f t="shared" si="1"/>
        <v>2023</v>
      </c>
      <c r="C15" s="72">
        <f>ROUND(Total!D15-Total!C15,3)</f>
        <v>0.44</v>
      </c>
      <c r="D15" s="72">
        <f>ROUND(Total!E15-Total!D15,3)</f>
        <v>-1.331</v>
      </c>
      <c r="E15" s="72">
        <f>ROUND(Total!F15-Total!E15,3)</f>
        <v>-0.122</v>
      </c>
      <c r="F15" s="72">
        <f t="shared" ca="1" si="2"/>
        <v>-1.0129999999999999</v>
      </c>
      <c r="G15" s="70"/>
      <c r="I15" s="19"/>
    </row>
    <row r="16" spans="2:9" ht="15.75" x14ac:dyDescent="0.25">
      <c r="B16" s="3">
        <f t="shared" si="1"/>
        <v>2024</v>
      </c>
      <c r="C16" s="72">
        <f>ROUND(Total!D16-Total!C16,3)</f>
        <v>0.68899999999999995</v>
      </c>
      <c r="D16" s="72">
        <f>ROUND(Total!E16-Total!D16,3)</f>
        <v>1.389</v>
      </c>
      <c r="E16" s="72">
        <f>ROUND(Total!F16-Total!E16,3)</f>
        <v>-0.20100000000000001</v>
      </c>
      <c r="F16" s="72">
        <f t="shared" ca="1" si="2"/>
        <v>1.8769999999999998</v>
      </c>
      <c r="G16" s="70"/>
      <c r="I16" s="19"/>
    </row>
    <row r="17" spans="2:9" ht="15.75" x14ac:dyDescent="0.25">
      <c r="B17" s="3">
        <f t="shared" si="1"/>
        <v>2025</v>
      </c>
      <c r="C17" s="72">
        <f>ROUND(Total!D17-Total!C17,3)</f>
        <v>1.1870000000000001</v>
      </c>
      <c r="D17" s="72">
        <f>ROUND(Total!E17-Total!D17,3)</f>
        <v>3.3919999999999999</v>
      </c>
      <c r="E17" s="72">
        <f>ROUND(Total!F17-Total!E17,3)</f>
        <v>-0.17399999999999999</v>
      </c>
      <c r="F17" s="72">
        <f t="shared" ca="1" si="2"/>
        <v>4.4049999999999994</v>
      </c>
      <c r="G17" s="70"/>
      <c r="I17" s="19"/>
    </row>
    <row r="18" spans="2:9" ht="15.75" x14ac:dyDescent="0.25">
      <c r="B18" s="3">
        <f t="shared" si="1"/>
        <v>2026</v>
      </c>
      <c r="C18" s="72">
        <f>ROUND(Total!D18-Total!C18,3)</f>
        <v>0.81399999999999995</v>
      </c>
      <c r="D18" s="72">
        <f>ROUND(Total!E18-Total!D18,3)</f>
        <v>2.1800000000000002</v>
      </c>
      <c r="E18" s="72">
        <f>ROUND(Total!F18-Total!E18,3)</f>
        <v>-0.20899999999999999</v>
      </c>
      <c r="F18" s="72">
        <f t="shared" ca="1" si="2"/>
        <v>2.7850000000000001</v>
      </c>
      <c r="G18" s="70"/>
      <c r="I18" s="19"/>
    </row>
    <row r="19" spans="2:9" ht="15.75" x14ac:dyDescent="0.25">
      <c r="B19" s="3">
        <f t="shared" si="1"/>
        <v>2027</v>
      </c>
      <c r="C19" s="72">
        <f>ROUND(Total!D19-Total!C19,3)</f>
        <v>0.92100000000000004</v>
      </c>
      <c r="D19" s="72">
        <f>ROUND(Total!E19-Total!D19,3)</f>
        <v>2.2360000000000002</v>
      </c>
      <c r="E19" s="72">
        <f>ROUND(Total!F19-Total!E19,3)</f>
        <v>-0.27500000000000002</v>
      </c>
      <c r="F19" s="72">
        <f t="shared" ca="1" si="2"/>
        <v>2.8820000000000001</v>
      </c>
      <c r="G19" s="70"/>
      <c r="I19" s="19"/>
    </row>
    <row r="20" spans="2:9" ht="15.75" x14ac:dyDescent="0.25">
      <c r="B20" s="3">
        <f t="shared" si="1"/>
        <v>2028</v>
      </c>
      <c r="C20" s="72">
        <f>ROUND(Total!D20-Total!C20,3)</f>
        <v>0.70499999999999996</v>
      </c>
      <c r="D20" s="72">
        <f>ROUND(Total!E20-Total!D20,3)</f>
        <v>2.1989999999999998</v>
      </c>
      <c r="E20" s="72">
        <f>ROUND(Total!F20-Total!E20,3)</f>
        <v>-0.189</v>
      </c>
      <c r="F20" s="72">
        <f t="shared" ca="1" si="2"/>
        <v>2.7149999999999999</v>
      </c>
      <c r="G20" s="70"/>
      <c r="I20" s="19"/>
    </row>
    <row r="21" spans="2:9" ht="15.75" x14ac:dyDescent="0.25">
      <c r="B21" s="3">
        <f t="shared" si="1"/>
        <v>2029</v>
      </c>
      <c r="C21" s="72">
        <f>ROUND(Total!D21-Total!C21,3)</f>
        <v>0.65700000000000003</v>
      </c>
      <c r="D21" s="72">
        <f>ROUND(Total!E21-Total!D21,3)</f>
        <v>-3.5999999999999997E-2</v>
      </c>
      <c r="E21" s="72">
        <f>ROUND(Total!F21-Total!E21,3)</f>
        <v>-0.221</v>
      </c>
      <c r="F21" s="72">
        <f t="shared" ca="1" si="2"/>
        <v>0.4</v>
      </c>
      <c r="G21" s="70"/>
      <c r="I21" s="19"/>
    </row>
    <row r="22" spans="2:9" ht="15.75" x14ac:dyDescent="0.25">
      <c r="B22" s="3">
        <f t="shared" si="1"/>
        <v>2030</v>
      </c>
      <c r="C22" s="72">
        <f>ROUND(Total!D22-Total!C22,3)</f>
        <v>0.71899999999999997</v>
      </c>
      <c r="D22" s="72">
        <f>ROUND(Total!E22-Total!D22,3)</f>
        <v>-0.41199999999999998</v>
      </c>
      <c r="E22" s="72">
        <f>ROUND(Total!F22-Total!E22,3)</f>
        <v>-0.47099999999999997</v>
      </c>
      <c r="F22" s="72">
        <f t="shared" ca="1" si="2"/>
        <v>-0.16399999999999998</v>
      </c>
      <c r="G22" s="70"/>
      <c r="I22" s="19"/>
    </row>
    <row r="23" spans="2:9" ht="15.75" x14ac:dyDescent="0.25">
      <c r="B23" s="3">
        <f t="shared" si="1"/>
        <v>2031</v>
      </c>
      <c r="C23" s="72">
        <f>ROUND(Total!D23-Total!C23,3)</f>
        <v>0.60599999999999998</v>
      </c>
      <c r="D23" s="72">
        <f>ROUND(Total!E23-Total!D23,3)</f>
        <v>-0.55300000000000005</v>
      </c>
      <c r="E23" s="72">
        <f>ROUND(Total!F23-Total!E23,3)</f>
        <v>-0.53900000000000003</v>
      </c>
      <c r="F23" s="72">
        <f t="shared" ca="1" si="2"/>
        <v>-0.4860000000000001</v>
      </c>
      <c r="G23" s="70"/>
      <c r="I23" s="19"/>
    </row>
    <row r="24" spans="2:9" ht="15.75" x14ac:dyDescent="0.25">
      <c r="B24" s="3">
        <f t="shared" si="1"/>
        <v>2032</v>
      </c>
      <c r="C24" s="72">
        <f>ROUND(Total!D24-Total!C24,3)</f>
        <v>0.29699999999999999</v>
      </c>
      <c r="D24" s="72">
        <f>ROUND(Total!E24-Total!D24,3)</f>
        <v>-1.214</v>
      </c>
      <c r="E24" s="72">
        <f>ROUND(Total!F24-Total!E24,3)</f>
        <v>-0.19</v>
      </c>
      <c r="F24" s="72">
        <f t="shared" ca="1" si="2"/>
        <v>-1.107</v>
      </c>
      <c r="G24" s="70"/>
      <c r="I24" s="19"/>
    </row>
    <row r="25" spans="2:9" x14ac:dyDescent="0.2">
      <c r="C25" s="49"/>
      <c r="D25" s="49"/>
      <c r="E25" s="49"/>
      <c r="F25" s="49"/>
      <c r="G25" s="70"/>
    </row>
    <row r="26" spans="2:9" x14ac:dyDescent="0.2">
      <c r="B26" s="13" t="str">
        <f>Total!B26</f>
        <v>Nominal Levelized Payment at 6.570% Discount Rate (3)</v>
      </c>
      <c r="C26" s="74"/>
      <c r="D26" s="74"/>
      <c r="E26" s="74"/>
      <c r="F26" s="74"/>
      <c r="G26" s="70"/>
    </row>
    <row r="27" spans="2:9" x14ac:dyDescent="0.2">
      <c r="B27" s="8" t="str">
        <f>B10&amp;" - "&amp;B24</f>
        <v>2018 - 2032</v>
      </c>
      <c r="C27" s="73">
        <f>ROUND(Total!D27-Total!C27,3)</f>
        <v>0.65600000000000003</v>
      </c>
      <c r="D27" s="73">
        <f>ROUND(Total!E27-Total!D27,3)</f>
        <v>-0.17799999999999999</v>
      </c>
      <c r="E27" s="73">
        <f>ROUND(Total!F27-Total!E27,3)</f>
        <v>-0.18</v>
      </c>
      <c r="F27" s="73">
        <f ca="1">SUM(OFFSET($C27,0,0,1,COLUMN(F27)-3))</f>
        <v>0.29800000000000004</v>
      </c>
      <c r="G27" s="70"/>
    </row>
    <row r="28" spans="2:9" x14ac:dyDescent="0.2">
      <c r="C28" s="49"/>
      <c r="D28" s="49"/>
      <c r="E28" s="49"/>
      <c r="F28" s="51"/>
    </row>
    <row r="29" spans="2:9" x14ac:dyDescent="0.2">
      <c r="B29" s="1" t="str">
        <f>Total!B29</f>
        <v>(1)   Studies are sequential.  The order of the studies would affect the price impact.</v>
      </c>
      <c r="C29" s="49"/>
      <c r="D29" s="49"/>
      <c r="E29" s="49"/>
      <c r="F29" s="49"/>
    </row>
    <row r="30" spans="2:9" x14ac:dyDescent="0.2">
      <c r="B30" s="1" t="str">
        <f>Total!B30</f>
        <v>(2)   Official Forward Price Curve Dated September 2017</v>
      </c>
    </row>
    <row r="31" spans="2:9" x14ac:dyDescent="0.2">
      <c r="B31" s="1" t="str">
        <f>Total!B31</f>
        <v>(3)   Discount Rate - 2017 IRP</v>
      </c>
      <c r="C31" s="8"/>
    </row>
    <row r="35" spans="2:2" hidden="1" x14ac:dyDescent="0.2">
      <c r="B35" s="21" t="s">
        <v>13</v>
      </c>
    </row>
    <row r="36" spans="2:2" hidden="1" x14ac:dyDescent="0.2">
      <c r="B36" s="37">
        <f>Discount_Rate</f>
        <v>6.5699999999999995E-2</v>
      </c>
    </row>
  </sheetData>
  <phoneticPr fontId="2" type="noConversion"/>
  <printOptions horizontalCentered="1"/>
  <pageMargins left="0.25" right="0.25" top="0.75" bottom="0.75" header="0.3" footer="0.2"/>
  <pageSetup orientation="landscape" r:id="rId1"/>
  <headerFooter alignWithMargins="0">
    <oddFooter>&amp;L&amp;8NPC Group - &amp;F   ( &amp;A )&amp;C&amp;8Page &amp;P of &amp;N&amp;R&amp;8&amp;D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2"/>
    <pageSetUpPr fitToPage="1"/>
  </sheetPr>
  <dimension ref="B1:O39"/>
  <sheetViews>
    <sheetView zoomScale="70" zoomScaleNormal="70" workbookViewId="0">
      <pane xSplit="2" ySplit="9" topLeftCell="C10" activePane="bottomRight" state="frozen"/>
      <selection activeCell="E39" sqref="E39"/>
      <selection pane="topRight" activeCell="E39" sqref="E39"/>
      <selection pane="bottomLeft" activeCell="E39" sqref="E39"/>
      <selection pane="bottomRight" activeCell="N35" sqref="N35"/>
    </sheetView>
  </sheetViews>
  <sheetFormatPr defaultRowHeight="15" x14ac:dyDescent="0.2"/>
  <cols>
    <col min="1" max="1" width="1.85546875" style="1" customWidth="1"/>
    <col min="2" max="2" width="13.7109375" style="1" customWidth="1"/>
    <col min="3" max="6" width="17.7109375" style="1" customWidth="1"/>
    <col min="7" max="7" width="2.42578125" style="1" customWidth="1"/>
    <col min="8" max="8" width="9.140625" style="1"/>
    <col min="9" max="9" width="10.28515625" style="1" bestFit="1" customWidth="1"/>
    <col min="10" max="13" width="9.140625" style="1"/>
    <col min="14" max="14" width="10.28515625" style="1" customWidth="1"/>
    <col min="15" max="16384" width="9.140625" style="1"/>
  </cols>
  <sheetData>
    <row r="1" spans="2:15" ht="15.75" x14ac:dyDescent="0.25">
      <c r="B1" s="6" t="s">
        <v>4</v>
      </c>
      <c r="C1" s="6"/>
      <c r="D1" s="6"/>
      <c r="E1" s="6"/>
      <c r="F1" s="6"/>
    </row>
    <row r="2" spans="2:15" ht="8.25" customHeight="1" x14ac:dyDescent="0.25">
      <c r="B2" s="6"/>
      <c r="C2" s="6"/>
      <c r="D2" s="6"/>
      <c r="E2" s="6"/>
      <c r="F2" s="6"/>
    </row>
    <row r="3" spans="2:15" ht="15.75" x14ac:dyDescent="0.25">
      <c r="B3" s="6" t="s">
        <v>1</v>
      </c>
      <c r="C3" s="6"/>
      <c r="D3" s="6"/>
      <c r="E3" s="6"/>
      <c r="F3" s="6"/>
    </row>
    <row r="4" spans="2:15" ht="15.75" x14ac:dyDescent="0.25">
      <c r="B4" s="6" t="str">
        <f>Capacity!$B$4</f>
        <v>Step Study between 2017.Q3 and 2017.Q2 Compliance Filing</v>
      </c>
      <c r="C4" s="6"/>
      <c r="D4" s="6"/>
      <c r="E4" s="6"/>
      <c r="F4" s="6"/>
    </row>
    <row r="5" spans="2:15" ht="15.75" x14ac:dyDescent="0.25">
      <c r="B5" s="6" t="s">
        <v>11</v>
      </c>
      <c r="C5" s="6"/>
      <c r="D5" s="6"/>
      <c r="E5" s="6"/>
      <c r="F5" s="6"/>
    </row>
    <row r="6" spans="2:15" s="18" customFormat="1" ht="15.75" x14ac:dyDescent="0.25">
      <c r="B6" s="16"/>
      <c r="C6" s="16"/>
      <c r="D6" s="16"/>
      <c r="E6" s="17"/>
      <c r="F6" s="16"/>
    </row>
    <row r="7" spans="2:15" ht="15.75" x14ac:dyDescent="0.25">
      <c r="B7" s="43"/>
      <c r="C7" s="44" t="str">
        <f>Energy!C7</f>
        <v>2017.Q2</v>
      </c>
      <c r="D7" s="44" t="str">
        <f>Energy!D7</f>
        <v>Generic</v>
      </c>
      <c r="E7" s="44" t="str">
        <f>Energy!E7</f>
        <v>OFPC</v>
      </c>
      <c r="F7" s="44" t="str">
        <f>Energy!F7</f>
        <v>Queue</v>
      </c>
    </row>
    <row r="8" spans="2:15" ht="15.75" x14ac:dyDescent="0.25">
      <c r="B8" s="7" t="s">
        <v>0</v>
      </c>
      <c r="C8" s="2" t="str">
        <f>Energy!C8</f>
        <v>As Filed</v>
      </c>
      <c r="D8" s="2" t="str">
        <f>Energy!D8</f>
        <v xml:space="preserve"> Update</v>
      </c>
      <c r="E8" s="2" t="str">
        <f>Energy!E8</f>
        <v>1709</v>
      </c>
      <c r="F8" s="2"/>
    </row>
    <row r="9" spans="2:15" ht="4.5" customHeight="1" x14ac:dyDescent="0.2"/>
    <row r="10" spans="2:15" ht="15.75" x14ac:dyDescent="0.25">
      <c r="B10" s="3">
        <v>2018</v>
      </c>
      <c r="C10" s="67">
        <f>ROUND(Capacity!$F10+Energy!C10,3)</f>
        <v>20.741</v>
      </c>
      <c r="D10" s="67">
        <f>ROUND(Capacity!$G10+Energy!D10,3)</f>
        <v>21.352</v>
      </c>
      <c r="E10" s="67">
        <f>ROUND(Capacity!$G10+Energy!E10,3)</f>
        <v>20.759</v>
      </c>
      <c r="F10" s="67">
        <f>ROUND(Capacity!$G10+Energy!F10,3)</f>
        <v>20.686</v>
      </c>
      <c r="H10" s="45"/>
      <c r="I10" s="52"/>
      <c r="J10" s="45"/>
      <c r="K10" s="45"/>
      <c r="L10" s="45"/>
      <c r="M10" s="45"/>
      <c r="N10" s="45"/>
    </row>
    <row r="11" spans="2:15" ht="15.75" x14ac:dyDescent="0.25">
      <c r="B11" s="3">
        <f t="shared" ref="B11:B24" si="0">B10+1</f>
        <v>2019</v>
      </c>
      <c r="C11" s="67">
        <f>ROUND(Capacity!$F11+Energy!C11,3)</f>
        <v>20.727</v>
      </c>
      <c r="D11" s="67">
        <f>ROUND(Capacity!$G11+Energy!D11,3)</f>
        <v>20.760999999999999</v>
      </c>
      <c r="E11" s="67">
        <f>ROUND(Capacity!$G11+Energy!E11,3)</f>
        <v>18.981999999999999</v>
      </c>
      <c r="F11" s="67">
        <f>ROUND(Capacity!$G11+Energy!F11,3)</f>
        <v>18.835999999999999</v>
      </c>
      <c r="H11" s="45"/>
      <c r="I11" s="52"/>
      <c r="J11" s="45"/>
      <c r="K11" s="45"/>
      <c r="L11" s="45"/>
      <c r="M11" s="45"/>
      <c r="N11" s="45"/>
    </row>
    <row r="12" spans="2:15" ht="15.75" x14ac:dyDescent="0.25">
      <c r="B12" s="3">
        <f t="shared" si="0"/>
        <v>2020</v>
      </c>
      <c r="C12" s="67">
        <f>ROUND(Capacity!$F12+Energy!C12,3)</f>
        <v>18.945</v>
      </c>
      <c r="D12" s="67">
        <f>ROUND(Capacity!$G12+Energy!D12,3)</f>
        <v>19.771000000000001</v>
      </c>
      <c r="E12" s="67">
        <f>ROUND(Capacity!$G12+Energy!E12,3)</f>
        <v>17.141999999999999</v>
      </c>
      <c r="F12" s="67">
        <f>ROUND(Capacity!$G12+Energy!F12,3)</f>
        <v>16.931999999999999</v>
      </c>
      <c r="H12" s="45"/>
      <c r="I12" s="52"/>
      <c r="J12" s="45"/>
      <c r="K12" s="45"/>
      <c r="L12" s="45"/>
      <c r="M12" s="45"/>
      <c r="N12" s="45"/>
    </row>
    <row r="13" spans="2:15" ht="15.75" x14ac:dyDescent="0.25">
      <c r="B13" s="3">
        <f t="shared" si="0"/>
        <v>2021</v>
      </c>
      <c r="C13" s="67">
        <f>ROUND(Capacity!$F13+Energy!C13,3)</f>
        <v>19.212</v>
      </c>
      <c r="D13" s="67">
        <f>ROUND(Capacity!$G13+Energy!D13,3)</f>
        <v>19.812999999999999</v>
      </c>
      <c r="E13" s="67">
        <f>ROUND(Capacity!$G13+Energy!E13,3)</f>
        <v>18.823</v>
      </c>
      <c r="F13" s="67">
        <f>ROUND(Capacity!$G13+Energy!F13,3)</f>
        <v>18.863</v>
      </c>
      <c r="H13" s="45"/>
      <c r="I13" s="52"/>
      <c r="J13" s="45"/>
      <c r="K13" s="45"/>
      <c r="L13" s="45"/>
      <c r="M13" s="45"/>
      <c r="N13" s="45"/>
      <c r="O13" s="5"/>
    </row>
    <row r="14" spans="2:15" ht="15.75" x14ac:dyDescent="0.25">
      <c r="B14" s="3">
        <f t="shared" si="0"/>
        <v>2022</v>
      </c>
      <c r="C14" s="67">
        <f>ROUND(Capacity!$F14+Energy!C14,3)</f>
        <v>20.82</v>
      </c>
      <c r="D14" s="67">
        <f>ROUND(Capacity!$G14+Energy!D14,3)</f>
        <v>21.710999999999999</v>
      </c>
      <c r="E14" s="67">
        <f>ROUND(Capacity!$G14+Energy!E14,3)</f>
        <v>20.001999999999999</v>
      </c>
      <c r="F14" s="67">
        <f>ROUND(Capacity!$G14+Energy!F14,3)</f>
        <v>19.908999999999999</v>
      </c>
      <c r="H14" s="45"/>
      <c r="I14" s="52"/>
      <c r="J14" s="45"/>
      <c r="K14" s="45"/>
      <c r="L14" s="45"/>
      <c r="M14" s="45"/>
      <c r="N14" s="45"/>
    </row>
    <row r="15" spans="2:15" ht="15.75" x14ac:dyDescent="0.25">
      <c r="B15" s="3">
        <f t="shared" si="0"/>
        <v>2023</v>
      </c>
      <c r="C15" s="67">
        <f>ROUND(Capacity!$F15+Energy!C15,3)</f>
        <v>21.751000000000001</v>
      </c>
      <c r="D15" s="67">
        <f>ROUND(Capacity!$G15+Energy!D15,3)</f>
        <v>22.190999999999999</v>
      </c>
      <c r="E15" s="67">
        <f>ROUND(Capacity!$G15+Energy!E15,3)</f>
        <v>20.86</v>
      </c>
      <c r="F15" s="67">
        <f>ROUND(Capacity!$G15+Energy!F15,3)</f>
        <v>20.738</v>
      </c>
      <c r="H15" s="45"/>
      <c r="I15" s="52"/>
      <c r="J15" s="45"/>
      <c r="K15" s="45"/>
      <c r="L15" s="45"/>
      <c r="M15" s="45"/>
      <c r="N15" s="45"/>
    </row>
    <row r="16" spans="2:15" ht="15.75" x14ac:dyDescent="0.25">
      <c r="B16" s="3">
        <f t="shared" si="0"/>
        <v>2024</v>
      </c>
      <c r="C16" s="67">
        <f>ROUND(Capacity!$F16+Energy!C16,3)</f>
        <v>22.378</v>
      </c>
      <c r="D16" s="67">
        <f>ROUND(Capacity!$G16+Energy!D16,3)</f>
        <v>23.067</v>
      </c>
      <c r="E16" s="67">
        <f>ROUND(Capacity!$G16+Energy!E16,3)</f>
        <v>24.456</v>
      </c>
      <c r="F16" s="67">
        <f>ROUND(Capacity!$G16+Energy!F16,3)</f>
        <v>24.254999999999999</v>
      </c>
      <c r="H16" s="45"/>
      <c r="I16" s="52"/>
      <c r="J16" s="45"/>
      <c r="K16" s="45"/>
      <c r="L16" s="45"/>
      <c r="M16" s="45"/>
      <c r="N16" s="45"/>
    </row>
    <row r="17" spans="2:14" ht="15.75" x14ac:dyDescent="0.25">
      <c r="B17" s="3">
        <f t="shared" si="0"/>
        <v>2025</v>
      </c>
      <c r="C17" s="67">
        <f>ROUND(Capacity!$F17+Energy!C17,3)</f>
        <v>23.236999999999998</v>
      </c>
      <c r="D17" s="67">
        <f>ROUND(Capacity!$G17+Energy!D17,3)</f>
        <v>24.423999999999999</v>
      </c>
      <c r="E17" s="67">
        <f>ROUND(Capacity!$G17+Energy!E17,3)</f>
        <v>27.815999999999999</v>
      </c>
      <c r="F17" s="67">
        <f>ROUND(Capacity!$G17+Energy!F17,3)</f>
        <v>27.641999999999999</v>
      </c>
      <c r="H17" s="45"/>
      <c r="I17" s="52"/>
      <c r="J17" s="45"/>
      <c r="K17" s="45"/>
      <c r="L17" s="45"/>
      <c r="M17" s="45"/>
      <c r="N17" s="45"/>
    </row>
    <row r="18" spans="2:14" ht="15.75" x14ac:dyDescent="0.25">
      <c r="B18" s="3">
        <f t="shared" si="0"/>
        <v>2026</v>
      </c>
      <c r="C18" s="67">
        <f>ROUND(Capacity!$F18+Energy!C18,3)</f>
        <v>24.606000000000002</v>
      </c>
      <c r="D18" s="67">
        <f>ROUND(Capacity!$G18+Energy!D18,3)</f>
        <v>25.42</v>
      </c>
      <c r="E18" s="67">
        <f>ROUND(Capacity!$G18+Energy!E18,3)</f>
        <v>27.6</v>
      </c>
      <c r="F18" s="67">
        <f>ROUND(Capacity!$G18+Energy!F18,3)</f>
        <v>27.390999999999998</v>
      </c>
      <c r="H18" s="45"/>
      <c r="I18" s="52"/>
      <c r="J18" s="45"/>
      <c r="K18" s="45"/>
      <c r="L18" s="45"/>
      <c r="M18" s="45"/>
      <c r="N18" s="45"/>
    </row>
    <row r="19" spans="2:14" ht="15.75" x14ac:dyDescent="0.25">
      <c r="B19" s="3">
        <f t="shared" si="0"/>
        <v>2027</v>
      </c>
      <c r="C19" s="67">
        <f>ROUND(Capacity!$F19+Energy!C19,3)</f>
        <v>25.516999999999999</v>
      </c>
      <c r="D19" s="67">
        <f>ROUND(Capacity!$G19+Energy!D19,3)</f>
        <v>26.437999999999999</v>
      </c>
      <c r="E19" s="67">
        <f>ROUND(Capacity!$G19+Energy!E19,3)</f>
        <v>28.673999999999999</v>
      </c>
      <c r="F19" s="67">
        <f>ROUND(Capacity!$G19+Energy!F19,3)</f>
        <v>28.399000000000001</v>
      </c>
      <c r="H19" s="45"/>
      <c r="I19" s="52"/>
      <c r="J19" s="45"/>
      <c r="K19" s="45"/>
      <c r="L19" s="45"/>
      <c r="M19" s="45"/>
      <c r="N19" s="45"/>
    </row>
    <row r="20" spans="2:14" ht="15.75" x14ac:dyDescent="0.25">
      <c r="B20" s="3">
        <f t="shared" si="0"/>
        <v>2028</v>
      </c>
      <c r="C20" s="67">
        <f>ROUND(Capacity!$F20+Energy!C20,3)</f>
        <v>27.695</v>
      </c>
      <c r="D20" s="67">
        <f>ROUND(Capacity!$G20+Energy!D20,3)</f>
        <v>28.4</v>
      </c>
      <c r="E20" s="67">
        <f>ROUND(Capacity!$G20+Energy!E20,3)</f>
        <v>30.599</v>
      </c>
      <c r="F20" s="67">
        <f>ROUND(Capacity!$G20+Energy!F20,3)</f>
        <v>30.41</v>
      </c>
      <c r="H20" s="45"/>
      <c r="I20" s="52"/>
      <c r="J20" s="45"/>
      <c r="K20" s="45"/>
      <c r="L20" s="45"/>
      <c r="M20" s="45"/>
      <c r="N20" s="45"/>
    </row>
    <row r="21" spans="2:14" ht="15.75" x14ac:dyDescent="0.25">
      <c r="B21" s="3">
        <f t="shared" si="0"/>
        <v>2029</v>
      </c>
      <c r="C21" s="67">
        <f>ROUND(Capacity!$F21+Energy!C21,3)</f>
        <v>32.133000000000003</v>
      </c>
      <c r="D21" s="67">
        <f>ROUND(Capacity!$G21+Energy!D21,3)</f>
        <v>32.79</v>
      </c>
      <c r="E21" s="67">
        <f>ROUND(Capacity!$G21+Energy!E21,3)</f>
        <v>32.753999999999998</v>
      </c>
      <c r="F21" s="67">
        <f>ROUND(Capacity!$G21+Energy!F21,3)</f>
        <v>32.533000000000001</v>
      </c>
      <c r="H21" s="45"/>
      <c r="I21" s="52"/>
      <c r="J21" s="45"/>
      <c r="K21" s="45"/>
      <c r="L21" s="45"/>
      <c r="M21" s="45"/>
      <c r="N21" s="45"/>
    </row>
    <row r="22" spans="2:14" ht="15.75" x14ac:dyDescent="0.25">
      <c r="B22" s="3">
        <f t="shared" si="0"/>
        <v>2030</v>
      </c>
      <c r="C22" s="67">
        <f>ROUND(Capacity!$F22+Energy!C22,3)</f>
        <v>35.158000000000001</v>
      </c>
      <c r="D22" s="67">
        <f>ROUND(Capacity!$G22+Energy!D22,3)</f>
        <v>35.877000000000002</v>
      </c>
      <c r="E22" s="67">
        <f>ROUND(Capacity!$G22+Energy!E22,3)</f>
        <v>35.465000000000003</v>
      </c>
      <c r="F22" s="67">
        <f>ROUND(Capacity!$G22+Energy!F22,3)</f>
        <v>34.994</v>
      </c>
      <c r="H22" s="45"/>
      <c r="I22" s="52"/>
      <c r="J22" s="45"/>
      <c r="K22" s="45"/>
      <c r="L22" s="45"/>
      <c r="M22" s="45"/>
      <c r="N22" s="45"/>
    </row>
    <row r="23" spans="2:14" ht="15.75" x14ac:dyDescent="0.25">
      <c r="B23" s="3">
        <f t="shared" si="0"/>
        <v>2031</v>
      </c>
      <c r="C23" s="67">
        <f>ROUND(Capacity!$F23+Energy!C23,3)</f>
        <v>36.911999999999999</v>
      </c>
      <c r="D23" s="67">
        <f>ROUND(Capacity!$G23+Energy!D23,3)</f>
        <v>37.518000000000001</v>
      </c>
      <c r="E23" s="67">
        <f>ROUND(Capacity!$G23+Energy!E23,3)</f>
        <v>36.965000000000003</v>
      </c>
      <c r="F23" s="67">
        <f>ROUND(Capacity!$G23+Energy!F23,3)</f>
        <v>36.426000000000002</v>
      </c>
      <c r="H23" s="45"/>
      <c r="I23" s="52"/>
      <c r="J23" s="45"/>
      <c r="K23" s="45"/>
      <c r="L23" s="45"/>
      <c r="M23" s="45"/>
      <c r="N23" s="45"/>
    </row>
    <row r="24" spans="2:14" ht="15.75" x14ac:dyDescent="0.25">
      <c r="B24" s="3">
        <f t="shared" si="0"/>
        <v>2032</v>
      </c>
      <c r="C24" s="67">
        <f>ROUND(Capacity!$F24+Energy!C24,3)</f>
        <v>38.807000000000002</v>
      </c>
      <c r="D24" s="67">
        <f>ROUND(Capacity!$G24+Energy!D24,3)</f>
        <v>39.103999999999999</v>
      </c>
      <c r="E24" s="67">
        <f>ROUND(Capacity!$G24+Energy!E24,3)</f>
        <v>37.89</v>
      </c>
      <c r="F24" s="67">
        <f>ROUND(Capacity!$G24+Energy!F24,3)</f>
        <v>37.700000000000003</v>
      </c>
      <c r="H24" s="45"/>
      <c r="I24" s="52"/>
      <c r="J24" s="45"/>
      <c r="K24" s="45"/>
      <c r="L24" s="45"/>
      <c r="M24" s="45"/>
      <c r="N24" s="45"/>
    </row>
    <row r="25" spans="2:14" x14ac:dyDescent="0.2">
      <c r="C25" s="68"/>
      <c r="D25" s="68"/>
      <c r="E25" s="68"/>
      <c r="F25" s="68"/>
      <c r="H25" s="45"/>
      <c r="I25" s="45"/>
    </row>
    <row r="26" spans="2:14" x14ac:dyDescent="0.2">
      <c r="B26" s="4" t="str">
        <f>"Nominal Levelized Payment at "&amp;TEXT(Discount_Rate,"0.000%")&amp;" Discount Rate (3)"</f>
        <v>Nominal Levelized Payment at 6.570% Discount Rate (3)</v>
      </c>
      <c r="C26" s="68"/>
      <c r="D26" s="68"/>
      <c r="E26" s="68"/>
      <c r="F26" s="68"/>
      <c r="H26" s="45"/>
      <c r="I26" s="45"/>
    </row>
    <row r="27" spans="2:14" x14ac:dyDescent="0.2">
      <c r="B27" s="8" t="str">
        <f>B10&amp;" - "&amp;B24</f>
        <v>2018 - 2032</v>
      </c>
      <c r="C27" s="69">
        <f>ROUND(PMT(Discount_Rate,COUNT(C10:C24),-NPV(Discount_Rate,C10:C24)),2)</f>
        <v>24.37</v>
      </c>
      <c r="D27" s="69">
        <f>ROUND(PMT(Discount_Rate,COUNT(D10:D24),-NPV(Discount_Rate,D10:D24)),3)</f>
        <v>25.026</v>
      </c>
      <c r="E27" s="69">
        <f>ROUND(PMT(Discount_Rate,COUNT(E10:E24),-NPV(Discount_Rate,E10:E24)),3)</f>
        <v>24.847999999999999</v>
      </c>
      <c r="F27" s="69">
        <f>ROUND(PMT(Discount_Rate,COUNT(F10:F24),-NPV(Discount_Rate,F10:F24)),3)</f>
        <v>24.667999999999999</v>
      </c>
      <c r="H27" s="45"/>
      <c r="I27" s="52"/>
    </row>
    <row r="28" spans="2:14" x14ac:dyDescent="0.2">
      <c r="D28" s="10"/>
      <c r="E28" s="10"/>
      <c r="F28" s="10"/>
      <c r="H28" s="45"/>
      <c r="I28" s="45"/>
    </row>
    <row r="29" spans="2:14" x14ac:dyDescent="0.2">
      <c r="B29" s="8" t="s">
        <v>15</v>
      </c>
      <c r="H29" s="45"/>
      <c r="I29" s="45"/>
    </row>
    <row r="30" spans="2:14" x14ac:dyDescent="0.2">
      <c r="B30" s="1" t="str">
        <f>"(2)   Official Forward Price Curve Dated "&amp;TEXT(B39,"MMMM YYYY")</f>
        <v>(2)   Official Forward Price Curve Dated September 2017</v>
      </c>
      <c r="H30" s="45"/>
      <c r="I30" s="45"/>
    </row>
    <row r="31" spans="2:14" x14ac:dyDescent="0.2">
      <c r="B31" s="1" t="str">
        <f>"(3)   "&amp;B35</f>
        <v>(3)   Discount Rate - 2017 IRP</v>
      </c>
    </row>
    <row r="32" spans="2:14" x14ac:dyDescent="0.2">
      <c r="B32" s="1" t="s">
        <v>10</v>
      </c>
    </row>
    <row r="34" spans="2:6" x14ac:dyDescent="0.2">
      <c r="B34" s="21"/>
    </row>
    <row r="35" spans="2:6" x14ac:dyDescent="0.2">
      <c r="B35" s="21" t="s">
        <v>18</v>
      </c>
      <c r="D35" s="19"/>
      <c r="F35" s="19"/>
    </row>
    <row r="36" spans="2:6" x14ac:dyDescent="0.2">
      <c r="B36" s="20">
        <v>6.5699999999999995E-2</v>
      </c>
      <c r="D36" s="19"/>
      <c r="F36" s="19"/>
    </row>
    <row r="37" spans="2:6" x14ac:dyDescent="0.2">
      <c r="D37" s="19"/>
      <c r="E37" s="19"/>
      <c r="F37" s="19"/>
    </row>
    <row r="38" spans="2:6" x14ac:dyDescent="0.2">
      <c r="B38" s="1" t="s">
        <v>12</v>
      </c>
    </row>
    <row r="39" spans="2:6" x14ac:dyDescent="0.2">
      <c r="B39" s="22">
        <v>43007</v>
      </c>
    </row>
  </sheetData>
  <phoneticPr fontId="2" type="noConversion"/>
  <printOptions horizontalCentered="1"/>
  <pageMargins left="0.25" right="0.25" top="0.75" bottom="0.75" header="0.3" footer="0.2"/>
  <pageSetup orientation="landscape" r:id="rId1"/>
  <headerFooter alignWithMargins="0">
    <oddFooter>&amp;L&amp;8NPC Group - &amp;F   ( &amp;A )&amp;C&amp;8Page &amp;P of &amp;N&amp;R&amp;8&amp;D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2"/>
    <pageSetUpPr fitToPage="1"/>
  </sheetPr>
  <dimension ref="B1:I40"/>
  <sheetViews>
    <sheetView zoomScale="70" zoomScaleNormal="70" workbookViewId="0">
      <pane xSplit="2" ySplit="8" topLeftCell="C9" activePane="bottomRight" state="frozen"/>
      <selection activeCell="E39" sqref="E39"/>
      <selection pane="topRight" activeCell="E39" sqref="E39"/>
      <selection pane="bottomLeft" activeCell="E39" sqref="E39"/>
      <selection pane="bottomRight" activeCell="F19" sqref="F19"/>
    </sheetView>
  </sheetViews>
  <sheetFormatPr defaultRowHeight="15" x14ac:dyDescent="0.2"/>
  <cols>
    <col min="1" max="1" width="1.85546875" style="25" customWidth="1"/>
    <col min="2" max="2" width="13.7109375" style="25" customWidth="1"/>
    <col min="3" max="6" width="17.7109375" style="25" customWidth="1"/>
    <col min="7" max="7" width="2.28515625" style="25" customWidth="1"/>
    <col min="8" max="8" width="10" style="25" bestFit="1" customWidth="1"/>
    <col min="9" max="16384" width="9.140625" style="25"/>
  </cols>
  <sheetData>
    <row r="1" spans="2:9" ht="15.75" x14ac:dyDescent="0.25">
      <c r="B1" s="23" t="str">
        <f>Total!B1</f>
        <v>Appendix C</v>
      </c>
      <c r="C1" s="23"/>
      <c r="D1" s="23"/>
      <c r="E1" s="23"/>
      <c r="F1" s="23"/>
    </row>
    <row r="2" spans="2:9" ht="8.25" customHeight="1" x14ac:dyDescent="0.25">
      <c r="B2" s="23"/>
      <c r="C2" s="23"/>
      <c r="D2" s="23"/>
      <c r="E2" s="23"/>
      <c r="F2" s="23"/>
    </row>
    <row r="3" spans="2:9" ht="15.75" x14ac:dyDescent="0.25">
      <c r="B3" s="23" t="str">
        <f>Total!B3</f>
        <v>Utah Quarterly Compliance Filing</v>
      </c>
      <c r="C3" s="23"/>
      <c r="D3" s="23"/>
      <c r="E3" s="23"/>
      <c r="F3" s="23"/>
    </row>
    <row r="4" spans="2:9" ht="15.75" x14ac:dyDescent="0.25">
      <c r="B4" s="23" t="str">
        <f>Capacity!$B$4</f>
        <v>Step Study between 2017.Q3 and 2017.Q2 Compliance Filing</v>
      </c>
      <c r="C4" s="23"/>
      <c r="D4" s="23"/>
      <c r="E4" s="23"/>
      <c r="F4" s="23"/>
    </row>
    <row r="5" spans="2:9" ht="15.75" x14ac:dyDescent="0.25">
      <c r="B5" s="23" t="s">
        <v>6</v>
      </c>
      <c r="C5" s="23"/>
      <c r="D5" s="23"/>
      <c r="E5" s="23"/>
      <c r="F5" s="23"/>
    </row>
    <row r="6" spans="2:9" ht="15.75" x14ac:dyDescent="0.25">
      <c r="B6" s="23"/>
      <c r="C6" s="48"/>
      <c r="D6" s="48"/>
      <c r="E6" s="48"/>
      <c r="F6" s="48"/>
    </row>
    <row r="7" spans="2:9" ht="15.75" x14ac:dyDescent="0.25">
      <c r="B7" s="26"/>
      <c r="C7" s="41" t="str">
        <f>Capacity!K7</f>
        <v>2017.Q2</v>
      </c>
      <c r="D7" s="47" t="s">
        <v>21</v>
      </c>
      <c r="E7" s="11" t="s">
        <v>17</v>
      </c>
      <c r="F7" s="11" t="s">
        <v>23</v>
      </c>
      <c r="H7" s="63"/>
      <c r="I7" s="64"/>
    </row>
    <row r="8" spans="2:9" ht="15.75" x14ac:dyDescent="0.25">
      <c r="B8" s="28" t="s">
        <v>0</v>
      </c>
      <c r="C8" s="40" t="s">
        <v>7</v>
      </c>
      <c r="D8" s="40" t="s">
        <v>22</v>
      </c>
      <c r="E8" s="60" t="s">
        <v>26</v>
      </c>
      <c r="F8" s="46"/>
      <c r="H8" s="63"/>
      <c r="I8" s="64"/>
    </row>
    <row r="9" spans="2:9" ht="4.5" customHeight="1" x14ac:dyDescent="0.2">
      <c r="H9" s="64"/>
      <c r="I9" s="64"/>
    </row>
    <row r="10" spans="2:9" ht="15.75" x14ac:dyDescent="0.25">
      <c r="B10" s="30">
        <f>Total!B10</f>
        <v>2018</v>
      </c>
      <c r="C10" s="62">
        <v>20.741</v>
      </c>
      <c r="D10" s="62">
        <v>21.352</v>
      </c>
      <c r="E10" s="62">
        <v>20.759</v>
      </c>
      <c r="F10" s="62">
        <v>20.686</v>
      </c>
      <c r="H10" s="65"/>
      <c r="I10" s="66"/>
    </row>
    <row r="11" spans="2:9" ht="15.75" x14ac:dyDescent="0.25">
      <c r="B11" s="30">
        <f t="shared" ref="B11:B24" si="0">B10+1</f>
        <v>2019</v>
      </c>
      <c r="C11" s="62">
        <v>20.727</v>
      </c>
      <c r="D11" s="62">
        <v>20.760999999999999</v>
      </c>
      <c r="E11" s="62">
        <v>18.981999999999999</v>
      </c>
      <c r="F11" s="62">
        <v>18.835999999999999</v>
      </c>
      <c r="H11" s="65"/>
      <c r="I11" s="66"/>
    </row>
    <row r="12" spans="2:9" ht="15.75" x14ac:dyDescent="0.25">
      <c r="B12" s="30">
        <f t="shared" si="0"/>
        <v>2020</v>
      </c>
      <c r="C12" s="62">
        <v>18.945</v>
      </c>
      <c r="D12" s="62">
        <v>19.771000000000001</v>
      </c>
      <c r="E12" s="62">
        <v>17.141999999999999</v>
      </c>
      <c r="F12" s="62">
        <v>16.931999999999999</v>
      </c>
      <c r="H12" s="65"/>
      <c r="I12" s="66"/>
    </row>
    <row r="13" spans="2:9" ht="15.75" x14ac:dyDescent="0.25">
      <c r="B13" s="30">
        <f t="shared" si="0"/>
        <v>2021</v>
      </c>
      <c r="C13" s="62">
        <v>19.212</v>
      </c>
      <c r="D13" s="62">
        <v>19.812999999999999</v>
      </c>
      <c r="E13" s="62">
        <v>18.823</v>
      </c>
      <c r="F13" s="62">
        <v>18.863</v>
      </c>
      <c r="H13" s="65"/>
      <c r="I13" s="66"/>
    </row>
    <row r="14" spans="2:9" ht="15.75" x14ac:dyDescent="0.25">
      <c r="B14" s="30">
        <f t="shared" si="0"/>
        <v>2022</v>
      </c>
      <c r="C14" s="62">
        <v>20.82</v>
      </c>
      <c r="D14" s="62">
        <v>21.710999999999999</v>
      </c>
      <c r="E14" s="62">
        <v>20.001999999999999</v>
      </c>
      <c r="F14" s="62">
        <v>19.908999999999999</v>
      </c>
      <c r="H14" s="65"/>
      <c r="I14" s="66"/>
    </row>
    <row r="15" spans="2:9" ht="15.75" x14ac:dyDescent="0.25">
      <c r="B15" s="30">
        <f t="shared" si="0"/>
        <v>2023</v>
      </c>
      <c r="C15" s="62">
        <v>21.751000000000001</v>
      </c>
      <c r="D15" s="62">
        <v>22.191000000000003</v>
      </c>
      <c r="E15" s="62">
        <v>20.860000000000003</v>
      </c>
      <c r="F15" s="62">
        <v>20.738</v>
      </c>
      <c r="H15" s="65"/>
      <c r="I15" s="66"/>
    </row>
    <row r="16" spans="2:9" ht="15.75" x14ac:dyDescent="0.25">
      <c r="B16" s="30">
        <f t="shared" si="0"/>
        <v>2024</v>
      </c>
      <c r="C16" s="62">
        <v>22.378</v>
      </c>
      <c r="D16" s="62">
        <v>23.067</v>
      </c>
      <c r="E16" s="62">
        <v>24.456</v>
      </c>
      <c r="F16" s="62">
        <v>24.254999999999999</v>
      </c>
      <c r="H16" s="65"/>
      <c r="I16" s="66"/>
    </row>
    <row r="17" spans="2:9" ht="15.75" x14ac:dyDescent="0.25">
      <c r="B17" s="30">
        <f t="shared" si="0"/>
        <v>2025</v>
      </c>
      <c r="C17" s="62">
        <v>23.236999999999998</v>
      </c>
      <c r="D17" s="62">
        <v>24.423999999999999</v>
      </c>
      <c r="E17" s="62">
        <v>27.815999999999999</v>
      </c>
      <c r="F17" s="62">
        <v>27.641999999999999</v>
      </c>
      <c r="H17" s="65"/>
      <c r="I17" s="66"/>
    </row>
    <row r="18" spans="2:9" ht="15.75" x14ac:dyDescent="0.25">
      <c r="B18" s="30">
        <f t="shared" si="0"/>
        <v>2026</v>
      </c>
      <c r="C18" s="62">
        <v>24.606000000000002</v>
      </c>
      <c r="D18" s="62">
        <v>25.42</v>
      </c>
      <c r="E18" s="62">
        <v>27.6</v>
      </c>
      <c r="F18" s="62">
        <v>27.390999999999998</v>
      </c>
      <c r="H18" s="65"/>
      <c r="I18" s="66"/>
    </row>
    <row r="19" spans="2:9" ht="15.75" x14ac:dyDescent="0.25">
      <c r="B19" s="30">
        <f t="shared" si="0"/>
        <v>2027</v>
      </c>
      <c r="C19" s="62">
        <v>25.516999999999999</v>
      </c>
      <c r="D19" s="62">
        <v>26.437999999999999</v>
      </c>
      <c r="E19" s="62">
        <v>28.673999999999999</v>
      </c>
      <c r="F19" s="62">
        <v>28.399000000000001</v>
      </c>
      <c r="H19" s="65"/>
      <c r="I19" s="66"/>
    </row>
    <row r="20" spans="2:9" ht="15.75" x14ac:dyDescent="0.25">
      <c r="B20" s="30">
        <f t="shared" si="0"/>
        <v>2028</v>
      </c>
      <c r="C20" s="62">
        <v>27.695</v>
      </c>
      <c r="D20" s="62">
        <v>28.4</v>
      </c>
      <c r="E20" s="62">
        <v>30.598999999999997</v>
      </c>
      <c r="F20" s="62">
        <v>30.41</v>
      </c>
      <c r="H20" s="65"/>
      <c r="I20" s="66"/>
    </row>
    <row r="21" spans="2:9" ht="15.75" x14ac:dyDescent="0.25">
      <c r="B21" s="30">
        <f t="shared" si="0"/>
        <v>2029</v>
      </c>
      <c r="C21" s="62">
        <v>32.133000000000003</v>
      </c>
      <c r="D21" s="62">
        <v>32.790000000000006</v>
      </c>
      <c r="E21" s="62">
        <v>32.754000000000005</v>
      </c>
      <c r="F21" s="62">
        <v>32.533000000000001</v>
      </c>
      <c r="H21" s="65"/>
      <c r="I21" s="66"/>
    </row>
    <row r="22" spans="2:9" ht="15.75" x14ac:dyDescent="0.25">
      <c r="B22" s="30">
        <f t="shared" si="0"/>
        <v>2030</v>
      </c>
      <c r="C22" s="62">
        <v>35.158000000000001</v>
      </c>
      <c r="D22" s="62">
        <v>35.877000000000002</v>
      </c>
      <c r="E22" s="62">
        <v>35.465000000000003</v>
      </c>
      <c r="F22" s="62">
        <v>34.994</v>
      </c>
      <c r="H22" s="65"/>
      <c r="I22" s="66"/>
    </row>
    <row r="23" spans="2:9" ht="15.75" x14ac:dyDescent="0.25">
      <c r="B23" s="30">
        <f t="shared" si="0"/>
        <v>2031</v>
      </c>
      <c r="C23" s="62">
        <v>36.911999999999999</v>
      </c>
      <c r="D23" s="62">
        <v>37.518000000000001</v>
      </c>
      <c r="E23" s="62">
        <v>36.965000000000003</v>
      </c>
      <c r="F23" s="62">
        <v>36.426000000000002</v>
      </c>
      <c r="H23" s="65"/>
      <c r="I23" s="66"/>
    </row>
    <row r="24" spans="2:9" ht="15.75" x14ac:dyDescent="0.25">
      <c r="B24" s="30">
        <f t="shared" si="0"/>
        <v>2032</v>
      </c>
      <c r="C24" s="62">
        <v>38.807000000000002</v>
      </c>
      <c r="D24" s="62">
        <v>39.103999999999999</v>
      </c>
      <c r="E24" s="62">
        <v>37.89</v>
      </c>
      <c r="F24" s="62">
        <v>37.700000000000003</v>
      </c>
      <c r="H24" s="65"/>
      <c r="I24" s="66"/>
    </row>
    <row r="25" spans="2:9" x14ac:dyDescent="0.2">
      <c r="C25" s="39"/>
      <c r="D25" s="39"/>
      <c r="E25" s="39"/>
      <c r="F25" s="39"/>
      <c r="H25" s="65"/>
      <c r="I25" s="66"/>
    </row>
    <row r="26" spans="2:9" x14ac:dyDescent="0.2">
      <c r="B26" s="33" t="str">
        <f>"Nominal Levelized Payment at "&amp;TEXT($B$35,"0.00%")&amp;" Discount Rate (3) (4)"</f>
        <v>Nominal Levelized Payment at 6.57% Discount Rate (3) (4)</v>
      </c>
      <c r="C26" s="39"/>
      <c r="D26" s="39"/>
      <c r="E26" s="39"/>
      <c r="F26" s="39"/>
      <c r="H26" s="65"/>
      <c r="I26" s="66"/>
    </row>
    <row r="27" spans="2:9" x14ac:dyDescent="0.2">
      <c r="B27" s="34" t="str">
        <f>B10&amp;" - "&amp;B24</f>
        <v>2018 - 2032</v>
      </c>
      <c r="C27" s="61">
        <f t="shared" ref="C27:F27" si="1">ROUND(PMT($B$35,COUNT(C10:C24),-NPV($B$35,C10:C24)),3)</f>
        <v>24.370999999999999</v>
      </c>
      <c r="D27" s="61">
        <f t="shared" si="1"/>
        <v>25.026</v>
      </c>
      <c r="E27" s="61">
        <f t="shared" si="1"/>
        <v>24.847999999999999</v>
      </c>
      <c r="F27" s="61">
        <f t="shared" si="1"/>
        <v>24.667999999999999</v>
      </c>
      <c r="H27" s="65"/>
      <c r="I27" s="66"/>
    </row>
    <row r="28" spans="2:9" x14ac:dyDescent="0.2">
      <c r="B28" s="34"/>
      <c r="C28" s="32"/>
      <c r="D28" s="32"/>
      <c r="E28" s="32"/>
      <c r="F28" s="71"/>
    </row>
    <row r="29" spans="2:9" x14ac:dyDescent="0.2">
      <c r="B29" s="34" t="str">
        <f>Total!B29</f>
        <v>(1)   Studies are sequential.  The order of the studies would affect the price impact.</v>
      </c>
    </row>
    <row r="30" spans="2:9" x14ac:dyDescent="0.2">
      <c r="B30" s="34" t="str">
        <f>Total!B30</f>
        <v>(2)   Official Forward Price Curve Dated September 2017</v>
      </c>
    </row>
    <row r="31" spans="2:9" x14ac:dyDescent="0.2">
      <c r="B31" s="34" t="str">
        <f>Total!B31</f>
        <v>(3)   Discount Rate - 2017 IRP</v>
      </c>
    </row>
    <row r="32" spans="2:9" x14ac:dyDescent="0.2">
      <c r="B32" s="25" t="s">
        <v>16</v>
      </c>
    </row>
    <row r="34" spans="2:6" x14ac:dyDescent="0.2">
      <c r="B34" s="21" t="str">
        <f>Total!B35</f>
        <v>Discount Rate - 2017 IRP</v>
      </c>
    </row>
    <row r="35" spans="2:6" x14ac:dyDescent="0.2">
      <c r="B35" s="38">
        <f>Discount_Rate</f>
        <v>6.5699999999999995E-2</v>
      </c>
    </row>
    <row r="37" spans="2:6" ht="15.75" hidden="1" x14ac:dyDescent="0.25">
      <c r="F37" s="56"/>
    </row>
    <row r="38" spans="2:6" hidden="1" x14ac:dyDescent="0.2">
      <c r="B38" s="53">
        <f t="shared" ref="B38:E38" si="2">IF(OR(B7="not used",B8="not used"),0,1)</f>
        <v>1</v>
      </c>
      <c r="C38" s="53">
        <f t="shared" si="2"/>
        <v>1</v>
      </c>
      <c r="D38" s="53">
        <f>IF(OR(D7="not used",D8="not used"),0,1)</f>
        <v>1</v>
      </c>
      <c r="E38" s="53">
        <f t="shared" si="2"/>
        <v>1</v>
      </c>
      <c r="F38" s="53">
        <f t="shared" ref="F38" si="3">IF(OR(F7="not used",F8="not used"),0,1)</f>
        <v>1</v>
      </c>
    </row>
    <row r="39" spans="2:6" hidden="1" x14ac:dyDescent="0.2"/>
    <row r="40" spans="2:6" hidden="1" x14ac:dyDescent="0.2"/>
  </sheetData>
  <printOptions horizontalCentered="1"/>
  <pageMargins left="0.25" right="0.25" top="0.75" bottom="0.75" header="0.3" footer="0.2"/>
  <pageSetup orientation="landscape" r:id="rId1"/>
  <headerFooter alignWithMargins="0">
    <oddFooter>&amp;L&amp;8NPC Group - &amp;F   ( &amp;A )&amp;C&amp;8Page &amp;P of &amp;N&amp;R&amp;8&amp;D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2"/>
    <pageSetUpPr fitToPage="1"/>
  </sheetPr>
  <dimension ref="B1:K39"/>
  <sheetViews>
    <sheetView zoomScale="70" zoomScaleNormal="70" workbookViewId="0">
      <pane xSplit="2" ySplit="9" topLeftCell="C10" activePane="bottomRight" state="frozen"/>
      <selection activeCell="E39" sqref="E39"/>
      <selection pane="topRight" activeCell="E39" sqref="E39"/>
      <selection pane="bottomLeft" activeCell="E39" sqref="E39"/>
      <selection pane="bottomRight" activeCell="L15" sqref="L15"/>
    </sheetView>
  </sheetViews>
  <sheetFormatPr defaultRowHeight="15" x14ac:dyDescent="0.2"/>
  <cols>
    <col min="1" max="1" width="1.85546875" style="25" customWidth="1"/>
    <col min="2" max="2" width="13.85546875" style="25" customWidth="1"/>
    <col min="3" max="4" width="19.140625" style="25" customWidth="1"/>
    <col min="5" max="5" width="1.140625" style="25" customWidth="1"/>
    <col min="6" max="7" width="19.140625" style="25" customWidth="1"/>
    <col min="8" max="8" width="1.5703125" style="25" customWidth="1"/>
    <col min="9" max="10" width="2.140625" customWidth="1"/>
    <col min="11" max="11" width="9.140625" style="25" customWidth="1"/>
    <col min="12" max="16384" width="9.140625" style="25"/>
  </cols>
  <sheetData>
    <row r="1" spans="2:11" ht="15.75" x14ac:dyDescent="0.25">
      <c r="B1" s="23" t="s">
        <v>4</v>
      </c>
      <c r="C1" s="23"/>
      <c r="D1" s="23"/>
      <c r="E1" s="24"/>
      <c r="F1" s="23"/>
      <c r="G1" s="23"/>
      <c r="H1" s="54"/>
      <c r="I1" s="55"/>
    </row>
    <row r="2" spans="2:11" ht="8.25" customHeight="1" x14ac:dyDescent="0.25">
      <c r="B2" s="23"/>
      <c r="C2" s="23"/>
      <c r="D2" s="23"/>
      <c r="E2" s="24"/>
      <c r="F2" s="23"/>
      <c r="G2" s="23"/>
      <c r="H2" s="54"/>
      <c r="I2" s="55"/>
    </row>
    <row r="3" spans="2:11" ht="15.75" x14ac:dyDescent="0.25">
      <c r="B3" s="23" t="s">
        <v>1</v>
      </c>
      <c r="C3" s="23"/>
      <c r="D3" s="23"/>
      <c r="E3" s="24"/>
      <c r="F3" s="23"/>
      <c r="G3" s="23"/>
      <c r="H3" s="54"/>
      <c r="I3" s="55"/>
    </row>
    <row r="4" spans="2:11" ht="15.75" x14ac:dyDescent="0.25">
      <c r="B4" s="23" t="str">
        <f>"Step Study between "&amp;K8&amp;" and "&amp;K7&amp;" Compliance Filing"</f>
        <v>Step Study between 2017.Q3 and 2017.Q2 Compliance Filing</v>
      </c>
      <c r="C4" s="23"/>
      <c r="D4" s="23"/>
      <c r="E4" s="24"/>
      <c r="F4" s="23"/>
      <c r="G4" s="23"/>
      <c r="H4" s="54"/>
      <c r="I4" s="55"/>
    </row>
    <row r="5" spans="2:11" ht="15.75" x14ac:dyDescent="0.25">
      <c r="B5" s="23" t="s">
        <v>9</v>
      </c>
      <c r="C5" s="23"/>
      <c r="D5" s="23"/>
      <c r="E5" s="24"/>
      <c r="F5" s="23"/>
      <c r="G5" s="23"/>
      <c r="H5" s="54"/>
      <c r="I5" s="55"/>
    </row>
    <row r="6" spans="2:11" ht="15.75" x14ac:dyDescent="0.25">
      <c r="B6" s="23"/>
      <c r="C6" s="23"/>
      <c r="D6" s="23"/>
      <c r="F6" s="23"/>
      <c r="G6" s="23"/>
      <c r="H6" s="54"/>
      <c r="I6" s="55"/>
    </row>
    <row r="7" spans="2:11" ht="15.75" x14ac:dyDescent="0.25">
      <c r="B7" s="26"/>
      <c r="C7" s="27" t="s">
        <v>2</v>
      </c>
      <c r="D7" s="27"/>
      <c r="F7" s="27" t="s">
        <v>8</v>
      </c>
      <c r="G7" s="42"/>
      <c r="H7" s="54"/>
      <c r="I7" s="55"/>
      <c r="K7" s="29" t="s">
        <v>20</v>
      </c>
    </row>
    <row r="8" spans="2:11" ht="30.75" customHeight="1" x14ac:dyDescent="0.25">
      <c r="B8" s="28" t="s">
        <v>0</v>
      </c>
      <c r="C8" s="50" t="s">
        <v>30</v>
      </c>
      <c r="D8" s="50" t="str">
        <f>K8&amp;" (3)"</f>
        <v>2017.Q3 (3)</v>
      </c>
      <c r="F8" s="29" t="str">
        <f>C8</f>
        <v>2017.Q2 (3)</v>
      </c>
      <c r="G8" s="50" t="str">
        <f>D8</f>
        <v>2017.Q3 (3)</v>
      </c>
      <c r="K8" s="29" t="s">
        <v>25</v>
      </c>
    </row>
    <row r="9" spans="2:11" ht="4.5" customHeight="1" x14ac:dyDescent="0.2"/>
    <row r="10" spans="2:11" ht="15.75" x14ac:dyDescent="0.25">
      <c r="B10" s="30">
        <v>2018</v>
      </c>
      <c r="C10" s="31">
        <v>0</v>
      </c>
      <c r="D10" s="31">
        <v>0</v>
      </c>
      <c r="F10" s="31">
        <f t="shared" ref="F10:F24" si="0">C10*1000/(IF(MOD($B10,4)=0,8784,8760)*0.85)</f>
        <v>0</v>
      </c>
      <c r="G10" s="31">
        <f t="shared" ref="G10:G24" si="1">D10*1000/(IF(MOD($B10,4)=0,8784,8760)*0.85)</f>
        <v>0</v>
      </c>
    </row>
    <row r="11" spans="2:11" ht="15.75" x14ac:dyDescent="0.25">
      <c r="B11" s="30">
        <f t="shared" ref="B11:B24" si="2">B10+1</f>
        <v>2019</v>
      </c>
      <c r="C11" s="31">
        <v>0</v>
      </c>
      <c r="D11" s="31">
        <v>0</v>
      </c>
      <c r="F11" s="31">
        <f t="shared" si="0"/>
        <v>0</v>
      </c>
      <c r="G11" s="31">
        <f t="shared" si="1"/>
        <v>0</v>
      </c>
    </row>
    <row r="12" spans="2:11" ht="15.75" x14ac:dyDescent="0.25">
      <c r="B12" s="30">
        <f t="shared" si="2"/>
        <v>2020</v>
      </c>
      <c r="C12" s="31">
        <v>0</v>
      </c>
      <c r="D12" s="31">
        <v>0</v>
      </c>
      <c r="F12" s="31">
        <f t="shared" si="0"/>
        <v>0</v>
      </c>
      <c r="G12" s="31">
        <f t="shared" si="1"/>
        <v>0</v>
      </c>
    </row>
    <row r="13" spans="2:11" ht="15.75" x14ac:dyDescent="0.25">
      <c r="B13" s="30">
        <f t="shared" si="2"/>
        <v>2021</v>
      </c>
      <c r="C13" s="31">
        <v>0</v>
      </c>
      <c r="D13" s="31">
        <v>0</v>
      </c>
      <c r="F13" s="31">
        <f t="shared" si="0"/>
        <v>0</v>
      </c>
      <c r="G13" s="31">
        <f t="shared" si="1"/>
        <v>0</v>
      </c>
    </row>
    <row r="14" spans="2:11" ht="15.75" x14ac:dyDescent="0.25">
      <c r="B14" s="30">
        <f t="shared" si="2"/>
        <v>2022</v>
      </c>
      <c r="C14" s="31">
        <v>0</v>
      </c>
      <c r="D14" s="31">
        <v>0</v>
      </c>
      <c r="F14" s="31">
        <f t="shared" si="0"/>
        <v>0</v>
      </c>
      <c r="G14" s="31">
        <f t="shared" si="1"/>
        <v>0</v>
      </c>
    </row>
    <row r="15" spans="2:11" ht="15.75" x14ac:dyDescent="0.25">
      <c r="B15" s="30">
        <f t="shared" si="2"/>
        <v>2023</v>
      </c>
      <c r="C15" s="31">
        <v>0</v>
      </c>
      <c r="D15" s="31">
        <v>0</v>
      </c>
      <c r="F15" s="31">
        <f t="shared" si="0"/>
        <v>0</v>
      </c>
      <c r="G15" s="31">
        <f t="shared" si="1"/>
        <v>0</v>
      </c>
    </row>
    <row r="16" spans="2:11" ht="15.75" x14ac:dyDescent="0.25">
      <c r="B16" s="30">
        <f t="shared" si="2"/>
        <v>2024</v>
      </c>
      <c r="C16" s="31">
        <v>0</v>
      </c>
      <c r="D16" s="31">
        <v>0</v>
      </c>
      <c r="F16" s="31">
        <f t="shared" si="0"/>
        <v>0</v>
      </c>
      <c r="G16" s="31">
        <f t="shared" si="1"/>
        <v>0</v>
      </c>
    </row>
    <row r="17" spans="2:10" ht="15.75" x14ac:dyDescent="0.25">
      <c r="B17" s="30">
        <f t="shared" si="2"/>
        <v>2025</v>
      </c>
      <c r="C17" s="31">
        <v>0</v>
      </c>
      <c r="D17" s="31">
        <v>0</v>
      </c>
      <c r="F17" s="31">
        <f t="shared" si="0"/>
        <v>0</v>
      </c>
      <c r="G17" s="31">
        <f t="shared" si="1"/>
        <v>0</v>
      </c>
    </row>
    <row r="18" spans="2:10" ht="15.75" x14ac:dyDescent="0.25">
      <c r="B18" s="30">
        <f t="shared" si="2"/>
        <v>2026</v>
      </c>
      <c r="C18" s="31">
        <v>0</v>
      </c>
      <c r="D18" s="31">
        <v>0</v>
      </c>
      <c r="F18" s="31">
        <f t="shared" si="0"/>
        <v>0</v>
      </c>
      <c r="G18" s="31">
        <f t="shared" si="1"/>
        <v>0</v>
      </c>
    </row>
    <row r="19" spans="2:10" ht="15.75" x14ac:dyDescent="0.25">
      <c r="B19" s="30">
        <f t="shared" si="2"/>
        <v>2027</v>
      </c>
      <c r="C19" s="31">
        <v>0</v>
      </c>
      <c r="D19" s="31">
        <v>0</v>
      </c>
      <c r="F19" s="31">
        <f t="shared" si="0"/>
        <v>0</v>
      </c>
      <c r="G19" s="31">
        <f t="shared" si="1"/>
        <v>0</v>
      </c>
    </row>
    <row r="20" spans="2:10" ht="15.75" x14ac:dyDescent="0.25">
      <c r="B20" s="30">
        <f t="shared" si="2"/>
        <v>2028</v>
      </c>
      <c r="C20" s="31">
        <v>0</v>
      </c>
      <c r="D20" s="31">
        <v>0</v>
      </c>
      <c r="F20" s="31">
        <f t="shared" si="0"/>
        <v>0</v>
      </c>
      <c r="G20" s="31">
        <f t="shared" si="1"/>
        <v>0</v>
      </c>
    </row>
    <row r="21" spans="2:10" ht="15.75" x14ac:dyDescent="0.25">
      <c r="B21" s="30">
        <f t="shared" si="2"/>
        <v>2029</v>
      </c>
      <c r="C21" s="31">
        <v>0</v>
      </c>
      <c r="D21" s="31">
        <v>0</v>
      </c>
      <c r="F21" s="31">
        <f t="shared" si="0"/>
        <v>0</v>
      </c>
      <c r="G21" s="31">
        <f t="shared" si="1"/>
        <v>0</v>
      </c>
    </row>
    <row r="22" spans="2:10" ht="15.75" x14ac:dyDescent="0.25">
      <c r="B22" s="30">
        <f t="shared" si="2"/>
        <v>2030</v>
      </c>
      <c r="C22" s="31">
        <v>0</v>
      </c>
      <c r="D22" s="31">
        <v>0</v>
      </c>
      <c r="F22" s="31">
        <f t="shared" si="0"/>
        <v>0</v>
      </c>
      <c r="G22" s="31">
        <f t="shared" si="1"/>
        <v>0</v>
      </c>
    </row>
    <row r="23" spans="2:10" ht="15.75" x14ac:dyDescent="0.25">
      <c r="B23" s="30">
        <f t="shared" si="2"/>
        <v>2031</v>
      </c>
      <c r="C23" s="31">
        <v>0</v>
      </c>
      <c r="D23" s="31">
        <v>0</v>
      </c>
      <c r="F23" s="31">
        <f t="shared" si="0"/>
        <v>0</v>
      </c>
      <c r="G23" s="31">
        <f t="shared" si="1"/>
        <v>0</v>
      </c>
    </row>
    <row r="24" spans="2:10" ht="15.75" x14ac:dyDescent="0.25">
      <c r="B24" s="30">
        <f t="shared" si="2"/>
        <v>2032</v>
      </c>
      <c r="C24" s="31">
        <v>0</v>
      </c>
      <c r="D24" s="31">
        <v>0</v>
      </c>
      <c r="F24" s="31">
        <f t="shared" si="0"/>
        <v>0</v>
      </c>
      <c r="G24" s="31">
        <f t="shared" si="1"/>
        <v>0</v>
      </c>
    </row>
    <row r="25" spans="2:10" ht="15.75" x14ac:dyDescent="0.25">
      <c r="B25" s="30"/>
      <c r="C25" s="32"/>
      <c r="D25" s="32"/>
      <c r="F25" s="32"/>
    </row>
    <row r="26" spans="2:10" x14ac:dyDescent="0.2">
      <c r="B26" s="33" t="str">
        <f>"Nominal Levelized Payment at "&amp;TEXT($B$39,"0.000%")&amp;" Discount Rate (2)"</f>
        <v>Nominal Levelized Payment at 6.570% Discount Rate (2)</v>
      </c>
    </row>
    <row r="27" spans="2:10" x14ac:dyDescent="0.2">
      <c r="B27" s="34" t="str">
        <f>$B$10&amp;" - "&amp;B24</f>
        <v>2018 - 2032</v>
      </c>
      <c r="C27" s="35">
        <f>PMT($B$39,COUNT(C10:C24),-NPV($B$39,C10:C24))</f>
        <v>0</v>
      </c>
      <c r="D27" s="35">
        <f>PMT($B$39,COUNT(D10:D24),-NPV($B$39,D10:D24))</f>
        <v>0</v>
      </c>
      <c r="F27" s="35">
        <f>PMT($B$39,COUNT(F10:F24),-NPV($B$39,F10:F24))</f>
        <v>0</v>
      </c>
      <c r="G27" s="35">
        <f>PMT($B$39,COUNT(G10:G24),-NPV($B$39,G10:G24))</f>
        <v>0</v>
      </c>
    </row>
    <row r="29" spans="2:10" x14ac:dyDescent="0.2">
      <c r="B29" s="25" t="s">
        <v>3</v>
      </c>
    </row>
    <row r="30" spans="2:10" s="1" customFormat="1" x14ac:dyDescent="0.2">
      <c r="B30" s="25" t="s">
        <v>29</v>
      </c>
      <c r="C30" s="25"/>
      <c r="D30" s="25"/>
      <c r="E30" s="25"/>
      <c r="F30" s="25"/>
      <c r="I30"/>
      <c r="J30"/>
    </row>
    <row r="31" spans="2:10" x14ac:dyDescent="0.2">
      <c r="B31" s="25" t="s">
        <v>19</v>
      </c>
    </row>
    <row r="38" spans="2:2" x14ac:dyDescent="0.2">
      <c r="B38" s="54" t="s">
        <v>18</v>
      </c>
    </row>
    <row r="39" spans="2:2" x14ac:dyDescent="0.2">
      <c r="B39" s="36">
        <f>Discount_Rate</f>
        <v>6.5699999999999995E-2</v>
      </c>
    </row>
  </sheetData>
  <printOptions horizontalCentered="1"/>
  <pageMargins left="0.25" right="0.25" top="0.75" bottom="0.75" header="0.3" footer="0.2"/>
  <pageSetup orientation="landscape" r:id="rId1"/>
  <headerFooter alignWithMargins="0">
    <oddFooter>&amp;L&amp;8NPC Group - &amp;F   ( &amp;A )&amp;C&amp;8Page &amp;P of &amp;N&amp;R&amp;8&amp;D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Incremental</vt:lpstr>
      <vt:lpstr>Total</vt:lpstr>
      <vt:lpstr>Energy</vt:lpstr>
      <vt:lpstr>Capacity</vt:lpstr>
      <vt:lpstr>Discount_Rate</vt:lpstr>
      <vt:lpstr>Capacity!Print_Area</vt:lpstr>
      <vt:lpstr>Energy!Print_Area</vt:lpstr>
      <vt:lpstr>Incremental!Print_Area</vt:lpstr>
      <vt:lpstr>Total!Print_Area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2017-12-21T19:36:52Z</dcterms:created>
  <dcterms:modified xsi:type="dcterms:W3CDTF">2017-12-21T19:36:56Z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