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19200" windowHeight="11595" tabRatio="917"/>
  </bookViews>
  <sheets>
    <sheet name="Appendix B.1" sheetId="48" r:id="rId1"/>
    <sheet name="Table 1" sheetId="25" r:id="rId2"/>
    <sheet name="Table 2" sheetId="49" r:id="rId3"/>
    <sheet name="Table 3 TransCost D2 " sheetId="47" state="hidden" r:id="rId4"/>
    <sheet name="Table 4" sheetId="28" r:id="rId5"/>
    <sheet name="Table 5" sheetId="31" r:id="rId6"/>
    <sheet name="Table 3 WY Wind 2021" sheetId="43" state="hidden" r:id="rId7"/>
    <sheet name="Table 3 DJ Wind 2031" sheetId="42" state="hidden" r:id="rId8"/>
    <sheet name="Table 3 UT Solar 2031" sheetId="40" state="hidden" r:id="rId9"/>
    <sheet name="Table 3 Yakima Solar 2028" sheetId="41" state="hidden" r:id="rId10"/>
    <sheet name="Table 3 30 MW Geoth 2029" sheetId="46" state="hidden" r:id="rId11"/>
    <sheet name="Table 3 200 MW (UT N) 2029)" sheetId="29" state="hidden" r:id="rId12"/>
    <sheet name="Table 3 436MW (West M) 2030" sheetId="36" state="hidden" r:id="rId13"/>
    <sheet name="Table 3 477 MW (Wyo) 2033" sheetId="37" state="hidden" r:id="rId14"/>
    <sheet name="Table 3 200 MW (Wyo) 2033" sheetId="39" state="hidden" r:id="rId15"/>
    <sheet name="Table 3 ID Wind 2036" sheetId="44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3">'Table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3">'Table 1'!$I$18</definedName>
    <definedName name="_436_CCCT_WestMain">'Table 1'!$I$18</definedName>
    <definedName name="_477_CCCT_WestMain" localSheetId="0">'[2]Table 1'!$I$18</definedName>
    <definedName name="_477_CCCT_WestMain" localSheetId="2">'[3]Table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'[3]Table 1'!$I$19</definedName>
    <definedName name="_635_CCCT_UtahS">'[4]Table 1'!$I$19</definedName>
    <definedName name="_635_CCCT_WyoNE" localSheetId="0">'[2]Table 1'!$I$17</definedName>
    <definedName name="_635_CCCT_WyoNE" localSheetId="2">'[3]Table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2">'[1]Table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'[6]on off peak hours'!$C$15:$ED$15</definedName>
    <definedName name="Discount_Rate" localSheetId="0">'[2]Table 1'!$I$42</definedName>
    <definedName name="Discount_Rate" localSheetId="2">'[3]Table 1'!$I$35</definedName>
    <definedName name="Discount_Rate">'Table 1'!$I$39</definedName>
    <definedName name="Discount_Rate_2015_IRP" localSheetId="10">'[7]Table 7 to 8'!$AE$43</definedName>
    <definedName name="Discount_Rate_2015_IRP" localSheetId="7">'[7]Table 7 to 8'!$AE$43</definedName>
    <definedName name="Discount_Rate_2015_IRP" localSheetId="15">'[7]Table 7 to 8'!$AE$43</definedName>
    <definedName name="Discount_Rate_2015_IRP" localSheetId="3">'[7]Table 7 to 8'!$AE$43</definedName>
    <definedName name="Discount_Rate_2015_IRP" localSheetId="8">'[7]Table 7 to 8'!$AE$43</definedName>
    <definedName name="Discount_Rate_2015_IRP" localSheetId="6">'[7]Table 7 to 8'!$AE$43</definedName>
    <definedName name="Discount_Rate_2015_IRP" localSheetId="9">'[7]Table 7 to 8'!$AE$43</definedName>
    <definedName name="Discount_Rate_2015_IRP">'[8]Table 7 to 8'!$AE$43</definedName>
    <definedName name="DispatchSum">"GRID Thermal Generation!R2C1:R4C2"</definedName>
    <definedName name="FixedSolar_Capacity_Contr">'[8]Exhibit 3- Std FixedSolar QF'!$G$53</definedName>
    <definedName name="HoursHoliday">'[6]on off peak hours'!$C$16:$ED$20</definedName>
    <definedName name="Market" localSheetId="10">'[9]OFPC Source'!$J$8:$M$295</definedName>
    <definedName name="Market" localSheetId="7">'[9]OFPC Source'!$J$8:$M$295</definedName>
    <definedName name="Market" localSheetId="15">'[9]OFPC Source'!$J$8:$M$295</definedName>
    <definedName name="Market" localSheetId="3">'[9]OFPC Source'!$J$8:$M$295</definedName>
    <definedName name="Market" localSheetId="8">'[9]OFPC Source'!$J$8:$M$295</definedName>
    <definedName name="Market" localSheetId="6">'[9]OFPC Source'!$J$8:$M$295</definedName>
    <definedName name="Market" localSheetId="9">'[9]OFPC Source'!$J$8:$M$295</definedName>
    <definedName name="Market">'[8]OFPC Source'!$J$8:$M$295</definedName>
    <definedName name="MidC_Flat" localSheetId="2">[10]Market_Price!#REF!</definedName>
    <definedName name="MidC_Flat">[10]Market_Price!#REF!</definedName>
    <definedName name="OR_AC_price" localSheetId="2">#REF!</definedName>
    <definedName name="OR_AC_price">#REF!</definedName>
    <definedName name="_xlnm.Print_Area" localSheetId="0">'Appendix B.1'!$A$1:$L$37</definedName>
    <definedName name="_xlnm.Print_Area" localSheetId="1">'Table 1'!$A$1:$H$57</definedName>
    <definedName name="_xlnm.Print_Area" localSheetId="2">'Table 2'!$B$1:$P$36</definedName>
    <definedName name="_xlnm.Print_Area" localSheetId="11">'Table 3 200 MW (UT N) 2029)'!$A$1:$K$91</definedName>
    <definedName name="_xlnm.Print_Area" localSheetId="14">'Table 3 200 MW (Wyo) 2033'!$A$1:$K$91</definedName>
    <definedName name="_xlnm.Print_Area" localSheetId="10">'Table 3 30 MW Geoth 2029'!$A$1:$K$74</definedName>
    <definedName name="_xlnm.Print_Area" localSheetId="12">'Table 3 436MW (West M) 2030'!$A$1:$K$91</definedName>
    <definedName name="_xlnm.Print_Area" localSheetId="13">'Table 3 477 MW (Wyo) 2033'!$A$1:$K$91</definedName>
    <definedName name="_xlnm.Print_Area" localSheetId="7">'Table 3 DJ Wind 2031'!$A$1:$K$74</definedName>
    <definedName name="_xlnm.Print_Area" localSheetId="15">'Table 3 ID Wind 2036'!$A$1:$K$74</definedName>
    <definedName name="_xlnm.Print_Area" localSheetId="3">'Table 3 TransCost D2 '!$A$1:$K$49</definedName>
    <definedName name="_xlnm.Print_Area" localSheetId="8">'Table 3 UT Solar 2031'!$A$1:$K$74</definedName>
    <definedName name="_xlnm.Print_Area" localSheetId="6">'Table 3 WY Wind 2021'!$A$1:$L$74</definedName>
    <definedName name="_xlnm.Print_Area" localSheetId="9">'Table 3 Yakima Solar 2028'!$A$1:$K$74</definedName>
    <definedName name="_xlnm.Print_Area" localSheetId="4">'Table 4'!$A$1:$E$44</definedName>
    <definedName name="_xlnm.Print_Area" localSheetId="5">'Table 5'!$A$1:$H$266</definedName>
    <definedName name="_xlnm.Print_Titles" localSheetId="2">'Table 2'!$1:$9</definedName>
    <definedName name="_xlnm.Print_Titles" localSheetId="11">'Table 3 200 MW (UT N) 2029)'!$1:$6</definedName>
    <definedName name="_xlnm.Print_Titles" localSheetId="14">'Table 3 200 MW (Wyo) 2033'!$1:$6</definedName>
    <definedName name="_xlnm.Print_Titles" localSheetId="12">'Table 3 436MW (West M) 2030'!$1:$6</definedName>
    <definedName name="_xlnm.Print_Titles" localSheetId="13">'Table 3 477 MW (Wyo) 2033'!$1:$6</definedName>
    <definedName name="RenewableMarketShape" localSheetId="10">'[9]OFPC Source'!$P$5:$U$28</definedName>
    <definedName name="RenewableMarketShape" localSheetId="7">'[9]OFPC Source'!$P$5:$U$28</definedName>
    <definedName name="RenewableMarketShape" localSheetId="15">'[9]OFPC Source'!$P$5:$U$28</definedName>
    <definedName name="RenewableMarketShape" localSheetId="3">'[9]OFPC Source'!$P$5:$U$28</definedName>
    <definedName name="RenewableMarketShape" localSheetId="8">'[9]OFPC Source'!$P$5:$U$28</definedName>
    <definedName name="RenewableMarketShape" localSheetId="6">'[9]OFPC Source'!$P$5:$U$28</definedName>
    <definedName name="RenewableMarketShape" localSheetId="9">'[9]OFPC Source'!$P$5:$U$28</definedName>
    <definedName name="RenewableMarketShape">'[8]OFPC Source'!$P$5:$U$33</definedName>
    <definedName name="RevenueSum">"GRID Thermal Revenue!R2C1:R4C2"</definedName>
    <definedName name="Solar_Fixed_integr_cost">'[11]Table 10'!$B$46</definedName>
    <definedName name="Solar_HLH" localSheetId="10">'[9]OFPC Source'!$U$47</definedName>
    <definedName name="Solar_HLH" localSheetId="7">'[9]OFPC Source'!$U$47</definedName>
    <definedName name="Solar_HLH" localSheetId="15">'[9]OFPC Source'!$U$47</definedName>
    <definedName name="Solar_HLH" localSheetId="3">'[9]OFPC Source'!$U$47</definedName>
    <definedName name="Solar_HLH" localSheetId="8">'[9]OFPC Source'!$U$47</definedName>
    <definedName name="Solar_HLH" localSheetId="6">'[9]OFPC Source'!$U$47</definedName>
    <definedName name="Solar_HLH" localSheetId="9">'[9]OFPC Source'!$U$47</definedName>
    <definedName name="Solar_HLH">'[8]OFPC Source'!$U$48</definedName>
    <definedName name="Solar_LLH" localSheetId="10">'[9]OFPC Source'!$V$47</definedName>
    <definedName name="Solar_LLH" localSheetId="7">'[9]OFPC Source'!$V$47</definedName>
    <definedName name="Solar_LLH" localSheetId="15">'[9]OFPC Source'!$V$47</definedName>
    <definedName name="Solar_LLH" localSheetId="3">'[9]OFPC Source'!$V$47</definedName>
    <definedName name="Solar_LLH" localSheetId="8">'[9]OFPC Source'!$V$47</definedName>
    <definedName name="Solar_LLH" localSheetId="6">'[9]OFPC Source'!$V$47</definedName>
    <definedName name="Solar_LLH" localSheetId="9">'[9]OFPC Source'!$V$47</definedName>
    <definedName name="Solar_LLH">'[8]OFPC Source'!$V$48</definedName>
    <definedName name="Solar_Tracking_integr_cost">'[11]Table 10'!$B$45</definedName>
    <definedName name="Study_Cap_Adj" localSheetId="0">'[2]Table 1'!$I$8</definedName>
    <definedName name="Study_Cap_Adj" localSheetId="2">'[3]Table 1'!$I$8</definedName>
    <definedName name="Study_Cap_Adj" localSheetId="3">'Table 1'!$I$8</definedName>
    <definedName name="Study_Cap_Adj">'Table 1'!$I$8</definedName>
    <definedName name="Study_CF" localSheetId="0">'[2]Table 5'!$M$7</definedName>
    <definedName name="Study_CF" localSheetId="2">'[3]Table 5'!$M$7</definedName>
    <definedName name="Study_CF">'Table 5'!$M$7</definedName>
    <definedName name="Study_MW" localSheetId="0">'[2]Table 5'!$M$6</definedName>
    <definedName name="Study_MW" localSheetId="2">'[3]Table 5'!$M$6</definedName>
    <definedName name="Study_MW">'Table 5'!$M$6</definedName>
    <definedName name="Study_Name" localSheetId="10">[6]ImportData!$D$7</definedName>
    <definedName name="Study_Name" localSheetId="7">[6]ImportData!$D$7</definedName>
    <definedName name="Study_Name" localSheetId="15">[6]ImportData!$D$7</definedName>
    <definedName name="Study_Name" localSheetId="3">[6]ImportData!$D$7</definedName>
    <definedName name="Study_Name" localSheetId="8">[6]ImportData!$D$7</definedName>
    <definedName name="Study_Name" localSheetId="6">[6]ImportData!$D$7</definedName>
    <definedName name="Study_Name" localSheetId="9">[6]ImportData!$D$7</definedName>
    <definedName name="ValuationDate" localSheetId="2">#REF!</definedName>
    <definedName name="ValuationDate">#REF!</definedName>
    <definedName name="Wind_Capacity_Contr">'[8]Exhibit 2- Std Wind QF '!$E$57</definedName>
    <definedName name="Wind_Integration_Charge">'[8]Exhibit 2- Std Wind QF '!$E$45</definedName>
  </definedNames>
  <calcPr calcId="152511"/>
</workbook>
</file>

<file path=xl/calcChain.xml><?xml version="1.0" encoding="utf-8"?>
<calcChain xmlns="http://schemas.openxmlformats.org/spreadsheetml/2006/main">
  <c r="B30" i="48" l="1"/>
  <c r="B22" i="48" l="1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14" i="49" l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K19" i="48" l="1"/>
  <c r="K15" i="48"/>
  <c r="B33" i="48"/>
  <c r="B31" i="48"/>
  <c r="K21" i="48"/>
  <c r="K20" i="48"/>
  <c r="K17" i="48"/>
  <c r="K16" i="48"/>
  <c r="K13" i="48"/>
  <c r="K12" i="48"/>
  <c r="K11" i="48"/>
  <c r="K9" i="48"/>
  <c r="K8" i="48"/>
  <c r="B32" i="48"/>
  <c r="K5" i="48"/>
  <c r="J5" i="48"/>
  <c r="I5" i="48"/>
  <c r="K25" i="48" l="1"/>
  <c r="K10" i="48"/>
  <c r="K18" i="48"/>
  <c r="K14" i="48"/>
  <c r="K22" i="48"/>
  <c r="BM5" i="25" l="1"/>
  <c r="C11" i="47" l="1"/>
  <c r="B38" i="25" l="1"/>
  <c r="B52" i="25"/>
  <c r="B42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H10" i="43"/>
  <c r="C10" i="47" l="1"/>
  <c r="E10" i="47" s="1"/>
  <c r="C45" i="47"/>
  <c r="H11" i="43"/>
  <c r="C40" i="47"/>
  <c r="H12" i="43" l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C46" i="47"/>
  <c r="C47" i="47" l="1"/>
  <c r="C12" i="47"/>
  <c r="E12" i="47" l="1"/>
  <c r="C13" i="47"/>
  <c r="C48" i="47"/>
  <c r="C10" i="25"/>
  <c r="E13" i="47" l="1"/>
  <c r="C49" i="47"/>
  <c r="C14" i="47"/>
  <c r="E14" i="47" l="1"/>
  <c r="C15" i="47"/>
  <c r="F41" i="47"/>
  <c r="E15" i="47" l="1"/>
  <c r="C16" i="47"/>
  <c r="F42" i="47"/>
  <c r="H10" i="44"/>
  <c r="H10" i="42"/>
  <c r="B3" i="46"/>
  <c r="C52" i="46" s="1"/>
  <c r="B9" i="46" s="1"/>
  <c r="D46" i="46"/>
  <c r="H10" i="46"/>
  <c r="G10" i="46"/>
  <c r="E10" i="46"/>
  <c r="C10" i="46"/>
  <c r="C67" i="46"/>
  <c r="C68" i="46" s="1"/>
  <c r="C49" i="46"/>
  <c r="D48" i="46"/>
  <c r="C48" i="46"/>
  <c r="C47" i="46"/>
  <c r="C46" i="46"/>
  <c r="C45" i="46"/>
  <c r="B11" i="46"/>
  <c r="B12" i="46" s="1"/>
  <c r="B13" i="46" s="1"/>
  <c r="B14" i="46" s="1"/>
  <c r="K10" i="44"/>
  <c r="E16" i="47" l="1"/>
  <c r="C17" i="47"/>
  <c r="F43" i="47"/>
  <c r="D10" i="46"/>
  <c r="D11" i="46" s="1"/>
  <c r="E11" i="46"/>
  <c r="C69" i="46"/>
  <c r="C70" i="46" s="1"/>
  <c r="G11" i="46"/>
  <c r="D47" i="46"/>
  <c r="H11" i="46"/>
  <c r="B15" i="46"/>
  <c r="C67" i="44"/>
  <c r="C68" i="44" s="1"/>
  <c r="H11" i="44"/>
  <c r="D47" i="44"/>
  <c r="D46" i="44"/>
  <c r="C10" i="44"/>
  <c r="C49" i="44"/>
  <c r="D48" i="44"/>
  <c r="C48" i="44"/>
  <c r="C47" i="44"/>
  <c r="C46" i="44"/>
  <c r="C45" i="44"/>
  <c r="B11" i="44"/>
  <c r="B12" i="44" s="1"/>
  <c r="B13" i="44" s="1"/>
  <c r="B14" i="44" s="1"/>
  <c r="P10" i="44"/>
  <c r="G10" i="44"/>
  <c r="E10" i="44"/>
  <c r="D46" i="43"/>
  <c r="E10" i="43"/>
  <c r="C67" i="43"/>
  <c r="C68" i="43" s="1"/>
  <c r="G10" i="43"/>
  <c r="K10" i="43"/>
  <c r="C10" i="43"/>
  <c r="C49" i="43"/>
  <c r="D48" i="43"/>
  <c r="C48" i="43"/>
  <c r="C47" i="43"/>
  <c r="C46" i="43"/>
  <c r="C45" i="43"/>
  <c r="B11" i="43"/>
  <c r="E17" i="47" l="1"/>
  <c r="F44" i="47"/>
  <c r="C18" i="47"/>
  <c r="F10" i="46"/>
  <c r="I10" i="46" s="1"/>
  <c r="J10" i="46" s="1"/>
  <c r="G12" i="46"/>
  <c r="G13" i="46" s="1"/>
  <c r="G14" i="46" s="1"/>
  <c r="E11" i="44"/>
  <c r="H12" i="46"/>
  <c r="H13" i="46" s="1"/>
  <c r="H14" i="46" s="1"/>
  <c r="K11" i="44"/>
  <c r="E12" i="46"/>
  <c r="E13" i="46" s="1"/>
  <c r="E14" i="46" s="1"/>
  <c r="K11" i="43"/>
  <c r="B3" i="44"/>
  <c r="C52" i="44" s="1"/>
  <c r="B9" i="44" s="1"/>
  <c r="G11" i="43"/>
  <c r="D10" i="44"/>
  <c r="F10" i="44" s="1"/>
  <c r="C71" i="46"/>
  <c r="D10" i="43"/>
  <c r="D11" i="43" s="1"/>
  <c r="E11" i="43"/>
  <c r="G11" i="44"/>
  <c r="C69" i="44"/>
  <c r="C70" i="44" s="1"/>
  <c r="D12" i="46"/>
  <c r="F11" i="46"/>
  <c r="B16" i="46"/>
  <c r="B15" i="44"/>
  <c r="P11" i="44"/>
  <c r="D47" i="43"/>
  <c r="B3" i="43"/>
  <c r="C52" i="43" s="1"/>
  <c r="B9" i="43" s="1"/>
  <c r="B12" i="43"/>
  <c r="C69" i="43"/>
  <c r="E18" i="47" l="1"/>
  <c r="C19" i="47"/>
  <c r="F45" i="47"/>
  <c r="K12" i="43"/>
  <c r="K13" i="43" s="1"/>
  <c r="D12" i="43"/>
  <c r="D13" i="43" s="1"/>
  <c r="K12" i="44"/>
  <c r="K13" i="44" s="1"/>
  <c r="E12" i="43"/>
  <c r="E13" i="43" s="1"/>
  <c r="D11" i="44"/>
  <c r="F11" i="44" s="1"/>
  <c r="I11" i="44" s="1"/>
  <c r="J11" i="44" s="1"/>
  <c r="E15" i="46"/>
  <c r="F10" i="43"/>
  <c r="I10" i="43" s="1"/>
  <c r="J10" i="43" s="1"/>
  <c r="F11" i="43"/>
  <c r="I11" i="43" s="1"/>
  <c r="J11" i="43" s="1"/>
  <c r="G12" i="43"/>
  <c r="G13" i="43" s="1"/>
  <c r="C71" i="44"/>
  <c r="C72" i="46"/>
  <c r="G12" i="44"/>
  <c r="G13" i="44" s="1"/>
  <c r="E12" i="44"/>
  <c r="E13" i="44" s="1"/>
  <c r="G15" i="46"/>
  <c r="H12" i="44"/>
  <c r="H13" i="44" s="1"/>
  <c r="H15" i="46"/>
  <c r="I11" i="46"/>
  <c r="J11" i="46" s="1"/>
  <c r="B17" i="46"/>
  <c r="F12" i="46"/>
  <c r="D13" i="46"/>
  <c r="P12" i="44"/>
  <c r="B16" i="44"/>
  <c r="I10" i="44"/>
  <c r="J10" i="44" s="1"/>
  <c r="C70" i="43"/>
  <c r="B13" i="43"/>
  <c r="E19" i="47" l="1"/>
  <c r="C20" i="47"/>
  <c r="F46" i="47"/>
  <c r="D12" i="44"/>
  <c r="D13" i="44" s="1"/>
  <c r="F12" i="43"/>
  <c r="I12" i="43" s="1"/>
  <c r="J12" i="43" s="1"/>
  <c r="K14" i="44"/>
  <c r="K15" i="44" s="1"/>
  <c r="E14" i="43"/>
  <c r="H14" i="44"/>
  <c r="H15" i="44" s="1"/>
  <c r="H16" i="44" s="1"/>
  <c r="G16" i="46"/>
  <c r="G14" i="44"/>
  <c r="G15" i="44" s="1"/>
  <c r="C73" i="46"/>
  <c r="E16" i="46"/>
  <c r="E14" i="44"/>
  <c r="E15" i="44" s="1"/>
  <c r="C72" i="44"/>
  <c r="H16" i="46"/>
  <c r="D14" i="46"/>
  <c r="F13" i="46"/>
  <c r="I12" i="46"/>
  <c r="J12" i="46" s="1"/>
  <c r="B18" i="46"/>
  <c r="B17" i="44"/>
  <c r="P13" i="44"/>
  <c r="C71" i="43"/>
  <c r="G14" i="43"/>
  <c r="K14" i="43"/>
  <c r="B14" i="43"/>
  <c r="F13" i="43"/>
  <c r="D14" i="43"/>
  <c r="E20" i="47" l="1"/>
  <c r="C21" i="47"/>
  <c r="F47" i="47"/>
  <c r="F12" i="44"/>
  <c r="I12" i="44" s="1"/>
  <c r="J12" i="44" s="1"/>
  <c r="K16" i="44"/>
  <c r="E15" i="43"/>
  <c r="H17" i="46"/>
  <c r="E16" i="44"/>
  <c r="G16" i="44"/>
  <c r="C73" i="44"/>
  <c r="E17" i="46"/>
  <c r="G17" i="46"/>
  <c r="C74" i="46"/>
  <c r="B19" i="46"/>
  <c r="I13" i="46"/>
  <c r="J13" i="46" s="1"/>
  <c r="D15" i="46"/>
  <c r="F14" i="46"/>
  <c r="I14" i="46" s="1"/>
  <c r="J14" i="46" s="1"/>
  <c r="D14" i="44"/>
  <c r="F13" i="44"/>
  <c r="P14" i="44"/>
  <c r="B18" i="44"/>
  <c r="B15" i="43"/>
  <c r="D15" i="43"/>
  <c r="F14" i="43"/>
  <c r="I14" i="43" s="1"/>
  <c r="J14" i="43" s="1"/>
  <c r="K15" i="43"/>
  <c r="C72" i="43"/>
  <c r="I13" i="43"/>
  <c r="J13" i="43" s="1"/>
  <c r="G15" i="43"/>
  <c r="E21" i="47" l="1"/>
  <c r="C22" i="47"/>
  <c r="F48" i="47"/>
  <c r="E16" i="43"/>
  <c r="K17" i="44"/>
  <c r="G17" i="44"/>
  <c r="H17" i="44"/>
  <c r="E18" i="46"/>
  <c r="F66" i="46"/>
  <c r="C74" i="44"/>
  <c r="G18" i="46"/>
  <c r="E17" i="44"/>
  <c r="H18" i="46"/>
  <c r="D16" i="46"/>
  <c r="F15" i="46"/>
  <c r="B20" i="46"/>
  <c r="B19" i="44"/>
  <c r="I13" i="44"/>
  <c r="J13" i="44" s="1"/>
  <c r="P15" i="44"/>
  <c r="D15" i="44"/>
  <c r="F14" i="44"/>
  <c r="I14" i="44" s="1"/>
  <c r="J14" i="44" s="1"/>
  <c r="F15" i="43"/>
  <c r="D16" i="43"/>
  <c r="C73" i="43"/>
  <c r="G16" i="43"/>
  <c r="K16" i="43"/>
  <c r="B16" i="43"/>
  <c r="E22" i="47" l="1"/>
  <c r="C23" i="47"/>
  <c r="F49" i="47"/>
  <c r="E17" i="43"/>
  <c r="E18" i="44"/>
  <c r="K18" i="44"/>
  <c r="K17" i="43"/>
  <c r="E19" i="46"/>
  <c r="G18" i="44"/>
  <c r="G17" i="43"/>
  <c r="G19" i="46"/>
  <c r="H18" i="44"/>
  <c r="H19" i="46"/>
  <c r="F67" i="46"/>
  <c r="F66" i="44"/>
  <c r="F16" i="46"/>
  <c r="D17" i="46"/>
  <c r="B21" i="46"/>
  <c r="I15" i="46"/>
  <c r="J15" i="46" s="1"/>
  <c r="D16" i="44"/>
  <c r="F15" i="44"/>
  <c r="B20" i="44"/>
  <c r="P16" i="44"/>
  <c r="B17" i="43"/>
  <c r="C74" i="43"/>
  <c r="D17" i="43"/>
  <c r="F16" i="43"/>
  <c r="I15" i="43"/>
  <c r="J15" i="43" s="1"/>
  <c r="E23" i="47" l="1"/>
  <c r="I41" i="47"/>
  <c r="C24" i="47"/>
  <c r="K18" i="43"/>
  <c r="E19" i="44"/>
  <c r="K19" i="44"/>
  <c r="G18" i="43"/>
  <c r="G19" i="44"/>
  <c r="H19" i="44"/>
  <c r="E20" i="46"/>
  <c r="F67" i="44"/>
  <c r="F68" i="46"/>
  <c r="H20" i="46"/>
  <c r="G20" i="46"/>
  <c r="E18" i="43"/>
  <c r="D18" i="46"/>
  <c r="F17" i="46"/>
  <c r="B22" i="46"/>
  <c r="I16" i="46"/>
  <c r="J16" i="46" s="1"/>
  <c r="F16" i="44"/>
  <c r="D17" i="44"/>
  <c r="B21" i="44"/>
  <c r="P17" i="44"/>
  <c r="I15" i="44"/>
  <c r="J15" i="44" s="1"/>
  <c r="F17" i="43"/>
  <c r="D18" i="43"/>
  <c r="F66" i="43"/>
  <c r="I16" i="43"/>
  <c r="J16" i="43" s="1"/>
  <c r="B18" i="43"/>
  <c r="E24" i="47" l="1"/>
  <c r="C25" i="47"/>
  <c r="I42" i="47"/>
  <c r="E20" i="44"/>
  <c r="K20" i="44"/>
  <c r="G21" i="46"/>
  <c r="H20" i="44"/>
  <c r="E19" i="43"/>
  <c r="E21" i="46"/>
  <c r="G20" i="44"/>
  <c r="F69" i="46"/>
  <c r="F68" i="44"/>
  <c r="H21" i="46"/>
  <c r="K19" i="43"/>
  <c r="G19" i="43"/>
  <c r="I17" i="46"/>
  <c r="J17" i="46" s="1"/>
  <c r="D19" i="46"/>
  <c r="F18" i="46"/>
  <c r="B23" i="46"/>
  <c r="D18" i="44"/>
  <c r="F17" i="44"/>
  <c r="B22" i="44"/>
  <c r="I16" i="44"/>
  <c r="J16" i="44" s="1"/>
  <c r="P18" i="44"/>
  <c r="F67" i="43"/>
  <c r="D19" i="43"/>
  <c r="F18" i="43"/>
  <c r="B19" i="43"/>
  <c r="I17" i="43"/>
  <c r="J17" i="43" s="1"/>
  <c r="E25" i="47" l="1"/>
  <c r="C26" i="47"/>
  <c r="I43" i="47"/>
  <c r="E22" i="46"/>
  <c r="E23" i="46" s="1"/>
  <c r="E21" i="44"/>
  <c r="K21" i="44"/>
  <c r="E20" i="43"/>
  <c r="K20" i="43"/>
  <c r="F69" i="44"/>
  <c r="F70" i="46"/>
  <c r="G22" i="46"/>
  <c r="H22" i="46"/>
  <c r="G21" i="44"/>
  <c r="H21" i="44"/>
  <c r="F19" i="46"/>
  <c r="D20" i="46"/>
  <c r="B24" i="46"/>
  <c r="I18" i="46"/>
  <c r="J18" i="46" s="1"/>
  <c r="P19" i="44"/>
  <c r="I17" i="44"/>
  <c r="J17" i="44" s="1"/>
  <c r="D19" i="44"/>
  <c r="F18" i="44"/>
  <c r="B23" i="44"/>
  <c r="F68" i="43"/>
  <c r="F19" i="43"/>
  <c r="D20" i="43"/>
  <c r="G20" i="43"/>
  <c r="I18" i="43"/>
  <c r="J18" i="43" s="1"/>
  <c r="B20" i="43"/>
  <c r="E26" i="47" l="1"/>
  <c r="C27" i="47"/>
  <c r="I44" i="47"/>
  <c r="E22" i="44"/>
  <c r="E21" i="43"/>
  <c r="E22" i="43" s="1"/>
  <c r="H23" i="46"/>
  <c r="K22" i="44"/>
  <c r="H22" i="44"/>
  <c r="E24" i="46"/>
  <c r="F71" i="46"/>
  <c r="G23" i="46"/>
  <c r="G22" i="44"/>
  <c r="F70" i="44"/>
  <c r="G21" i="43"/>
  <c r="K21" i="43"/>
  <c r="I19" i="46"/>
  <c r="J19" i="46" s="1"/>
  <c r="F20" i="46"/>
  <c r="D21" i="46"/>
  <c r="B25" i="46"/>
  <c r="F19" i="44"/>
  <c r="I19" i="44" s="1"/>
  <c r="J19" i="44" s="1"/>
  <c r="D20" i="44"/>
  <c r="B24" i="44"/>
  <c r="P20" i="44"/>
  <c r="I18" i="44"/>
  <c r="J18" i="44" s="1"/>
  <c r="I19" i="43"/>
  <c r="J19" i="43" s="1"/>
  <c r="B21" i="43"/>
  <c r="D21" i="43"/>
  <c r="F20" i="43"/>
  <c r="F69" i="43"/>
  <c r="E27" i="47" l="1"/>
  <c r="I45" i="47"/>
  <c r="C28" i="47"/>
  <c r="E23" i="44"/>
  <c r="E24" i="44" s="1"/>
  <c r="K23" i="44"/>
  <c r="K22" i="43"/>
  <c r="G23" i="44"/>
  <c r="E25" i="46"/>
  <c r="F72" i="46"/>
  <c r="F71" i="44"/>
  <c r="G24" i="46"/>
  <c r="H23" i="44"/>
  <c r="H24" i="46"/>
  <c r="G22" i="43"/>
  <c r="B26" i="46"/>
  <c r="D22" i="46"/>
  <c r="F21" i="46"/>
  <c r="I20" i="46"/>
  <c r="J20" i="46" s="1"/>
  <c r="P21" i="44"/>
  <c r="F20" i="44"/>
  <c r="D21" i="44"/>
  <c r="B25" i="44"/>
  <c r="I20" i="43"/>
  <c r="J20" i="43" s="1"/>
  <c r="F70" i="43"/>
  <c r="E23" i="43"/>
  <c r="B22" i="43"/>
  <c r="F21" i="43"/>
  <c r="I21" i="43" s="1"/>
  <c r="J21" i="43" s="1"/>
  <c r="D22" i="43"/>
  <c r="C29" i="47" l="1"/>
  <c r="E28" i="47"/>
  <c r="I46" i="47"/>
  <c r="K24" i="44"/>
  <c r="H24" i="44"/>
  <c r="H25" i="46"/>
  <c r="G24" i="44"/>
  <c r="G25" i="46"/>
  <c r="F73" i="46"/>
  <c r="E26" i="46"/>
  <c r="E25" i="44"/>
  <c r="F72" i="44"/>
  <c r="G23" i="43"/>
  <c r="I21" i="46"/>
  <c r="J21" i="46" s="1"/>
  <c r="B27" i="46"/>
  <c r="F22" i="46"/>
  <c r="D23" i="46"/>
  <c r="B26" i="44"/>
  <c r="D22" i="44"/>
  <c r="F21" i="44"/>
  <c r="I21" i="44" s="1"/>
  <c r="J21" i="44" s="1"/>
  <c r="P22" i="44"/>
  <c r="I20" i="44"/>
  <c r="J20" i="44" s="1"/>
  <c r="B23" i="43"/>
  <c r="K23" i="43"/>
  <c r="F71" i="43"/>
  <c r="E24" i="43"/>
  <c r="D23" i="43"/>
  <c r="F22" i="43"/>
  <c r="E29" i="47" l="1"/>
  <c r="C30" i="47"/>
  <c r="I47" i="47"/>
  <c r="K25" i="44"/>
  <c r="H25" i="44"/>
  <c r="G26" i="46"/>
  <c r="F73" i="44"/>
  <c r="E26" i="44"/>
  <c r="H26" i="46"/>
  <c r="E27" i="46"/>
  <c r="F74" i="46"/>
  <c r="G25" i="44"/>
  <c r="I22" i="46"/>
  <c r="J22" i="46" s="1"/>
  <c r="B28" i="46"/>
  <c r="D24" i="46"/>
  <c r="F23" i="46"/>
  <c r="P23" i="44"/>
  <c r="B27" i="44"/>
  <c r="F22" i="44"/>
  <c r="I22" i="44" s="1"/>
  <c r="J22" i="44" s="1"/>
  <c r="D23" i="44"/>
  <c r="I22" i="43"/>
  <c r="J22" i="43" s="1"/>
  <c r="K24" i="43"/>
  <c r="B24" i="43"/>
  <c r="G24" i="43"/>
  <c r="F72" i="43"/>
  <c r="E25" i="43"/>
  <c r="F23" i="43"/>
  <c r="I23" i="43" s="1"/>
  <c r="J23" i="43" s="1"/>
  <c r="D24" i="43"/>
  <c r="E30" i="47" l="1"/>
  <c r="C31" i="47"/>
  <c r="I48" i="47"/>
  <c r="K26" i="44"/>
  <c r="G26" i="44"/>
  <c r="H27" i="46"/>
  <c r="E28" i="46"/>
  <c r="I66" i="46"/>
  <c r="E27" i="44"/>
  <c r="F74" i="44"/>
  <c r="G27" i="46"/>
  <c r="H26" i="44"/>
  <c r="I23" i="46"/>
  <c r="J23" i="46" s="1"/>
  <c r="B29" i="46"/>
  <c r="F24" i="46"/>
  <c r="D25" i="46"/>
  <c r="B28" i="44"/>
  <c r="P24" i="44"/>
  <c r="D24" i="44"/>
  <c r="F23" i="44"/>
  <c r="I23" i="44" s="1"/>
  <c r="J23" i="44" s="1"/>
  <c r="B25" i="43"/>
  <c r="F73" i="43"/>
  <c r="E26" i="43"/>
  <c r="K25" i="43"/>
  <c r="D25" i="43"/>
  <c r="F24" i="43"/>
  <c r="I24" i="43" s="1"/>
  <c r="J24" i="43" s="1"/>
  <c r="G25" i="43"/>
  <c r="E31" i="47" l="1"/>
  <c r="C32" i="47"/>
  <c r="E32" i="47" s="1"/>
  <c r="I49" i="47"/>
  <c r="K27" i="44"/>
  <c r="H27" i="44"/>
  <c r="K26" i="43"/>
  <c r="G27" i="44"/>
  <c r="G28" i="46"/>
  <c r="E28" i="44"/>
  <c r="I66" i="44"/>
  <c r="I67" i="46"/>
  <c r="E29" i="46"/>
  <c r="H28" i="46"/>
  <c r="G26" i="43"/>
  <c r="I24" i="46"/>
  <c r="J24" i="46" s="1"/>
  <c r="B30" i="46"/>
  <c r="D26" i="46"/>
  <c r="F25" i="46"/>
  <c r="P25" i="44"/>
  <c r="B29" i="44"/>
  <c r="F24" i="44"/>
  <c r="I24" i="44" s="1"/>
  <c r="J24" i="44" s="1"/>
  <c r="D25" i="44"/>
  <c r="F74" i="43"/>
  <c r="F25" i="43"/>
  <c r="D26" i="43"/>
  <c r="B26" i="43"/>
  <c r="K27" i="43" l="1"/>
  <c r="K28" i="44"/>
  <c r="K29" i="44" s="1"/>
  <c r="H29" i="46"/>
  <c r="H28" i="44"/>
  <c r="G28" i="44"/>
  <c r="G29" i="46"/>
  <c r="E30" i="46"/>
  <c r="I68" i="46"/>
  <c r="E29" i="44"/>
  <c r="I67" i="44"/>
  <c r="G27" i="43"/>
  <c r="E27" i="43"/>
  <c r="I25" i="46"/>
  <c r="J25" i="46" s="1"/>
  <c r="D27" i="46"/>
  <c r="F26" i="46"/>
  <c r="B31" i="46"/>
  <c r="B30" i="44"/>
  <c r="P26" i="44"/>
  <c r="D26" i="44"/>
  <c r="F25" i="44"/>
  <c r="I25" i="43"/>
  <c r="J25" i="43" s="1"/>
  <c r="B27" i="43"/>
  <c r="D27" i="43"/>
  <c r="F26" i="43"/>
  <c r="I66" i="43"/>
  <c r="G28" i="43" l="1"/>
  <c r="K30" i="44"/>
  <c r="H30" i="46"/>
  <c r="I68" i="44"/>
  <c r="E30" i="44"/>
  <c r="E28" i="43"/>
  <c r="H29" i="44"/>
  <c r="I69" i="46"/>
  <c r="G30" i="46"/>
  <c r="G29" i="44"/>
  <c r="B32" i="46"/>
  <c r="I26" i="46"/>
  <c r="J26" i="46" s="1"/>
  <c r="D28" i="46"/>
  <c r="F27" i="46"/>
  <c r="P27" i="44"/>
  <c r="I25" i="44"/>
  <c r="J25" i="44" s="1"/>
  <c r="D27" i="44"/>
  <c r="F26" i="44"/>
  <c r="B31" i="44"/>
  <c r="I26" i="43"/>
  <c r="J26" i="43" s="1"/>
  <c r="B28" i="43"/>
  <c r="K28" i="43"/>
  <c r="F27" i="43"/>
  <c r="I27" i="43" s="1"/>
  <c r="J27" i="43" s="1"/>
  <c r="D28" i="43"/>
  <c r="I67" i="43"/>
  <c r="G29" i="43" l="1"/>
  <c r="H31" i="46"/>
  <c r="K31" i="44"/>
  <c r="G30" i="44"/>
  <c r="I70" i="46"/>
  <c r="E31" i="46"/>
  <c r="G31" i="46"/>
  <c r="H30" i="44"/>
  <c r="E31" i="44"/>
  <c r="I69" i="44"/>
  <c r="E29" i="43"/>
  <c r="I27" i="46"/>
  <c r="J27" i="46" s="1"/>
  <c r="B33" i="46"/>
  <c r="F28" i="46"/>
  <c r="D29" i="46"/>
  <c r="B32" i="44"/>
  <c r="P28" i="44"/>
  <c r="I26" i="44"/>
  <c r="J26" i="44" s="1"/>
  <c r="D28" i="44"/>
  <c r="F27" i="44"/>
  <c r="I27" i="44" s="1"/>
  <c r="J27" i="44" s="1"/>
  <c r="B29" i="43"/>
  <c r="K29" i="43"/>
  <c r="D29" i="43"/>
  <c r="F28" i="43"/>
  <c r="I68" i="43"/>
  <c r="G30" i="43" l="1"/>
  <c r="E32" i="46"/>
  <c r="K32" i="44"/>
  <c r="H31" i="44"/>
  <c r="I71" i="46"/>
  <c r="H32" i="46"/>
  <c r="G31" i="44"/>
  <c r="I70" i="44"/>
  <c r="E32" i="44"/>
  <c r="G32" i="46"/>
  <c r="E30" i="43"/>
  <c r="B34" i="46"/>
  <c r="D30" i="46"/>
  <c r="F29" i="46"/>
  <c r="I28" i="46"/>
  <c r="J28" i="46" s="1"/>
  <c r="B33" i="44"/>
  <c r="F28" i="44"/>
  <c r="D29" i="44"/>
  <c r="P29" i="44"/>
  <c r="I28" i="43"/>
  <c r="J28" i="43" s="1"/>
  <c r="B30" i="43"/>
  <c r="F29" i="43"/>
  <c r="D30" i="43"/>
  <c r="I69" i="43"/>
  <c r="K30" i="43"/>
  <c r="E33" i="46" l="1"/>
  <c r="E34" i="46" s="1"/>
  <c r="G31" i="43"/>
  <c r="K33" i="44"/>
  <c r="G32" i="44"/>
  <c r="H32" i="44"/>
  <c r="E33" i="44"/>
  <c r="I71" i="44"/>
  <c r="I72" i="46"/>
  <c r="G33" i="46"/>
  <c r="H33" i="46"/>
  <c r="K31" i="43"/>
  <c r="B35" i="46"/>
  <c r="I29" i="46"/>
  <c r="J29" i="46" s="1"/>
  <c r="D31" i="46"/>
  <c r="F30" i="46"/>
  <c r="B34" i="44"/>
  <c r="D30" i="44"/>
  <c r="F29" i="44"/>
  <c r="P30" i="44"/>
  <c r="I28" i="44"/>
  <c r="J28" i="44" s="1"/>
  <c r="I70" i="43"/>
  <c r="B31" i="43"/>
  <c r="I29" i="43"/>
  <c r="J29" i="43" s="1"/>
  <c r="D31" i="43"/>
  <c r="F30" i="43"/>
  <c r="E31" i="43"/>
  <c r="G32" i="43" l="1"/>
  <c r="K34" i="44"/>
  <c r="H33" i="44"/>
  <c r="E35" i="46"/>
  <c r="I73" i="46"/>
  <c r="I72" i="44"/>
  <c r="E34" i="44"/>
  <c r="H34" i="46"/>
  <c r="G33" i="44"/>
  <c r="G34" i="46"/>
  <c r="I30" i="46"/>
  <c r="J30" i="46" s="1"/>
  <c r="D32" i="46"/>
  <c r="F31" i="46"/>
  <c r="B36" i="46"/>
  <c r="B35" i="44"/>
  <c r="I29" i="44"/>
  <c r="J29" i="44" s="1"/>
  <c r="P31" i="44"/>
  <c r="D31" i="44"/>
  <c r="F30" i="44"/>
  <c r="I30" i="44" s="1"/>
  <c r="J30" i="44" s="1"/>
  <c r="B32" i="43"/>
  <c r="E32" i="43"/>
  <c r="I30" i="43"/>
  <c r="J30" i="43" s="1"/>
  <c r="K32" i="43"/>
  <c r="I71" i="43"/>
  <c r="F31" i="43"/>
  <c r="D32" i="43"/>
  <c r="G33" i="43" l="1"/>
  <c r="K35" i="44"/>
  <c r="G34" i="44"/>
  <c r="G35" i="46"/>
  <c r="H35" i="46"/>
  <c r="I73" i="44"/>
  <c r="E35" i="44"/>
  <c r="E36" i="46"/>
  <c r="I74" i="46"/>
  <c r="H34" i="44"/>
  <c r="I31" i="46"/>
  <c r="J31" i="46" s="1"/>
  <c r="F32" i="46"/>
  <c r="D33" i="46"/>
  <c r="D32" i="44"/>
  <c r="F31" i="44"/>
  <c r="P32" i="44"/>
  <c r="B36" i="44"/>
  <c r="E33" i="43"/>
  <c r="D33" i="43"/>
  <c r="F32" i="43"/>
  <c r="I72" i="43"/>
  <c r="I31" i="43"/>
  <c r="J31" i="43" s="1"/>
  <c r="K33" i="43"/>
  <c r="B33" i="43"/>
  <c r="G34" i="43" l="1"/>
  <c r="K36" i="44"/>
  <c r="H36" i="46"/>
  <c r="K34" i="43"/>
  <c r="H35" i="44"/>
  <c r="G36" i="46"/>
  <c r="G35" i="44"/>
  <c r="E36" i="44"/>
  <c r="I74" i="44"/>
  <c r="D34" i="46"/>
  <c r="F33" i="46"/>
  <c r="I32" i="46"/>
  <c r="J32" i="46" s="1"/>
  <c r="P33" i="44"/>
  <c r="I31" i="44"/>
  <c r="J31" i="44" s="1"/>
  <c r="F32" i="44"/>
  <c r="D33" i="44"/>
  <c r="I32" i="43"/>
  <c r="J32" i="43" s="1"/>
  <c r="E34" i="43"/>
  <c r="F33" i="43"/>
  <c r="D34" i="43"/>
  <c r="B34" i="43"/>
  <c r="I73" i="43"/>
  <c r="G35" i="43" l="1"/>
  <c r="G36" i="44"/>
  <c r="H36" i="44"/>
  <c r="I33" i="46"/>
  <c r="J33" i="46" s="1"/>
  <c r="D35" i="46"/>
  <c r="F34" i="46"/>
  <c r="D34" i="44"/>
  <c r="F33" i="44"/>
  <c r="I33" i="44" s="1"/>
  <c r="J33" i="44" s="1"/>
  <c r="I32" i="44"/>
  <c r="J32" i="44" s="1"/>
  <c r="P34" i="44"/>
  <c r="E35" i="43"/>
  <c r="B35" i="43"/>
  <c r="K35" i="43"/>
  <c r="D35" i="43"/>
  <c r="F34" i="43"/>
  <c r="I74" i="43"/>
  <c r="I33" i="43"/>
  <c r="J33" i="43" s="1"/>
  <c r="G36" i="43" l="1"/>
  <c r="I34" i="46"/>
  <c r="J34" i="46" s="1"/>
  <c r="F35" i="46"/>
  <c r="D36" i="46"/>
  <c r="F36" i="46" s="1"/>
  <c r="P35" i="44"/>
  <c r="D35" i="44"/>
  <c r="F34" i="44"/>
  <c r="I34" i="44" s="1"/>
  <c r="J34" i="44" s="1"/>
  <c r="F35" i="43"/>
  <c r="D36" i="43"/>
  <c r="K36" i="43"/>
  <c r="E36" i="43"/>
  <c r="I34" i="43"/>
  <c r="J34" i="43" s="1"/>
  <c r="B36" i="43"/>
  <c r="I36" i="46" l="1"/>
  <c r="J36" i="46" s="1"/>
  <c r="I35" i="46"/>
  <c r="J35" i="46" s="1"/>
  <c r="F35" i="44"/>
  <c r="D36" i="44"/>
  <c r="F36" i="44" s="1"/>
  <c r="P36" i="44"/>
  <c r="F36" i="43"/>
  <c r="I36" i="43" s="1"/>
  <c r="J36" i="43" s="1"/>
  <c r="I35" i="43"/>
  <c r="J35" i="43" s="1"/>
  <c r="I36" i="44" l="1"/>
  <c r="J36" i="44" s="1"/>
  <c r="I35" i="44"/>
  <c r="J35" i="44" s="1"/>
  <c r="C67" i="42" l="1"/>
  <c r="C68" i="42" s="1"/>
  <c r="H11" i="42"/>
  <c r="E10" i="42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K10" i="42"/>
  <c r="G10" i="42"/>
  <c r="C10" i="42"/>
  <c r="D10" i="42" s="1"/>
  <c r="P11" i="42" l="1"/>
  <c r="K11" i="42"/>
  <c r="E11" i="42"/>
  <c r="G11" i="42"/>
  <c r="G12" i="42" s="1"/>
  <c r="G13" i="42" s="1"/>
  <c r="B26" i="42"/>
  <c r="F10" i="42"/>
  <c r="I10" i="42" s="1"/>
  <c r="D11" i="42"/>
  <c r="C69" i="42"/>
  <c r="B3" i="42"/>
  <c r="C52" i="42" s="1"/>
  <c r="B9" i="42" s="1"/>
  <c r="D47" i="42"/>
  <c r="J10" i="42" l="1"/>
  <c r="E12" i="42"/>
  <c r="E13" i="42" s="1"/>
  <c r="H12" i="42"/>
  <c r="H13" i="42" s="1"/>
  <c r="P12" i="42"/>
  <c r="D12" i="42"/>
  <c r="F11" i="42"/>
  <c r="I11" i="42" s="1"/>
  <c r="K12" i="42"/>
  <c r="K13" i="42" s="1"/>
  <c r="C70" i="42"/>
  <c r="G14" i="42"/>
  <c r="B27" i="42"/>
  <c r="J11" i="42" l="1"/>
  <c r="H14" i="42"/>
  <c r="P13" i="42"/>
  <c r="P14" i="42" s="1"/>
  <c r="K14" i="42"/>
  <c r="G15" i="42"/>
  <c r="C71" i="42"/>
  <c r="D13" i="42"/>
  <c r="F12" i="42"/>
  <c r="B28" i="42"/>
  <c r="E14" i="42"/>
  <c r="K15" i="42" l="1"/>
  <c r="E15" i="42"/>
  <c r="H15" i="42"/>
  <c r="I12" i="42"/>
  <c r="C72" i="42"/>
  <c r="G16" i="42"/>
  <c r="D14" i="42"/>
  <c r="F13" i="42"/>
  <c r="I13" i="42" s="1"/>
  <c r="B29" i="42"/>
  <c r="P15" i="42"/>
  <c r="J13" i="42" l="1"/>
  <c r="J12" i="42"/>
  <c r="H16" i="42"/>
  <c r="E16" i="42"/>
  <c r="K16" i="42"/>
  <c r="P16" i="42"/>
  <c r="G17" i="42"/>
  <c r="C73" i="42"/>
  <c r="B30" i="42"/>
  <c r="D15" i="42"/>
  <c r="F14" i="42"/>
  <c r="I14" i="42" s="1"/>
  <c r="D46" i="41"/>
  <c r="K10" i="41"/>
  <c r="E10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G10" i="41"/>
  <c r="J14" i="42" l="1"/>
  <c r="C68" i="41"/>
  <c r="E17" i="42"/>
  <c r="C10" i="41"/>
  <c r="D10" i="41" s="1"/>
  <c r="F10" i="41" s="1"/>
  <c r="N59" i="41"/>
  <c r="G11" i="41"/>
  <c r="G12" i="41" s="1"/>
  <c r="G13" i="41" s="1"/>
  <c r="E11" i="41"/>
  <c r="E12" i="41" s="1"/>
  <c r="K11" i="41"/>
  <c r="K12" i="41" s="1"/>
  <c r="H17" i="42"/>
  <c r="P17" i="42"/>
  <c r="C74" i="42"/>
  <c r="G18" i="42"/>
  <c r="B31" i="42"/>
  <c r="K17" i="42"/>
  <c r="D16" i="42"/>
  <c r="F15" i="42"/>
  <c r="I15" i="42" s="1"/>
  <c r="B26" i="41"/>
  <c r="B3" i="41"/>
  <c r="C52" i="41" s="1"/>
  <c r="B9" i="41" s="1"/>
  <c r="D47" i="41"/>
  <c r="C69" i="41"/>
  <c r="K10" i="40"/>
  <c r="J15" i="42" l="1"/>
  <c r="K13" i="41"/>
  <c r="D11" i="41"/>
  <c r="F11" i="41" s="1"/>
  <c r="H18" i="42"/>
  <c r="E13" i="41"/>
  <c r="N60" i="41"/>
  <c r="P59" i="41" s="1"/>
  <c r="N64" i="41"/>
  <c r="N63" i="41"/>
  <c r="P18" i="42"/>
  <c r="E18" i="42"/>
  <c r="K18" i="42"/>
  <c r="G19" i="42"/>
  <c r="F66" i="42"/>
  <c r="D17" i="42"/>
  <c r="F16" i="42"/>
  <c r="I16" i="42" s="1"/>
  <c r="B32" i="42"/>
  <c r="C70" i="41"/>
  <c r="G14" i="41"/>
  <c r="B27" i="41"/>
  <c r="J16" i="42" l="1"/>
  <c r="D12" i="41"/>
  <c r="F12" i="41" s="1"/>
  <c r="P63" i="41"/>
  <c r="C59" i="41" s="1"/>
  <c r="H10" i="41" s="1"/>
  <c r="H11" i="41" s="1"/>
  <c r="H12" i="41" s="1"/>
  <c r="H13" i="41" s="1"/>
  <c r="H14" i="41" s="1"/>
  <c r="E19" i="42"/>
  <c r="K19" i="42"/>
  <c r="H19" i="42"/>
  <c r="F67" i="42"/>
  <c r="G20" i="42"/>
  <c r="P19" i="42"/>
  <c r="D18" i="42"/>
  <c r="F17" i="42"/>
  <c r="I17" i="42" s="1"/>
  <c r="B33" i="42"/>
  <c r="E14" i="41"/>
  <c r="G15" i="41"/>
  <c r="C71" i="41"/>
  <c r="B28" i="41"/>
  <c r="K14" i="41"/>
  <c r="J17" i="42" l="1"/>
  <c r="D13" i="41"/>
  <c r="D14" i="41" s="1"/>
  <c r="I12" i="41"/>
  <c r="J12" i="41" s="1"/>
  <c r="H20" i="42"/>
  <c r="I10" i="41"/>
  <c r="J10" i="41" s="1"/>
  <c r="I11" i="41"/>
  <c r="J11" i="41" s="1"/>
  <c r="H15" i="41"/>
  <c r="G21" i="42"/>
  <c r="F68" i="42"/>
  <c r="D19" i="42"/>
  <c r="F18" i="42"/>
  <c r="I18" i="42" s="1"/>
  <c r="E20" i="42"/>
  <c r="P20" i="42"/>
  <c r="K20" i="42"/>
  <c r="B34" i="42"/>
  <c r="B29" i="41"/>
  <c r="C72" i="41"/>
  <c r="G16" i="41"/>
  <c r="K15" i="41"/>
  <c r="E15" i="41"/>
  <c r="F13" i="41" l="1"/>
  <c r="I13" i="41" s="1"/>
  <c r="J13" i="41" s="1"/>
  <c r="J18" i="42"/>
  <c r="E21" i="42"/>
  <c r="E16" i="41"/>
  <c r="H16" i="41"/>
  <c r="K16" i="41"/>
  <c r="H21" i="42"/>
  <c r="P21" i="42"/>
  <c r="B35" i="42"/>
  <c r="K21" i="42"/>
  <c r="D20" i="42"/>
  <c r="F19" i="42"/>
  <c r="I19" i="42" s="1"/>
  <c r="F69" i="42"/>
  <c r="G22" i="42"/>
  <c r="G17" i="41"/>
  <c r="C73" i="41"/>
  <c r="F14" i="41"/>
  <c r="I14" i="41" s="1"/>
  <c r="J14" i="41" s="1"/>
  <c r="D15" i="41"/>
  <c r="B30" i="41"/>
  <c r="J19" i="42" l="1"/>
  <c r="H22" i="42"/>
  <c r="H17" i="41"/>
  <c r="B36" i="42"/>
  <c r="G23" i="42"/>
  <c r="F70" i="42"/>
  <c r="E22" i="42"/>
  <c r="D21" i="42"/>
  <c r="F20" i="42"/>
  <c r="I20" i="42" s="1"/>
  <c r="P22" i="42"/>
  <c r="K22" i="42"/>
  <c r="C74" i="41"/>
  <c r="G18" i="41"/>
  <c r="F15" i="41"/>
  <c r="I15" i="41" s="1"/>
  <c r="J15" i="41" s="1"/>
  <c r="D16" i="41"/>
  <c r="K17" i="41"/>
  <c r="E17" i="41"/>
  <c r="B31" i="41"/>
  <c r="J20" i="42" l="1"/>
  <c r="K23" i="42"/>
  <c r="E23" i="42"/>
  <c r="H18" i="41"/>
  <c r="H23" i="42"/>
  <c r="P23" i="42"/>
  <c r="D22" i="42"/>
  <c r="F21" i="42"/>
  <c r="I21" i="42" s="1"/>
  <c r="F71" i="42"/>
  <c r="G24" i="42"/>
  <c r="K18" i="41"/>
  <c r="G19" i="41"/>
  <c r="F66" i="41"/>
  <c r="B32" i="41"/>
  <c r="E18" i="41"/>
  <c r="F16" i="41"/>
  <c r="I16" i="41" s="1"/>
  <c r="J16" i="41" s="1"/>
  <c r="D17" i="41"/>
  <c r="J21" i="42" l="1"/>
  <c r="H24" i="42"/>
  <c r="H19" i="41"/>
  <c r="E19" i="41"/>
  <c r="K19" i="41"/>
  <c r="E24" i="42"/>
  <c r="K24" i="42"/>
  <c r="P24" i="42"/>
  <c r="G25" i="42"/>
  <c r="F72" i="42"/>
  <c r="D23" i="42"/>
  <c r="F22" i="42"/>
  <c r="I22" i="42" s="1"/>
  <c r="F17" i="41"/>
  <c r="I17" i="41" s="1"/>
  <c r="J17" i="41" s="1"/>
  <c r="D18" i="41"/>
  <c r="B33" i="41"/>
  <c r="F67" i="41"/>
  <c r="G20" i="41"/>
  <c r="J22" i="42" l="1"/>
  <c r="K20" i="41"/>
  <c r="E25" i="42"/>
  <c r="K25" i="42"/>
  <c r="H20" i="41"/>
  <c r="H25" i="42"/>
  <c r="D24" i="42"/>
  <c r="F23" i="42"/>
  <c r="I23" i="42" s="1"/>
  <c r="F73" i="42"/>
  <c r="G26" i="42"/>
  <c r="P25" i="42"/>
  <c r="B34" i="41"/>
  <c r="E20" i="41"/>
  <c r="G21" i="41"/>
  <c r="F68" i="41"/>
  <c r="F18" i="41"/>
  <c r="I18" i="41" s="1"/>
  <c r="J18" i="41" s="1"/>
  <c r="D19" i="41"/>
  <c r="J23" i="42" l="1"/>
  <c r="K26" i="42"/>
  <c r="H26" i="42"/>
  <c r="H21" i="41"/>
  <c r="P26" i="42"/>
  <c r="D25" i="42"/>
  <c r="F24" i="42"/>
  <c r="I24" i="42" s="1"/>
  <c r="E26" i="42"/>
  <c r="G27" i="42"/>
  <c r="F74" i="42"/>
  <c r="F69" i="41"/>
  <c r="G22" i="41"/>
  <c r="B35" i="41"/>
  <c r="F19" i="41"/>
  <c r="I19" i="41" s="1"/>
  <c r="J19" i="41" s="1"/>
  <c r="D20" i="41"/>
  <c r="K21" i="41"/>
  <c r="E21" i="41"/>
  <c r="J24" i="42" l="1"/>
  <c r="H22" i="41"/>
  <c r="H27" i="42"/>
  <c r="K27" i="42"/>
  <c r="E27" i="42"/>
  <c r="P27" i="42"/>
  <c r="I66" i="42"/>
  <c r="G28" i="42"/>
  <c r="D26" i="42"/>
  <c r="F25" i="42"/>
  <c r="I25" i="42" s="1"/>
  <c r="E22" i="41"/>
  <c r="G23" i="41"/>
  <c r="F70" i="41"/>
  <c r="K22" i="41"/>
  <c r="B36" i="41"/>
  <c r="F20" i="41"/>
  <c r="I20" i="41" s="1"/>
  <c r="J20" i="41" s="1"/>
  <c r="D21" i="41"/>
  <c r="J25" i="42" l="1"/>
  <c r="H28" i="42"/>
  <c r="H23" i="41"/>
  <c r="G29" i="42"/>
  <c r="I67" i="42"/>
  <c r="K28" i="42"/>
  <c r="F26" i="42"/>
  <c r="I26" i="42" s="1"/>
  <c r="D27" i="42"/>
  <c r="P28" i="42"/>
  <c r="E28" i="42"/>
  <c r="F71" i="41"/>
  <c r="G24" i="41"/>
  <c r="E23" i="41"/>
  <c r="F21" i="41"/>
  <c r="I21" i="41" s="1"/>
  <c r="J21" i="41" s="1"/>
  <c r="D22" i="41"/>
  <c r="K23" i="41"/>
  <c r="J26" i="42" l="1"/>
  <c r="E24" i="41"/>
  <c r="H24" i="41"/>
  <c r="H29" i="42"/>
  <c r="K29" i="42"/>
  <c r="P29" i="42"/>
  <c r="I68" i="42"/>
  <c r="G30" i="42"/>
  <c r="F27" i="42"/>
  <c r="I27" i="42" s="1"/>
  <c r="D28" i="42"/>
  <c r="E29" i="42"/>
  <c r="G25" i="41"/>
  <c r="F72" i="41"/>
  <c r="F22" i="41"/>
  <c r="I22" i="41" s="1"/>
  <c r="J22" i="41" s="1"/>
  <c r="D23" i="41"/>
  <c r="K24" i="41"/>
  <c r="J27" i="42" l="1"/>
  <c r="K25" i="41"/>
  <c r="E25" i="41"/>
  <c r="H30" i="42"/>
  <c r="E30" i="42"/>
  <c r="H25" i="41"/>
  <c r="P30" i="42"/>
  <c r="F28" i="42"/>
  <c r="I28" i="42" s="1"/>
  <c r="D29" i="42"/>
  <c r="K30" i="42"/>
  <c r="G31" i="42"/>
  <c r="I69" i="42"/>
  <c r="F73" i="41"/>
  <c r="G26" i="41"/>
  <c r="F23" i="41"/>
  <c r="I23" i="41" s="1"/>
  <c r="J23" i="41" s="1"/>
  <c r="D24" i="41"/>
  <c r="J28" i="42" l="1"/>
  <c r="H26" i="41"/>
  <c r="H31" i="42"/>
  <c r="E31" i="42"/>
  <c r="K31" i="42"/>
  <c r="P31" i="42"/>
  <c r="I70" i="42"/>
  <c r="G32" i="42"/>
  <c r="D30" i="42"/>
  <c r="F29" i="42"/>
  <c r="I29" i="42" s="1"/>
  <c r="E26" i="41"/>
  <c r="G27" i="41"/>
  <c r="F74" i="41"/>
  <c r="K26" i="41"/>
  <c r="F24" i="41"/>
  <c r="I24" i="41" s="1"/>
  <c r="J24" i="41" s="1"/>
  <c r="D25" i="41"/>
  <c r="J29" i="42" l="1"/>
  <c r="E27" i="41"/>
  <c r="H32" i="42"/>
  <c r="K27" i="41"/>
  <c r="H27" i="41"/>
  <c r="D31" i="42"/>
  <c r="F30" i="42"/>
  <c r="I30" i="42" s="1"/>
  <c r="P32" i="42"/>
  <c r="K32" i="42"/>
  <c r="G33" i="42"/>
  <c r="I71" i="42"/>
  <c r="E32" i="42"/>
  <c r="D26" i="41"/>
  <c r="F25" i="41"/>
  <c r="I25" i="41" s="1"/>
  <c r="J25" i="41" s="1"/>
  <c r="I66" i="41"/>
  <c r="G28" i="41"/>
  <c r="J30" i="42" l="1"/>
  <c r="H28" i="41"/>
  <c r="H33" i="42"/>
  <c r="I72" i="42"/>
  <c r="G34" i="42"/>
  <c r="P33" i="42"/>
  <c r="K33" i="42"/>
  <c r="F31" i="42"/>
  <c r="I31" i="42" s="1"/>
  <c r="D32" i="42"/>
  <c r="E33" i="42"/>
  <c r="K28" i="41"/>
  <c r="E28" i="41"/>
  <c r="G29" i="41"/>
  <c r="I67" i="41"/>
  <c r="D27" i="41"/>
  <c r="F26" i="41"/>
  <c r="I26" i="41" s="1"/>
  <c r="J26" i="41" s="1"/>
  <c r="J31" i="42" l="1"/>
  <c r="H34" i="42"/>
  <c r="H29" i="41"/>
  <c r="F32" i="42"/>
  <c r="I32" i="42" s="1"/>
  <c r="D33" i="42"/>
  <c r="P34" i="42"/>
  <c r="K34" i="42"/>
  <c r="G35" i="42"/>
  <c r="I73" i="42"/>
  <c r="E34" i="42"/>
  <c r="I68" i="41"/>
  <c r="G30" i="41"/>
  <c r="F27" i="41"/>
  <c r="I27" i="41" s="1"/>
  <c r="J27" i="41" s="1"/>
  <c r="D28" i="41"/>
  <c r="K29" i="41"/>
  <c r="E29" i="41"/>
  <c r="J32" i="42" l="1"/>
  <c r="H30" i="41"/>
  <c r="H35" i="42"/>
  <c r="D34" i="42"/>
  <c r="F33" i="42"/>
  <c r="I33" i="42" s="1"/>
  <c r="K35" i="42"/>
  <c r="I74" i="42"/>
  <c r="G36" i="42"/>
  <c r="P35" i="42"/>
  <c r="E35" i="42"/>
  <c r="K30" i="41"/>
  <c r="G31" i="41"/>
  <c r="I69" i="41"/>
  <c r="E30" i="41"/>
  <c r="F28" i="41"/>
  <c r="I28" i="41" s="1"/>
  <c r="J28" i="41" s="1"/>
  <c r="D29" i="41"/>
  <c r="J33" i="42" l="1"/>
  <c r="E31" i="41"/>
  <c r="E36" i="42"/>
  <c r="H36" i="42"/>
  <c r="H31" i="41"/>
  <c r="K36" i="42"/>
  <c r="P36" i="42"/>
  <c r="F34" i="42"/>
  <c r="I34" i="42" s="1"/>
  <c r="D35" i="42"/>
  <c r="I70" i="41"/>
  <c r="G32" i="41"/>
  <c r="K31" i="41"/>
  <c r="D30" i="41"/>
  <c r="F29" i="41"/>
  <c r="I29" i="41" s="1"/>
  <c r="J29" i="41" s="1"/>
  <c r="J34" i="42" l="1"/>
  <c r="H32" i="41"/>
  <c r="K32" i="41"/>
  <c r="F35" i="42"/>
  <c r="I35" i="42" s="1"/>
  <c r="D36" i="42"/>
  <c r="F36" i="42" s="1"/>
  <c r="I36" i="42" s="1"/>
  <c r="D31" i="41"/>
  <c r="F30" i="41"/>
  <c r="I30" i="41" s="1"/>
  <c r="J30" i="41" s="1"/>
  <c r="E32" i="41"/>
  <c r="G33" i="41"/>
  <c r="I71" i="41"/>
  <c r="J36" i="42" l="1"/>
  <c r="J35" i="42"/>
  <c r="H33" i="41"/>
  <c r="K33" i="41"/>
  <c r="E33" i="41"/>
  <c r="D32" i="41"/>
  <c r="F31" i="41"/>
  <c r="I31" i="41" s="1"/>
  <c r="J31" i="41" s="1"/>
  <c r="I72" i="41"/>
  <c r="G34" i="41"/>
  <c r="H34" i="41" l="1"/>
  <c r="E34" i="41"/>
  <c r="G35" i="41"/>
  <c r="I73" i="41"/>
  <c r="F32" i="41"/>
  <c r="I32" i="41" s="1"/>
  <c r="J32" i="41" s="1"/>
  <c r="D33" i="41"/>
  <c r="K34" i="41"/>
  <c r="H35" i="41" l="1"/>
  <c r="D34" i="41"/>
  <c r="F33" i="41"/>
  <c r="I33" i="41" s="1"/>
  <c r="J33" i="41" s="1"/>
  <c r="I74" i="41"/>
  <c r="G36" i="41"/>
  <c r="E35" i="41"/>
  <c r="K35" i="41"/>
  <c r="K36" i="41" l="1"/>
  <c r="H36" i="41"/>
  <c r="E36" i="41"/>
  <c r="D35" i="41"/>
  <c r="F34" i="41"/>
  <c r="I34" i="41" s="1"/>
  <c r="J34" i="41" s="1"/>
  <c r="F35" i="41" l="1"/>
  <c r="I35" i="41" s="1"/>
  <c r="J35" i="41" s="1"/>
  <c r="D36" i="41"/>
  <c r="F36" i="41" s="1"/>
  <c r="I36" i="41" s="1"/>
  <c r="J36" i="41" s="1"/>
  <c r="E10" i="40" l="1"/>
  <c r="C67" i="40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G10" i="40"/>
  <c r="B3" i="40"/>
  <c r="C52" i="40" s="1"/>
  <c r="B9" i="40" s="1"/>
  <c r="C10" i="40" l="1"/>
  <c r="D10" i="40" s="1"/>
  <c r="D11" i="40" s="1"/>
  <c r="N59" i="40"/>
  <c r="G11" i="40"/>
  <c r="K11" i="40"/>
  <c r="B26" i="40"/>
  <c r="E11" i="40"/>
  <c r="C69" i="40"/>
  <c r="G12" i="40" l="1"/>
  <c r="G13" i="40" s="1"/>
  <c r="N63" i="40"/>
  <c r="N60" i="40"/>
  <c r="P59" i="40" s="1"/>
  <c r="N64" i="40"/>
  <c r="B27" i="40"/>
  <c r="E12" i="40"/>
  <c r="E13" i="40" s="1"/>
  <c r="D12" i="40"/>
  <c r="D13" i="40" s="1"/>
  <c r="K12" i="40"/>
  <c r="K13" i="40" s="1"/>
  <c r="F11" i="40"/>
  <c r="F10" i="40"/>
  <c r="C70" i="40"/>
  <c r="G14" i="40" l="1"/>
  <c r="P63" i="40"/>
  <c r="C59" i="40" s="1"/>
  <c r="H10" i="40" s="1"/>
  <c r="H11" i="40" s="1"/>
  <c r="H12" i="40" s="1"/>
  <c r="H13" i="40" s="1"/>
  <c r="H14" i="40" s="1"/>
  <c r="F12" i="40"/>
  <c r="E14" i="40"/>
  <c r="K14" i="40"/>
  <c r="D14" i="40"/>
  <c r="B28" i="40"/>
  <c r="C71" i="40"/>
  <c r="G15" i="40" l="1"/>
  <c r="H15" i="40"/>
  <c r="I11" i="40"/>
  <c r="J11" i="40" s="1"/>
  <c r="I10" i="40"/>
  <c r="J10" i="40" s="1"/>
  <c r="I12" i="40"/>
  <c r="J12" i="40" s="1"/>
  <c r="D15" i="40"/>
  <c r="K15" i="40"/>
  <c r="E15" i="40"/>
  <c r="B29" i="40"/>
  <c r="F13" i="40"/>
  <c r="I13" i="40" s="1"/>
  <c r="J13" i="40" s="1"/>
  <c r="C72" i="40"/>
  <c r="F14" i="40"/>
  <c r="G16" i="40" l="1"/>
  <c r="H16" i="40"/>
  <c r="I14" i="40"/>
  <c r="J14" i="40" s="1"/>
  <c r="K16" i="40"/>
  <c r="D16" i="40"/>
  <c r="B30" i="40"/>
  <c r="E16" i="40"/>
  <c r="C73" i="40"/>
  <c r="F15" i="40"/>
  <c r="I15" i="40" s="1"/>
  <c r="J15" i="40" s="1"/>
  <c r="G17" i="40" l="1"/>
  <c r="H17" i="40"/>
  <c r="D17" i="40"/>
  <c r="E17" i="40"/>
  <c r="K17" i="40"/>
  <c r="B31" i="40"/>
  <c r="C74" i="40"/>
  <c r="F16" i="40"/>
  <c r="G18" i="40" l="1"/>
  <c r="H18" i="40"/>
  <c r="I16" i="40"/>
  <c r="J16" i="40" s="1"/>
  <c r="E18" i="40"/>
  <c r="B32" i="40"/>
  <c r="D18" i="40"/>
  <c r="K18" i="40"/>
  <c r="F66" i="40"/>
  <c r="F17" i="40"/>
  <c r="I17" i="40" s="1"/>
  <c r="J17" i="40" s="1"/>
  <c r="G19" i="40" l="1"/>
  <c r="H19" i="40"/>
  <c r="B33" i="40"/>
  <c r="K19" i="40"/>
  <c r="E19" i="40"/>
  <c r="D19" i="40"/>
  <c r="F67" i="40"/>
  <c r="F18" i="40"/>
  <c r="I18" i="40" s="1"/>
  <c r="J18" i="40" s="1"/>
  <c r="G20" i="40" l="1"/>
  <c r="H20" i="40"/>
  <c r="K20" i="40"/>
  <c r="D20" i="40"/>
  <c r="B34" i="40"/>
  <c r="E20" i="40"/>
  <c r="F68" i="40"/>
  <c r="F19" i="40"/>
  <c r="I19" i="40" s="1"/>
  <c r="J19" i="40" s="1"/>
  <c r="G21" i="40" l="1"/>
  <c r="G22" i="40" s="1"/>
  <c r="H21" i="40"/>
  <c r="D21" i="40"/>
  <c r="E21" i="40"/>
  <c r="K21" i="40"/>
  <c r="B35" i="40"/>
  <c r="F69" i="40"/>
  <c r="F20" i="40"/>
  <c r="I20" i="40" s="1"/>
  <c r="J20" i="40" s="1"/>
  <c r="H22" i="40" l="1"/>
  <c r="E22" i="40"/>
  <c r="B36" i="40"/>
  <c r="D22" i="40"/>
  <c r="K22" i="40"/>
  <c r="G23" i="40"/>
  <c r="F70" i="40"/>
  <c r="F21" i="40"/>
  <c r="I21" i="40" s="1"/>
  <c r="J21" i="40" s="1"/>
  <c r="H23" i="40" l="1"/>
  <c r="K23" i="40"/>
  <c r="E23" i="40"/>
  <c r="D23" i="40"/>
  <c r="F71" i="40"/>
  <c r="G24" i="40"/>
  <c r="H24" i="40" l="1"/>
  <c r="D24" i="40"/>
  <c r="E24" i="40"/>
  <c r="K24" i="40"/>
  <c r="G25" i="40"/>
  <c r="F72" i="40"/>
  <c r="H25" i="40" l="1"/>
  <c r="K25" i="40"/>
  <c r="E25" i="40"/>
  <c r="D25" i="40"/>
  <c r="F73" i="40"/>
  <c r="G26" i="40"/>
  <c r="H26" i="40" l="1"/>
  <c r="D26" i="40"/>
  <c r="E26" i="40"/>
  <c r="K26" i="40"/>
  <c r="F22" i="40"/>
  <c r="I22" i="40" s="1"/>
  <c r="J22" i="40" s="1"/>
  <c r="G27" i="40"/>
  <c r="F74" i="40"/>
  <c r="H27" i="40" l="1"/>
  <c r="K27" i="40"/>
  <c r="E27" i="40"/>
  <c r="D27" i="40"/>
  <c r="I66" i="40"/>
  <c r="G28" i="40"/>
  <c r="F23" i="40"/>
  <c r="I23" i="40" s="1"/>
  <c r="J23" i="40" s="1"/>
  <c r="H28" i="40" l="1"/>
  <c r="D28" i="40"/>
  <c r="E28" i="40"/>
  <c r="K28" i="40"/>
  <c r="F24" i="40"/>
  <c r="I24" i="40" s="1"/>
  <c r="J24" i="40" s="1"/>
  <c r="G29" i="40"/>
  <c r="I67" i="40"/>
  <c r="H29" i="40" l="1"/>
  <c r="K29" i="40"/>
  <c r="E29" i="40"/>
  <c r="D29" i="40"/>
  <c r="I68" i="40"/>
  <c r="G30" i="40"/>
  <c r="F25" i="40"/>
  <c r="I25" i="40" s="1"/>
  <c r="J25" i="40" s="1"/>
  <c r="H30" i="40" l="1"/>
  <c r="D30" i="40"/>
  <c r="E30" i="40"/>
  <c r="K30" i="40"/>
  <c r="F26" i="40"/>
  <c r="I26" i="40" s="1"/>
  <c r="J26" i="40" s="1"/>
  <c r="G31" i="40"/>
  <c r="I69" i="40"/>
  <c r="H31" i="40" l="1"/>
  <c r="K31" i="40"/>
  <c r="E31" i="40"/>
  <c r="D31" i="40"/>
  <c r="I70" i="40"/>
  <c r="G32" i="40"/>
  <c r="F27" i="40"/>
  <c r="I27" i="40" s="1"/>
  <c r="J27" i="40" s="1"/>
  <c r="H32" i="40" l="1"/>
  <c r="D32" i="40"/>
  <c r="E32" i="40"/>
  <c r="K32" i="40"/>
  <c r="G33" i="40"/>
  <c r="I71" i="40"/>
  <c r="F28" i="40"/>
  <c r="I28" i="40" s="1"/>
  <c r="J28" i="40" s="1"/>
  <c r="H33" i="40" l="1"/>
  <c r="K33" i="40"/>
  <c r="E33" i="40"/>
  <c r="D33" i="40"/>
  <c r="F29" i="40"/>
  <c r="I29" i="40" s="1"/>
  <c r="J29" i="40" s="1"/>
  <c r="I72" i="40"/>
  <c r="G34" i="40"/>
  <c r="H34" i="40" l="1"/>
  <c r="D34" i="40"/>
  <c r="E34" i="40"/>
  <c r="K34" i="40"/>
  <c r="G35" i="40"/>
  <c r="I73" i="40"/>
  <c r="F30" i="40"/>
  <c r="I30" i="40" s="1"/>
  <c r="J30" i="40" s="1"/>
  <c r="H35" i="40" l="1"/>
  <c r="K35" i="40"/>
  <c r="E35" i="40"/>
  <c r="F34" i="40"/>
  <c r="D35" i="40"/>
  <c r="F31" i="40"/>
  <c r="I31" i="40" s="1"/>
  <c r="J31" i="40" s="1"/>
  <c r="I74" i="40"/>
  <c r="G36" i="40"/>
  <c r="H36" i="40" l="1"/>
  <c r="I34" i="40"/>
  <c r="J34" i="40" s="1"/>
  <c r="E36" i="40"/>
  <c r="K36" i="40"/>
  <c r="F35" i="40"/>
  <c r="D36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G63" i="39"/>
  <c r="D47" i="39"/>
  <c r="K63" i="39"/>
  <c r="J63" i="39"/>
  <c r="H58" i="39"/>
  <c r="C84" i="39"/>
  <c r="F63" i="39"/>
  <c r="K64" i="39"/>
  <c r="J64" i="39"/>
  <c r="G64" i="39"/>
  <c r="F64" i="39"/>
  <c r="C64" i="39"/>
  <c r="C63" i="39"/>
  <c r="I59" i="39"/>
  <c r="H59" i="39"/>
  <c r="F59" i="39"/>
  <c r="D52" i="39"/>
  <c r="C52" i="39"/>
  <c r="C51" i="39"/>
  <c r="D50" i="39"/>
  <c r="C50" i="39"/>
  <c r="D49" i="39"/>
  <c r="C49" i="39"/>
  <c r="C48" i="39"/>
  <c r="C47" i="39"/>
  <c r="D46" i="39"/>
  <c r="E68" i="39" s="1"/>
  <c r="B15" i="39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12" i="39"/>
  <c r="B5" i="39"/>
  <c r="D9" i="28"/>
  <c r="E9" i="28"/>
  <c r="F58" i="39" l="1"/>
  <c r="F60" i="39" s="1"/>
  <c r="H60" i="39" s="1"/>
  <c r="C14" i="39" s="1"/>
  <c r="D14" i="39" s="1"/>
  <c r="C73" i="39"/>
  <c r="I58" i="39" s="1"/>
  <c r="K343" i="28"/>
  <c r="F65" i="39"/>
  <c r="K341" i="28"/>
  <c r="D44" i="46"/>
  <c r="D49" i="46" s="1"/>
  <c r="D44" i="43"/>
  <c r="D49" i="43" s="1"/>
  <c r="D44" i="44"/>
  <c r="D49" i="44" s="1"/>
  <c r="D44" i="42"/>
  <c r="D49" i="42" s="1"/>
  <c r="D44" i="41"/>
  <c r="D49" i="41" s="1"/>
  <c r="D44" i="40"/>
  <c r="D49" i="40" s="1"/>
  <c r="B29" i="39"/>
  <c r="C85" i="39"/>
  <c r="H64" i="39"/>
  <c r="H63" i="39"/>
  <c r="K342" i="28"/>
  <c r="I60" i="39" l="1"/>
  <c r="E14" i="39" s="1"/>
  <c r="E15" i="39" s="1"/>
  <c r="E16" i="39" s="1"/>
  <c r="G58" i="39"/>
  <c r="G59" i="39" s="1"/>
  <c r="G60" i="39" s="1"/>
  <c r="H65" i="39"/>
  <c r="I63" i="39" s="1"/>
  <c r="D15" i="39"/>
  <c r="C86" i="39"/>
  <c r="B30" i="39"/>
  <c r="C65" i="46" l="1"/>
  <c r="C65" i="44"/>
  <c r="C65" i="43"/>
  <c r="C65" i="42"/>
  <c r="C65" i="41"/>
  <c r="C65" i="40"/>
  <c r="C82" i="39"/>
  <c r="E17" i="39"/>
  <c r="D16" i="39"/>
  <c r="I64" i="39"/>
  <c r="J65" i="39" s="1"/>
  <c r="F14" i="39" s="1"/>
  <c r="C87" i="39"/>
  <c r="B31" i="39"/>
  <c r="G65" i="39"/>
  <c r="D48" i="39" s="1"/>
  <c r="D78" i="39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E18" i="39" l="1"/>
  <c r="G14" i="39"/>
  <c r="H14" i="39" s="1"/>
  <c r="F15" i="39"/>
  <c r="C88" i="39"/>
  <c r="K65" i="39"/>
  <c r="B32" i="39"/>
  <c r="I65" i="39"/>
  <c r="D17" i="39"/>
  <c r="E19" i="39" l="1"/>
  <c r="E20" i="39" s="1"/>
  <c r="D18" i="39"/>
  <c r="D51" i="39"/>
  <c r="C89" i="39"/>
  <c r="B33" i="39"/>
  <c r="G15" i="39"/>
  <c r="H15" i="39" s="1"/>
  <c r="F16" i="39"/>
  <c r="D19" i="39" l="1"/>
  <c r="F17" i="39"/>
  <c r="G16" i="39"/>
  <c r="H16" i="39" s="1"/>
  <c r="B34" i="39"/>
  <c r="C90" i="39"/>
  <c r="E21" i="39"/>
  <c r="B35" i="39" l="1"/>
  <c r="D20" i="39"/>
  <c r="C91" i="39"/>
  <c r="E22" i="39"/>
  <c r="G17" i="39"/>
  <c r="H17" i="39" s="1"/>
  <c r="F18" i="39"/>
  <c r="E23" i="39" l="1"/>
  <c r="F83" i="39"/>
  <c r="B36" i="39"/>
  <c r="F19" i="39"/>
  <c r="G18" i="39"/>
  <c r="H18" i="39" s="1"/>
  <c r="D21" i="39"/>
  <c r="F84" i="39" l="1"/>
  <c r="E24" i="39"/>
  <c r="G19" i="39"/>
  <c r="H19" i="39" s="1"/>
  <c r="F20" i="39"/>
  <c r="D22" i="39"/>
  <c r="B37" i="39"/>
  <c r="D23" i="39" l="1"/>
  <c r="B38" i="39"/>
  <c r="F21" i="39"/>
  <c r="G20" i="39"/>
  <c r="H20" i="39" s="1"/>
  <c r="E25" i="39"/>
  <c r="F85" i="39"/>
  <c r="B39" i="39" l="1"/>
  <c r="G21" i="39"/>
  <c r="H21" i="39" s="1"/>
  <c r="F22" i="39"/>
  <c r="D24" i="39"/>
  <c r="F86" i="39"/>
  <c r="E26" i="39"/>
  <c r="F23" i="39" l="1"/>
  <c r="G22" i="39"/>
  <c r="H22" i="39" s="1"/>
  <c r="E27" i="39"/>
  <c r="F87" i="39"/>
  <c r="D25" i="39"/>
  <c r="B40" i="39"/>
  <c r="D26" i="39" l="1"/>
  <c r="G23" i="39"/>
  <c r="H23" i="39" s="1"/>
  <c r="F24" i="39"/>
  <c r="F88" i="39"/>
  <c r="E28" i="39"/>
  <c r="F25" i="39" l="1"/>
  <c r="G24" i="39"/>
  <c r="H24" i="39" s="1"/>
  <c r="F89" i="39"/>
  <c r="E29" i="39"/>
  <c r="D27" i="39"/>
  <c r="G25" i="39" l="1"/>
  <c r="H25" i="39" s="1"/>
  <c r="F26" i="39"/>
  <c r="D28" i="39"/>
  <c r="F90" i="39"/>
  <c r="E30" i="39"/>
  <c r="F91" i="39" l="1"/>
  <c r="E31" i="39"/>
  <c r="D29" i="39"/>
  <c r="F27" i="39"/>
  <c r="G26" i="39"/>
  <c r="H26" i="39" s="1"/>
  <c r="G27" i="39" l="1"/>
  <c r="H27" i="39" s="1"/>
  <c r="F28" i="39"/>
  <c r="I83" i="39"/>
  <c r="E32" i="39"/>
  <c r="D30" i="39"/>
  <c r="E33" i="39" l="1"/>
  <c r="I84" i="39"/>
  <c r="D31" i="39"/>
  <c r="G28" i="39"/>
  <c r="H28" i="39" s="1"/>
  <c r="F29" i="39"/>
  <c r="D32" i="39" l="1"/>
  <c r="G29" i="39"/>
  <c r="H29" i="39" s="1"/>
  <c r="F30" i="39"/>
  <c r="I85" i="39"/>
  <c r="E34" i="39"/>
  <c r="E35" i="39" l="1"/>
  <c r="I86" i="39"/>
  <c r="D33" i="39"/>
  <c r="F31" i="39"/>
  <c r="G30" i="39"/>
  <c r="H30" i="39" s="1"/>
  <c r="I87" i="39" l="1"/>
  <c r="E36" i="39"/>
  <c r="G31" i="39"/>
  <c r="H31" i="39" s="1"/>
  <c r="F32" i="39"/>
  <c r="D34" i="39"/>
  <c r="D35" i="39" l="1"/>
  <c r="E37" i="39"/>
  <c r="I88" i="39"/>
  <c r="G32" i="39"/>
  <c r="H32" i="39" s="1"/>
  <c r="F33" i="39"/>
  <c r="I89" i="39" l="1"/>
  <c r="E38" i="39"/>
  <c r="D36" i="39"/>
  <c r="F34" i="39"/>
  <c r="G33" i="39"/>
  <c r="H33" i="39" s="1"/>
  <c r="D37" i="39" l="1"/>
  <c r="F35" i="39"/>
  <c r="G34" i="39"/>
  <c r="H34" i="39" s="1"/>
  <c r="I90" i="39"/>
  <c r="E39" i="39"/>
  <c r="G35" i="39" l="1"/>
  <c r="H35" i="39" s="1"/>
  <c r="F36" i="39"/>
  <c r="I91" i="39"/>
  <c r="E40" i="39"/>
  <c r="D38" i="39"/>
  <c r="D39" i="39" l="1"/>
  <c r="F37" i="39"/>
  <c r="G36" i="39"/>
  <c r="H36" i="39" s="1"/>
  <c r="F38" i="39" l="1"/>
  <c r="G37" i="39"/>
  <c r="H37" i="39" s="1"/>
  <c r="D40" i="39"/>
  <c r="F39" i="39" l="1"/>
  <c r="G38" i="39"/>
  <c r="H38" i="39" s="1"/>
  <c r="F40" i="39" l="1"/>
  <c r="G39" i="39"/>
  <c r="H39" i="39" s="1"/>
  <c r="G40" i="39" l="1"/>
  <c r="H40" i="39" s="1"/>
  <c r="D46" i="29" l="1"/>
  <c r="B56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C84" i="37"/>
  <c r="J63" i="37"/>
  <c r="D73" i="37"/>
  <c r="I59" i="37" s="1"/>
  <c r="C73" i="37"/>
  <c r="I58" i="37" s="1"/>
  <c r="H59" i="37"/>
  <c r="H58" i="37"/>
  <c r="F64" i="37"/>
  <c r="F58" i="37"/>
  <c r="E68" i="37"/>
  <c r="K64" i="37"/>
  <c r="J64" i="37"/>
  <c r="G64" i="37"/>
  <c r="C64" i="37"/>
  <c r="K63" i="37"/>
  <c r="G63" i="37"/>
  <c r="C63" i="37"/>
  <c r="D52" i="37"/>
  <c r="C52" i="37"/>
  <c r="C51" i="37"/>
  <c r="D50" i="37"/>
  <c r="C50" i="37"/>
  <c r="D49" i="37"/>
  <c r="C49" i="37"/>
  <c r="C48" i="37"/>
  <c r="D47" i="37"/>
  <c r="C47" i="37"/>
  <c r="B15" i="37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12" i="37"/>
  <c r="B5" i="37"/>
  <c r="F63" i="37" l="1"/>
  <c r="H63" i="37" s="1"/>
  <c r="F59" i="37"/>
  <c r="F60" i="37" s="1"/>
  <c r="H60" i="37" s="1"/>
  <c r="C14" i="37" s="1"/>
  <c r="D14" i="37" s="1"/>
  <c r="D15" i="37" s="1"/>
  <c r="K283" i="28"/>
  <c r="K287" i="28"/>
  <c r="K291" i="28"/>
  <c r="K295" i="28"/>
  <c r="K299" i="28"/>
  <c r="K303" i="28"/>
  <c r="B30" i="37"/>
  <c r="H64" i="37"/>
  <c r="C85" i="37"/>
  <c r="F65" i="37" l="1"/>
  <c r="H65" i="37"/>
  <c r="G58" i="37"/>
  <c r="G59" i="37" s="1"/>
  <c r="G60" i="37" s="1"/>
  <c r="I60" i="37"/>
  <c r="E14" i="37" s="1"/>
  <c r="E15" i="37" s="1"/>
  <c r="E16" i="37" s="1"/>
  <c r="E17" i="37" s="1"/>
  <c r="D16" i="37"/>
  <c r="C86" i="37"/>
  <c r="B31" i="37"/>
  <c r="D78" i="37" l="1"/>
  <c r="I63" i="37"/>
  <c r="G65" i="37"/>
  <c r="D48" i="37" s="1"/>
  <c r="D17" i="37"/>
  <c r="C87" i="37"/>
  <c r="E18" i="37"/>
  <c r="B32" i="37"/>
  <c r="I64" i="37" l="1"/>
  <c r="I65" i="37" s="1"/>
  <c r="D18" i="37"/>
  <c r="B33" i="37"/>
  <c r="E19" i="37"/>
  <c r="C88" i="37"/>
  <c r="J65" i="37" l="1"/>
  <c r="F14" i="37" s="1"/>
  <c r="F15" i="37" s="1"/>
  <c r="F16" i="37" s="1"/>
  <c r="F17" i="37" s="1"/>
  <c r="F18" i="37" s="1"/>
  <c r="F19" i="37" s="1"/>
  <c r="K65" i="37"/>
  <c r="D51" i="37" s="1"/>
  <c r="D19" i="37"/>
  <c r="C89" i="37"/>
  <c r="E20" i="37"/>
  <c r="B34" i="37"/>
  <c r="G14" i="37" l="1"/>
  <c r="H14" i="37" s="1"/>
  <c r="G18" i="37"/>
  <c r="H18" i="37" s="1"/>
  <c r="D20" i="37"/>
  <c r="F20" i="37"/>
  <c r="G19" i="37"/>
  <c r="H19" i="37" s="1"/>
  <c r="E21" i="37"/>
  <c r="C90" i="37"/>
  <c r="B35" i="37"/>
  <c r="G15" i="37"/>
  <c r="H15" i="37" s="1"/>
  <c r="D21" i="37" l="1"/>
  <c r="F21" i="37"/>
  <c r="G20" i="37"/>
  <c r="H20" i="37" s="1"/>
  <c r="G16" i="37"/>
  <c r="H16" i="37" s="1"/>
  <c r="B36" i="37"/>
  <c r="C91" i="37"/>
  <c r="E22" i="37"/>
  <c r="F22" i="37" l="1"/>
  <c r="G21" i="37"/>
  <c r="H21" i="37" s="1"/>
  <c r="D22" i="37"/>
  <c r="E23" i="37"/>
  <c r="F83" i="37"/>
  <c r="B37" i="37"/>
  <c r="G17" i="37"/>
  <c r="H17" i="37" s="1"/>
  <c r="D23" i="37" l="1"/>
  <c r="F23" i="37"/>
  <c r="G22" i="37"/>
  <c r="H22" i="37" s="1"/>
  <c r="F84" i="37"/>
  <c r="E24" i="37"/>
  <c r="B38" i="37"/>
  <c r="G23" i="37" l="1"/>
  <c r="H23" i="37" s="1"/>
  <c r="F24" i="37"/>
  <c r="D24" i="37"/>
  <c r="B39" i="37"/>
  <c r="E25" i="37"/>
  <c r="F85" i="37"/>
  <c r="D25" i="37" l="1"/>
  <c r="D26" i="37" s="1"/>
  <c r="F25" i="37"/>
  <c r="B40" i="37"/>
  <c r="F86" i="37"/>
  <c r="E26" i="37" l="1"/>
  <c r="F26" i="37"/>
  <c r="G25" i="37"/>
  <c r="H25" i="37" s="1"/>
  <c r="D27" i="37"/>
  <c r="F87" i="37"/>
  <c r="E27" i="37" l="1"/>
  <c r="F27" i="37"/>
  <c r="G26" i="37"/>
  <c r="H26" i="37" s="1"/>
  <c r="F88" i="37"/>
  <c r="D28" i="37"/>
  <c r="E28" i="37" l="1"/>
  <c r="F28" i="37"/>
  <c r="G27" i="37"/>
  <c r="H27" i="37" s="1"/>
  <c r="D29" i="37"/>
  <c r="F89" i="37"/>
  <c r="E29" i="37" l="1"/>
  <c r="F29" i="37"/>
  <c r="G28" i="37"/>
  <c r="H28" i="37" s="1"/>
  <c r="G24" i="37"/>
  <c r="H24" i="37" s="1"/>
  <c r="F90" i="37"/>
  <c r="D30" i="37"/>
  <c r="G29" i="37" l="1"/>
  <c r="H29" i="37" s="1"/>
  <c r="F30" i="37"/>
  <c r="E30" i="37"/>
  <c r="D31" i="37"/>
  <c r="F91" i="37"/>
  <c r="E31" i="37" l="1"/>
  <c r="F31" i="37"/>
  <c r="G30" i="37"/>
  <c r="H30" i="37" s="1"/>
  <c r="I83" i="37"/>
  <c r="D32" i="37"/>
  <c r="F32" i="37" l="1"/>
  <c r="G31" i="37"/>
  <c r="H31" i="37" s="1"/>
  <c r="E32" i="37"/>
  <c r="D33" i="37"/>
  <c r="I84" i="37"/>
  <c r="E33" i="37" l="1"/>
  <c r="F33" i="37"/>
  <c r="G32" i="37"/>
  <c r="H32" i="37" s="1"/>
  <c r="I85" i="37"/>
  <c r="D34" i="37"/>
  <c r="F34" i="37" l="1"/>
  <c r="G33" i="37"/>
  <c r="H33" i="37" s="1"/>
  <c r="E34" i="37"/>
  <c r="D35" i="37"/>
  <c r="I86" i="37"/>
  <c r="E35" i="37" l="1"/>
  <c r="F35" i="37"/>
  <c r="G34" i="37"/>
  <c r="H34" i="37" s="1"/>
  <c r="I87" i="37"/>
  <c r="D36" i="37"/>
  <c r="F36" i="37" l="1"/>
  <c r="G35" i="37"/>
  <c r="H35" i="37" s="1"/>
  <c r="E36" i="37"/>
  <c r="D37" i="37"/>
  <c r="I88" i="37"/>
  <c r="E37" i="37" l="1"/>
  <c r="F37" i="37"/>
  <c r="G36" i="37"/>
  <c r="H36" i="37" s="1"/>
  <c r="I89" i="37"/>
  <c r="D38" i="37"/>
  <c r="F38" i="37" l="1"/>
  <c r="G37" i="37"/>
  <c r="H37" i="37" s="1"/>
  <c r="E38" i="37"/>
  <c r="D39" i="37"/>
  <c r="I90" i="37"/>
  <c r="E39" i="37" l="1"/>
  <c r="F39" i="37"/>
  <c r="G38" i="37"/>
  <c r="H38" i="37" s="1"/>
  <c r="I91" i="37"/>
  <c r="D40" i="37"/>
  <c r="F40" i="37" l="1"/>
  <c r="G39" i="37"/>
  <c r="H39" i="37" s="1"/>
  <c r="E40" i="37"/>
  <c r="G40" i="37" l="1"/>
  <c r="H40" i="37" s="1"/>
  <c r="C82" i="37" l="1"/>
  <c r="H59" i="36" l="1"/>
  <c r="H58" i="36"/>
  <c r="F59" i="36"/>
  <c r="F58" i="36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C84" i="36"/>
  <c r="D73" i="36"/>
  <c r="I59" i="36" s="1"/>
  <c r="C73" i="36"/>
  <c r="I58" i="36" s="1"/>
  <c r="E68" i="36"/>
  <c r="K64" i="36"/>
  <c r="J64" i="36"/>
  <c r="G64" i="36"/>
  <c r="F64" i="36"/>
  <c r="C64" i="36"/>
  <c r="K63" i="36"/>
  <c r="J63" i="36"/>
  <c r="G63" i="36"/>
  <c r="F63" i="36"/>
  <c r="C63" i="36"/>
  <c r="F60" i="36"/>
  <c r="H60" i="36" s="1"/>
  <c r="C14" i="36" s="1"/>
  <c r="D14" i="36" s="1"/>
  <c r="D15" i="36" s="1"/>
  <c r="D52" i="36"/>
  <c r="C52" i="36"/>
  <c r="C51" i="36"/>
  <c r="D50" i="36"/>
  <c r="C50" i="36"/>
  <c r="D49" i="36"/>
  <c r="C49" i="36"/>
  <c r="C48" i="36"/>
  <c r="D47" i="36"/>
  <c r="C47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12" i="36"/>
  <c r="B5" i="36"/>
  <c r="B18" i="28" l="1"/>
  <c r="D16" i="36"/>
  <c r="C85" i="36"/>
  <c r="H64" i="36"/>
  <c r="F65" i="36"/>
  <c r="H63" i="36"/>
  <c r="G58" i="36"/>
  <c r="G59" i="36" s="1"/>
  <c r="I60" i="36"/>
  <c r="E14" i="36" s="1"/>
  <c r="E15" i="36" s="1"/>
  <c r="E16" i="36" s="1"/>
  <c r="B31" i="36"/>
  <c r="B19" i="28" l="1"/>
  <c r="E17" i="36"/>
  <c r="D17" i="36"/>
  <c r="C86" i="36"/>
  <c r="H65" i="36"/>
  <c r="I63" i="36" s="1"/>
  <c r="G60" i="36"/>
  <c r="C82" i="36"/>
  <c r="B32" i="36"/>
  <c r="B20" i="28" l="1"/>
  <c r="I64" i="36"/>
  <c r="K65" i="36" s="1"/>
  <c r="D51" i="36" s="1"/>
  <c r="C87" i="36"/>
  <c r="E18" i="36"/>
  <c r="D78" i="36"/>
  <c r="D18" i="36"/>
  <c r="G65" i="36"/>
  <c r="D48" i="36" s="1"/>
  <c r="C88" i="36"/>
  <c r="B33" i="36"/>
  <c r="I65" i="36" l="1"/>
  <c r="J65" i="36"/>
  <c r="F14" i="36" s="1"/>
  <c r="F15" i="36" s="1"/>
  <c r="F16" i="36" s="1"/>
  <c r="F17" i="36" s="1"/>
  <c r="F18" i="36" s="1"/>
  <c r="G18" i="36" s="1"/>
  <c r="H18" i="36" s="1"/>
  <c r="B21" i="28"/>
  <c r="E19" i="36"/>
  <c r="E20" i="36" s="1"/>
  <c r="D19" i="36"/>
  <c r="B34" i="36"/>
  <c r="C89" i="36"/>
  <c r="B3" i="31"/>
  <c r="G14" i="36" l="1"/>
  <c r="H14" i="36" s="1"/>
  <c r="F19" i="36"/>
  <c r="G19" i="36" s="1"/>
  <c r="H19" i="36" s="1"/>
  <c r="B22" i="28"/>
  <c r="G15" i="36"/>
  <c r="H15" i="36" s="1"/>
  <c r="E21" i="36"/>
  <c r="D20" i="36"/>
  <c r="G16" i="36"/>
  <c r="H16" i="36" s="1"/>
  <c r="B35" i="36"/>
  <c r="C90" i="36"/>
  <c r="F20" i="36" l="1"/>
  <c r="F21" i="36" s="1"/>
  <c r="B23" i="28"/>
  <c r="E22" i="36"/>
  <c r="D21" i="36"/>
  <c r="C91" i="36"/>
  <c r="B36" i="36"/>
  <c r="G17" i="36"/>
  <c r="H17" i="36" s="1"/>
  <c r="G20" i="36" l="1"/>
  <c r="H20" i="36" s="1"/>
  <c r="B24" i="28"/>
  <c r="E23" i="36"/>
  <c r="F22" i="36"/>
  <c r="G21" i="36"/>
  <c r="H21" i="36" s="1"/>
  <c r="D22" i="36"/>
  <c r="B37" i="36"/>
  <c r="F83" i="36"/>
  <c r="B25" i="28" l="1"/>
  <c r="E24" i="36"/>
  <c r="F23" i="36"/>
  <c r="G22" i="36"/>
  <c r="H22" i="36" s="1"/>
  <c r="D23" i="36"/>
  <c r="F84" i="36"/>
  <c r="B38" i="36"/>
  <c r="B26" i="28" l="1"/>
  <c r="E25" i="36"/>
  <c r="G23" i="36"/>
  <c r="H23" i="36" s="1"/>
  <c r="F24" i="36"/>
  <c r="F25" i="36" s="1"/>
  <c r="D24" i="36"/>
  <c r="B39" i="36"/>
  <c r="F85" i="36"/>
  <c r="B27" i="28" l="1"/>
  <c r="E26" i="36"/>
  <c r="F26" i="36"/>
  <c r="G25" i="36"/>
  <c r="D25" i="36"/>
  <c r="F86" i="36"/>
  <c r="B40" i="36"/>
  <c r="B28" i="28" l="1"/>
  <c r="E27" i="36"/>
  <c r="F27" i="36"/>
  <c r="G26" i="36"/>
  <c r="D26" i="36"/>
  <c r="H25" i="36"/>
  <c r="F87" i="36"/>
  <c r="B29" i="28" l="1"/>
  <c r="E28" i="36"/>
  <c r="F28" i="36"/>
  <c r="G27" i="36"/>
  <c r="D27" i="36"/>
  <c r="D28" i="36" s="1"/>
  <c r="H26" i="36"/>
  <c r="F88" i="36"/>
  <c r="B30" i="28" l="1"/>
  <c r="E29" i="36"/>
  <c r="G28" i="36"/>
  <c r="H28" i="36" s="1"/>
  <c r="F29" i="36"/>
  <c r="D29" i="36"/>
  <c r="H27" i="36"/>
  <c r="F89" i="36"/>
  <c r="G24" i="36"/>
  <c r="H24" i="36" s="1"/>
  <c r="B31" i="28" l="1"/>
  <c r="E30" i="36"/>
  <c r="G29" i="36"/>
  <c r="H29" i="36" s="1"/>
  <c r="F30" i="36"/>
  <c r="F90" i="36"/>
  <c r="B32" i="28" l="1"/>
  <c r="E31" i="36"/>
  <c r="F31" i="36"/>
  <c r="G30" i="36"/>
  <c r="D30" i="36"/>
  <c r="D31" i="36" s="1"/>
  <c r="F91" i="36"/>
  <c r="B33" i="28" l="1"/>
  <c r="G31" i="36"/>
  <c r="H31" i="36" s="1"/>
  <c r="E32" i="36"/>
  <c r="F32" i="36"/>
  <c r="D32" i="36"/>
  <c r="H30" i="36"/>
  <c r="I83" i="36"/>
  <c r="B34" i="28" l="1"/>
  <c r="G32" i="36"/>
  <c r="H32" i="36" s="1"/>
  <c r="E33" i="36"/>
  <c r="F33" i="36"/>
  <c r="I84" i="36"/>
  <c r="B35" i="28" l="1"/>
  <c r="E34" i="36"/>
  <c r="G33" i="36"/>
  <c r="F34" i="36"/>
  <c r="D33" i="36"/>
  <c r="I85" i="36"/>
  <c r="B36" i="28" l="1"/>
  <c r="E35" i="36"/>
  <c r="F35" i="36"/>
  <c r="G34" i="36"/>
  <c r="D34" i="36"/>
  <c r="H33" i="36"/>
  <c r="I86" i="36"/>
  <c r="B37" i="28" l="1"/>
  <c r="E36" i="36"/>
  <c r="F36" i="36"/>
  <c r="G35" i="36"/>
  <c r="D35" i="36"/>
  <c r="H34" i="36"/>
  <c r="I87" i="36"/>
  <c r="B38" i="28" l="1"/>
  <c r="E37" i="36"/>
  <c r="G36" i="36"/>
  <c r="D36" i="36"/>
  <c r="H35" i="36"/>
  <c r="I88" i="36"/>
  <c r="B39" i="28" l="1"/>
  <c r="F37" i="36"/>
  <c r="G37" i="36" s="1"/>
  <c r="E38" i="36"/>
  <c r="D37" i="36"/>
  <c r="H36" i="36"/>
  <c r="I89" i="36"/>
  <c r="B40" i="28" l="1"/>
  <c r="F38" i="36"/>
  <c r="G38" i="36" s="1"/>
  <c r="E39" i="36"/>
  <c r="D38" i="36"/>
  <c r="H37" i="36"/>
  <c r="I90" i="36"/>
  <c r="E40" i="36" l="1"/>
  <c r="F39" i="36"/>
  <c r="D39" i="36"/>
  <c r="D40" i="36" s="1"/>
  <c r="H38" i="36"/>
  <c r="I91" i="36"/>
  <c r="G39" i="36" l="1"/>
  <c r="H39" i="36" s="1"/>
  <c r="F40" i="36"/>
  <c r="G40" i="36" s="1"/>
  <c r="H40" i="36" s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C64" i="29" l="1"/>
  <c r="C63" i="29"/>
  <c r="C73" i="29"/>
  <c r="E68" i="29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I59" i="29" l="1"/>
  <c r="I58" i="29"/>
  <c r="F63" i="29"/>
  <c r="K64" i="29"/>
  <c r="J64" i="29"/>
  <c r="G64" i="29"/>
  <c r="F64" i="29"/>
  <c r="K63" i="29"/>
  <c r="J63" i="29"/>
  <c r="G63" i="29"/>
  <c r="H59" i="29"/>
  <c r="F59" i="29"/>
  <c r="H58" i="29"/>
  <c r="D52" i="29"/>
  <c r="C52" i="29"/>
  <c r="C51" i="29"/>
  <c r="C50" i="29"/>
  <c r="D49" i="29"/>
  <c r="C49" i="29"/>
  <c r="C48" i="29"/>
  <c r="D47" i="29"/>
  <c r="C47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12" i="29"/>
  <c r="B5" i="29"/>
  <c r="B28" i="29" l="1"/>
  <c r="H64" i="29"/>
  <c r="F65" i="29"/>
  <c r="F58" i="29"/>
  <c r="F60" i="29" s="1"/>
  <c r="G58" i="29" s="1"/>
  <c r="H63" i="29"/>
  <c r="B29" i="29" l="1"/>
  <c r="B30" i="29" s="1"/>
  <c r="B31" i="29" s="1"/>
  <c r="H65" i="29"/>
  <c r="D78" i="29" s="1"/>
  <c r="G59" i="29"/>
  <c r="G60" i="29" s="1"/>
  <c r="I60" i="29"/>
  <c r="E14" i="29" s="1"/>
  <c r="E15" i="29" s="1"/>
  <c r="H60" i="29"/>
  <c r="C14" i="29" s="1"/>
  <c r="D14" i="29" s="1"/>
  <c r="D15" i="29" s="1"/>
  <c r="G65" i="29" l="1"/>
  <c r="D48" i="29" s="1"/>
  <c r="I63" i="29"/>
  <c r="B32" i="29"/>
  <c r="I64" i="29" l="1"/>
  <c r="K65" i="29" s="1"/>
  <c r="B33" i="29"/>
  <c r="J65" i="29" l="1"/>
  <c r="F14" i="29" s="1"/>
  <c r="F15" i="29" s="1"/>
  <c r="I65" i="29"/>
  <c r="D51" i="29"/>
  <c r="B34" i="29"/>
  <c r="G14" i="29" l="1"/>
  <c r="H14" i="29" s="1"/>
  <c r="B35" i="29"/>
  <c r="B36" i="29" l="1"/>
  <c r="B37" i="29" l="1"/>
  <c r="B38" i="29" l="1"/>
  <c r="B39" i="29" l="1"/>
  <c r="B40" i="29" l="1"/>
  <c r="C82" i="29" l="1"/>
  <c r="C84" i="29"/>
  <c r="F16" i="29" l="1"/>
  <c r="E16" i="29"/>
  <c r="D16" i="29"/>
  <c r="C85" i="29"/>
  <c r="D17" i="29" l="1"/>
  <c r="E17" i="29"/>
  <c r="F17" i="29"/>
  <c r="C86" i="29"/>
  <c r="G15" i="29"/>
  <c r="H15" i="29" s="1"/>
  <c r="D18" i="29" l="1"/>
  <c r="F18" i="29"/>
  <c r="E18" i="29"/>
  <c r="C87" i="29"/>
  <c r="G16" i="29"/>
  <c r="H16" i="29" s="1"/>
  <c r="D19" i="29" l="1"/>
  <c r="E19" i="29"/>
  <c r="F19" i="29"/>
  <c r="G18" i="29"/>
  <c r="H18" i="29" s="1"/>
  <c r="C88" i="29"/>
  <c r="G17" i="29"/>
  <c r="H17" i="29" s="1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D20" i="29" l="1"/>
  <c r="E20" i="29"/>
  <c r="G19" i="29"/>
  <c r="H19" i="29" s="1"/>
  <c r="F20" i="29"/>
  <c r="C89" i="29"/>
  <c r="K18" i="28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I28" i="29" s="1"/>
  <c r="D26" i="28"/>
  <c r="D24" i="28"/>
  <c r="D22" i="28"/>
  <c r="E20" i="28"/>
  <c r="D18" i="28"/>
  <c r="D16" i="28"/>
  <c r="C90" i="29"/>
  <c r="D21" i="29"/>
  <c r="E21" i="29"/>
  <c r="F21" i="29"/>
  <c r="G20" i="29"/>
  <c r="H20" i="29" s="1"/>
  <c r="I40" i="37" l="1"/>
  <c r="I36" i="37"/>
  <c r="I32" i="37"/>
  <c r="I38" i="39"/>
  <c r="I32" i="39"/>
  <c r="I34" i="39"/>
  <c r="I39" i="37"/>
  <c r="I35" i="37"/>
  <c r="I31" i="37"/>
  <c r="I37" i="39"/>
  <c r="I33" i="39"/>
  <c r="I37" i="37"/>
  <c r="I33" i="37"/>
  <c r="I39" i="39"/>
  <c r="I35" i="39"/>
  <c r="I31" i="39"/>
  <c r="I38" i="37"/>
  <c r="I36" i="39"/>
  <c r="I40" i="39"/>
  <c r="I34" i="37"/>
  <c r="I30" i="36"/>
  <c r="I32" i="36"/>
  <c r="I31" i="36"/>
  <c r="I33" i="36"/>
  <c r="I34" i="36"/>
  <c r="I36" i="36"/>
  <c r="I35" i="36"/>
  <c r="I37" i="36"/>
  <c r="I38" i="36"/>
  <c r="I39" i="36"/>
  <c r="I40" i="36"/>
  <c r="C91" i="29"/>
  <c r="E22" i="29"/>
  <c r="D22" i="29"/>
  <c r="G21" i="29"/>
  <c r="H21" i="29" s="1"/>
  <c r="F22" i="29"/>
  <c r="D23" i="29" l="1"/>
  <c r="F83" i="29"/>
  <c r="E23" i="29"/>
  <c r="F23" i="29"/>
  <c r="G22" i="29"/>
  <c r="H22" i="29" s="1"/>
  <c r="F84" i="29"/>
  <c r="E24" i="29" l="1"/>
  <c r="E25" i="29" s="1"/>
  <c r="D24" i="29"/>
  <c r="D25" i="29" s="1"/>
  <c r="G23" i="29"/>
  <c r="H23" i="29" s="1"/>
  <c r="F24" i="29"/>
  <c r="F25" i="29" s="1"/>
  <c r="F85" i="29"/>
  <c r="D26" i="29" l="1"/>
  <c r="F26" i="29"/>
  <c r="G25" i="29"/>
  <c r="H25" i="29" s="1"/>
  <c r="E26" i="29"/>
  <c r="F86" i="29"/>
  <c r="D27" i="29" l="1"/>
  <c r="F27" i="29"/>
  <c r="G26" i="29"/>
  <c r="H26" i="29" s="1"/>
  <c r="E27" i="29"/>
  <c r="G24" i="29"/>
  <c r="H24" i="29" s="1"/>
  <c r="F87" i="29"/>
  <c r="D28" i="29" l="1"/>
  <c r="E28" i="29"/>
  <c r="F28" i="29"/>
  <c r="G27" i="29"/>
  <c r="H27" i="29" s="1"/>
  <c r="F88" i="29"/>
  <c r="D29" i="29" l="1"/>
  <c r="E29" i="29"/>
  <c r="G28" i="29"/>
  <c r="H28" i="29" s="1"/>
  <c r="F29" i="29"/>
  <c r="F89" i="29"/>
  <c r="D30" i="29" l="1"/>
  <c r="E30" i="29"/>
  <c r="G29" i="29"/>
  <c r="H29" i="29" s="1"/>
  <c r="F30" i="29"/>
  <c r="F90" i="29"/>
  <c r="J9" i="31"/>
  <c r="B8" i="31" s="1"/>
  <c r="D31" i="29" l="1"/>
  <c r="G30" i="29"/>
  <c r="H30" i="29" s="1"/>
  <c r="F91" i="29"/>
  <c r="E31" i="29" l="1"/>
  <c r="F31" i="29"/>
  <c r="D32" i="29"/>
  <c r="I83" i="29"/>
  <c r="J8" i="31"/>
  <c r="G31" i="29" l="1"/>
  <c r="H31" i="29" s="1"/>
  <c r="F32" i="29"/>
  <c r="E32" i="29"/>
  <c r="D33" i="29"/>
  <c r="I84" i="29"/>
  <c r="I133" i="31"/>
  <c r="I25" i="31"/>
  <c r="I14" i="31"/>
  <c r="K9" i="31"/>
  <c r="I253" i="31" l="1"/>
  <c r="G32" i="29"/>
  <c r="H32" i="29" s="1"/>
  <c r="D34" i="29"/>
  <c r="E33" i="29"/>
  <c r="F33" i="29"/>
  <c r="I85" i="29"/>
  <c r="I134" i="31"/>
  <c r="I145" i="31"/>
  <c r="I26" i="31"/>
  <c r="I15" i="31"/>
  <c r="I37" i="31"/>
  <c r="I254" i="31" l="1"/>
  <c r="F34" i="29"/>
  <c r="E34" i="29"/>
  <c r="G33" i="29"/>
  <c r="H33" i="29" s="1"/>
  <c r="D35" i="29"/>
  <c r="I86" i="29"/>
  <c r="I157" i="31"/>
  <c r="I49" i="31"/>
  <c r="I146" i="31"/>
  <c r="I38" i="31"/>
  <c r="I135" i="31"/>
  <c r="I27" i="31"/>
  <c r="I16" i="31"/>
  <c r="I255" i="31" l="1"/>
  <c r="G34" i="29"/>
  <c r="H34" i="29" s="1"/>
  <c r="F35" i="29"/>
  <c r="E35" i="29"/>
  <c r="D36" i="29"/>
  <c r="I87" i="29"/>
  <c r="I147" i="31"/>
  <c r="I39" i="31"/>
  <c r="I169" i="31"/>
  <c r="I61" i="31"/>
  <c r="I136" i="31"/>
  <c r="I17" i="31"/>
  <c r="I28" i="31"/>
  <c r="I158" i="31"/>
  <c r="I50" i="31"/>
  <c r="I256" i="31" l="1"/>
  <c r="G35" i="29"/>
  <c r="H35" i="29" s="1"/>
  <c r="E36" i="29"/>
  <c r="F36" i="29"/>
  <c r="D37" i="29"/>
  <c r="I88" i="29"/>
  <c r="I170" i="31"/>
  <c r="I62" i="31"/>
  <c r="I148" i="31"/>
  <c r="I40" i="31"/>
  <c r="I159" i="31"/>
  <c r="I51" i="31"/>
  <c r="I137" i="31"/>
  <c r="I29" i="31"/>
  <c r="I18" i="31"/>
  <c r="I181" i="31"/>
  <c r="I73" i="31"/>
  <c r="I257" i="31" l="1"/>
  <c r="G36" i="29"/>
  <c r="H36" i="29" s="1"/>
  <c r="F37" i="29"/>
  <c r="E37" i="29"/>
  <c r="D38" i="29"/>
  <c r="I89" i="29"/>
  <c r="I138" i="3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I258" i="31" l="1"/>
  <c r="G37" i="29"/>
  <c r="H37" i="29" s="1"/>
  <c r="F38" i="29"/>
  <c r="E38" i="29"/>
  <c r="D39" i="29"/>
  <c r="I90" i="29"/>
  <c r="I172" i="31"/>
  <c r="I64" i="31"/>
  <c r="I161" i="31"/>
  <c r="I53" i="31"/>
  <c r="I205" i="31"/>
  <c r="I97" i="31"/>
  <c r="I150" i="31"/>
  <c r="I42" i="31"/>
  <c r="I183" i="31"/>
  <c r="I75" i="31"/>
  <c r="I194" i="31"/>
  <c r="I86" i="31"/>
  <c r="I139" i="31"/>
  <c r="I31" i="31"/>
  <c r="I20" i="31"/>
  <c r="I217" i="31" l="1"/>
  <c r="I259" i="31"/>
  <c r="G38" i="29"/>
  <c r="H38" i="29" s="1"/>
  <c r="E39" i="29"/>
  <c r="F39" i="29"/>
  <c r="D40" i="29"/>
  <c r="I91" i="29"/>
  <c r="I151" i="31"/>
  <c r="I43" i="31"/>
  <c r="I195" i="31"/>
  <c r="I87" i="31"/>
  <c r="I162" i="31"/>
  <c r="I54" i="31"/>
  <c r="I109" i="31"/>
  <c r="I184" i="31"/>
  <c r="I76" i="31"/>
  <c r="I140" i="31"/>
  <c r="I21" i="31"/>
  <c r="I32" i="31"/>
  <c r="I206" i="31"/>
  <c r="I98" i="31"/>
  <c r="I173" i="31"/>
  <c r="I65" i="31"/>
  <c r="I218" i="31" l="1"/>
  <c r="I229" i="31"/>
  <c r="I260" i="31"/>
  <c r="G39" i="29"/>
  <c r="H39" i="29" s="1"/>
  <c r="F40" i="29"/>
  <c r="E40" i="29"/>
  <c r="I152" i="31"/>
  <c r="I44" i="31"/>
  <c r="I174" i="31"/>
  <c r="I66" i="31"/>
  <c r="I185" i="31"/>
  <c r="I77" i="31"/>
  <c r="I110" i="31"/>
  <c r="I141" i="31"/>
  <c r="I33" i="31"/>
  <c r="I22" i="31"/>
  <c r="I196" i="31"/>
  <c r="I88" i="31"/>
  <c r="I121" i="31"/>
  <c r="I207" i="31"/>
  <c r="I99" i="31"/>
  <c r="I163" i="31"/>
  <c r="I55" i="31"/>
  <c r="I219" i="31" l="1"/>
  <c r="I230" i="31"/>
  <c r="I261" i="31"/>
  <c r="G40" i="29"/>
  <c r="H40" i="29" s="1"/>
  <c r="I175" i="31"/>
  <c r="I67" i="31"/>
  <c r="I208" i="31"/>
  <c r="I100" i="31"/>
  <c r="I153" i="31"/>
  <c r="I45" i="31"/>
  <c r="I122" i="31"/>
  <c r="I164" i="31"/>
  <c r="I56" i="31"/>
  <c r="I111" i="31"/>
  <c r="I241" i="31"/>
  <c r="I142" i="31"/>
  <c r="I23" i="31"/>
  <c r="I34" i="31"/>
  <c r="I197" i="31"/>
  <c r="I89" i="31"/>
  <c r="I186" i="31"/>
  <c r="I78" i="31"/>
  <c r="I231" i="31" l="1"/>
  <c r="I220" i="31"/>
  <c r="I262" i="31"/>
  <c r="I198" i="31"/>
  <c r="I90" i="31"/>
  <c r="I143" i="31"/>
  <c r="I35" i="31"/>
  <c r="I24" i="31"/>
  <c r="I123" i="31"/>
  <c r="I242" i="31"/>
  <c r="I187" i="31"/>
  <c r="I79" i="31"/>
  <c r="I209" i="31"/>
  <c r="I101" i="31"/>
  <c r="I154" i="31"/>
  <c r="I46" i="31"/>
  <c r="I176" i="31"/>
  <c r="I68" i="31"/>
  <c r="I165" i="31"/>
  <c r="I57" i="31"/>
  <c r="I112" i="31"/>
  <c r="I221" i="31" l="1"/>
  <c r="I232" i="31"/>
  <c r="I263" i="31"/>
  <c r="I177" i="31"/>
  <c r="I69" i="31"/>
  <c r="I188" i="31"/>
  <c r="I80" i="31"/>
  <c r="I113" i="31"/>
  <c r="I199" i="31"/>
  <c r="I91" i="31"/>
  <c r="I243" i="31"/>
  <c r="I155" i="31"/>
  <c r="I47" i="31"/>
  <c r="I124" i="31"/>
  <c r="I166" i="31"/>
  <c r="I58" i="31"/>
  <c r="I144" i="31"/>
  <c r="I36" i="31"/>
  <c r="I210" i="31"/>
  <c r="I102" i="31"/>
  <c r="I222" i="31" l="1"/>
  <c r="I233" i="31"/>
  <c r="I264" i="31"/>
  <c r="I114" i="31"/>
  <c r="I211" i="31"/>
  <c r="I103" i="31"/>
  <c r="I189" i="31"/>
  <c r="I81" i="31"/>
  <c r="I156" i="31"/>
  <c r="I48" i="31"/>
  <c r="I178" i="31"/>
  <c r="I70" i="31"/>
  <c r="I244" i="31"/>
  <c r="I167" i="31"/>
  <c r="I59" i="31"/>
  <c r="I125" i="31"/>
  <c r="I200" i="31"/>
  <c r="I92" i="31"/>
  <c r="I223" i="31" l="1"/>
  <c r="I234" i="31"/>
  <c r="I212" i="31"/>
  <c r="I104" i="31"/>
  <c r="I190" i="31"/>
  <c r="I82" i="31"/>
  <c r="I201" i="31"/>
  <c r="I93" i="31"/>
  <c r="I245" i="31"/>
  <c r="I179" i="31"/>
  <c r="I71" i="31"/>
  <c r="I168" i="31"/>
  <c r="I60" i="31"/>
  <c r="I115" i="31"/>
  <c r="I126" i="31"/>
  <c r="I235" i="31" l="1"/>
  <c r="I224" i="31"/>
  <c r="I127" i="31"/>
  <c r="I246" i="31"/>
  <c r="I191" i="31"/>
  <c r="I83" i="31"/>
  <c r="I213" i="31"/>
  <c r="I105" i="31"/>
  <c r="I202" i="31"/>
  <c r="I94" i="31"/>
  <c r="I180" i="31"/>
  <c r="I72" i="31"/>
  <c r="I116" i="31"/>
  <c r="I236" i="31" l="1"/>
  <c r="I225" i="31"/>
  <c r="I117" i="31"/>
  <c r="I203" i="31"/>
  <c r="I95" i="31"/>
  <c r="I128" i="31"/>
  <c r="I192" i="31"/>
  <c r="I84" i="31"/>
  <c r="I214" i="31"/>
  <c r="I106" i="31"/>
  <c r="I247" i="31"/>
  <c r="I226" i="31" l="1"/>
  <c r="I237" i="31"/>
  <c r="I118" i="31"/>
  <c r="I248" i="31"/>
  <c r="I215" i="31"/>
  <c r="I107" i="31"/>
  <c r="I204" i="31"/>
  <c r="I96" i="31"/>
  <c r="I129" i="31"/>
  <c r="I227" i="31" l="1"/>
  <c r="I238" i="31"/>
  <c r="I249" i="31"/>
  <c r="I119" i="31"/>
  <c r="I216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D50" i="29" l="1"/>
  <c r="J39" i="39" l="1"/>
  <c r="K39" i="39" s="1"/>
  <c r="J40" i="39"/>
  <c r="K40" i="39" s="1"/>
  <c r="J34" i="39"/>
  <c r="K34" i="39" s="1"/>
  <c r="J31" i="39"/>
  <c r="K31" i="39" s="1"/>
  <c r="J37" i="39"/>
  <c r="K37" i="39" s="1"/>
  <c r="J33" i="39"/>
  <c r="K33" i="39" s="1"/>
  <c r="J38" i="39"/>
  <c r="K38" i="39" s="1"/>
  <c r="J32" i="39"/>
  <c r="K32" i="39" s="1"/>
  <c r="J35" i="39"/>
  <c r="K35" i="39" s="1"/>
  <c r="J36" i="39"/>
  <c r="K36" i="39" s="1"/>
  <c r="J32" i="37"/>
  <c r="K32" i="37" s="1"/>
  <c r="J40" i="36" l="1"/>
  <c r="K40" i="36" s="1"/>
  <c r="J32" i="36"/>
  <c r="K32" i="36" s="1"/>
  <c r="J34" i="37"/>
  <c r="K34" i="37" s="1"/>
  <c r="J34" i="36"/>
  <c r="J39" i="37"/>
  <c r="K39" i="37" s="1"/>
  <c r="J39" i="36"/>
  <c r="K39" i="36" s="1"/>
  <c r="J28" i="29"/>
  <c r="K28" i="29" s="1"/>
  <c r="J37" i="37"/>
  <c r="K37" i="37" s="1"/>
  <c r="J37" i="36"/>
  <c r="J40" i="37"/>
  <c r="K40" i="37" s="1"/>
  <c r="J38" i="37"/>
  <c r="K38" i="37" s="1"/>
  <c r="J38" i="36"/>
  <c r="K38" i="36" s="1"/>
  <c r="J30" i="36"/>
  <c r="J33" i="36"/>
  <c r="J33" i="37"/>
  <c r="K33" i="37" s="1"/>
  <c r="J35" i="36"/>
  <c r="J35" i="37"/>
  <c r="K35" i="37" s="1"/>
  <c r="J31" i="37"/>
  <c r="K31" i="37" s="1"/>
  <c r="J31" i="36"/>
  <c r="J36" i="37"/>
  <c r="K36" i="37" s="1"/>
  <c r="J36" i="36"/>
  <c r="K37" i="36" l="1"/>
  <c r="K36" i="36"/>
  <c r="K33" i="36"/>
  <c r="K30" i="36"/>
  <c r="K31" i="36"/>
  <c r="K34" i="36"/>
  <c r="K35" i="36"/>
  <c r="B59" i="25" l="1"/>
  <c r="M16" i="28" l="1"/>
  <c r="B60" i="25"/>
  <c r="C9" i="28" l="1"/>
  <c r="C29" i="28" l="1"/>
  <c r="I29" i="29" s="1"/>
  <c r="J29" i="29" s="1"/>
  <c r="K29" i="29" s="1"/>
  <c r="C26" i="28"/>
  <c r="C36" i="28"/>
  <c r="I36" i="29" s="1"/>
  <c r="J36" i="29" s="1"/>
  <c r="K36" i="29" s="1"/>
  <c r="C39" i="28"/>
  <c r="I39" i="29" s="1"/>
  <c r="J39" i="29" s="1"/>
  <c r="K39" i="29" s="1"/>
  <c r="C31" i="28"/>
  <c r="I31" i="29" s="1"/>
  <c r="J31" i="29" s="1"/>
  <c r="K31" i="29" s="1"/>
  <c r="C17" i="28"/>
  <c r="C18" i="28"/>
  <c r="C20" i="28"/>
  <c r="C32" i="28"/>
  <c r="I32" i="29" s="1"/>
  <c r="J32" i="29" s="1"/>
  <c r="K32" i="29" s="1"/>
  <c r="C25" i="28"/>
  <c r="C38" i="28"/>
  <c r="I38" i="29" s="1"/>
  <c r="J38" i="29" s="1"/>
  <c r="K38" i="29" s="1"/>
  <c r="C24" i="28"/>
  <c r="C27" i="28"/>
  <c r="I27" i="29" s="1"/>
  <c r="J27" i="29" s="1"/>
  <c r="K27" i="29" s="1"/>
  <c r="C40" i="28"/>
  <c r="I40" i="29" s="1"/>
  <c r="J40" i="29" s="1"/>
  <c r="K40" i="29" s="1"/>
  <c r="C35" i="28"/>
  <c r="I35" i="29" s="1"/>
  <c r="J35" i="29" s="1"/>
  <c r="K35" i="29" s="1"/>
  <c r="C16" i="28"/>
  <c r="C34" i="28"/>
  <c r="I34" i="29" s="1"/>
  <c r="J34" i="29" s="1"/>
  <c r="K34" i="29" s="1"/>
  <c r="C22" i="28"/>
  <c r="C14" i="28"/>
  <c r="C19" i="28"/>
  <c r="C15" i="28"/>
  <c r="C33" i="28"/>
  <c r="I33" i="29" s="1"/>
  <c r="J33" i="29" s="1"/>
  <c r="K33" i="29" s="1"/>
  <c r="C30" i="28"/>
  <c r="I30" i="29" s="1"/>
  <c r="J30" i="29" s="1"/>
  <c r="K30" i="29" s="1"/>
  <c r="C37" i="28"/>
  <c r="I37" i="29" s="1"/>
  <c r="J37" i="29" s="1"/>
  <c r="K37" i="29" s="1"/>
  <c r="C28" i="28"/>
  <c r="C21" i="28"/>
  <c r="C23" i="28"/>
  <c r="J13" i="31" l="1"/>
  <c r="B13" i="25" s="1"/>
  <c r="B14" i="31"/>
  <c r="L16" i="31"/>
  <c r="O13" i="25" l="1"/>
  <c r="B14" i="25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L30" i="31" s="1"/>
  <c r="L31" i="31" s="1"/>
  <c r="L32" i="31" s="1"/>
  <c r="L33" i="31" s="1"/>
  <c r="L34" i="31" s="1"/>
  <c r="L35" i="31" s="1"/>
  <c r="L36" i="31" s="1"/>
  <c r="J14" i="31"/>
  <c r="B15" i="31"/>
  <c r="AG13" i="25" l="1"/>
  <c r="AI13" i="25"/>
  <c r="AD13" i="25"/>
  <c r="AH13" i="25"/>
  <c r="AJ13" i="25"/>
  <c r="AK13" i="25"/>
  <c r="AC13" i="25"/>
  <c r="AF13" i="25"/>
  <c r="BL13" i="25"/>
  <c r="BM13" i="25" s="1"/>
  <c r="BN13" i="25" s="1"/>
  <c r="B15" i="25"/>
  <c r="O14" i="25"/>
  <c r="B16" i="31"/>
  <c r="J15" i="31"/>
  <c r="AP13" i="25"/>
  <c r="AO13" i="25"/>
  <c r="AV13" i="25"/>
  <c r="AT13" i="25"/>
  <c r="AU13" i="25"/>
  <c r="AS13" i="25"/>
  <c r="AN13" i="25"/>
  <c r="AQ13" i="25"/>
  <c r="AW13" i="25"/>
  <c r="AR13" i="25"/>
  <c r="AJ14" i="25" l="1"/>
  <c r="AK14" i="25"/>
  <c r="AG14" i="25"/>
  <c r="AB14" i="25"/>
  <c r="AD14" i="25"/>
  <c r="AI14" i="25"/>
  <c r="AE14" i="25"/>
  <c r="AH14" i="25"/>
  <c r="AC14" i="25"/>
  <c r="AF14" i="25"/>
  <c r="BL14" i="25"/>
  <c r="BM14" i="25" s="1"/>
  <c r="BN14" i="25" s="1"/>
  <c r="AE13" i="25"/>
  <c r="BA13" i="25"/>
  <c r="AB13" i="25"/>
  <c r="BG13" i="25"/>
  <c r="J16" i="31"/>
  <c r="B17" i="31"/>
  <c r="BF13" i="25"/>
  <c r="BE13" i="25"/>
  <c r="BD13" i="25"/>
  <c r="AV14" i="25"/>
  <c r="AN14" i="25"/>
  <c r="AP14" i="25"/>
  <c r="AO14" i="25"/>
  <c r="AQ14" i="25"/>
  <c r="AU14" i="25"/>
  <c r="AS14" i="25"/>
  <c r="AR14" i="25"/>
  <c r="AW14" i="25"/>
  <c r="AT14" i="25"/>
  <c r="BH13" i="25"/>
  <c r="BB13" i="25"/>
  <c r="BI13" i="25"/>
  <c r="B16" i="25"/>
  <c r="O15" i="25"/>
  <c r="AH15" i="25" l="1"/>
  <c r="AC15" i="25"/>
  <c r="AG15" i="25"/>
  <c r="AF15" i="25"/>
  <c r="AK15" i="25"/>
  <c r="AJ15" i="25"/>
  <c r="AI15" i="25"/>
  <c r="AE15" i="25"/>
  <c r="BI14" i="25"/>
  <c r="BF14" i="25"/>
  <c r="BL15" i="25"/>
  <c r="BM15" i="25" s="1"/>
  <c r="BH14" i="25"/>
  <c r="BE14" i="25"/>
  <c r="BD14" i="25"/>
  <c r="BG14" i="25"/>
  <c r="BA14" i="25"/>
  <c r="BB14" i="25"/>
  <c r="O16" i="25"/>
  <c r="B17" i="25"/>
  <c r="AQ15" i="25"/>
  <c r="AW15" i="25"/>
  <c r="AV15" i="25"/>
  <c r="AD15" i="25"/>
  <c r="AP15" i="25"/>
  <c r="AU15" i="25"/>
  <c r="AT15" i="25"/>
  <c r="AO15" i="25"/>
  <c r="AR15" i="25"/>
  <c r="AN15" i="25"/>
  <c r="AS15" i="25"/>
  <c r="B18" i="31"/>
  <c r="J17" i="31"/>
  <c r="AZ13" i="25"/>
  <c r="AZ14" i="25"/>
  <c r="BC13" i="25"/>
  <c r="BC14" i="25"/>
  <c r="AG16" i="25" l="1"/>
  <c r="AF16" i="25"/>
  <c r="AB16" i="25"/>
  <c r="AH16" i="25"/>
  <c r="AE16" i="25"/>
  <c r="AD16" i="25"/>
  <c r="AJ16" i="25"/>
  <c r="AI16" i="25"/>
  <c r="BD15" i="25"/>
  <c r="AB15" i="25"/>
  <c r="AZ15" i="25" s="1"/>
  <c r="BL16" i="25"/>
  <c r="BM16" i="25" s="1"/>
  <c r="BE15" i="25"/>
  <c r="BF15" i="25"/>
  <c r="BI15" i="25"/>
  <c r="BB15" i="25"/>
  <c r="BC15" i="25"/>
  <c r="BJ14" i="25"/>
  <c r="C14" i="25" s="1"/>
  <c r="BA15" i="25"/>
  <c r="BJ13" i="25"/>
  <c r="C13" i="25" s="1"/>
  <c r="BH15" i="25"/>
  <c r="BG15" i="25"/>
  <c r="J18" i="31"/>
  <c r="B19" i="31"/>
  <c r="B18" i="25"/>
  <c r="O17" i="25"/>
  <c r="AS16" i="25"/>
  <c r="AW16" i="25"/>
  <c r="AP16" i="25"/>
  <c r="AK16" i="25"/>
  <c r="AV16" i="25"/>
  <c r="AT16" i="25"/>
  <c r="AQ16" i="25"/>
  <c r="AU16" i="25"/>
  <c r="AN16" i="25"/>
  <c r="AO16" i="25"/>
  <c r="AC16" i="25"/>
  <c r="AR16" i="25"/>
  <c r="AF17" i="25" l="1"/>
  <c r="AK17" i="25"/>
  <c r="AE17" i="25"/>
  <c r="AD17" i="25"/>
  <c r="AJ17" i="25"/>
  <c r="AB17" i="25"/>
  <c r="AG17" i="25"/>
  <c r="AC17" i="25"/>
  <c r="AI17" i="25"/>
  <c r="AH17" i="25"/>
  <c r="BL17" i="25"/>
  <c r="BM17" i="25" s="1"/>
  <c r="BG16" i="25"/>
  <c r="AZ16" i="25"/>
  <c r="BH16" i="25"/>
  <c r="BC16" i="25"/>
  <c r="BJ15" i="25"/>
  <c r="BA16" i="25"/>
  <c r="BI16" i="25"/>
  <c r="BB16" i="25"/>
  <c r="BD16" i="25"/>
  <c r="BE16" i="25"/>
  <c r="BF16" i="25"/>
  <c r="AP17" i="25"/>
  <c r="AV17" i="25"/>
  <c r="AQ17" i="25"/>
  <c r="AS17" i="25"/>
  <c r="AW17" i="25"/>
  <c r="AU17" i="25"/>
  <c r="AO17" i="25"/>
  <c r="AR17" i="25"/>
  <c r="AT17" i="25"/>
  <c r="AN17" i="25"/>
  <c r="O18" i="25"/>
  <c r="B19" i="25"/>
  <c r="B20" i="31"/>
  <c r="J19" i="31"/>
  <c r="AD18" i="25" l="1"/>
  <c r="AI18" i="25"/>
  <c r="AG18" i="25"/>
  <c r="AC18" i="25"/>
  <c r="AF18" i="25"/>
  <c r="AB18" i="25"/>
  <c r="AH18" i="25"/>
  <c r="AK18" i="25"/>
  <c r="AJ18" i="25"/>
  <c r="BL18" i="25"/>
  <c r="BM18" i="25" s="1"/>
  <c r="BE17" i="25"/>
  <c r="BF17" i="25"/>
  <c r="BJ16" i="25"/>
  <c r="AZ17" i="25"/>
  <c r="BB17" i="25"/>
  <c r="BD17" i="25"/>
  <c r="BG17" i="25"/>
  <c r="BA17" i="25"/>
  <c r="BI17" i="25"/>
  <c r="BC17" i="25"/>
  <c r="BH17" i="25"/>
  <c r="J20" i="31"/>
  <c r="B21" i="31"/>
  <c r="B20" i="25"/>
  <c r="O19" i="25"/>
  <c r="AS18" i="25"/>
  <c r="AQ18" i="25"/>
  <c r="AN18" i="25"/>
  <c r="AW18" i="25"/>
  <c r="AE18" i="25"/>
  <c r="AO18" i="25"/>
  <c r="AT18" i="25"/>
  <c r="AU18" i="25"/>
  <c r="AP18" i="25"/>
  <c r="AV18" i="25"/>
  <c r="AR18" i="25"/>
  <c r="AB19" i="25" l="1"/>
  <c r="AK19" i="25"/>
  <c r="AI19" i="25"/>
  <c r="AE19" i="25"/>
  <c r="AD19" i="25"/>
  <c r="AF19" i="25"/>
  <c r="AG19" i="25"/>
  <c r="AC19" i="25"/>
  <c r="AJ19" i="25"/>
  <c r="AH19" i="25"/>
  <c r="BB18" i="25"/>
  <c r="BD18" i="25"/>
  <c r="BL19" i="25"/>
  <c r="BM19" i="25" s="1"/>
  <c r="BH18" i="25"/>
  <c r="BF18" i="25"/>
  <c r="BE18" i="25"/>
  <c r="BJ17" i="25"/>
  <c r="BG18" i="25"/>
  <c r="AZ18" i="25"/>
  <c r="BC18" i="25"/>
  <c r="BA18" i="25"/>
  <c r="BI18" i="25"/>
  <c r="AU19" i="25"/>
  <c r="AW19" i="25"/>
  <c r="AT19" i="25"/>
  <c r="AN19" i="25"/>
  <c r="AR19" i="25"/>
  <c r="AQ19" i="25"/>
  <c r="AV19" i="25"/>
  <c r="AO19" i="25"/>
  <c r="AP19" i="25"/>
  <c r="AS19" i="25"/>
  <c r="O20" i="25"/>
  <c r="B21" i="25"/>
  <c r="J21" i="31"/>
  <c r="B22" i="31"/>
  <c r="AF20" i="25" l="1"/>
  <c r="AI20" i="25"/>
  <c r="AG20" i="25"/>
  <c r="AB20" i="25"/>
  <c r="AH20" i="25"/>
  <c r="AE20" i="25"/>
  <c r="AD20" i="25"/>
  <c r="AK20" i="25"/>
  <c r="AC20" i="25"/>
  <c r="AJ20" i="25"/>
  <c r="BI19" i="25"/>
  <c r="BH19" i="25"/>
  <c r="BL20" i="25"/>
  <c r="BM20" i="25" s="1"/>
  <c r="BB19" i="25"/>
  <c r="BD19" i="25"/>
  <c r="BE19" i="25"/>
  <c r="AZ19" i="25"/>
  <c r="BF19" i="25"/>
  <c r="BA19" i="25"/>
  <c r="BC19" i="25"/>
  <c r="BG19" i="25"/>
  <c r="BJ18" i="25"/>
  <c r="J22" i="31"/>
  <c r="B23" i="31"/>
  <c r="O21" i="25"/>
  <c r="B22" i="25"/>
  <c r="AN20" i="25"/>
  <c r="AR20" i="25"/>
  <c r="AT20" i="25"/>
  <c r="AQ20" i="25"/>
  <c r="AP20" i="25"/>
  <c r="AS20" i="25"/>
  <c r="AW20" i="25"/>
  <c r="AO20" i="25"/>
  <c r="AU20" i="25"/>
  <c r="AV20" i="25"/>
  <c r="AI21" i="25" l="1"/>
  <c r="AC21" i="25"/>
  <c r="AG21" i="25"/>
  <c r="AD21" i="25"/>
  <c r="AF21" i="25"/>
  <c r="AK21" i="25"/>
  <c r="AJ21" i="25"/>
  <c r="AB21" i="25"/>
  <c r="AE21" i="25"/>
  <c r="AH21" i="25"/>
  <c r="BL21" i="25"/>
  <c r="BM21" i="25" s="1"/>
  <c r="BE20" i="25"/>
  <c r="BC20" i="25"/>
  <c r="BF20" i="25"/>
  <c r="BD20" i="25"/>
  <c r="BI20" i="25"/>
  <c r="BH20" i="25"/>
  <c r="AZ20" i="25"/>
  <c r="BG20" i="25"/>
  <c r="BB20" i="25"/>
  <c r="BA20" i="25"/>
  <c r="BJ19" i="25"/>
  <c r="AS21" i="25"/>
  <c r="AV21" i="25"/>
  <c r="AP21" i="25"/>
  <c r="AO21" i="25"/>
  <c r="AQ21" i="25"/>
  <c r="AU21" i="25"/>
  <c r="AT21" i="25"/>
  <c r="AW21" i="25"/>
  <c r="AN21" i="25"/>
  <c r="AR21" i="25"/>
  <c r="J23" i="31"/>
  <c r="B24" i="31"/>
  <c r="O22" i="25"/>
  <c r="B23" i="25"/>
  <c r="AG22" i="25" l="1"/>
  <c r="AB22" i="25"/>
  <c r="AI22" i="25"/>
  <c r="AF22" i="25"/>
  <c r="AH22" i="25"/>
  <c r="AE22" i="25"/>
  <c r="AD22" i="25"/>
  <c r="AK22" i="25"/>
  <c r="AC22" i="25"/>
  <c r="AJ22" i="25"/>
  <c r="BI21" i="25"/>
  <c r="BL22" i="25"/>
  <c r="BM22" i="25" s="1"/>
  <c r="AZ21" i="25"/>
  <c r="BF21" i="25"/>
  <c r="BC21" i="25"/>
  <c r="BB21" i="25"/>
  <c r="BG21" i="25"/>
  <c r="BH21" i="25"/>
  <c r="BD21" i="25"/>
  <c r="BE21" i="25"/>
  <c r="BJ20" i="25"/>
  <c r="BA21" i="25"/>
  <c r="O23" i="25"/>
  <c r="B24" i="25"/>
  <c r="AT22" i="25"/>
  <c r="AU22" i="25"/>
  <c r="AP22" i="25"/>
  <c r="AW22" i="25"/>
  <c r="AO22" i="25"/>
  <c r="AS22" i="25"/>
  <c r="AV22" i="25"/>
  <c r="AN22" i="25"/>
  <c r="AQ22" i="25"/>
  <c r="AR22" i="25"/>
  <c r="J24" i="31"/>
  <c r="B25" i="31"/>
  <c r="AI23" i="25" l="1"/>
  <c r="AG23" i="25"/>
  <c r="AC23" i="25"/>
  <c r="AF23" i="25"/>
  <c r="AK23" i="25"/>
  <c r="AJ23" i="25"/>
  <c r="AB23" i="25"/>
  <c r="AE23" i="25"/>
  <c r="AD23" i="25"/>
  <c r="BD22" i="25"/>
  <c r="BL23" i="25"/>
  <c r="BM23" i="25" s="1"/>
  <c r="AH23" i="25"/>
  <c r="AZ22" i="25"/>
  <c r="BG22" i="25"/>
  <c r="BC22" i="25"/>
  <c r="BH22" i="25"/>
  <c r="BJ21" i="25"/>
  <c r="BE22" i="25"/>
  <c r="BA22" i="25"/>
  <c r="BI22" i="25"/>
  <c r="BF22" i="25"/>
  <c r="BB22" i="25"/>
  <c r="O24" i="25"/>
  <c r="B25" i="25"/>
  <c r="B26" i="31"/>
  <c r="J25" i="31"/>
  <c r="AR23" i="25"/>
  <c r="AN23" i="25"/>
  <c r="AS23" i="25"/>
  <c r="AO23" i="25"/>
  <c r="AT23" i="25"/>
  <c r="AQ23" i="25"/>
  <c r="AW23" i="25"/>
  <c r="AU23" i="25"/>
  <c r="AP23" i="25"/>
  <c r="AV23" i="25"/>
  <c r="AK24" i="25" l="1"/>
  <c r="AF24" i="25"/>
  <c r="AB24" i="25"/>
  <c r="AH24" i="25"/>
  <c r="AI24" i="25"/>
  <c r="AE24" i="25"/>
  <c r="AD24" i="25"/>
  <c r="AG24" i="25"/>
  <c r="AC24" i="25"/>
  <c r="BL24" i="25"/>
  <c r="BM24" i="25" s="1"/>
  <c r="AJ24" i="25"/>
  <c r="BC23" i="25"/>
  <c r="BH23" i="25"/>
  <c r="BD23" i="25"/>
  <c r="BF23" i="25"/>
  <c r="BG23" i="25"/>
  <c r="AZ23" i="25"/>
  <c r="BJ22" i="25"/>
  <c r="BI23" i="25"/>
  <c r="BB23" i="25"/>
  <c r="BA23" i="25"/>
  <c r="BE23" i="25"/>
  <c r="J26" i="31"/>
  <c r="B27" i="31"/>
  <c r="B26" i="25"/>
  <c r="O25" i="25"/>
  <c r="AV24" i="25"/>
  <c r="AO24" i="25"/>
  <c r="AQ24" i="25"/>
  <c r="AT24" i="25"/>
  <c r="AN24" i="25"/>
  <c r="AR24" i="25"/>
  <c r="AW24" i="25"/>
  <c r="AU24" i="25"/>
  <c r="AP24" i="25"/>
  <c r="AS24" i="25"/>
  <c r="AB25" i="25" l="1"/>
  <c r="AD25" i="25"/>
  <c r="AG25" i="25"/>
  <c r="AJ25" i="25"/>
  <c r="AC25" i="25"/>
  <c r="AF25" i="25"/>
  <c r="AI25" i="25"/>
  <c r="AE25" i="25"/>
  <c r="AH25" i="25"/>
  <c r="AK25" i="25"/>
  <c r="BI24" i="25"/>
  <c r="BL25" i="25"/>
  <c r="BM25" i="25" s="1"/>
  <c r="BJ23" i="25"/>
  <c r="BD24" i="25"/>
  <c r="AZ24" i="25"/>
  <c r="BA24" i="25"/>
  <c r="BE24" i="25"/>
  <c r="BF24" i="25"/>
  <c r="BH24" i="25"/>
  <c r="BG24" i="25"/>
  <c r="BB24" i="25"/>
  <c r="BC24" i="25"/>
  <c r="AV25" i="25"/>
  <c r="AW25" i="25"/>
  <c r="AR25" i="25"/>
  <c r="AP25" i="25"/>
  <c r="AQ25" i="25"/>
  <c r="AN25" i="25"/>
  <c r="AT25" i="25"/>
  <c r="AS25" i="25"/>
  <c r="AU25" i="25"/>
  <c r="AO25" i="25"/>
  <c r="B27" i="25"/>
  <c r="O26" i="25"/>
  <c r="B28" i="31"/>
  <c r="J27" i="31"/>
  <c r="AK26" i="25" l="1"/>
  <c r="AC26" i="25"/>
  <c r="AF26" i="25"/>
  <c r="AI26" i="25"/>
  <c r="AB26" i="25"/>
  <c r="AD26" i="25"/>
  <c r="AE26" i="25"/>
  <c r="AH26" i="25"/>
  <c r="AG26" i="25"/>
  <c r="AJ26" i="25"/>
  <c r="BA25" i="25"/>
  <c r="BE25" i="25"/>
  <c r="BL26" i="25"/>
  <c r="BM26" i="25" s="1"/>
  <c r="BF25" i="25"/>
  <c r="AZ25" i="25"/>
  <c r="BI25" i="25"/>
  <c r="BD25" i="25"/>
  <c r="BJ24" i="25"/>
  <c r="BG25" i="25"/>
  <c r="BC25" i="25"/>
  <c r="BH25" i="25"/>
  <c r="BB25" i="25"/>
  <c r="AR26" i="25"/>
  <c r="AO26" i="25"/>
  <c r="AU26" i="25"/>
  <c r="AV26" i="25"/>
  <c r="AQ26" i="25"/>
  <c r="AT26" i="25"/>
  <c r="AP26" i="25"/>
  <c r="AN26" i="25"/>
  <c r="AS26" i="25"/>
  <c r="AW26" i="25"/>
  <c r="B29" i="31"/>
  <c r="J28" i="31"/>
  <c r="B28" i="25"/>
  <c r="O27" i="25"/>
  <c r="AI27" i="25" l="1"/>
  <c r="AG27" i="25"/>
  <c r="AC27" i="25"/>
  <c r="AK27" i="25"/>
  <c r="AD27" i="25"/>
  <c r="AF27" i="25"/>
  <c r="AJ27" i="25"/>
  <c r="AB27" i="25"/>
  <c r="AE27" i="25"/>
  <c r="AH27" i="25"/>
  <c r="BG26" i="25"/>
  <c r="BE26" i="25"/>
  <c r="BL27" i="25"/>
  <c r="BM27" i="25" s="1"/>
  <c r="BB26" i="25"/>
  <c r="BI26" i="25"/>
  <c r="BJ25" i="25"/>
  <c r="BH26" i="25"/>
  <c r="AZ26" i="25"/>
  <c r="BF26" i="25"/>
  <c r="BC26" i="25"/>
  <c r="BA26" i="25"/>
  <c r="BD26" i="25"/>
  <c r="B29" i="25"/>
  <c r="O28" i="25"/>
  <c r="AS27" i="25"/>
  <c r="AV27" i="25"/>
  <c r="AN27" i="25"/>
  <c r="AW27" i="25"/>
  <c r="AP27" i="25"/>
  <c r="AT27" i="25"/>
  <c r="AQ27" i="25"/>
  <c r="AU27" i="25"/>
  <c r="AR27" i="25"/>
  <c r="AO27" i="25"/>
  <c r="B30" i="31"/>
  <c r="J29" i="31"/>
  <c r="AG28" i="25" l="1"/>
  <c r="AB28" i="25"/>
  <c r="AE28" i="25"/>
  <c r="AI28" i="25"/>
  <c r="AF28" i="25"/>
  <c r="AH28" i="25"/>
  <c r="AD28" i="25"/>
  <c r="AK28" i="25"/>
  <c r="AC28" i="25"/>
  <c r="AJ28" i="25"/>
  <c r="BF27" i="25"/>
  <c r="BD27" i="25"/>
  <c r="BL28" i="25"/>
  <c r="BM28" i="25" s="1"/>
  <c r="BI27" i="25"/>
  <c r="BB27" i="25"/>
  <c r="BE27" i="25"/>
  <c r="BA27" i="25"/>
  <c r="BJ26" i="25"/>
  <c r="BG27" i="25"/>
  <c r="AZ27" i="25"/>
  <c r="BC27" i="25"/>
  <c r="BH27" i="25"/>
  <c r="B31" i="31"/>
  <c r="J30" i="31"/>
  <c r="AT28" i="25"/>
  <c r="AW28" i="25"/>
  <c r="AO28" i="25"/>
  <c r="AP28" i="25"/>
  <c r="AR28" i="25"/>
  <c r="AQ28" i="25"/>
  <c r="AS28" i="25"/>
  <c r="AN28" i="25"/>
  <c r="AU28" i="25"/>
  <c r="AV28" i="25"/>
  <c r="B30" i="25"/>
  <c r="O29" i="25"/>
  <c r="AI29" i="25" l="1"/>
  <c r="AC29" i="25"/>
  <c r="AD29" i="25"/>
  <c r="AF29" i="25"/>
  <c r="AK29" i="25"/>
  <c r="AG29" i="25"/>
  <c r="AJ29" i="25"/>
  <c r="AB29" i="25"/>
  <c r="BG28" i="25"/>
  <c r="BC28" i="25"/>
  <c r="BL29" i="25"/>
  <c r="BM29" i="25" s="1"/>
  <c r="AH29" i="25"/>
  <c r="BI28" i="25"/>
  <c r="BE28" i="25"/>
  <c r="BH28" i="25"/>
  <c r="BA28" i="25"/>
  <c r="BJ27" i="25"/>
  <c r="AZ28" i="25"/>
  <c r="BD28" i="25"/>
  <c r="BB28" i="25"/>
  <c r="BF28" i="25"/>
  <c r="B31" i="25"/>
  <c r="O30" i="25"/>
  <c r="AP29" i="25"/>
  <c r="AS29" i="25"/>
  <c r="AQ29" i="25"/>
  <c r="AE29" i="25"/>
  <c r="AR29" i="25"/>
  <c r="AO29" i="25"/>
  <c r="AV29" i="25"/>
  <c r="AN29" i="25"/>
  <c r="AW29" i="25"/>
  <c r="AT29" i="25"/>
  <c r="AU29" i="25"/>
  <c r="B32" i="31"/>
  <c r="J31" i="31"/>
  <c r="AG30" i="25" l="1"/>
  <c r="AC30" i="25"/>
  <c r="AI30" i="25"/>
  <c r="AE30" i="25"/>
  <c r="AF30" i="25"/>
  <c r="AB30" i="25"/>
  <c r="AH30" i="25"/>
  <c r="AK30" i="25"/>
  <c r="AD30" i="25"/>
  <c r="AJ30" i="25"/>
  <c r="BI29" i="25"/>
  <c r="BF29" i="25"/>
  <c r="BL30" i="25"/>
  <c r="BM30" i="25" s="1"/>
  <c r="AZ29" i="25"/>
  <c r="BA29" i="25"/>
  <c r="BD29" i="25"/>
  <c r="BH29" i="25"/>
  <c r="BC29" i="25"/>
  <c r="BE29" i="25"/>
  <c r="BJ28" i="25"/>
  <c r="BG29" i="25"/>
  <c r="BB29" i="25"/>
  <c r="AT30" i="25"/>
  <c r="AU30" i="25"/>
  <c r="AV30" i="25"/>
  <c r="AQ30" i="25"/>
  <c r="AS30" i="25"/>
  <c r="AP30" i="25"/>
  <c r="AW30" i="25"/>
  <c r="AN30" i="25"/>
  <c r="AO30" i="25"/>
  <c r="AR30" i="25"/>
  <c r="B33" i="31"/>
  <c r="J32" i="31"/>
  <c r="B32" i="25"/>
  <c r="O31" i="25"/>
  <c r="AB31" i="25" l="1"/>
  <c r="AD31" i="25"/>
  <c r="AC31" i="25"/>
  <c r="AJ31" i="25"/>
  <c r="AE31" i="25"/>
  <c r="AK31" i="25"/>
  <c r="AG31" i="25"/>
  <c r="AF31" i="25"/>
  <c r="AI31" i="25"/>
  <c r="B33" i="25"/>
  <c r="AH31" i="25"/>
  <c r="BI30" i="25"/>
  <c r="BL31" i="25"/>
  <c r="BM31" i="25" s="1"/>
  <c r="AZ30" i="25"/>
  <c r="BB30" i="25"/>
  <c r="BG30" i="25"/>
  <c r="BA30" i="25"/>
  <c r="BC30" i="25"/>
  <c r="BJ29" i="25"/>
  <c r="BH30" i="25"/>
  <c r="BE30" i="25"/>
  <c r="BD30" i="25"/>
  <c r="BF30" i="25"/>
  <c r="O32" i="25"/>
  <c r="J33" i="31"/>
  <c r="B34" i="31"/>
  <c r="AO31" i="25"/>
  <c r="AP31" i="25"/>
  <c r="AS31" i="25"/>
  <c r="AN31" i="25"/>
  <c r="AT31" i="25"/>
  <c r="AQ31" i="25"/>
  <c r="AU31" i="25"/>
  <c r="AR31" i="25"/>
  <c r="AV31" i="25"/>
  <c r="AW31" i="25"/>
  <c r="AG32" i="25" l="1"/>
  <c r="AB32" i="25"/>
  <c r="AE32" i="25"/>
  <c r="AI32" i="25"/>
  <c r="AF32" i="25"/>
  <c r="AD32" i="25"/>
  <c r="AH32" i="25"/>
  <c r="AK32" i="25"/>
  <c r="AC32" i="25"/>
  <c r="O33" i="25"/>
  <c r="AJ32" i="25"/>
  <c r="BH31" i="25"/>
  <c r="BL32" i="25"/>
  <c r="BM32" i="25" s="1"/>
  <c r="BJ30" i="25"/>
  <c r="BI31" i="25"/>
  <c r="BG31" i="25"/>
  <c r="BF31" i="25"/>
  <c r="BE31" i="25"/>
  <c r="BD31" i="25"/>
  <c r="BC31" i="25"/>
  <c r="BB31" i="25"/>
  <c r="AZ31" i="25"/>
  <c r="BA31" i="25"/>
  <c r="B35" i="31"/>
  <c r="J34" i="31"/>
  <c r="AP32" i="25"/>
  <c r="AO32" i="25"/>
  <c r="AU32" i="25"/>
  <c r="AT32" i="25"/>
  <c r="AN32" i="25"/>
  <c r="AS32" i="25"/>
  <c r="AQ32" i="25"/>
  <c r="AW32" i="25"/>
  <c r="AR32" i="25"/>
  <c r="AV32" i="25"/>
  <c r="AB33" i="25" l="1"/>
  <c r="AD33" i="25"/>
  <c r="AG33" i="25"/>
  <c r="AF33" i="25"/>
  <c r="AI33" i="25"/>
  <c r="AC33" i="25"/>
  <c r="AJ33" i="25"/>
  <c r="AE33" i="25"/>
  <c r="AH33" i="25"/>
  <c r="AT33" i="25"/>
  <c r="AW33" i="25"/>
  <c r="BL33" i="25"/>
  <c r="BM33" i="25" s="1"/>
  <c r="AV33" i="25"/>
  <c r="AR33" i="25"/>
  <c r="AQ33" i="25"/>
  <c r="AN33" i="25"/>
  <c r="AS33" i="25"/>
  <c r="AU33" i="25"/>
  <c r="AP33" i="25"/>
  <c r="AO33" i="25"/>
  <c r="AK33" i="25"/>
  <c r="BC32" i="25"/>
  <c r="BG32" i="25"/>
  <c r="BI32" i="25"/>
  <c r="BD32" i="25"/>
  <c r="BH32" i="25"/>
  <c r="BF32" i="25"/>
  <c r="BB32" i="25"/>
  <c r="BJ31" i="25"/>
  <c r="BE32" i="25"/>
  <c r="AZ32" i="25"/>
  <c r="BA32" i="25"/>
  <c r="B36" i="31"/>
  <c r="J35" i="31"/>
  <c r="BI33" i="25" l="1"/>
  <c r="BG33" i="25"/>
  <c r="BE33" i="25"/>
  <c r="BB33" i="25"/>
  <c r="BH33" i="25"/>
  <c r="AZ33" i="25"/>
  <c r="BC33" i="25"/>
  <c r="BD33" i="25"/>
  <c r="BF33" i="25"/>
  <c r="BA33" i="25"/>
  <c r="A63" i="25"/>
  <c r="A62" i="25"/>
  <c r="BJ32" i="25"/>
  <c r="J36" i="31"/>
  <c r="B37" i="31"/>
  <c r="BJ33" i="25" l="1"/>
  <c r="B38" i="3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B49" i="31" l="1"/>
  <c r="J48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B60" i="31" l="1"/>
  <c r="J59" i="31"/>
  <c r="J60" i="31" l="1"/>
  <c r="B61" i="31"/>
  <c r="J61" i="31" l="1"/>
  <c r="B62" i="31"/>
  <c r="J62" i="31" l="1"/>
  <c r="B63" i="31"/>
  <c r="B64" i="31" l="1"/>
  <c r="J63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B73" i="31" l="1"/>
  <c r="J72" i="31"/>
  <c r="J73" i="31" l="1"/>
  <c r="B74" i="31"/>
  <c r="J74" i="31" l="1"/>
  <c r="B75" i="31"/>
  <c r="B76" i="31" l="1"/>
  <c r="J75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B86" i="31" l="1"/>
  <c r="J85" i="31"/>
  <c r="B87" i="31" l="1"/>
  <c r="J86" i="31"/>
  <c r="J87" i="31" l="1"/>
  <c r="B88" i="31"/>
  <c r="J88" i="31" l="1"/>
  <c r="B89" i="31"/>
  <c r="B90" i="31" l="1"/>
  <c r="J89" i="31"/>
  <c r="B91" i="31" l="1"/>
  <c r="J90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B98" i="31" l="1"/>
  <c r="J97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B106" i="31" l="1"/>
  <c r="J105" i="31"/>
  <c r="J106" i="31" l="1"/>
  <c r="B107" i="31"/>
  <c r="B108" i="31" l="1"/>
  <c r="J107" i="31"/>
  <c r="J108" i="31" l="1"/>
  <c r="B109" i="31"/>
  <c r="B110" i="31" l="1"/>
  <c r="J109" i="31"/>
  <c r="J110" i="31" l="1"/>
  <c r="B111" i="31"/>
  <c r="J111" i="31" l="1"/>
  <c r="B112" i="31"/>
  <c r="B113" i="31" l="1"/>
  <c r="J112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B120" i="31" l="1"/>
  <c r="J119" i="31"/>
  <c r="J120" i="31" l="1"/>
  <c r="B121" i="31"/>
  <c r="J121" i="31" l="1"/>
  <c r="B122" i="31"/>
  <c r="J122" i="31" l="1"/>
  <c r="B123" i="31"/>
  <c r="B124" i="31" l="1"/>
  <c r="J123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B143" i="31" l="1"/>
  <c r="J142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B151" i="31" l="1"/>
  <c r="J150" i="31"/>
  <c r="J151" i="31" l="1"/>
  <c r="B152" i="31"/>
  <c r="J152" i="31" l="1"/>
  <c r="B153" i="31"/>
  <c r="J153" i="31" l="1"/>
  <c r="B154" i="31"/>
  <c r="J154" i="31" l="1"/>
  <c r="B155" i="31"/>
  <c r="B156" i="31" l="1"/>
  <c r="J155" i="31"/>
  <c r="J156" i="31" l="1"/>
  <c r="B157" i="31"/>
  <c r="J157" i="31" l="1"/>
  <c r="B158" i="31"/>
  <c r="J158" i="31" l="1"/>
  <c r="B159" i="31"/>
  <c r="B160" i="31" l="1"/>
  <c r="J159" i="31"/>
  <c r="J160" i="31" l="1"/>
  <c r="B161" i="31"/>
  <c r="B162" i="31" l="1"/>
  <c r="J161" i="31"/>
  <c r="J162" i="31" l="1"/>
  <c r="B163" i="31"/>
  <c r="B164" i="31" l="1"/>
  <c r="J163" i="31"/>
  <c r="B165" i="31" l="1"/>
  <c r="J164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B176" i="31" l="1"/>
  <c r="J175" i="31"/>
  <c r="J176" i="31" l="1"/>
  <c r="B177" i="31"/>
  <c r="J177" i="31" l="1"/>
  <c r="B178" i="31"/>
  <c r="J178" i="31" l="1"/>
  <c r="B179" i="31"/>
  <c r="J179" i="31" l="1"/>
  <c r="B180" i="31"/>
  <c r="J180" i="31" l="1"/>
  <c r="B181" i="31"/>
  <c r="B182" i="31" l="1"/>
  <c r="J181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J191" i="31"/>
  <c r="J192" i="31" l="1"/>
  <c r="B193" i="31"/>
  <c r="B194" i="31" l="1"/>
  <c r="J193" i="31"/>
  <c r="J194" i="31" l="1"/>
  <c r="B195" i="31"/>
  <c r="B196" i="31" l="1"/>
  <c r="J195" i="31"/>
  <c r="J196" i="31" l="1"/>
  <c r="B197" i="31"/>
  <c r="J197" i="31" l="1"/>
  <c r="B198" i="31"/>
  <c r="J198" i="31" l="1"/>
  <c r="B199" i="31"/>
  <c r="J199" i="31" l="1"/>
  <c r="B200" i="31"/>
  <c r="J200" i="31" l="1"/>
  <c r="B201" i="31"/>
  <c r="J201" i="31" l="1"/>
  <c r="B202" i="31"/>
  <c r="J202" i="31" l="1"/>
  <c r="B203" i="31"/>
  <c r="J203" i="31" l="1"/>
  <c r="B204" i="31"/>
  <c r="B205" i="31" l="1"/>
  <c r="J204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J211" i="31" l="1"/>
  <c r="B212" i="31"/>
  <c r="J212" i="31" l="1"/>
  <c r="B213" i="31"/>
  <c r="B214" i="31" l="1"/>
  <c r="J213" i="31"/>
  <c r="J214" i="31" l="1"/>
  <c r="B215" i="31"/>
  <c r="J215" i="31" l="1"/>
  <c r="B216" i="31"/>
  <c r="B217" i="31" s="1"/>
  <c r="B218" i="31" l="1"/>
  <c r="J217" i="31"/>
  <c r="J216" i="31"/>
  <c r="B219" i="31" l="1"/>
  <c r="J218" i="31"/>
  <c r="J219" i="31" l="1"/>
  <c r="B220" i="31"/>
  <c r="J220" i="31" l="1"/>
  <c r="B221" i="31"/>
  <c r="B222" i="31" l="1"/>
  <c r="J221" i="31"/>
  <c r="B223" i="31" l="1"/>
  <c r="J222" i="31"/>
  <c r="J223" i="31" l="1"/>
  <c r="B224" i="31"/>
  <c r="J224" i="31" l="1"/>
  <c r="B225" i="31"/>
  <c r="B226" i="31" l="1"/>
  <c r="J225" i="31"/>
  <c r="B227" i="31" l="1"/>
  <c r="J226" i="31"/>
  <c r="J227" i="31" l="1"/>
  <c r="B228" i="31"/>
  <c r="J228" i="31" l="1"/>
  <c r="B229" i="31"/>
  <c r="B230" i="31" l="1"/>
  <c r="J229" i="31"/>
  <c r="B231" i="31" l="1"/>
  <c r="J230" i="31"/>
  <c r="B232" i="31" l="1"/>
  <c r="J231" i="31"/>
  <c r="J232" i="31" l="1"/>
  <c r="B233" i="31"/>
  <c r="B234" i="31" l="1"/>
  <c r="J233" i="31"/>
  <c r="B235" i="31" l="1"/>
  <c r="J234" i="31"/>
  <c r="B236" i="31" l="1"/>
  <c r="J235" i="31"/>
  <c r="J236" i="31" l="1"/>
  <c r="B237" i="31"/>
  <c r="J237" i="31" l="1"/>
  <c r="B238" i="31"/>
  <c r="B239" i="31" l="1"/>
  <c r="J238" i="31"/>
  <c r="B240" i="31" l="1"/>
  <c r="J240" i="31" s="1"/>
  <c r="J239" i="31"/>
  <c r="B241" i="31" l="1"/>
  <c r="B242" i="31" l="1"/>
  <c r="J241" i="31"/>
  <c r="J242" i="31" l="1"/>
  <c r="B243" i="31"/>
  <c r="B244" i="31" l="1"/>
  <c r="J243" i="31"/>
  <c r="J244" i="31" l="1"/>
  <c r="B245" i="31"/>
  <c r="B246" i="31" l="1"/>
  <c r="J245" i="31"/>
  <c r="J246" i="31" l="1"/>
  <c r="B247" i="31"/>
  <c r="J247" i="31" l="1"/>
  <c r="B248" i="31"/>
  <c r="B249" i="31" l="1"/>
  <c r="J248" i="31"/>
  <c r="J249" i="31" l="1"/>
  <c r="B250" i="31"/>
  <c r="J250" i="31" l="1"/>
  <c r="B251" i="31"/>
  <c r="B252" i="31" l="1"/>
  <c r="J251" i="31"/>
  <c r="B253" i="31" l="1"/>
  <c r="J252" i="31"/>
  <c r="B254" i="31" l="1"/>
  <c r="J253" i="31"/>
  <c r="B266" i="31"/>
  <c r="J254" i="31" l="1"/>
  <c r="B255" i="31"/>
  <c r="J255" i="31" l="1"/>
  <c r="B256" i="31"/>
  <c r="J256" i="31" l="1"/>
  <c r="B257" i="31"/>
  <c r="J257" i="31" l="1"/>
  <c r="B258" i="31"/>
  <c r="J258" i="31" l="1"/>
  <c r="B259" i="31"/>
  <c r="J259" i="31" l="1"/>
  <c r="B260" i="31"/>
  <c r="J260" i="31" l="1"/>
  <c r="B261" i="31"/>
  <c r="B262" i="31" l="1"/>
  <c r="J261" i="31"/>
  <c r="J262" i="31" l="1"/>
  <c r="B263" i="31"/>
  <c r="J263" i="31" l="1"/>
  <c r="B264" i="31"/>
  <c r="J264" i="31" l="1"/>
  <c r="BN16" i="25" l="1"/>
  <c r="C16" i="25" s="1"/>
  <c r="BN15" i="25" l="1"/>
  <c r="C15" i="25" s="1"/>
  <c r="BN17" i="25" l="1"/>
  <c r="C17" i="25" s="1"/>
  <c r="BN18" i="25" l="1"/>
  <c r="C18" i="25" s="1"/>
  <c r="BN19" i="25" l="1"/>
  <c r="C19" i="25" s="1"/>
  <c r="BN20" i="25" l="1"/>
  <c r="C20" i="25" s="1"/>
  <c r="BN21" i="25" l="1"/>
  <c r="C21" i="25" s="1"/>
  <c r="BN22" i="25" l="1"/>
  <c r="C22" i="25" s="1"/>
  <c r="BN23" i="25" l="1"/>
  <c r="C23" i="25" s="1"/>
  <c r="BN24" i="25" l="1"/>
  <c r="C24" i="25" s="1"/>
  <c r="BN25" i="25" l="1"/>
  <c r="C25" i="25" s="1"/>
  <c r="BN26" i="25" l="1"/>
  <c r="C26" i="25" s="1"/>
  <c r="BN27" i="25" l="1"/>
  <c r="C27" i="25" s="1"/>
  <c r="BN28" i="25" l="1"/>
  <c r="C28" i="25" s="1"/>
  <c r="BN29" i="25" l="1"/>
  <c r="C29" i="25" s="1"/>
  <c r="BN30" i="25" l="1"/>
  <c r="C30" i="25" s="1"/>
  <c r="BN31" i="25" l="1"/>
  <c r="BN32" i="25" l="1"/>
  <c r="C32" i="25" s="1"/>
  <c r="BN33" i="25" l="1"/>
  <c r="C31" i="25" l="1"/>
  <c r="C33" i="25"/>
  <c r="D202" i="31" l="1"/>
  <c r="K202" i="31"/>
  <c r="O31" i="31"/>
  <c r="K193" i="31"/>
  <c r="D193" i="31"/>
  <c r="D152" i="31"/>
  <c r="K152" i="31"/>
  <c r="K156" i="31"/>
  <c r="D156" i="31"/>
  <c r="K215" i="31"/>
  <c r="D215" i="31"/>
  <c r="K188" i="31"/>
  <c r="D188" i="31"/>
  <c r="K199" i="31"/>
  <c r="D199" i="31"/>
  <c r="K153" i="31"/>
  <c r="D153" i="31"/>
  <c r="K224" i="31"/>
  <c r="D224" i="31"/>
  <c r="K140" i="31"/>
  <c r="D140" i="31"/>
  <c r="K143" i="31"/>
  <c r="D143" i="31"/>
  <c r="D139" i="31"/>
  <c r="K139" i="31"/>
  <c r="K164" i="31"/>
  <c r="D164" i="31"/>
  <c r="K234" i="31"/>
  <c r="K209" i="31"/>
  <c r="D209" i="31"/>
  <c r="K142" i="31"/>
  <c r="D142" i="31"/>
  <c r="K176" i="31"/>
  <c r="D176" i="31"/>
  <c r="K160" i="31"/>
  <c r="D160" i="31"/>
  <c r="K230" i="31"/>
  <c r="K159" i="31"/>
  <c r="D159" i="31"/>
  <c r="K200" i="31"/>
  <c r="D200" i="31"/>
  <c r="D171" i="31"/>
  <c r="K171" i="31"/>
  <c r="K147" i="31"/>
  <c r="D147" i="31"/>
  <c r="D216" i="31"/>
  <c r="K216" i="31"/>
  <c r="K178" i="31"/>
  <c r="D178" i="31"/>
  <c r="D222" i="31"/>
  <c r="K222" i="31"/>
  <c r="K179" i="31"/>
  <c r="D179" i="31"/>
  <c r="D197" i="31"/>
  <c r="K197" i="31"/>
  <c r="K239" i="31"/>
  <c r="D141" i="31"/>
  <c r="K141" i="31"/>
  <c r="K205" i="31"/>
  <c r="O32" i="31"/>
  <c r="D205" i="31"/>
  <c r="K180" i="31"/>
  <c r="D180" i="31"/>
  <c r="D181" i="31"/>
  <c r="K181" i="31"/>
  <c r="O30" i="31"/>
  <c r="D207" i="31"/>
  <c r="K207" i="31"/>
  <c r="D196" i="31"/>
  <c r="K196" i="31"/>
  <c r="D135" i="31"/>
  <c r="K135" i="31"/>
  <c r="D137" i="31"/>
  <c r="K137" i="31"/>
  <c r="D229" i="31"/>
  <c r="K229" i="31"/>
  <c r="O34" i="31"/>
  <c r="D167" i="31"/>
  <c r="K167" i="31"/>
  <c r="K237" i="31"/>
  <c r="K206" i="31"/>
  <c r="D206" i="31"/>
  <c r="K165" i="31"/>
  <c r="D165" i="31"/>
  <c r="K233" i="31"/>
  <c r="K214" i="31"/>
  <c r="D214" i="31"/>
  <c r="K220" i="31"/>
  <c r="D220" i="31"/>
  <c r="K149" i="31"/>
  <c r="D149" i="31"/>
  <c r="K191" i="31"/>
  <c r="D191" i="31"/>
  <c r="K226" i="31"/>
  <c r="D226" i="31"/>
  <c r="K172" i="31"/>
  <c r="D172" i="31"/>
  <c r="K184" i="31"/>
  <c r="D184" i="31"/>
  <c r="K203" i="31"/>
  <c r="D203" i="31"/>
  <c r="D213" i="31"/>
  <c r="K213" i="31"/>
  <c r="K212" i="31"/>
  <c r="D212" i="31"/>
  <c r="K210" i="31"/>
  <c r="D210" i="31"/>
  <c r="K235" i="31"/>
  <c r="K198" i="31"/>
  <c r="D198" i="31"/>
  <c r="K189" i="31"/>
  <c r="D189" i="31"/>
  <c r="K150" i="31"/>
  <c r="D150" i="31"/>
  <c r="K223" i="31"/>
  <c r="D223" i="31"/>
  <c r="K240" i="31"/>
  <c r="K163" i="31"/>
  <c r="D163" i="31"/>
  <c r="K174" i="31"/>
  <c r="D174" i="31"/>
  <c r="K236" i="31"/>
  <c r="K136" i="31"/>
  <c r="D136" i="31"/>
  <c r="K177" i="31"/>
  <c r="D177" i="31"/>
  <c r="K166" i="31"/>
  <c r="D166" i="31"/>
  <c r="K218" i="31"/>
  <c r="D218" i="31"/>
  <c r="K211" i="31"/>
  <c r="D211" i="31"/>
  <c r="K204" i="31"/>
  <c r="D204" i="31"/>
  <c r="D186" i="31"/>
  <c r="K186" i="31"/>
  <c r="K185" i="31"/>
  <c r="D185" i="31"/>
  <c r="K169" i="31"/>
  <c r="D169" i="31"/>
  <c r="O29" i="31"/>
  <c r="K173" i="31"/>
  <c r="D173" i="31"/>
  <c r="K138" i="31"/>
  <c r="D138" i="31"/>
  <c r="D157" i="31"/>
  <c r="K157" i="31"/>
  <c r="O28" i="31"/>
  <c r="D146" i="31"/>
  <c r="K146" i="31"/>
  <c r="D161" i="31"/>
  <c r="K161" i="31"/>
  <c r="K145" i="31"/>
  <c r="O27" i="31"/>
  <c r="D145" i="31"/>
  <c r="K190" i="31"/>
  <c r="D190" i="31"/>
  <c r="K154" i="31"/>
  <c r="D154" i="31"/>
  <c r="K144" i="31"/>
  <c r="D144" i="31"/>
  <c r="K155" i="31"/>
  <c r="D155" i="31"/>
  <c r="K187" i="31"/>
  <c r="D187" i="31"/>
  <c r="D217" i="31"/>
  <c r="O33" i="31"/>
  <c r="K217" i="31"/>
  <c r="K194" i="31"/>
  <c r="D194" i="31"/>
  <c r="D158" i="31"/>
  <c r="K158" i="31"/>
  <c r="K192" i="31"/>
  <c r="D192" i="31"/>
  <c r="K162" i="31"/>
  <c r="D162" i="31"/>
  <c r="K201" i="31"/>
  <c r="D201" i="31"/>
  <c r="K228" i="31"/>
  <c r="D228" i="31"/>
  <c r="K134" i="31"/>
  <c r="D134" i="31"/>
  <c r="K227" i="31"/>
  <c r="D227" i="31"/>
  <c r="K151" i="31"/>
  <c r="D151" i="31"/>
  <c r="K225" i="31"/>
  <c r="D225" i="31"/>
  <c r="K175" i="31"/>
  <c r="D175" i="31"/>
  <c r="K170" i="31"/>
  <c r="D170" i="31"/>
  <c r="K219" i="31"/>
  <c r="D219" i="31"/>
  <c r="K168" i="31"/>
  <c r="D168" i="31"/>
  <c r="K232" i="31"/>
  <c r="O26" i="31"/>
  <c r="D133" i="31"/>
  <c r="K133" i="31"/>
  <c r="D208" i="31"/>
  <c r="K208" i="31"/>
  <c r="K231" i="31"/>
  <c r="D183" i="31"/>
  <c r="K183" i="31"/>
  <c r="K238" i="31"/>
  <c r="D182" i="31"/>
  <c r="K182" i="31"/>
  <c r="D221" i="31"/>
  <c r="K221" i="31"/>
  <c r="D148" i="31"/>
  <c r="K148" i="31"/>
  <c r="D195" i="31"/>
  <c r="K195" i="31"/>
  <c r="D230" i="31" l="1"/>
  <c r="D232" i="31"/>
  <c r="D231" i="31"/>
  <c r="N28" i="31"/>
  <c r="N29" i="31"/>
  <c r="K244" i="31"/>
  <c r="D240" i="31"/>
  <c r="D238" i="31"/>
  <c r="D236" i="31"/>
  <c r="D237" i="31"/>
  <c r="D234" i="31"/>
  <c r="N30" i="31"/>
  <c r="K251" i="31"/>
  <c r="N27" i="31"/>
  <c r="K245" i="31"/>
  <c r="K247" i="31"/>
  <c r="N33" i="31"/>
  <c r="K248" i="31"/>
  <c r="K252" i="31"/>
  <c r="D235" i="31"/>
  <c r="D241" i="31"/>
  <c r="K241" i="31"/>
  <c r="O35" i="31"/>
  <c r="N32" i="31"/>
  <c r="D239" i="31"/>
  <c r="N31" i="31"/>
  <c r="K250" i="31"/>
  <c r="K243" i="31"/>
  <c r="N26" i="31"/>
  <c r="D233" i="31"/>
  <c r="K249" i="31"/>
  <c r="K242" i="31"/>
  <c r="D242" i="31"/>
  <c r="K246" i="31"/>
  <c r="D246" i="31" l="1"/>
  <c r="N34" i="31"/>
  <c r="R32" i="31"/>
  <c r="R26" i="31"/>
  <c r="R31" i="31"/>
  <c r="R33" i="31"/>
  <c r="R30" i="31"/>
  <c r="R29" i="31"/>
  <c r="D243" i="31"/>
  <c r="R27" i="31"/>
  <c r="R28" i="31"/>
  <c r="D244" i="31"/>
  <c r="K254" i="31"/>
  <c r="D254" i="31"/>
  <c r="K255" i="31"/>
  <c r="D255" i="31"/>
  <c r="K262" i="31"/>
  <c r="D262" i="31"/>
  <c r="D248" i="31"/>
  <c r="D247" i="31"/>
  <c r="D245" i="31"/>
  <c r="D251" i="31"/>
  <c r="D252" i="31"/>
  <c r="K257" i="31"/>
  <c r="D257" i="31"/>
  <c r="K258" i="31"/>
  <c r="D258" i="31"/>
  <c r="D249" i="31"/>
  <c r="D250" i="31"/>
  <c r="O36" i="31"/>
  <c r="K253" i="31"/>
  <c r="D253" i="31"/>
  <c r="K264" i="31"/>
  <c r="D264" i="31"/>
  <c r="K260" i="31"/>
  <c r="D260" i="31"/>
  <c r="K259" i="31"/>
  <c r="D259" i="31"/>
  <c r="K263" i="31"/>
  <c r="D263" i="31"/>
  <c r="D261" i="31"/>
  <c r="K261" i="31"/>
  <c r="K256" i="31"/>
  <c r="D256" i="31"/>
  <c r="N35" i="31" l="1"/>
  <c r="R34" i="31"/>
  <c r="N36" i="31"/>
  <c r="R36" i="31" l="1"/>
  <c r="R35" i="31"/>
  <c r="E191" i="31"/>
  <c r="E166" i="31"/>
  <c r="E198" i="31"/>
  <c r="E152" i="31"/>
  <c r="E224" i="31"/>
  <c r="E228" i="31"/>
  <c r="E195" i="31"/>
  <c r="E154" i="31"/>
  <c r="E214" i="31"/>
  <c r="E168" i="31"/>
  <c r="E160" i="31"/>
  <c r="E158" i="31"/>
  <c r="E227" i="31"/>
  <c r="E170" i="31"/>
  <c r="E202" i="31"/>
  <c r="E222" i="31"/>
  <c r="E164" i="31"/>
  <c r="E178" i="31"/>
  <c r="E144" i="31"/>
  <c r="E197" i="31"/>
  <c r="E226" i="31"/>
  <c r="E190" i="31"/>
  <c r="E223" i="31"/>
  <c r="E163" i="31"/>
  <c r="E196" i="31"/>
  <c r="E184" i="31"/>
  <c r="E201" i="31"/>
  <c r="E153" i="31"/>
  <c r="E155" i="31"/>
  <c r="E171" i="31"/>
  <c r="E208" i="31"/>
  <c r="E135" i="31"/>
  <c r="E138" i="31"/>
  <c r="E182" i="31"/>
  <c r="E225" i="31"/>
  <c r="E213" i="31"/>
  <c r="E194" i="31"/>
  <c r="E185" i="31"/>
  <c r="E134" i="31"/>
  <c r="E218" i="31"/>
  <c r="E220" i="31"/>
  <c r="E162" i="31"/>
  <c r="E210" i="31"/>
  <c r="G138" i="31" l="1"/>
  <c r="G226" i="31"/>
  <c r="G214" i="31"/>
  <c r="G195" i="31"/>
  <c r="G196" i="31"/>
  <c r="G222" i="31"/>
  <c r="G202" i="31"/>
  <c r="G170" i="31"/>
  <c r="G158" i="31"/>
  <c r="G168" i="31"/>
  <c r="G154" i="31"/>
  <c r="G152" i="31"/>
  <c r="G191" i="31"/>
  <c r="G182" i="31"/>
  <c r="G208" i="31"/>
  <c r="G201" i="31"/>
  <c r="G224" i="31"/>
  <c r="G166" i="31"/>
  <c r="G153" i="31"/>
  <c r="G162" i="31"/>
  <c r="G225" i="31"/>
  <c r="G197" i="31"/>
  <c r="G144" i="31"/>
  <c r="G228" i="31"/>
  <c r="G218" i="31"/>
  <c r="G178" i="31"/>
  <c r="G227" i="31"/>
  <c r="G210" i="31"/>
  <c r="G220" i="31"/>
  <c r="G155" i="31"/>
  <c r="G194" i="31"/>
  <c r="G171" i="31"/>
  <c r="G184" i="31"/>
  <c r="G134" i="31"/>
  <c r="G185" i="31"/>
  <c r="G213" i="31"/>
  <c r="G135" i="31"/>
  <c r="G163" i="31"/>
  <c r="G223" i="31"/>
  <c r="G190" i="31"/>
  <c r="G164" i="31"/>
  <c r="G160" i="31"/>
  <c r="G198" i="31"/>
  <c r="E239" i="31"/>
  <c r="C251" i="31"/>
  <c r="E230" i="31"/>
  <c r="C242" i="31"/>
  <c r="E235" i="31"/>
  <c r="C247" i="31"/>
  <c r="E231" i="31"/>
  <c r="C243" i="31"/>
  <c r="C244" i="31"/>
  <c r="E232" i="31"/>
  <c r="C245" i="31"/>
  <c r="E233" i="31"/>
  <c r="E147" i="31"/>
  <c r="E186" i="31"/>
  <c r="E176" i="31"/>
  <c r="E146" i="31"/>
  <c r="E151" i="31"/>
  <c r="E187" i="31"/>
  <c r="E143" i="31"/>
  <c r="E142" i="31"/>
  <c r="E175" i="31"/>
  <c r="E174" i="31"/>
  <c r="E188" i="31"/>
  <c r="E216" i="31"/>
  <c r="E161" i="31"/>
  <c r="E192" i="31"/>
  <c r="E211" i="31"/>
  <c r="E189" i="31"/>
  <c r="E221" i="31"/>
  <c r="E165" i="31"/>
  <c r="E207" i="31"/>
  <c r="E183" i="31"/>
  <c r="E203" i="31"/>
  <c r="E204" i="31"/>
  <c r="E173" i="31"/>
  <c r="E206" i="31"/>
  <c r="E200" i="31"/>
  <c r="E159" i="31"/>
  <c r="E149" i="31"/>
  <c r="E148" i="31"/>
  <c r="E177" i="31"/>
  <c r="E156" i="31"/>
  <c r="E219" i="31"/>
  <c r="E212" i="31"/>
  <c r="E199" i="31"/>
  <c r="E150" i="31"/>
  <c r="E140" i="31"/>
  <c r="E139" i="31"/>
  <c r="E180" i="31"/>
  <c r="E172" i="31"/>
  <c r="E179" i="31"/>
  <c r="E167" i="31"/>
  <c r="E137" i="31"/>
  <c r="E136" i="31"/>
  <c r="E141" i="31"/>
  <c r="E215" i="31"/>
  <c r="E209" i="31"/>
  <c r="G215" i="31" l="1"/>
  <c r="G172" i="31"/>
  <c r="G175" i="31"/>
  <c r="G186" i="31"/>
  <c r="G233" i="31"/>
  <c r="G212" i="31"/>
  <c r="G148" i="31"/>
  <c r="G200" i="31"/>
  <c r="G183" i="31"/>
  <c r="G165" i="31"/>
  <c r="G161" i="31"/>
  <c r="G188" i="31"/>
  <c r="G143" i="31"/>
  <c r="G231" i="31"/>
  <c r="G230" i="31"/>
  <c r="G180" i="31"/>
  <c r="G204" i="31"/>
  <c r="G211" i="31"/>
  <c r="G142" i="31"/>
  <c r="G147" i="31"/>
  <c r="G140" i="31"/>
  <c r="G199" i="31"/>
  <c r="G156" i="31"/>
  <c r="G173" i="31"/>
  <c r="G207" i="31"/>
  <c r="G221" i="31"/>
  <c r="G192" i="31"/>
  <c r="G187" i="31"/>
  <c r="G232" i="31"/>
  <c r="G137" i="31"/>
  <c r="G150" i="31"/>
  <c r="G159" i="31"/>
  <c r="G176" i="31"/>
  <c r="G141" i="31"/>
  <c r="G136" i="31"/>
  <c r="G209" i="31"/>
  <c r="G167" i="31"/>
  <c r="G179" i="31"/>
  <c r="G139" i="31"/>
  <c r="G219" i="31"/>
  <c r="G177" i="31"/>
  <c r="G149" i="31"/>
  <c r="G206" i="31"/>
  <c r="G203" i="31"/>
  <c r="G189" i="31"/>
  <c r="G216" i="31"/>
  <c r="G174" i="31"/>
  <c r="G151" i="31"/>
  <c r="G146" i="31"/>
  <c r="G235" i="31"/>
  <c r="G239" i="31"/>
  <c r="C252" i="31"/>
  <c r="E240" i="31"/>
  <c r="C255" i="31"/>
  <c r="E255" i="31" s="1"/>
  <c r="E243" i="31"/>
  <c r="E242" i="31"/>
  <c r="C254" i="31"/>
  <c r="E254" i="31" s="1"/>
  <c r="C246" i="31"/>
  <c r="E234" i="31"/>
  <c r="M28" i="31"/>
  <c r="E157" i="31"/>
  <c r="C257" i="31"/>
  <c r="E257" i="31" s="1"/>
  <c r="E245" i="31"/>
  <c r="E145" i="31"/>
  <c r="M27" i="31"/>
  <c r="M30" i="31"/>
  <c r="E181" i="31"/>
  <c r="E205" i="31"/>
  <c r="M32" i="31"/>
  <c r="M31" i="31"/>
  <c r="E193" i="31"/>
  <c r="C248" i="31"/>
  <c r="E236" i="31"/>
  <c r="C259" i="31"/>
  <c r="E259" i="31" s="1"/>
  <c r="E247" i="31"/>
  <c r="C263" i="31"/>
  <c r="E263" i="31" s="1"/>
  <c r="E251" i="31"/>
  <c r="E238" i="31"/>
  <c r="C250" i="31"/>
  <c r="C249" i="31"/>
  <c r="E237" i="31"/>
  <c r="C256" i="31"/>
  <c r="E256" i="31" s="1"/>
  <c r="E244" i="31"/>
  <c r="G263" i="31" l="1"/>
  <c r="G205" i="31"/>
  <c r="G145" i="31"/>
  <c r="G242" i="31"/>
  <c r="G237" i="31"/>
  <c r="G251" i="31"/>
  <c r="G236" i="31"/>
  <c r="G244" i="31"/>
  <c r="G247" i="31"/>
  <c r="G193" i="31"/>
  <c r="G181" i="31"/>
  <c r="G245" i="31"/>
  <c r="G234" i="31"/>
  <c r="G243" i="31"/>
  <c r="G157" i="31"/>
  <c r="G254" i="31"/>
  <c r="G240" i="31"/>
  <c r="G256" i="31"/>
  <c r="G238" i="31"/>
  <c r="G259" i="31"/>
  <c r="G257" i="31"/>
  <c r="G255" i="31"/>
  <c r="M34" i="31"/>
  <c r="E229" i="31"/>
  <c r="C241" i="31"/>
  <c r="C262" i="31"/>
  <c r="E262" i="31" s="1"/>
  <c r="E250" i="31"/>
  <c r="Q31" i="31"/>
  <c r="P31" i="31"/>
  <c r="Q30" i="31"/>
  <c r="P30" i="31"/>
  <c r="C258" i="31"/>
  <c r="E258" i="31" s="1"/>
  <c r="E246" i="31"/>
  <c r="E217" i="31"/>
  <c r="M33" i="31"/>
  <c r="M29" i="31"/>
  <c r="E169" i="31"/>
  <c r="Q32" i="31"/>
  <c r="P32" i="31"/>
  <c r="Q27" i="31"/>
  <c r="P27" i="31"/>
  <c r="M26" i="31"/>
  <c r="E133" i="31"/>
  <c r="E249" i="31"/>
  <c r="C261" i="31"/>
  <c r="E261" i="31" s="1"/>
  <c r="C260" i="31"/>
  <c r="E260" i="31" s="1"/>
  <c r="E248" i="31"/>
  <c r="Q28" i="31"/>
  <c r="P28" i="31"/>
  <c r="E252" i="31"/>
  <c r="C264" i="31"/>
  <c r="E264" i="31" s="1"/>
  <c r="G261" i="31" l="1"/>
  <c r="G246" i="31"/>
  <c r="G249" i="31"/>
  <c r="G258" i="31"/>
  <c r="G229" i="31"/>
  <c r="G250" i="31"/>
  <c r="G169" i="31"/>
  <c r="G264" i="31"/>
  <c r="G248" i="31"/>
  <c r="G133" i="31"/>
  <c r="G252" i="31"/>
  <c r="G260" i="31"/>
  <c r="G217" i="31"/>
  <c r="G262" i="31"/>
  <c r="Q26" i="31"/>
  <c r="P26" i="31"/>
  <c r="E241" i="31"/>
  <c r="C253" i="31"/>
  <c r="M35" i="31"/>
  <c r="P29" i="31"/>
  <c r="Q29" i="31"/>
  <c r="Q33" i="31"/>
  <c r="P33" i="31"/>
  <c r="P34" i="31"/>
  <c r="Q34" i="31"/>
  <c r="G241" i="31" l="1"/>
  <c r="E253" i="31"/>
  <c r="M36" i="31"/>
  <c r="Q35" i="31"/>
  <c r="P35" i="31"/>
  <c r="G253" i="31" l="1"/>
  <c r="Q36" i="31"/>
  <c r="P36" i="31"/>
  <c r="D14" i="31" l="1"/>
  <c r="K14" i="31"/>
  <c r="K62" i="31"/>
  <c r="D62" i="31"/>
  <c r="K108" i="31"/>
  <c r="D108" i="31"/>
  <c r="K43" i="31"/>
  <c r="D43" i="31"/>
  <c r="K87" i="31"/>
  <c r="D87" i="31"/>
  <c r="K39" i="31"/>
  <c r="D39" i="31"/>
  <c r="K83" i="31"/>
  <c r="D83" i="31"/>
  <c r="D36" i="31"/>
  <c r="K36" i="31"/>
  <c r="K75" i="31"/>
  <c r="D75" i="31"/>
  <c r="K107" i="31"/>
  <c r="D107" i="31"/>
  <c r="D22" i="31"/>
  <c r="K22" i="31"/>
  <c r="K54" i="31"/>
  <c r="D54" i="31"/>
  <c r="K69" i="31"/>
  <c r="D69" i="31"/>
  <c r="K81" i="31"/>
  <c r="D81" i="31"/>
  <c r="K99" i="31"/>
  <c r="D99" i="31"/>
  <c r="K123" i="31"/>
  <c r="D123" i="31"/>
  <c r="D18" i="31"/>
  <c r="K18" i="31"/>
  <c r="D32" i="31"/>
  <c r="K32" i="31"/>
  <c r="K51" i="31"/>
  <c r="D51" i="31"/>
  <c r="O20" i="31"/>
  <c r="K61" i="31"/>
  <c r="D61" i="31"/>
  <c r="K76" i="31"/>
  <c r="D76" i="31"/>
  <c r="K95" i="31"/>
  <c r="D95" i="31"/>
  <c r="K106" i="31"/>
  <c r="D106" i="31"/>
  <c r="D16" i="31"/>
  <c r="K16" i="31"/>
  <c r="K34" i="31"/>
  <c r="D34" i="31"/>
  <c r="K46" i="31"/>
  <c r="D46" i="31"/>
  <c r="K57" i="31"/>
  <c r="D57" i="31"/>
  <c r="K74" i="31"/>
  <c r="D74" i="31"/>
  <c r="K86" i="31"/>
  <c r="D86" i="31"/>
  <c r="O23" i="31"/>
  <c r="K97" i="31"/>
  <c r="D97" i="31"/>
  <c r="K120" i="31"/>
  <c r="D120" i="31"/>
  <c r="K19" i="31"/>
  <c r="D19" i="31"/>
  <c r="D31" i="31"/>
  <c r="K31" i="31"/>
  <c r="K45" i="31"/>
  <c r="D45" i="31"/>
  <c r="K67" i="31"/>
  <c r="D67" i="31"/>
  <c r="K82" i="31"/>
  <c r="D82" i="31"/>
  <c r="K98" i="31"/>
  <c r="D98" i="31"/>
  <c r="K124" i="31"/>
  <c r="D124" i="31"/>
  <c r="K126" i="31"/>
  <c r="D126" i="31"/>
  <c r="K116" i="31"/>
  <c r="D116" i="31"/>
  <c r="K131" i="31"/>
  <c r="D131" i="31"/>
  <c r="K44" i="31"/>
  <c r="D44" i="31"/>
  <c r="K73" i="31"/>
  <c r="O21" i="31"/>
  <c r="D73" i="31"/>
  <c r="K71" i="31"/>
  <c r="D71" i="31"/>
  <c r="D27" i="31"/>
  <c r="K27" i="31"/>
  <c r="O19" i="31"/>
  <c r="K49" i="31"/>
  <c r="D49" i="31"/>
  <c r="K104" i="31"/>
  <c r="D104" i="31"/>
  <c r="O17" i="31"/>
  <c r="D25" i="31"/>
  <c r="D12" i="31"/>
  <c r="G12" i="31" s="1"/>
  <c r="K25" i="31"/>
  <c r="K89" i="31"/>
  <c r="D89" i="31"/>
  <c r="K132" i="31"/>
  <c r="D132" i="31"/>
  <c r="K24" i="31"/>
  <c r="D24" i="31"/>
  <c r="K40" i="31"/>
  <c r="D40" i="31"/>
  <c r="K59" i="31"/>
  <c r="D59" i="31"/>
  <c r="K72" i="31"/>
  <c r="D72" i="31"/>
  <c r="K102" i="31"/>
  <c r="D102" i="31"/>
  <c r="K129" i="31"/>
  <c r="D129" i="31"/>
  <c r="K21" i="31"/>
  <c r="D21" i="31"/>
  <c r="K38" i="31"/>
  <c r="D38" i="31"/>
  <c r="K55" i="31"/>
  <c r="D55" i="31"/>
  <c r="K64" i="31"/>
  <c r="D64" i="31"/>
  <c r="K80" i="31"/>
  <c r="D80" i="31"/>
  <c r="K113" i="31"/>
  <c r="D113" i="31"/>
  <c r="K20" i="31"/>
  <c r="D20" i="31"/>
  <c r="O18" i="31"/>
  <c r="K37" i="31"/>
  <c r="D37" i="31"/>
  <c r="K48" i="31"/>
  <c r="D48" i="31"/>
  <c r="K79" i="31"/>
  <c r="D79" i="31"/>
  <c r="K90" i="31"/>
  <c r="D90" i="31"/>
  <c r="K101" i="31"/>
  <c r="D101" i="31"/>
  <c r="K125" i="31"/>
  <c r="D125" i="31"/>
  <c r="D23" i="31"/>
  <c r="K23" i="31"/>
  <c r="K35" i="31"/>
  <c r="D35" i="31"/>
  <c r="K52" i="31"/>
  <c r="D52" i="31"/>
  <c r="K70" i="31"/>
  <c r="D70" i="31"/>
  <c r="K84" i="31"/>
  <c r="D84" i="31"/>
  <c r="K109" i="31"/>
  <c r="O24" i="31"/>
  <c r="D109" i="31"/>
  <c r="K111" i="31"/>
  <c r="D111" i="31"/>
  <c r="K130" i="31"/>
  <c r="D130" i="31"/>
  <c r="K105" i="31"/>
  <c r="D105" i="31"/>
  <c r="K119" i="31"/>
  <c r="D119" i="31"/>
  <c r="K28" i="31"/>
  <c r="D28" i="31"/>
  <c r="K88" i="31"/>
  <c r="D88" i="31"/>
  <c r="K58" i="31"/>
  <c r="D58" i="31"/>
  <c r="K100" i="31"/>
  <c r="D100" i="31"/>
  <c r="K65" i="31"/>
  <c r="D65" i="31"/>
  <c r="K94" i="31"/>
  <c r="D94" i="31"/>
  <c r="K56" i="31"/>
  <c r="D56" i="31"/>
  <c r="K117" i="31"/>
  <c r="D117" i="31"/>
  <c r="K114" i="31"/>
  <c r="D114" i="31"/>
  <c r="K122" i="31"/>
  <c r="D122" i="31"/>
  <c r="K17" i="31"/>
  <c r="D17" i="31"/>
  <c r="D33" i="31"/>
  <c r="K33" i="31"/>
  <c r="K50" i="31"/>
  <c r="D50" i="31"/>
  <c r="K66" i="31"/>
  <c r="D66" i="31"/>
  <c r="K77" i="31"/>
  <c r="D77" i="31"/>
  <c r="K93" i="31"/>
  <c r="D93" i="31"/>
  <c r="K115" i="31"/>
  <c r="D115" i="31"/>
  <c r="K13" i="31"/>
  <c r="O16" i="31"/>
  <c r="D13" i="31"/>
  <c r="D29" i="31"/>
  <c r="K29" i="31"/>
  <c r="K47" i="31"/>
  <c r="D47" i="31"/>
  <c r="K60" i="31"/>
  <c r="D60" i="31"/>
  <c r="K91" i="31"/>
  <c r="D91" i="31"/>
  <c r="K103" i="31"/>
  <c r="D103" i="31"/>
  <c r="K128" i="31"/>
  <c r="D128" i="31"/>
  <c r="D30" i="31"/>
  <c r="K30" i="31"/>
  <c r="K42" i="31"/>
  <c r="D42" i="31"/>
  <c r="K53" i="31"/>
  <c r="D53" i="31"/>
  <c r="K68" i="31"/>
  <c r="D68" i="31"/>
  <c r="K85" i="31"/>
  <c r="O22" i="31"/>
  <c r="D85" i="31"/>
  <c r="K96" i="31"/>
  <c r="D96" i="31"/>
  <c r="K110" i="31"/>
  <c r="D110" i="31"/>
  <c r="D15" i="31"/>
  <c r="K15" i="31"/>
  <c r="K26" i="31"/>
  <c r="D26" i="31"/>
  <c r="K41" i="31"/>
  <c r="D41" i="31"/>
  <c r="K63" i="31"/>
  <c r="D63" i="31"/>
  <c r="K78" i="31"/>
  <c r="D78" i="31"/>
  <c r="K92" i="31"/>
  <c r="D92" i="31"/>
  <c r="K121" i="31"/>
  <c r="O25" i="31"/>
  <c r="D121" i="31"/>
  <c r="K118" i="31"/>
  <c r="D118" i="31"/>
  <c r="K112" i="31"/>
  <c r="D112" i="31"/>
  <c r="K127" i="31"/>
  <c r="D127" i="31"/>
  <c r="N25" i="31" l="1"/>
  <c r="K5" i="31"/>
  <c r="K6" i="31"/>
  <c r="K4" i="25" s="1"/>
  <c r="N21" i="31"/>
  <c r="N22" i="31"/>
  <c r="N16" i="31"/>
  <c r="N19" i="31"/>
  <c r="N20" i="31"/>
  <c r="N17" i="31"/>
  <c r="N18" i="31"/>
  <c r="N24" i="31"/>
  <c r="N23" i="31"/>
  <c r="K3" i="25" l="1"/>
  <c r="O41" i="31"/>
  <c r="O40" i="31"/>
  <c r="R18" i="31"/>
  <c r="R16" i="31"/>
  <c r="R17" i="31"/>
  <c r="R22" i="31"/>
  <c r="R20" i="31"/>
  <c r="R21" i="31"/>
  <c r="R25" i="31"/>
  <c r="R23" i="31"/>
  <c r="R24" i="31"/>
  <c r="R19" i="31"/>
  <c r="B5" i="31"/>
  <c r="A7" i="31"/>
  <c r="A41" i="25" s="1"/>
  <c r="A10" i="31"/>
  <c r="A51" i="25" s="1"/>
  <c r="A9" i="31"/>
  <c r="A37" i="25" s="1"/>
  <c r="P5" i="31"/>
  <c r="M7" i="31"/>
  <c r="B5" i="25" s="1"/>
  <c r="G33" i="25"/>
  <c r="G23" i="25"/>
  <c r="G24" i="25"/>
  <c r="G27" i="25"/>
  <c r="E26" i="25"/>
  <c r="E27" i="25"/>
  <c r="E31" i="25"/>
  <c r="E30" i="25"/>
  <c r="E25" i="25"/>
  <c r="G26" i="25"/>
  <c r="E33" i="25"/>
  <c r="E24" i="25"/>
  <c r="E32" i="25"/>
  <c r="E23" i="25"/>
  <c r="G29" i="25"/>
  <c r="G31" i="25"/>
  <c r="G28" i="25"/>
  <c r="G25" i="25"/>
  <c r="G32" i="25"/>
  <c r="G30" i="25"/>
  <c r="E28" i="25"/>
  <c r="E29" i="25"/>
  <c r="P6" i="31" l="1"/>
  <c r="C18" i="48"/>
  <c r="C22" i="48"/>
  <c r="C21" i="48"/>
  <c r="C19" i="48"/>
  <c r="C20" i="48"/>
  <c r="G9" i="25"/>
  <c r="Q5" i="31"/>
  <c r="R5" i="31" s="1"/>
  <c r="B4" i="31"/>
  <c r="B5" i="28"/>
  <c r="S40" i="31"/>
  <c r="S41" i="31"/>
  <c r="F9" i="31"/>
  <c r="Q41" i="31"/>
  <c r="D9" i="31"/>
  <c r="Q40" i="31"/>
  <c r="I19" i="48" l="1"/>
  <c r="I22" i="48"/>
  <c r="I20" i="48"/>
  <c r="I18" i="48"/>
  <c r="I21" i="48"/>
  <c r="Q6" i="31"/>
  <c r="C39" i="25"/>
  <c r="D7" i="31"/>
  <c r="F7" i="31"/>
  <c r="C43" i="25" l="1"/>
  <c r="R6" i="31"/>
  <c r="D10" i="31"/>
  <c r="F10" i="31"/>
  <c r="C53" i="25" l="1"/>
  <c r="E94" i="31"/>
  <c r="E118" i="31"/>
  <c r="E80" i="31"/>
  <c r="E68" i="31"/>
  <c r="E108" i="31"/>
  <c r="E101" i="31"/>
  <c r="E32" i="31"/>
  <c r="E71" i="31"/>
  <c r="E92" i="31"/>
  <c r="E23" i="31"/>
  <c r="E122" i="31"/>
  <c r="E89" i="31"/>
  <c r="E55" i="31"/>
  <c r="E115" i="31"/>
  <c r="E56" i="31"/>
  <c r="E17" i="31"/>
  <c r="E51" i="31"/>
  <c r="E77" i="31"/>
  <c r="E99" i="31"/>
  <c r="E53" i="31"/>
  <c r="E128" i="31"/>
  <c r="E59" i="31"/>
  <c r="E105" i="31"/>
  <c r="E79" i="31"/>
  <c r="E31" i="31"/>
  <c r="E36" i="31"/>
  <c r="E91" i="31"/>
  <c r="E124" i="31"/>
  <c r="E14" i="31"/>
  <c r="E123" i="31"/>
  <c r="E52" i="31"/>
  <c r="E76" i="31"/>
  <c r="E117" i="31"/>
  <c r="E72" i="31"/>
  <c r="E70" i="31"/>
  <c r="E93" i="31"/>
  <c r="E26" i="31"/>
  <c r="E127" i="31"/>
  <c r="E86" i="31"/>
  <c r="E87" i="31"/>
  <c r="E30" i="31"/>
  <c r="E39" i="31"/>
  <c r="E44" i="31"/>
  <c r="E100" i="31"/>
  <c r="E132" i="31"/>
  <c r="E29" i="31"/>
  <c r="E120" i="31"/>
  <c r="E22" i="31"/>
  <c r="E112" i="31"/>
  <c r="E82" i="31"/>
  <c r="E78" i="31"/>
  <c r="E33" i="31"/>
  <c r="E28" i="31"/>
  <c r="E125" i="31"/>
  <c r="E107" i="31"/>
  <c r="E54" i="31"/>
  <c r="E103" i="31"/>
  <c r="E46" i="31"/>
  <c r="E64" i="31"/>
  <c r="E19" i="31"/>
  <c r="E21" i="31"/>
  <c r="E88" i="31"/>
  <c r="E58" i="31"/>
  <c r="E110" i="31"/>
  <c r="E106" i="31"/>
  <c r="E47" i="31"/>
  <c r="E42" i="31"/>
  <c r="E24" i="31"/>
  <c r="E102" i="31"/>
  <c r="E111" i="31"/>
  <c r="E84" i="31"/>
  <c r="E45" i="31"/>
  <c r="E50" i="31"/>
  <c r="E104" i="31"/>
  <c r="E113" i="31"/>
  <c r="E66" i="31"/>
  <c r="E38" i="31"/>
  <c r="E75" i="31"/>
  <c r="E116" i="31"/>
  <c r="E20" i="31"/>
  <c r="E15" i="31"/>
  <c r="E57" i="31"/>
  <c r="E96" i="31"/>
  <c r="E131" i="31"/>
  <c r="E67" i="31"/>
  <c r="E41" i="31"/>
  <c r="E74" i="31"/>
  <c r="E95" i="31"/>
  <c r="E98" i="31"/>
  <c r="E114" i="31"/>
  <c r="E65" i="31"/>
  <c r="E35" i="31"/>
  <c r="E119" i="31"/>
  <c r="E27" i="31"/>
  <c r="E43" i="31"/>
  <c r="E130" i="31"/>
  <c r="E81" i="31"/>
  <c r="E34" i="31"/>
  <c r="E63" i="31"/>
  <c r="E18" i="31"/>
  <c r="E16" i="31"/>
  <c r="E69" i="31"/>
  <c r="E83" i="31"/>
  <c r="E90" i="31"/>
  <c r="E60" i="31"/>
  <c r="E126" i="31"/>
  <c r="E129" i="31"/>
  <c r="E48" i="31"/>
  <c r="E62" i="31"/>
  <c r="E40" i="31"/>
  <c r="G48" i="31" l="1"/>
  <c r="G126" i="31"/>
  <c r="G90" i="31"/>
  <c r="G69" i="31"/>
  <c r="G18" i="31"/>
  <c r="G34" i="31"/>
  <c r="G130" i="31"/>
  <c r="G27" i="31"/>
  <c r="G35" i="31"/>
  <c r="G114" i="31"/>
  <c r="G95" i="31"/>
  <c r="G41" i="31"/>
  <c r="G131" i="31"/>
  <c r="G57" i="31"/>
  <c r="G20" i="31"/>
  <c r="G75" i="31"/>
  <c r="G66" i="31"/>
  <c r="G104" i="31"/>
  <c r="G45" i="31"/>
  <c r="G111" i="31"/>
  <c r="G24" i="31"/>
  <c r="G47" i="31"/>
  <c r="G110" i="31"/>
  <c r="G88" i="31"/>
  <c r="G19" i="31"/>
  <c r="G46" i="31"/>
  <c r="G54" i="31"/>
  <c r="G125" i="31"/>
  <c r="G33" i="31"/>
  <c r="G82" i="31"/>
  <c r="G22" i="31"/>
  <c r="G29" i="31"/>
  <c r="G132" i="31"/>
  <c r="G44" i="31"/>
  <c r="G30" i="31"/>
  <c r="G86" i="31"/>
  <c r="G26" i="31"/>
  <c r="G70" i="31"/>
  <c r="G117" i="31"/>
  <c r="G52" i="31"/>
  <c r="G14" i="31"/>
  <c r="G91" i="31"/>
  <c r="G31" i="31"/>
  <c r="G105" i="31"/>
  <c r="G128" i="31"/>
  <c r="G99" i="31"/>
  <c r="G51" i="31"/>
  <c r="G56" i="31"/>
  <c r="G55" i="31"/>
  <c r="G122" i="31"/>
  <c r="G92" i="31"/>
  <c r="G32" i="31"/>
  <c r="G108" i="31"/>
  <c r="G80" i="31"/>
  <c r="G94" i="31"/>
  <c r="G62" i="31"/>
  <c r="G129" i="31"/>
  <c r="G60" i="31"/>
  <c r="G83" i="31"/>
  <c r="G16" i="31"/>
  <c r="G63" i="31"/>
  <c r="G81" i="31"/>
  <c r="G43" i="31"/>
  <c r="G119" i="31"/>
  <c r="G65" i="31"/>
  <c r="G98" i="31"/>
  <c r="G74" i="31"/>
  <c r="G67" i="31"/>
  <c r="G96" i="31"/>
  <c r="G15" i="31"/>
  <c r="G116" i="31"/>
  <c r="G38" i="31"/>
  <c r="G113" i="31"/>
  <c r="G50" i="31"/>
  <c r="G84" i="31"/>
  <c r="G102" i="31"/>
  <c r="G42" i="31"/>
  <c r="G106" i="31"/>
  <c r="G58" i="31"/>
  <c r="G21" i="31"/>
  <c r="G64" i="31"/>
  <c r="G103" i="31"/>
  <c r="G107" i="31"/>
  <c r="G28" i="31"/>
  <c r="G78" i="31"/>
  <c r="G112" i="31"/>
  <c r="G120" i="31"/>
  <c r="G40" i="31"/>
  <c r="G100" i="31"/>
  <c r="G39" i="31"/>
  <c r="G87" i="31"/>
  <c r="G127" i="31"/>
  <c r="G93" i="31"/>
  <c r="G72" i="31"/>
  <c r="G76" i="31"/>
  <c r="G123" i="31"/>
  <c r="G124" i="31"/>
  <c r="G36" i="31"/>
  <c r="G79" i="31"/>
  <c r="G59" i="31"/>
  <c r="G53" i="31"/>
  <c r="G77" i="31"/>
  <c r="G17" i="31"/>
  <c r="G115" i="31"/>
  <c r="G89" i="31"/>
  <c r="G23" i="31"/>
  <c r="G71" i="31"/>
  <c r="G101" i="31"/>
  <c r="G68" i="31"/>
  <c r="G118" i="31"/>
  <c r="E22" i="25"/>
  <c r="C10" i="31"/>
  <c r="E15" i="25"/>
  <c r="E16" i="25"/>
  <c r="E13" i="25"/>
  <c r="P41" i="31"/>
  <c r="E14" i="25"/>
  <c r="P40" i="31"/>
  <c r="E18" i="25"/>
  <c r="C7" i="31"/>
  <c r="E17" i="25"/>
  <c r="C9" i="31"/>
  <c r="E21" i="25"/>
  <c r="E20" i="25"/>
  <c r="E19" i="25"/>
  <c r="G9" i="31" l="1"/>
  <c r="G40" i="25" s="1"/>
  <c r="E40" i="25"/>
  <c r="E44" i="25"/>
  <c r="G7" i="31"/>
  <c r="G44" i="25" s="1"/>
  <c r="E54" i="25"/>
  <c r="G10" i="31"/>
  <c r="G54" i="25" s="1"/>
  <c r="M21" i="31"/>
  <c r="E73" i="31"/>
  <c r="M18" i="31"/>
  <c r="E37" i="31"/>
  <c r="M20" i="31"/>
  <c r="E61" i="31"/>
  <c r="M22" i="31"/>
  <c r="E85" i="31"/>
  <c r="M25" i="31"/>
  <c r="E121" i="31"/>
  <c r="M19" i="31"/>
  <c r="E49" i="31"/>
  <c r="M23" i="31"/>
  <c r="E97" i="31"/>
  <c r="M16" i="31"/>
  <c r="E13" i="31"/>
  <c r="M24" i="31"/>
  <c r="E109" i="31"/>
  <c r="M17" i="31"/>
  <c r="E25" i="31"/>
  <c r="R41" i="31"/>
  <c r="G14" i="25"/>
  <c r="G13" i="25"/>
  <c r="G18" i="25"/>
  <c r="G15" i="25"/>
  <c r="G21" i="25"/>
  <c r="E7" i="31"/>
  <c r="E9" i="31"/>
  <c r="G22" i="25"/>
  <c r="G20" i="25"/>
  <c r="G17" i="25"/>
  <c r="E10" i="31"/>
  <c r="R40" i="31"/>
  <c r="G19" i="25"/>
  <c r="G16" i="25"/>
  <c r="C25" i="48" l="1"/>
  <c r="C14" i="48"/>
  <c r="C9" i="48"/>
  <c r="C16" i="48"/>
  <c r="C10" i="48"/>
  <c r="C11" i="48"/>
  <c r="C13" i="48"/>
  <c r="C12" i="48"/>
  <c r="C15" i="48"/>
  <c r="C17" i="48"/>
  <c r="C8" i="48"/>
  <c r="T41" i="31"/>
  <c r="T40" i="31"/>
  <c r="I66" i="25"/>
  <c r="I65" i="25"/>
  <c r="P16" i="31"/>
  <c r="Q16" i="31"/>
  <c r="Q22" i="31"/>
  <c r="P22" i="31"/>
  <c r="G109" i="31"/>
  <c r="G97" i="31"/>
  <c r="G121" i="31"/>
  <c r="G61" i="31"/>
  <c r="G73" i="31"/>
  <c r="Q24" i="31"/>
  <c r="P24" i="31"/>
  <c r="Q25" i="31"/>
  <c r="P25" i="31"/>
  <c r="Q21" i="31"/>
  <c r="P21" i="31"/>
  <c r="Q23" i="31"/>
  <c r="P23" i="31"/>
  <c r="Q20" i="31"/>
  <c r="P20" i="31"/>
  <c r="G25" i="31"/>
  <c r="G13" i="31"/>
  <c r="G49" i="31"/>
  <c r="G85" i="31"/>
  <c r="G37" i="31"/>
  <c r="Q17" i="31"/>
  <c r="P17" i="31"/>
  <c r="Q19" i="31"/>
  <c r="P19" i="31"/>
  <c r="Q18" i="31"/>
  <c r="P18" i="31"/>
  <c r="I25" i="48" l="1"/>
  <c r="I17" i="48"/>
  <c r="I11" i="48"/>
  <c r="I14" i="48"/>
  <c r="I15" i="48"/>
  <c r="I10" i="48"/>
  <c r="I12" i="48"/>
  <c r="I16" i="48"/>
  <c r="I13" i="48"/>
  <c r="I9" i="48"/>
  <c r="I8" i="48"/>
  <c r="J22" i="48"/>
  <c r="J19" i="48"/>
  <c r="J21" i="48"/>
  <c r="J20" i="48"/>
  <c r="J18" i="48"/>
  <c r="J25" i="48" l="1"/>
  <c r="J10" i="48"/>
  <c r="J16" i="48"/>
  <c r="J8" i="48"/>
  <c r="J15" i="48"/>
  <c r="J14" i="48"/>
  <c r="J11" i="48"/>
  <c r="J12" i="48"/>
  <c r="J17" i="48"/>
  <c r="J13" i="48"/>
  <c r="J9" i="48"/>
</calcChain>
</file>

<file path=xl/comments1.xml><?xml version="1.0" encoding="utf-8"?>
<comments xmlns="http://schemas.openxmlformats.org/spreadsheetml/2006/main">
  <authors>
    <author>Author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<sst xmlns="http://schemas.openxmlformats.org/spreadsheetml/2006/main" count="848" uniqueCount="211">
  <si>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</si>
  <si>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</si>
  <si>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</si>
  <si>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</si>
  <si>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</si>
  <si>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</si>
  <si>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</si>
  <si>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</si>
  <si>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</si>
  <si>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</si>
  <si>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</si>
  <si>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</si>
  <si>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</si>
  <si>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</si>
  <si>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</si>
  <si>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</si>
  <si>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</si>
  <si>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</si>
  <si>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</si>
  <si>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</si>
  <si>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</si>
  <si>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</si>
  <si>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</si>
  <si>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</si>
  <si>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</si>
  <si>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</si>
  <si>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</si>
  <si>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$/MMBtu</t>
  </si>
  <si>
    <t>(g)</t>
  </si>
  <si>
    <t>(h)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</si>
  <si>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</si>
  <si>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</si>
  <si>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</si>
  <si>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</si>
  <si>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</si>
  <si>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</si>
  <si>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</si>
  <si>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</si>
  <si>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</si>
  <si>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</si>
  <si>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</si>
  <si>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</si>
  <si>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</si>
  <si>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</si>
  <si>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</si>
  <si>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</si>
  <si>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</si>
  <si>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</si>
  <si>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</si>
  <si>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</si>
  <si>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</si>
  <si>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</si>
  <si>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</si>
  <si>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</si>
  <si>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</si>
  <si>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</si>
  <si>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</si>
  <si>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</si>
  <si>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</si>
  <si>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</si>
  <si>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</si>
  <si>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</si>
  <si>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</si>
  <si>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</si>
  <si>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</si>
  <si>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</si>
  <si>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</si>
  <si>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</si>
  <si>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</si>
  <si>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</si>
  <si>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</si>
  <si>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</si>
  <si>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</si>
  <si>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</si>
  <si>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</si>
  <si>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</si>
  <si>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Study_Name: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</si>
  <si>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</si>
  <si>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</si>
  <si>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</si>
  <si>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</si>
  <si>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</si>
  <si>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</si>
  <si>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</si>
  <si>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Table 4</t>
  </si>
  <si>
    <t>Table 3</t>
  </si>
  <si>
    <t>&lt;---- Calculated Monthly</t>
  </si>
  <si>
    <t>Plant Costs  - 2015 IRP - Table 6.1 &amp; 6.2 - Page 92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</si>
  <si>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</si>
  <si>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</si>
  <si>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</si>
  <si>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</si>
  <si>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</si>
  <si>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</si>
  <si>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CCCT Resource Costs - 2017 Integrated Resource Plan</t>
  </si>
  <si>
    <t>Willamette Valley - 436 MW - CCCT Dry "G/H", 1x1 - West Side Resource (1,500')</t>
  </si>
  <si>
    <t>CCCT Dry "G/H", 1x1 - Turbine</t>
  </si>
  <si>
    <t>CCCT Dry "G/H", 1x1 - Duct Firing</t>
  </si>
  <si>
    <t>Discount Rate - 2017 IRP</t>
  </si>
  <si>
    <t>IRP - Utah Greenfield</t>
  </si>
  <si>
    <t>IRP West Side</t>
  </si>
  <si>
    <t>Pacific NW</t>
  </si>
  <si>
    <t>IRP - Wyo NE</t>
  </si>
  <si>
    <t xml:space="preserve">Plant Costs  - 2017 IRP - Table 6.1 &amp; 6.2 </t>
  </si>
  <si>
    <t>2016 $</t>
  </si>
  <si>
    <t>UT N - 200 MW - SCCT Frame "F" x1 - East Side Resource (5,050')</t>
  </si>
  <si>
    <t>SCCT</t>
  </si>
  <si>
    <t>SCCT Dry "F" - Turbine</t>
  </si>
  <si>
    <t>WYNE  DJohns - 477 MW - CCCT Dry "J/HA.02", 1x1 - East Side Resource (5,050')</t>
  </si>
  <si>
    <t>WYNE DJohns- 200 MW - SCCT Frame "F" x1 - East Side Resource (5,050')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</si>
  <si>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</si>
  <si>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</si>
  <si>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</si>
  <si>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</si>
  <si>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</si>
  <si>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</si>
  <si>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</si>
  <si>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</si>
  <si>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</si>
  <si>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</si>
  <si>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</si>
  <si>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</si>
  <si>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</si>
  <si>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</si>
  <si>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</si>
  <si>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mainly due to gas tranposrtation cost</t>
  </si>
  <si>
    <t>Payment Factor</t>
  </si>
  <si>
    <t>Total Capital Cost</t>
  </si>
  <si>
    <t>22% ITC assumption</t>
  </si>
  <si>
    <t>10% ITC assumption</t>
  </si>
  <si>
    <t>Per Dan Swan Payment Factor Corresponding to 10% ITC is 7.350%</t>
  </si>
  <si>
    <t>IRP17 - 2033 - 200 MW SCCT - Wyo NE</t>
  </si>
  <si>
    <t>IRP17 - 2033 - 477 MW CCCT - Wyo NE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</si>
  <si>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</si>
  <si>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</si>
  <si>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</si>
  <si>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</si>
  <si>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</si>
  <si>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</si>
  <si>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Utah South Solar</t>
  </si>
  <si>
    <t>IRP17 Aeolus Wind</t>
  </si>
  <si>
    <t>IRP17 - 2029 - 30 MW Geothermal West</t>
  </si>
  <si>
    <t>IRP17 - 2029 - 200 MW SCCT - Utah N</t>
  </si>
  <si>
    <t>IRP17 - 2030 - 436 MW CCCT - West M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</si>
  <si>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</si>
  <si>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</si>
  <si>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</si>
  <si>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</si>
  <si>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</si>
  <si>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</si>
  <si>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</si>
  <si>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</si>
  <si>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>IRP2017 Chapter 8, page 220</t>
  </si>
  <si>
    <t>Corrected</t>
  </si>
  <si>
    <t xml:space="preserve">start </t>
  </si>
  <si>
    <t>end</t>
  </si>
  <si>
    <t>2017 IRP Wyoming Wind Resource</t>
  </si>
  <si>
    <t>2017 IRP Wyoming DJ Wind Resource</t>
  </si>
  <si>
    <t>2017 IRP Utah Solar Resource</t>
  </si>
  <si>
    <t>2017 IRP Yakima Solar Resource</t>
  </si>
  <si>
    <t>2017 IRP Geothermal PPA West Side Resource</t>
  </si>
  <si>
    <t>SCCT Resource Costs - 2017 Integrated Resource Plan</t>
  </si>
  <si>
    <t>2017 IRP ID Wind Resource</t>
  </si>
  <si>
    <t>2017 IRP Aeolus-Bridger/Anticline Transmission</t>
  </si>
  <si>
    <t>Months In Service</t>
  </si>
  <si>
    <t>#</t>
  </si>
  <si>
    <t>Transfer Capacity (MW)</t>
  </si>
  <si>
    <t>15 Year Starting 2018</t>
  </si>
  <si>
    <t>15 Year Starting 2019</t>
  </si>
  <si>
    <t>20 Year Starting 2019</t>
  </si>
  <si>
    <t>Retail Revenue Requirement
($/kW-year, 2021$)</t>
  </si>
  <si>
    <t>Retail Revenue Requirement</t>
  </si>
  <si>
    <t>Transmission Deferral (MW)</t>
  </si>
  <si>
    <t>IRP17 Aeolus Trans</t>
  </si>
  <si>
    <t>Transmission Deferral %</t>
  </si>
  <si>
    <t>Transmission Upgrade Capacity</t>
  </si>
  <si>
    <t>Appendix B.1</t>
  </si>
  <si>
    <t>Avoided Cost Prices $/MWh</t>
  </si>
  <si>
    <t>Thermal</t>
  </si>
  <si>
    <t>Solar Tracking</t>
  </si>
  <si>
    <t>Avoided Cost at</t>
  </si>
  <si>
    <t>31.1% CF (2)</t>
  </si>
  <si>
    <t>31.0% CF (2)</t>
  </si>
  <si>
    <t>Filing</t>
  </si>
  <si>
    <t>Difference</t>
  </si>
  <si>
    <t>2018-2032</t>
  </si>
  <si>
    <t>Utah 2017.Q4 Sch 38</t>
  </si>
  <si>
    <t>UT 2017.Q3</t>
  </si>
  <si>
    <t>Table 2</t>
  </si>
  <si>
    <t>Avoided Energy Costs - Scheduled Hours ($/MWh)</t>
  </si>
  <si>
    <t>Winter Season</t>
  </si>
  <si>
    <t>Summer Season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</si>
  <si>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</si>
  <si>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</si>
  <si>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</si>
  <si>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</si>
  <si>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</si>
  <si>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</si>
  <si>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</si>
  <si>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</si>
  <si>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</si>
  <si>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</si>
  <si>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</si>
  <si>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</si>
  <si>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</si>
  <si>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Energy Only</t>
  </si>
  <si>
    <t>Utah 2017.Q4</t>
  </si>
  <si>
    <t>Utah 2017.Q4 - 100.0 MW and 85.0% CF</t>
  </si>
  <si>
    <t>Avoided Cost Resource</t>
  </si>
  <si>
    <t>15-Year Levelized Prices (Nominal) @ 6.570% Discount Rate (1) (3)</t>
  </si>
  <si>
    <t>85.0% CF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</si>
</sst>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_(* #,##0.0_);[Red]_(* \(#,##0.0\);_(* &quot;-&quot;_);_(@_)"/>
    <numFmt numFmtId="175" formatCode="0.000%"/>
    <numFmt numFmtId="176" formatCode="&quot;$&quot;###0;[Red]\(&quot;$&quot;###0\)"/>
    <numFmt numFmtId="177" formatCode="0.0"/>
    <numFmt numFmtId="178" formatCode="&quot;$&quot;#,##0.00_)\(\5\)"/>
    <numFmt numFmtId="179" formatCode="&quot;$&quot;#,##0.000_);[Red]\(&quot;$&quot;#,##0.000\)"/>
    <numFmt numFmtId="180" formatCode="#,##0\ ;\(#,##0\)"/>
    <numFmt numFmtId="181" formatCode="_(* #,##0.0000_);_(* \(#,##0.0000\);_(* &quot;-&quot;??_);_(@_)"/>
    <numFmt numFmtId="182" formatCode="_(* #,##0.000_);[Red]_(* \(#,##0.000\);_(* &quot;-&quot;_);_(@_)"/>
    <numFmt numFmtId="183" formatCode="&quot;$&quot;#,##0.00_)"/>
    <numFmt numFmtId="184" formatCode="&quot;$&quot;#,##0.00_)\(\4\)"/>
    <numFmt numFmtId="185" formatCode="&quot;$&quot;#,##0.000_)\(\4\)"/>
  </numFmts>
  <fonts count="37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10"/>
      <color rgb="FFCCECFF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172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>
      <protection locked="0"/>
    </xf>
    <xf numFmtId="41" fontId="4" fillId="0" borderId="0"/>
    <xf numFmtId="172" fontId="4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167" fontId="2" fillId="0" borderId="0"/>
    <xf numFmtId="167" fontId="2" fillId="0" borderId="0"/>
    <xf numFmtId="41" fontId="4" fillId="0" borderId="0"/>
    <xf numFmtId="172" fontId="4" fillId="0" borderId="0"/>
    <xf numFmtId="172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4" fillId="0" borderId="0" applyFont="0" applyFill="0" applyBorder="0" applyProtection="0">
      <alignment horizontal="right"/>
    </xf>
    <xf numFmtId="177" fontId="15" fillId="0" borderId="0" applyNumberFormat="0" applyFill="0" applyBorder="0" applyAlignment="0" applyProtection="0"/>
    <xf numFmtId="0" fontId="13" fillId="0" borderId="21" applyNumberFormat="0" applyBorder="0" applyAlignment="0"/>
    <xf numFmtId="12" fontId="25" fillId="7" borderId="20">
      <alignment horizontal="left"/>
    </xf>
    <xf numFmtId="37" fontId="13" fillId="8" borderId="0" applyNumberFormat="0" applyBorder="0" applyAlignment="0" applyProtection="0"/>
    <xf numFmtId="37" fontId="13" fillId="0" borderId="0"/>
    <xf numFmtId="3" fontId="21" fillId="9" borderId="22" applyProtection="0"/>
    <xf numFmtId="172" fontId="2" fillId="0" borderId="0"/>
    <xf numFmtId="9" fontId="2" fillId="0" borderId="0" applyFont="0" applyFill="0" applyBorder="0" applyAlignment="0" applyProtection="0"/>
    <xf numFmtId="172" fontId="4" fillId="0" borderId="0"/>
    <xf numFmtId="0" fontId="2" fillId="0" borderId="0"/>
    <xf numFmtId="172" fontId="2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" fillId="0" borderId="0"/>
  </cellStyleXfs>
  <cellXfs count="382">
    <xf numFmtId="172" fontId="0" fillId="0" borderId="0" xfId="0"/>
    <xf numFmtId="172" fontId="5" fillId="0" borderId="0" xfId="0" applyFont="1" applyFill="1" applyAlignment="1">
      <alignment horizontal="centerContinuous"/>
    </xf>
    <xf numFmtId="172" fontId="7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4" fillId="0" borderId="0" xfId="0" applyFont="1" applyFill="1"/>
    <xf numFmtId="172" fontId="6" fillId="0" borderId="0" xfId="0" applyFont="1" applyFill="1" applyAlignment="1">
      <alignment horizontal="centerContinuous"/>
    </xf>
    <xf numFmtId="172" fontId="4" fillId="0" borderId="0" xfId="0" applyFont="1" applyFill="1" applyBorder="1"/>
    <xf numFmtId="172" fontId="4" fillId="0" borderId="0" xfId="0" applyFont="1" applyFill="1" applyAlignment="1">
      <alignment horizontal="center"/>
    </xf>
    <xf numFmtId="8" fontId="4" fillId="0" borderId="0" xfId="0" applyNumberFormat="1" applyFont="1" applyFill="1"/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172" fontId="4" fillId="0" borderId="0" xfId="0" quotePrefix="1" applyFont="1" applyFill="1"/>
    <xf numFmtId="172" fontId="4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"/>
    </xf>
    <xf numFmtId="8" fontId="4" fillId="0" borderId="8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72" fontId="3" fillId="0" borderId="0" xfId="0" applyFont="1" applyFill="1" applyAlignment="1">
      <alignment horizontal="right"/>
    </xf>
    <xf numFmtId="172" fontId="3" fillId="0" borderId="5" xfId="0" applyFont="1" applyFill="1" applyBorder="1" applyAlignment="1">
      <alignment horizontal="center"/>
    </xf>
    <xf numFmtId="172" fontId="3" fillId="0" borderId="5" xfId="0" applyFont="1" applyFill="1" applyBorder="1" applyAlignment="1">
      <alignment horizontal="center" wrapText="1"/>
    </xf>
    <xf numFmtId="172" fontId="3" fillId="0" borderId="5" xfId="0" applyFont="1" applyFill="1" applyBorder="1" applyAlignment="1">
      <alignment horizontal="centerContinuous" wrapText="1"/>
    </xf>
    <xf numFmtId="172" fontId="8" fillId="0" borderId="6" xfId="0" applyFont="1" applyFill="1" applyBorder="1" applyAlignment="1">
      <alignment horizontal="centerContinuous"/>
    </xf>
    <xf numFmtId="172" fontId="11" fillId="0" borderId="6" xfId="0" quotePrefix="1" applyFont="1" applyFill="1" applyBorder="1" applyAlignment="1">
      <alignment horizontal="center" wrapText="1"/>
    </xf>
    <xf numFmtId="172" fontId="11" fillId="0" borderId="6" xfId="0" applyFont="1" applyFill="1" applyBorder="1" applyAlignment="1">
      <alignment horizontal="center" wrapText="1"/>
    </xf>
    <xf numFmtId="172" fontId="3" fillId="0" borderId="0" xfId="0" applyFont="1" applyFill="1" applyAlignment="1">
      <alignment horizontal="centerContinuous"/>
    </xf>
    <xf numFmtId="172" fontId="3" fillId="0" borderId="5" xfId="0" applyFont="1" applyFill="1" applyBorder="1"/>
    <xf numFmtId="172" fontId="3" fillId="0" borderId="13" xfId="0" applyFont="1" applyFill="1" applyBorder="1" applyAlignment="1">
      <alignment horizontal="center"/>
    </xf>
    <xf numFmtId="172" fontId="3" fillId="0" borderId="6" xfId="0" applyFont="1" applyFill="1" applyBorder="1"/>
    <xf numFmtId="172" fontId="3" fillId="0" borderId="6" xfId="0" applyFont="1" applyFill="1" applyBorder="1" applyAlignment="1">
      <alignment horizontal="center"/>
    </xf>
    <xf numFmtId="8" fontId="1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72" fontId="3" fillId="0" borderId="9" xfId="0" applyFont="1" applyFill="1" applyBorder="1" applyAlignment="1">
      <alignment horizontal="centerContinuous"/>
    </xf>
    <xf numFmtId="172" fontId="6" fillId="0" borderId="7" xfId="0" applyFont="1" applyFill="1" applyBorder="1" applyAlignment="1">
      <alignment horizontal="centerContinuous"/>
    </xf>
    <xf numFmtId="172" fontId="13" fillId="2" borderId="0" xfId="0" applyFont="1" applyFill="1" applyAlignment="1">
      <alignment horizontal="centerContinuous"/>
    </xf>
    <xf numFmtId="172" fontId="15" fillId="2" borderId="0" xfId="0" applyFont="1" applyFill="1" applyBorder="1" applyAlignment="1">
      <alignment horizontal="centerContinuous"/>
    </xf>
    <xf numFmtId="171" fontId="13" fillId="2" borderId="0" xfId="1" applyNumberFormat="1" applyFont="1" applyFill="1" applyAlignment="1">
      <alignment horizontal="centerContinuous"/>
    </xf>
    <xf numFmtId="172" fontId="13" fillId="0" borderId="0" xfId="0" applyFont="1" applyFill="1" applyBorder="1"/>
    <xf numFmtId="172" fontId="15" fillId="0" borderId="0" xfId="0" applyFont="1" applyFill="1" applyBorder="1" applyAlignment="1">
      <alignment wrapText="1"/>
    </xf>
    <xf numFmtId="172" fontId="13" fillId="0" borderId="0" xfId="0" applyFont="1" applyFill="1" applyBorder="1" applyAlignment="1">
      <alignment horizontal="center"/>
    </xf>
    <xf numFmtId="168" fontId="13" fillId="0" borderId="0" xfId="0" applyNumberFormat="1" applyFont="1" applyFill="1" applyBorder="1"/>
    <xf numFmtId="172" fontId="3" fillId="0" borderId="7" xfId="0" applyFont="1" applyFill="1" applyBorder="1" applyAlignment="1">
      <alignment horizontal="center"/>
    </xf>
    <xf numFmtId="172" fontId="3" fillId="0" borderId="7" xfId="0" applyFont="1" applyFill="1" applyBorder="1" applyAlignment="1">
      <alignment horizontal="centerContinuous"/>
    </xf>
    <xf numFmtId="172" fontId="18" fillId="0" borderId="0" xfId="0" applyFont="1" applyFill="1"/>
    <xf numFmtId="167" fontId="18" fillId="0" borderId="0" xfId="8" applyNumberFormat="1" applyFont="1" applyFill="1"/>
    <xf numFmtId="43" fontId="18" fillId="0" borderId="0" xfId="2" applyNumberFormat="1" applyFont="1" applyFill="1"/>
    <xf numFmtId="164" fontId="1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41" fontId="18" fillId="0" borderId="0" xfId="0" applyNumberFormat="1" applyFont="1" applyFill="1"/>
    <xf numFmtId="8" fontId="18" fillId="0" borderId="0" xfId="2" applyNumberFormat="1" applyFont="1" applyFill="1"/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 horizontal="center"/>
    </xf>
    <xf numFmtId="172" fontId="3" fillId="0" borderId="0" xfId="0" applyFont="1" applyFill="1" applyBorder="1" applyAlignment="1">
      <alignment horizontal="center"/>
    </xf>
    <xf numFmtId="172" fontId="3" fillId="0" borderId="16" xfId="0" applyFont="1" applyFill="1" applyBorder="1" applyAlignment="1">
      <alignment horizontal="centerContinuous"/>
    </xf>
    <xf numFmtId="172" fontId="3" fillId="0" borderId="17" xfId="0" applyFont="1" applyFill="1" applyBorder="1" applyAlignment="1">
      <alignment horizontal="centerContinuous"/>
    </xf>
    <xf numFmtId="172" fontId="3" fillId="0" borderId="18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3" fillId="0" borderId="16" xfId="5" applyFont="1" applyFill="1" applyBorder="1" applyAlignment="1">
      <alignment horizontal="centerContinuous"/>
    </xf>
    <xf numFmtId="172" fontId="3" fillId="0" borderId="3" xfId="5" applyFont="1" applyFill="1" applyBorder="1" applyAlignment="1">
      <alignment horizontal="centerContinuous"/>
    </xf>
    <xf numFmtId="172" fontId="20" fillId="0" borderId="0" xfId="5" applyFont="1" applyFill="1" applyBorder="1"/>
    <xf numFmtId="2" fontId="4" fillId="0" borderId="2" xfId="0" applyNumberFormat="1" applyFont="1" applyFill="1" applyBorder="1" applyAlignment="1">
      <alignment horizontal="center"/>
    </xf>
    <xf numFmtId="8" fontId="4" fillId="0" borderId="0" xfId="0" quotePrefix="1" applyNumberFormat="1" applyFont="1" applyFill="1" applyBorder="1" applyAlignment="1">
      <alignment horizontal="center"/>
    </xf>
    <xf numFmtId="172" fontId="13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left" indent="1"/>
    </xf>
    <xf numFmtId="172" fontId="4" fillId="0" borderId="0" xfId="0" applyFont="1" applyFill="1" applyAlignment="1">
      <alignment horizontal="left" indent="1"/>
    </xf>
    <xf numFmtId="172" fontId="0" fillId="0" borderId="0" xfId="0" applyFill="1"/>
    <xf numFmtId="43" fontId="0" fillId="0" borderId="0" xfId="1" applyFont="1" applyFill="1"/>
    <xf numFmtId="172" fontId="0" fillId="0" borderId="0" xfId="0" quotePrefix="1" applyFont="1" applyFill="1"/>
    <xf numFmtId="167" fontId="4" fillId="0" borderId="0" xfId="8" applyNumberFormat="1" applyFont="1" applyFill="1" applyAlignment="1">
      <alignment horizontal="center"/>
    </xf>
    <xf numFmtId="41" fontId="4" fillId="0" borderId="0" xfId="11"/>
    <xf numFmtId="41" fontId="4" fillId="0" borderId="0" xfId="11" applyFont="1" applyFill="1"/>
    <xf numFmtId="0" fontId="0" fillId="0" borderId="0" xfId="11" applyNumberFormat="1" applyFont="1" applyFill="1" applyAlignment="1">
      <alignment horizontal="left"/>
    </xf>
    <xf numFmtId="172" fontId="2" fillId="0" borderId="0" xfId="10" applyNumberFormat="1" applyFont="1"/>
    <xf numFmtId="174" fontId="2" fillId="5" borderId="0" xfId="10" applyNumberFormat="1" applyFont="1" applyFill="1"/>
    <xf numFmtId="170" fontId="2" fillId="0" borderId="0" xfId="2" applyNumberFormat="1" applyFont="1"/>
    <xf numFmtId="10" fontId="2" fillId="0" borderId="0" xfId="8" applyNumberFormat="1" applyFont="1"/>
    <xf numFmtId="172" fontId="2" fillId="0" borderId="5" xfId="10" applyNumberFormat="1" applyFont="1" applyBorder="1"/>
    <xf numFmtId="172" fontId="2" fillId="0" borderId="7" xfId="10" applyNumberFormat="1" applyFont="1" applyBorder="1" applyAlignment="1">
      <alignment horizontal="center"/>
    </xf>
    <xf numFmtId="172" fontId="2" fillId="0" borderId="3" xfId="10" applyNumberFormat="1" applyFont="1" applyBorder="1" applyAlignment="1">
      <alignment horizontal="centerContinuous"/>
    </xf>
    <xf numFmtId="172" fontId="2" fillId="0" borderId="4" xfId="10" applyNumberFormat="1" applyFont="1" applyBorder="1" applyAlignment="1">
      <alignment horizontal="centerContinuous"/>
    </xf>
    <xf numFmtId="172" fontId="2" fillId="0" borderId="6" xfId="10" applyNumberFormat="1" applyFont="1" applyBorder="1"/>
    <xf numFmtId="172" fontId="2" fillId="0" borderId="4" xfId="10" applyNumberFormat="1" applyFont="1" applyBorder="1" applyAlignment="1">
      <alignment horizontal="center"/>
    </xf>
    <xf numFmtId="172" fontId="2" fillId="0" borderId="3" xfId="10" applyNumberFormat="1" applyFont="1" applyBorder="1" applyAlignment="1">
      <alignment horizontal="center"/>
    </xf>
    <xf numFmtId="172" fontId="2" fillId="0" borderId="6" xfId="10" applyNumberFormat="1" applyFont="1" applyBorder="1" applyAlignment="1">
      <alignment horizontal="center"/>
    </xf>
    <xf numFmtId="172" fontId="2" fillId="0" borderId="9" xfId="10" applyNumberFormat="1" applyFont="1" applyBorder="1" applyAlignment="1">
      <alignment horizontal="centerContinuous"/>
    </xf>
    <xf numFmtId="172" fontId="2" fillId="0" borderId="2" xfId="10" applyNumberFormat="1" applyFont="1" applyBorder="1"/>
    <xf numFmtId="41" fontId="2" fillId="0" borderId="8" xfId="10" applyNumberFormat="1" applyFont="1" applyBorder="1"/>
    <xf numFmtId="41" fontId="2" fillId="0" borderId="11" xfId="10" applyNumberFormat="1" applyFont="1" applyBorder="1"/>
    <xf numFmtId="168" fontId="2" fillId="0" borderId="8" xfId="10" applyNumberFormat="1" applyFont="1" applyBorder="1"/>
    <xf numFmtId="0" fontId="2" fillId="0" borderId="0" xfId="10" applyNumberFormat="1" applyFont="1"/>
    <xf numFmtId="17" fontId="2" fillId="0" borderId="5" xfId="10" applyNumberFormat="1" applyFont="1" applyBorder="1" applyAlignment="1">
      <alignment horizontal="center"/>
    </xf>
    <xf numFmtId="172" fontId="2" fillId="0" borderId="0" xfId="10" applyNumberFormat="1" applyFont="1" applyBorder="1"/>
    <xf numFmtId="168" fontId="2" fillId="0" borderId="11" xfId="10" applyNumberFormat="1" applyFont="1" applyBorder="1"/>
    <xf numFmtId="172" fontId="2" fillId="0" borderId="13" xfId="10" applyNumberFormat="1" applyFont="1" applyBorder="1"/>
    <xf numFmtId="17" fontId="2" fillId="0" borderId="13" xfId="10" applyNumberFormat="1" applyFont="1" applyBorder="1" applyAlignment="1">
      <alignment horizontal="center"/>
    </xf>
    <xf numFmtId="172" fontId="2" fillId="0" borderId="1" xfId="10" applyNumberFormat="1" applyFont="1" applyBorder="1"/>
    <xf numFmtId="41" fontId="2" fillId="0" borderId="12" xfId="10" applyNumberFormat="1" applyFont="1" applyBorder="1"/>
    <xf numFmtId="168" fontId="2" fillId="0" borderId="12" xfId="10" applyNumberFormat="1" applyFont="1" applyBorder="1"/>
    <xf numFmtId="17" fontId="2" fillId="0" borderId="6" xfId="10" applyNumberFormat="1" applyFont="1" applyBorder="1" applyAlignment="1">
      <alignment horizontal="center"/>
    </xf>
    <xf numFmtId="172" fontId="2" fillId="0" borderId="0" xfId="10" applyNumberFormat="1" applyFont="1" applyAlignment="1">
      <alignment horizontal="center"/>
    </xf>
    <xf numFmtId="172" fontId="14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19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9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2" fontId="4" fillId="0" borderId="0" xfId="10" applyNumberFormat="1" applyFont="1"/>
    <xf numFmtId="173" fontId="0" fillId="0" borderId="0" xfId="0" applyNumberFormat="1"/>
    <xf numFmtId="6" fontId="0" fillId="0" borderId="0" xfId="2" applyNumberFormat="1" applyFont="1" applyFill="1" applyAlignment="1">
      <alignment horizontal="center"/>
    </xf>
    <xf numFmtId="6" fontId="18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18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2" fontId="19" fillId="6" borderId="0" xfId="10" applyNumberFormat="1" applyFont="1" applyFill="1"/>
    <xf numFmtId="8" fontId="0" fillId="0" borderId="20" xfId="0" applyNumberFormat="1" applyFont="1" applyFill="1" applyBorder="1"/>
    <xf numFmtId="7" fontId="2" fillId="0" borderId="0" xfId="2" applyNumberFormat="1" applyFont="1"/>
    <xf numFmtId="172" fontId="2" fillId="0" borderId="5" xfId="10" applyNumberFormat="1" applyFont="1" applyBorder="1" applyAlignment="1">
      <alignment horizontal="center"/>
    </xf>
    <xf numFmtId="175" fontId="2" fillId="0" borderId="0" xfId="8" applyNumberFormat="1" applyFont="1"/>
    <xf numFmtId="175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3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2" fontId="7" fillId="0" borderId="0" xfId="0" applyFont="1" applyFill="1"/>
    <xf numFmtId="172" fontId="15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2" fontId="15" fillId="2" borderId="0" xfId="0" applyFont="1" applyFill="1" applyAlignment="1">
      <alignment horizontal="centerContinuous"/>
    </xf>
    <xf numFmtId="172" fontId="7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2" fontId="7" fillId="0" borderId="0" xfId="0" applyFont="1" applyFill="1" applyBorder="1" applyAlignment="1">
      <alignment horizontal="center"/>
    </xf>
    <xf numFmtId="172" fontId="13" fillId="2" borderId="0" xfId="0" applyFont="1" applyFill="1" applyBorder="1" applyAlignment="1">
      <alignment horizontal="centerContinuous" wrapText="1"/>
    </xf>
    <xf numFmtId="172" fontId="7" fillId="0" borderId="0" xfId="0" applyFont="1" applyFill="1" applyAlignment="1">
      <alignment horizontal="center"/>
    </xf>
    <xf numFmtId="172" fontId="13" fillId="0" borderId="15" xfId="0" applyFont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72" fontId="7" fillId="4" borderId="14" xfId="0" applyFont="1" applyFill="1" applyBorder="1"/>
    <xf numFmtId="0" fontId="3" fillId="0" borderId="0" xfId="0" applyNumberFormat="1" applyFont="1" applyFill="1" applyAlignment="1"/>
    <xf numFmtId="172" fontId="14" fillId="0" borderId="0" xfId="10" applyNumberFormat="1" applyFont="1"/>
    <xf numFmtId="8" fontId="0" fillId="0" borderId="2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2" fillId="0" borderId="0" xfId="10" applyNumberFormat="1" applyFont="1"/>
    <xf numFmtId="174" fontId="0" fillId="0" borderId="0" xfId="0" applyNumberFormat="1" applyFont="1" applyFill="1"/>
    <xf numFmtId="174" fontId="18" fillId="0" borderId="0" xfId="0" applyNumberFormat="1" applyFont="1" applyFill="1"/>
    <xf numFmtId="167" fontId="2" fillId="5" borderId="0" xfId="8" applyNumberFormat="1" applyFont="1" applyFill="1"/>
    <xf numFmtId="172" fontId="14" fillId="0" borderId="7" xfId="23" applyFont="1" applyFill="1" applyBorder="1" applyAlignment="1">
      <alignment horizontal="centerContinuous"/>
    </xf>
    <xf numFmtId="172" fontId="27" fillId="0" borderId="6" xfId="0" applyFont="1" applyBorder="1" applyAlignment="1">
      <alignment horizontal="center"/>
    </xf>
    <xf numFmtId="172" fontId="27" fillId="0" borderId="0" xfId="0" applyFont="1"/>
    <xf numFmtId="172" fontId="27" fillId="0" borderId="7" xfId="0" applyFont="1" applyBorder="1"/>
    <xf numFmtId="167" fontId="26" fillId="0" borderId="7" xfId="24" applyNumberFormat="1" applyFont="1" applyFill="1" applyBorder="1"/>
    <xf numFmtId="0" fontId="0" fillId="0" borderId="20" xfId="0" applyNumberFormat="1" applyFont="1" applyFill="1" applyBorder="1"/>
    <xf numFmtId="165" fontId="0" fillId="0" borderId="20" xfId="0" applyNumberFormat="1" applyFont="1" applyFill="1" applyBorder="1" applyAlignment="1">
      <alignment horizontal="center"/>
    </xf>
    <xf numFmtId="172" fontId="26" fillId="0" borderId="0" xfId="0" applyFont="1"/>
    <xf numFmtId="9" fontId="26" fillId="0" borderId="0" xfId="8" applyFont="1"/>
    <xf numFmtId="43" fontId="2" fillId="0" borderId="0" xfId="10" applyNumberFormat="1" applyFont="1"/>
    <xf numFmtId="172" fontId="28" fillId="0" borderId="0" xfId="10" applyNumberFormat="1" applyFont="1"/>
    <xf numFmtId="173" fontId="0" fillId="0" borderId="0" xfId="0" applyNumberFormat="1" applyFont="1" applyFill="1"/>
    <xf numFmtId="8" fontId="0" fillId="0" borderId="1" xfId="0" applyNumberFormat="1" applyFont="1" applyFill="1" applyBorder="1" applyAlignment="1">
      <alignment horizontal="right"/>
    </xf>
    <xf numFmtId="8" fontId="0" fillId="0" borderId="1" xfId="0" applyNumberFormat="1" applyFont="1" applyFill="1" applyBorder="1"/>
    <xf numFmtId="8" fontId="0" fillId="0" borderId="1" xfId="5" applyNumberFormat="1" applyFont="1" applyFill="1" applyBorder="1"/>
    <xf numFmtId="172" fontId="5" fillId="0" borderId="0" xfId="25" applyFont="1" applyFill="1" applyAlignment="1">
      <alignment horizontal="centerContinuous"/>
    </xf>
    <xf numFmtId="172" fontId="4" fillId="0" borderId="0" xfId="25" applyFont="1" applyFill="1" applyAlignment="1">
      <alignment horizontal="centerContinuous"/>
    </xf>
    <xf numFmtId="172" fontId="4" fillId="0" borderId="0" xfId="25" applyFont="1" applyFill="1"/>
    <xf numFmtId="172" fontId="4" fillId="0" borderId="0" xfId="25" applyFont="1" applyFill="1" applyBorder="1" applyAlignment="1">
      <alignment horizontal="centerContinuous"/>
    </xf>
    <xf numFmtId="172" fontId="4" fillId="0" borderId="0" xfId="25" applyFont="1" applyFill="1" applyBorder="1"/>
    <xf numFmtId="172" fontId="3" fillId="0" borderId="5" xfId="25" applyFont="1" applyFill="1" applyBorder="1" applyAlignment="1">
      <alignment horizontal="center"/>
    </xf>
    <xf numFmtId="172" fontId="3" fillId="0" borderId="5" xfId="25" applyFont="1" applyFill="1" applyBorder="1" applyAlignment="1">
      <alignment horizontal="center" wrapText="1"/>
    </xf>
    <xf numFmtId="172" fontId="8" fillId="0" borderId="6" xfId="25" applyFont="1" applyFill="1" applyBorder="1" applyAlignment="1">
      <alignment horizontal="centerContinuous"/>
    </xf>
    <xf numFmtId="172" fontId="11" fillId="0" borderId="6" xfId="25" quotePrefix="1" applyFont="1" applyFill="1" applyBorder="1" applyAlignment="1">
      <alignment horizontal="center" wrapText="1"/>
    </xf>
    <xf numFmtId="172" fontId="11" fillId="0" borderId="6" xfId="25" applyFont="1" applyFill="1" applyBorder="1" applyAlignment="1">
      <alignment horizontal="center" wrapText="1"/>
    </xf>
    <xf numFmtId="172" fontId="7" fillId="0" borderId="0" xfId="25" quotePrefix="1" applyFont="1" applyFill="1" applyBorder="1" applyAlignment="1">
      <alignment horizontal="center"/>
    </xf>
    <xf numFmtId="0" fontId="4" fillId="0" borderId="0" xfId="25" applyNumberFormat="1" applyFont="1" applyFill="1"/>
    <xf numFmtId="6" fontId="4" fillId="0" borderId="0" xfId="25" applyNumberFormat="1" applyFont="1" applyFill="1" applyAlignment="1">
      <alignment horizontal="right"/>
    </xf>
    <xf numFmtId="8" fontId="4" fillId="0" borderId="0" xfId="25" applyNumberFormat="1" applyFont="1" applyFill="1" applyAlignment="1">
      <alignment horizontal="right"/>
    </xf>
    <xf numFmtId="8" fontId="4" fillId="0" borderId="0" xfId="25" applyNumberFormat="1" applyFont="1" applyFill="1"/>
    <xf numFmtId="8" fontId="4" fillId="0" borderId="0" xfId="25" applyNumberFormat="1" applyFont="1" applyFill="1" applyBorder="1"/>
    <xf numFmtId="179" fontId="4" fillId="0" borderId="0" xfId="25" applyNumberFormat="1" applyFont="1" applyFill="1" applyAlignment="1">
      <alignment horizontal="right"/>
    </xf>
    <xf numFmtId="165" fontId="4" fillId="0" borderId="0" xfId="25" applyNumberFormat="1" applyFont="1" applyFill="1" applyAlignment="1">
      <alignment horizontal="center"/>
    </xf>
    <xf numFmtId="165" fontId="4" fillId="0" borderId="1" xfId="25" applyNumberFormat="1" applyFont="1" applyFill="1" applyBorder="1" applyAlignment="1">
      <alignment horizontal="center"/>
    </xf>
    <xf numFmtId="8" fontId="4" fillId="0" borderId="1" xfId="25" applyNumberFormat="1" applyFont="1" applyFill="1" applyBorder="1" applyAlignment="1">
      <alignment horizontal="right"/>
    </xf>
    <xf numFmtId="8" fontId="4" fillId="0" borderId="1" xfId="25" applyNumberFormat="1" applyFont="1" applyFill="1" applyBorder="1"/>
    <xf numFmtId="172" fontId="4" fillId="0" borderId="0" xfId="25" quotePrefix="1" applyFont="1" applyFill="1"/>
    <xf numFmtId="0" fontId="4" fillId="0" borderId="0" xfId="26" applyFont="1"/>
    <xf numFmtId="14" fontId="4" fillId="0" borderId="0" xfId="27" applyNumberFormat="1" applyFont="1"/>
    <xf numFmtId="0" fontId="4" fillId="0" borderId="0" xfId="25" applyNumberFormat="1" applyFont="1" applyFill="1" applyBorder="1"/>
    <xf numFmtId="165" fontId="4" fillId="0" borderId="0" xfId="25" applyNumberFormat="1" applyFont="1" applyFill="1" applyBorder="1" applyAlignment="1">
      <alignment horizontal="center"/>
    </xf>
    <xf numFmtId="8" fontId="4" fillId="0" borderId="0" xfId="25" applyNumberFormat="1" applyFont="1" applyFill="1" applyBorder="1" applyAlignment="1">
      <alignment horizontal="right"/>
    </xf>
    <xf numFmtId="8" fontId="4" fillId="0" borderId="0" xfId="25" applyNumberFormat="1" applyFont="1" applyFill="1" applyAlignment="1">
      <alignment horizontal="center"/>
    </xf>
    <xf numFmtId="172" fontId="6" fillId="0" borderId="0" xfId="25" applyFont="1" applyFill="1" applyAlignment="1">
      <alignment horizontal="centerContinuous"/>
    </xf>
    <xf numFmtId="172" fontId="3" fillId="0" borderId="0" xfId="25" applyFont="1" applyFill="1" applyAlignment="1">
      <alignment horizontal="centerContinuous"/>
    </xf>
    <xf numFmtId="172" fontId="4" fillId="0" borderId="0" xfId="25" applyFont="1" applyFill="1" applyAlignment="1">
      <alignment horizontal="center"/>
    </xf>
    <xf numFmtId="41" fontId="4" fillId="0" borderId="0" xfId="4" applyFont="1" applyFill="1"/>
    <xf numFmtId="172" fontId="3" fillId="0" borderId="17" xfId="25" applyFont="1" applyFill="1" applyBorder="1" applyAlignment="1">
      <alignment horizontal="centerContinuous"/>
    </xf>
    <xf numFmtId="172" fontId="4" fillId="0" borderId="17" xfId="25" applyFont="1" applyFill="1" applyBorder="1"/>
    <xf numFmtId="172" fontId="4" fillId="0" borderId="19" xfId="25" applyFont="1" applyFill="1" applyBorder="1"/>
    <xf numFmtId="172" fontId="3" fillId="0" borderId="16" xfId="25" applyFont="1" applyFill="1" applyBorder="1" applyAlignment="1">
      <alignment horizontal="center"/>
    </xf>
    <xf numFmtId="172" fontId="3" fillId="0" borderId="17" xfId="5" applyFont="1" applyFill="1" applyBorder="1" applyAlignment="1">
      <alignment horizontal="centerContinuous"/>
    </xf>
    <xf numFmtId="172" fontId="4" fillId="0" borderId="17" xfId="25" applyFont="1" applyFill="1" applyBorder="1" applyAlignment="1">
      <alignment horizontal="centerContinuous"/>
    </xf>
    <xf numFmtId="6" fontId="4" fillId="0" borderId="0" xfId="2" applyNumberFormat="1" applyFont="1" applyFill="1"/>
    <xf numFmtId="8" fontId="4" fillId="0" borderId="0" xfId="2" applyNumberFormat="1" applyFont="1" applyFill="1"/>
    <xf numFmtId="180" fontId="29" fillId="0" borderId="0" xfId="28" applyNumberFormat="1" applyAlignment="1" applyProtection="1"/>
    <xf numFmtId="1" fontId="4" fillId="0" borderId="0" xfId="6" applyNumberFormat="1" applyFont="1" applyFill="1" applyAlignment="1" applyProtection="1">
      <alignment horizontal="center"/>
      <protection locked="0"/>
    </xf>
    <xf numFmtId="180" fontId="30" fillId="0" borderId="0" xfId="0" applyNumberFormat="1" applyFont="1"/>
    <xf numFmtId="173" fontId="3" fillId="0" borderId="0" xfId="25" applyNumberFormat="1" applyFont="1" applyFill="1"/>
    <xf numFmtId="173" fontId="4" fillId="0" borderId="0" xfId="25" applyNumberFormat="1" applyFont="1" applyFill="1"/>
    <xf numFmtId="167" fontId="4" fillId="0" borderId="0" xfId="8" applyNumberFormat="1" applyFont="1" applyFill="1"/>
    <xf numFmtId="164" fontId="4" fillId="0" borderId="0" xfId="25" applyNumberFormat="1" applyFont="1" applyFill="1"/>
    <xf numFmtId="175" fontId="4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5" fontId="31" fillId="0" borderId="0" xfId="0" applyNumberFormat="1" applyFont="1" applyFill="1" applyProtection="1">
      <protection locked="0"/>
    </xf>
    <xf numFmtId="9" fontId="4" fillId="0" borderId="0" xfId="25" applyNumberFormat="1" applyFont="1" applyFill="1"/>
    <xf numFmtId="43" fontId="4" fillId="0" borderId="0" xfId="2" applyNumberFormat="1" applyFont="1" applyFill="1"/>
    <xf numFmtId="167" fontId="4" fillId="0" borderId="0" xfId="25" applyNumberFormat="1" applyFont="1" applyFill="1"/>
    <xf numFmtId="43" fontId="4" fillId="0" borderId="0" xfId="25" applyNumberFormat="1" applyFont="1" applyFill="1" applyBorder="1" applyAlignment="1">
      <alignment horizontal="right"/>
    </xf>
    <xf numFmtId="10" fontId="4" fillId="0" borderId="0" xfId="8" applyNumberFormat="1" applyFont="1" applyFill="1"/>
    <xf numFmtId="173" fontId="4" fillId="0" borderId="0" xfId="25" applyNumberFormat="1" applyFont="1" applyFill="1" applyBorder="1"/>
    <xf numFmtId="172" fontId="4" fillId="0" borderId="0" xfId="25" applyNumberFormat="1" applyFont="1" applyFill="1"/>
    <xf numFmtId="172" fontId="4" fillId="0" borderId="0" xfId="25" applyNumberFormat="1" applyFont="1" applyFill="1" applyAlignment="1">
      <alignment horizontal="right"/>
    </xf>
    <xf numFmtId="172" fontId="4" fillId="0" borderId="0" xfId="6" applyNumberFormat="1" applyFont="1" applyFill="1" applyAlignment="1" applyProtection="1">
      <alignment horizontal="center"/>
      <protection locked="0"/>
    </xf>
    <xf numFmtId="172" fontId="4" fillId="0" borderId="0" xfId="25" applyNumberFormat="1" applyFont="1" applyFill="1" applyBorder="1"/>
    <xf numFmtId="43" fontId="4" fillId="0" borderId="0" xfId="25" applyNumberFormat="1" applyFont="1" applyFill="1" applyAlignment="1">
      <alignment horizontal="right"/>
    </xf>
    <xf numFmtId="175" fontId="30" fillId="0" borderId="0" xfId="8" applyNumberFormat="1" applyFont="1"/>
    <xf numFmtId="2" fontId="4" fillId="0" borderId="0" xfId="6" applyNumberFormat="1" applyFont="1" applyFill="1" applyAlignment="1" applyProtection="1">
      <alignment horizontal="center"/>
      <protection locked="0"/>
    </xf>
    <xf numFmtId="175" fontId="30" fillId="6" borderId="0" xfId="8" applyNumberFormat="1" applyFont="1" applyFill="1"/>
    <xf numFmtId="172" fontId="4" fillId="6" borderId="0" xfId="25" applyFont="1" applyFill="1"/>
    <xf numFmtId="172" fontId="3" fillId="0" borderId="0" xfId="25" applyFont="1" applyFill="1" applyBorder="1" applyAlignment="1">
      <alignment horizontal="center" wrapText="1"/>
    </xf>
    <xf numFmtId="164" fontId="4" fillId="0" borderId="0" xfId="1" applyNumberFormat="1" applyFont="1"/>
    <xf numFmtId="41" fontId="4" fillId="0" borderId="0" xfId="11" applyAlignment="1">
      <alignment wrapText="1"/>
    </xf>
    <xf numFmtId="173" fontId="2" fillId="0" borderId="0" xfId="10" applyNumberFormat="1" applyFont="1"/>
    <xf numFmtId="172" fontId="3" fillId="0" borderId="0" xfId="0" applyFont="1"/>
    <xf numFmtId="0" fontId="4" fillId="0" borderId="0" xfId="0" applyNumberFormat="1" applyFont="1" applyFill="1" applyBorder="1" applyAlignment="1">
      <alignment horizontal="center"/>
    </xf>
    <xf numFmtId="172" fontId="3" fillId="0" borderId="0" xfId="0" applyFont="1" applyAlignment="1">
      <alignment horizontal="left"/>
    </xf>
    <xf numFmtId="167" fontId="0" fillId="0" borderId="0" xfId="8" applyNumberFormat="1" applyFont="1"/>
    <xf numFmtId="167" fontId="0" fillId="6" borderId="0" xfId="8" applyNumberFormat="1" applyFont="1" applyFill="1"/>
    <xf numFmtId="172" fontId="26" fillId="0" borderId="6" xfId="0" applyFont="1" applyFill="1" applyBorder="1" applyAlignment="1">
      <alignment horizontal="center"/>
    </xf>
    <xf numFmtId="172" fontId="26" fillId="0" borderId="0" xfId="0" applyFont="1" applyFill="1"/>
    <xf numFmtId="6" fontId="4" fillId="6" borderId="0" xfId="2" applyNumberFormat="1" applyFont="1" applyFill="1"/>
    <xf numFmtId="9" fontId="4" fillId="6" borderId="0" xfId="25" applyNumberFormat="1" applyFont="1" applyFill="1"/>
    <xf numFmtId="172" fontId="0" fillId="0" borderId="0" xfId="0" applyNumberFormat="1"/>
    <xf numFmtId="172" fontId="4" fillId="0" borderId="1" xfId="0" applyFont="1" applyFill="1" applyBorder="1" applyAlignment="1">
      <alignment horizontal="center"/>
    </xf>
    <xf numFmtId="172" fontId="4" fillId="0" borderId="1" xfId="0" quotePrefix="1" applyFont="1" applyFill="1" applyBorder="1" applyAlignment="1">
      <alignment horizontal="center"/>
    </xf>
    <xf numFmtId="167" fontId="23" fillId="0" borderId="0" xfId="8" applyNumberFormat="1" applyFont="1" applyFill="1"/>
    <xf numFmtId="172" fontId="2" fillId="0" borderId="0" xfId="10" applyNumberFormat="1" applyFont="1" applyAlignment="1">
      <alignment horizontal="left" vertical="top"/>
    </xf>
    <xf numFmtId="181" fontId="2" fillId="0" borderId="0" xfId="10" applyNumberFormat="1" applyFont="1"/>
    <xf numFmtId="7" fontId="4" fillId="6" borderId="0" xfId="2" applyNumberFormat="1" applyFont="1" applyFill="1"/>
    <xf numFmtId="172" fontId="2" fillId="0" borderId="0" xfId="10" applyNumberFormat="1" applyFont="1" applyFill="1"/>
    <xf numFmtId="174" fontId="0" fillId="0" borderId="0" xfId="0" applyNumberFormat="1"/>
    <xf numFmtId="8" fontId="4" fillId="6" borderId="0" xfId="25" applyNumberFormat="1" applyFont="1" applyFill="1" applyAlignment="1">
      <alignment horizontal="right"/>
    </xf>
    <xf numFmtId="172" fontId="2" fillId="10" borderId="0" xfId="10" applyNumberFormat="1" applyFont="1" applyFill="1" applyBorder="1"/>
    <xf numFmtId="41" fontId="2" fillId="10" borderId="11" xfId="10" applyNumberFormat="1" applyFont="1" applyFill="1" applyBorder="1"/>
    <xf numFmtId="168" fontId="2" fillId="10" borderId="11" xfId="10" applyNumberFormat="1" applyFont="1" applyFill="1" applyBorder="1"/>
    <xf numFmtId="172" fontId="2" fillId="10" borderId="1" xfId="10" applyNumberFormat="1" applyFont="1" applyFill="1" applyBorder="1"/>
    <xf numFmtId="41" fontId="2" fillId="10" borderId="12" xfId="10" applyNumberFormat="1" applyFont="1" applyFill="1" applyBorder="1"/>
    <xf numFmtId="168" fontId="2" fillId="10" borderId="12" xfId="10" applyNumberFormat="1" applyFont="1" applyFill="1" applyBorder="1"/>
    <xf numFmtId="172" fontId="2" fillId="10" borderId="2" xfId="10" applyNumberFormat="1" applyFont="1" applyFill="1" applyBorder="1"/>
    <xf numFmtId="41" fontId="2" fillId="10" borderId="8" xfId="10" applyNumberFormat="1" applyFont="1" applyFill="1" applyBorder="1"/>
    <xf numFmtId="168" fontId="2" fillId="10" borderId="8" xfId="10" applyNumberFormat="1" applyFont="1" applyFill="1" applyBorder="1"/>
    <xf numFmtId="6" fontId="4" fillId="0" borderId="0" xfId="26" applyNumberFormat="1" applyFont="1"/>
    <xf numFmtId="182" fontId="4" fillId="0" borderId="0" xfId="25" applyNumberFormat="1" applyFont="1" applyFill="1"/>
    <xf numFmtId="43" fontId="4" fillId="0" borderId="0" xfId="29" applyFont="1" applyFill="1"/>
    <xf numFmtId="0" fontId="4" fillId="0" borderId="0" xfId="25" applyNumberFormat="1" applyFont="1" applyFill="1" applyBorder="1" applyAlignment="1">
      <alignment horizontal="right"/>
    </xf>
    <xf numFmtId="172" fontId="32" fillId="0" borderId="0" xfId="0" applyFont="1" applyAlignment="1">
      <alignment horizontal="center"/>
    </xf>
    <xf numFmtId="172" fontId="3" fillId="0" borderId="0" xfId="0" applyFont="1" applyAlignment="1">
      <alignment vertical="top" wrapText="1"/>
    </xf>
    <xf numFmtId="172" fontId="3" fillId="0" borderId="0" xfId="0" applyFont="1" applyAlignment="1">
      <alignment horizontal="left" vertical="top" wrapText="1"/>
    </xf>
    <xf numFmtId="17" fontId="2" fillId="10" borderId="0" xfId="10" applyNumberFormat="1" applyFont="1" applyFill="1"/>
    <xf numFmtId="17" fontId="2" fillId="10" borderId="5" xfId="10" applyNumberFormat="1" applyFont="1" applyFill="1" applyBorder="1" applyAlignment="1">
      <alignment horizontal="center"/>
    </xf>
    <xf numFmtId="17" fontId="2" fillId="10" borderId="13" xfId="10" applyNumberFormat="1" applyFont="1" applyFill="1" applyBorder="1" applyAlignment="1">
      <alignment horizontal="center"/>
    </xf>
    <xf numFmtId="17" fontId="2" fillId="10" borderId="6" xfId="10" applyNumberFormat="1" applyFont="1" applyFill="1" applyBorder="1" applyAlignment="1">
      <alignment horizontal="center"/>
    </xf>
    <xf numFmtId="172" fontId="4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3" fontId="4" fillId="0" borderId="0" xfId="0" applyNumberFormat="1" applyFont="1" applyFill="1" applyBorder="1" applyAlignment="1">
      <alignment horizontal="center"/>
    </xf>
    <xf numFmtId="8" fontId="4" fillId="0" borderId="0" xfId="25" applyNumberFormat="1" applyFont="1" applyFill="1" applyAlignment="1">
      <alignment horizontal="right" vertical="center"/>
    </xf>
    <xf numFmtId="172" fontId="14" fillId="0" borderId="0" xfId="10" applyNumberFormat="1" applyFont="1" applyAlignment="1">
      <alignment horizontal="right"/>
    </xf>
    <xf numFmtId="172" fontId="4" fillId="0" borderId="0" xfId="0" applyFont="1" applyFill="1" applyAlignment="1">
      <alignment horizontal="center"/>
    </xf>
    <xf numFmtId="41" fontId="5" fillId="0" borderId="0" xfId="11" applyFont="1" applyFill="1" applyAlignment="1">
      <alignment horizontal="centerContinuous"/>
    </xf>
    <xf numFmtId="41" fontId="8" fillId="0" borderId="0" xfId="11" applyFont="1" applyFill="1" applyAlignment="1">
      <alignment horizontal="centerContinuous"/>
    </xf>
    <xf numFmtId="41" fontId="4" fillId="0" borderId="0" xfId="11" applyFont="1" applyFill="1" applyAlignment="1">
      <alignment horizontal="centerContinuous"/>
    </xf>
    <xf numFmtId="41" fontId="4" fillId="0" borderId="0" xfId="11" applyFont="1" applyFill="1" applyBorder="1"/>
    <xf numFmtId="41" fontId="6" fillId="0" borderId="0" xfId="11" applyFont="1" applyFill="1" applyAlignment="1">
      <alignment horizontal="centerContinuous"/>
    </xf>
    <xf numFmtId="41" fontId="4" fillId="0" borderId="0" xfId="11" applyFont="1" applyFill="1" applyAlignment="1">
      <alignment horizontal="center"/>
    </xf>
    <xf numFmtId="17" fontId="4" fillId="0" borderId="0" xfId="11" applyNumberFormat="1" applyFont="1" applyFill="1" applyAlignment="1">
      <alignment horizontal="center"/>
    </xf>
    <xf numFmtId="9" fontId="4" fillId="0" borderId="0" xfId="8" applyFont="1" applyFill="1" applyAlignment="1">
      <alignment horizontal="center"/>
    </xf>
    <xf numFmtId="17" fontId="4" fillId="0" borderId="0" xfId="11" applyNumberFormat="1" applyFont="1" applyFill="1" applyBorder="1" applyAlignment="1"/>
    <xf numFmtId="0" fontId="4" fillId="0" borderId="0" xfId="7" applyFont="1" applyFill="1" applyBorder="1" applyAlignment="1">
      <alignment horizontal="center"/>
    </xf>
    <xf numFmtId="41" fontId="4" fillId="0" borderId="0" xfId="11" quotePrefix="1" applyFont="1" applyFill="1" applyAlignment="1">
      <alignment horizontal="center" vertical="top"/>
    </xf>
    <xf numFmtId="41" fontId="4" fillId="0" borderId="0" xfId="11" applyFont="1" applyFill="1" applyBorder="1" applyAlignment="1">
      <alignment horizontal="center"/>
    </xf>
    <xf numFmtId="41" fontId="4" fillId="0" borderId="0" xfId="11" applyFont="1" applyFill="1" applyAlignment="1"/>
    <xf numFmtId="0" fontId="4" fillId="0" borderId="23" xfId="11" applyNumberFormat="1" applyFont="1" applyFill="1" applyBorder="1" applyAlignment="1">
      <alignment horizontal="center"/>
    </xf>
    <xf numFmtId="8" fontId="4" fillId="0" borderId="2" xfId="11" applyNumberFormat="1" applyFont="1" applyFill="1" applyBorder="1" applyAlignment="1">
      <alignment horizontal="center"/>
    </xf>
    <xf numFmtId="8" fontId="4" fillId="0" borderId="8" xfId="11" applyNumberFormat="1" applyFont="1" applyFill="1" applyBorder="1" applyAlignment="1">
      <alignment horizontal="center"/>
    </xf>
    <xf numFmtId="168" fontId="33" fillId="0" borderId="0" xfId="11" applyNumberFormat="1" applyFont="1" applyFill="1" applyBorder="1" applyAlignment="1">
      <alignment horizontal="centerContinuous"/>
    </xf>
    <xf numFmtId="0" fontId="4" fillId="0" borderId="10" xfId="11" applyNumberFormat="1" applyFont="1" applyFill="1" applyBorder="1" applyAlignment="1">
      <alignment horizontal="center"/>
    </xf>
    <xf numFmtId="8" fontId="4" fillId="0" borderId="0" xfId="11" applyNumberFormat="1" applyFont="1" applyFill="1" applyBorder="1" applyAlignment="1">
      <alignment horizontal="center"/>
    </xf>
    <xf numFmtId="8" fontId="4" fillId="0" borderId="11" xfId="11" applyNumberFormat="1" applyFont="1" applyFill="1" applyBorder="1" applyAlignment="1">
      <alignment horizontal="center"/>
    </xf>
    <xf numFmtId="0" fontId="4" fillId="0" borderId="24" xfId="11" applyNumberFormat="1" applyFont="1" applyFill="1" applyBorder="1" applyAlignment="1">
      <alignment horizontal="center"/>
    </xf>
    <xf numFmtId="8" fontId="4" fillId="0" borderId="1" xfId="11" applyNumberFormat="1" applyFont="1" applyFill="1" applyBorder="1" applyAlignment="1">
      <alignment horizontal="center"/>
    </xf>
    <xf numFmtId="8" fontId="4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4" fillId="0" borderId="0" xfId="11" applyFont="1" applyFill="1" applyAlignment="1">
      <alignment horizontal="left" indent="1"/>
    </xf>
    <xf numFmtId="184" fontId="4" fillId="0" borderId="0" xfId="11" applyNumberFormat="1" applyFont="1" applyFill="1" applyBorder="1" applyAlignment="1">
      <alignment horizontal="center"/>
    </xf>
    <xf numFmtId="185" fontId="4" fillId="0" borderId="0" xfId="11" applyNumberFormat="1" applyFont="1" applyFill="1" applyBorder="1" applyAlignment="1">
      <alignment horizontal="center"/>
    </xf>
    <xf numFmtId="175" fontId="23" fillId="0" borderId="0" xfId="8" applyNumberFormat="1" applyFont="1" applyFill="1"/>
    <xf numFmtId="167" fontId="4" fillId="0" borderId="0" xfId="8" applyNumberFormat="1" applyFont="1" applyFill="1" applyBorder="1" applyAlignment="1">
      <alignment horizontal="center"/>
    </xf>
    <xf numFmtId="8" fontId="4" fillId="0" borderId="0" xfId="11" applyNumberFormat="1"/>
    <xf numFmtId="39" fontId="4" fillId="0" borderId="0" xfId="30" quotePrefix="1" applyNumberFormat="1" applyFont="1" applyFill="1" applyBorder="1" applyAlignment="1">
      <alignment horizontal="center"/>
    </xf>
    <xf numFmtId="39" fontId="4" fillId="0" borderId="0" xfId="11" applyNumberFormat="1" applyFont="1" applyFill="1" applyBorder="1" applyAlignment="1">
      <alignment horizontal="center"/>
    </xf>
    <xf numFmtId="43" fontId="4" fillId="0" borderId="0" xfId="1" applyFont="1" applyFill="1"/>
    <xf numFmtId="2" fontId="4" fillId="0" borderId="0" xfId="11" applyNumberFormat="1" applyFont="1" applyFill="1" applyAlignment="1">
      <alignment horizontal="center"/>
    </xf>
    <xf numFmtId="8" fontId="4" fillId="0" borderId="0" xfId="11" applyNumberFormat="1" applyFont="1" applyFill="1"/>
    <xf numFmtId="172" fontId="34" fillId="0" borderId="0" xfId="0" applyFont="1" applyFill="1" applyAlignment="1">
      <alignment horizontal="centerContinuous"/>
    </xf>
    <xf numFmtId="172" fontId="35" fillId="0" borderId="0" xfId="0" applyFont="1" applyFill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172" fontId="34" fillId="0" borderId="0" xfId="0" applyFont="1" applyFill="1"/>
    <xf numFmtId="172" fontId="6" fillId="0" borderId="0" xfId="0" applyFont="1" applyFill="1" applyBorder="1" applyAlignment="1">
      <alignment horizontal="centerContinuous"/>
    </xf>
    <xf numFmtId="172" fontId="35" fillId="0" borderId="0" xfId="0" applyFont="1" applyFill="1"/>
    <xf numFmtId="172" fontId="4" fillId="0" borderId="0" xfId="0" quotePrefix="1" applyFont="1" applyFill="1" applyBorder="1" applyAlignment="1">
      <alignment horizontal="center"/>
    </xf>
    <xf numFmtId="8" fontId="36" fillId="0" borderId="0" xfId="0" applyNumberFormat="1" applyFont="1" applyFill="1" applyAlignment="1">
      <alignment horizontal="center"/>
    </xf>
    <xf numFmtId="8" fontId="36" fillId="0" borderId="0" xfId="0" applyNumberFormat="1" applyFont="1" applyFill="1" applyBorder="1" applyAlignment="1">
      <alignment horizontal="left"/>
    </xf>
    <xf numFmtId="172" fontId="4" fillId="0" borderId="23" xfId="0" applyFont="1" applyFill="1" applyBorder="1" applyAlignment="1">
      <alignment horizontal="center"/>
    </xf>
    <xf numFmtId="172" fontId="4" fillId="0" borderId="5" xfId="0" applyFont="1" applyFill="1" applyBorder="1" applyAlignment="1">
      <alignment horizontal="centerContinuous"/>
    </xf>
    <xf numFmtId="172" fontId="4" fillId="0" borderId="5" xfId="0" quotePrefix="1" applyFont="1" applyFill="1" applyBorder="1" applyAlignment="1">
      <alignment horizontal="centerContinuous"/>
    </xf>
    <xf numFmtId="172" fontId="4" fillId="0" borderId="4" xfId="0" applyFont="1" applyFill="1" applyBorder="1" applyAlignment="1">
      <alignment horizontal="centerContinuous"/>
    </xf>
    <xf numFmtId="172" fontId="4" fillId="0" borderId="7" xfId="0" applyFont="1" applyFill="1" applyBorder="1" applyAlignment="1">
      <alignment horizontal="centerContinuous"/>
    </xf>
    <xf numFmtId="172" fontId="4" fillId="0" borderId="3" xfId="0" applyFont="1" applyFill="1" applyBorder="1" applyAlignment="1">
      <alignment horizontal="centerContinuous"/>
    </xf>
    <xf numFmtId="172" fontId="4" fillId="0" borderId="23" xfId="0" applyFont="1" applyFill="1" applyBorder="1" applyAlignment="1">
      <alignment horizontal="centerContinuous"/>
    </xf>
    <xf numFmtId="172" fontId="4" fillId="0" borderId="2" xfId="0" applyFont="1" applyFill="1" applyBorder="1" applyAlignment="1">
      <alignment horizontal="centerContinuous"/>
    </xf>
    <xf numFmtId="172" fontId="4" fillId="0" borderId="8" xfId="0" applyFont="1" applyFill="1" applyBorder="1" applyAlignment="1">
      <alignment horizontal="centerContinuous"/>
    </xf>
    <xf numFmtId="172" fontId="4" fillId="0" borderId="24" xfId="0" applyFont="1" applyFill="1" applyBorder="1" applyAlignment="1">
      <alignment horizontal="center"/>
    </xf>
    <xf numFmtId="172" fontId="4" fillId="0" borderId="3" xfId="0" applyFont="1" applyFill="1" applyBorder="1" applyAlignment="1">
      <alignment horizontal="center"/>
    </xf>
    <xf numFmtId="172" fontId="4" fillId="0" borderId="9" xfId="0" applyFont="1" applyFill="1" applyBorder="1" applyAlignment="1">
      <alignment horizontal="center"/>
    </xf>
    <xf numFmtId="172" fontId="4" fillId="0" borderId="4" xfId="0" applyFont="1" applyFill="1" applyBorder="1" applyAlignment="1">
      <alignment horizontal="center"/>
    </xf>
    <xf numFmtId="172" fontId="4" fillId="0" borderId="0" xfId="0" quotePrefix="1" applyFont="1" applyFill="1" applyBorder="1"/>
    <xf numFmtId="172" fontId="3" fillId="0" borderId="0" xfId="0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center"/>
    </xf>
    <xf numFmtId="8" fontId="4" fillId="0" borderId="5" xfId="0" applyNumberFormat="1" applyFont="1" applyFill="1" applyBorder="1"/>
    <xf numFmtId="8" fontId="4" fillId="11" borderId="23" xfId="0" applyNumberFormat="1" applyFont="1" applyFill="1" applyBorder="1" applyAlignment="1">
      <alignment horizontal="center"/>
    </xf>
    <xf numFmtId="8" fontId="4" fillId="11" borderId="2" xfId="0" applyNumberFormat="1" applyFont="1" applyFill="1" applyBorder="1" applyAlignment="1">
      <alignment horizontal="center"/>
    </xf>
    <xf numFmtId="8" fontId="4" fillId="11" borderId="8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43" fontId="4" fillId="0" borderId="6" xfId="0" applyNumberFormat="1" applyFont="1" applyFill="1" applyBorder="1"/>
    <xf numFmtId="43" fontId="4" fillId="0" borderId="1" xfId="0" applyNumberFormat="1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 horizontal="center"/>
    </xf>
    <xf numFmtId="43" fontId="4" fillId="0" borderId="24" xfId="0" applyNumberFormat="1" applyFont="1" applyFill="1" applyBorder="1" applyAlignment="1">
      <alignment horizontal="center"/>
    </xf>
    <xf numFmtId="172" fontId="4" fillId="0" borderId="0" xfId="0" applyFont="1" applyFill="1" applyBorder="1" applyAlignment="1">
      <alignment horizontal="left"/>
    </xf>
    <xf numFmtId="172" fontId="4" fillId="0" borderId="0" xfId="0" quotePrefix="1" applyFont="1" applyFill="1" applyAlignment="1">
      <alignment horizontal="left" vertical="top"/>
    </xf>
    <xf numFmtId="172" fontId="4" fillId="0" borderId="0" xfId="0" applyFont="1" applyFill="1" applyAlignment="1">
      <alignment wrapText="1"/>
    </xf>
    <xf numFmtId="173" fontId="4" fillId="0" borderId="0" xfId="0" applyNumberFormat="1" applyFont="1" applyFill="1"/>
    <xf numFmtId="172" fontId="4" fillId="0" borderId="0" xfId="0" applyFont="1" applyFill="1" applyAlignment="1">
      <alignment horizontal="center" vertical="top"/>
    </xf>
    <xf numFmtId="172" fontId="4" fillId="0" borderId="0" xfId="0" applyFont="1" applyFill="1" applyAlignment="1">
      <alignment horizontal="center"/>
    </xf>
    <xf numFmtId="165" fontId="4" fillId="0" borderId="0" xfId="25" applyNumberFormat="1" applyFont="1" applyFill="1" applyAlignment="1">
      <alignment horizontal="right" wrapText="1"/>
    </xf>
    <xf numFmtId="172" fontId="0" fillId="0" borderId="0" xfId="0" applyAlignment="1">
      <alignment wrapText="1"/>
    </xf>
  </cellXfs>
  <cellStyles count="31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Exhibit GND-1 - 5.24.2005" xfId="30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5">
    <dxf>
      <font>
        <b/>
        <i/>
        <condense val="0"/>
        <extend val="0"/>
      </font>
      <fill>
        <patternFill>
          <bgColor indexed="42"/>
        </patternFill>
      </fill>
    </dxf>
    <dxf>
      <numFmt numFmtId="186" formatCode="&quot;$&quot;#,##0.00_)&quot;x&quot;"/>
    </dxf>
    <dxf>
      <numFmt numFmtId="186" formatCode="&quot;$&quot;#,##0.00_)&quot;x&quot;"/>
    </dxf>
    <dxf>
      <numFmt numFmtId="186" formatCode="&quot;$&quot;#,##0.00_)&quot;x&quot;"/>
    </dxf>
    <dxf>
      <numFmt numFmtId="186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enario\231%20-%20UT%202017.Q4%20-%201---%20Avoided%20Cost%20Study%20_2018%2002%2006%20(Gold)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191%20-%20UT%20Compliance%20Filing%20-%20UT%20-%202017%20Dec\Sent%20Out%20to%20Regulation\4_Appendix%20B.1%20-%20UT%202017.Q3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cenario\OR%20AC%20Sch%2037%20-%20AC%20%20Study_s1_Update_(OFPC150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.1"/>
      <sheetName val="Table 1"/>
      <sheetName val="Table 4"/>
      <sheetName val="Table 5"/>
      <sheetName val="Table 3 TransCost D2 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/>
      <sheetData sheetId="2">
        <row r="5">
          <cell r="B5" t="str">
            <v>Utah 2017.Q4 - 100.0 MW and 85.0% CF</v>
          </cell>
        </row>
      </sheetData>
      <sheetData sheetId="3"/>
      <sheetData sheetId="4">
        <row r="13">
          <cell r="G13">
            <v>20.080940588655103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/>
      <sheetData sheetId="1">
        <row r="9">
          <cell r="G9">
            <v>0.85</v>
          </cell>
        </row>
        <row r="42">
          <cell r="I42">
            <v>6.5699999999999995E-2</v>
          </cell>
        </row>
      </sheetData>
      <sheetData sheetId="2"/>
      <sheetData sheetId="3"/>
      <sheetData sheetId="4">
        <row r="6">
          <cell r="M6">
            <v>100</v>
          </cell>
        </row>
        <row r="7">
          <cell r="M7">
            <v>0.85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8">
          <cell r="I8">
            <v>0.39100000000000001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  <row r="35">
          <cell r="I35">
            <v>6.6600000000000006E-2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  <row r="7">
          <cell r="M7">
            <v>0.29717831763698632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T5" t="str">
            <v>HLH/LLH Factors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zoomScale="90" zoomScaleNormal="90" workbookViewId="0">
      <selection activeCell="Q21" sqref="Q21"/>
    </sheetView>
  </sheetViews>
  <sheetFormatPr defaultColWidth="9.33203125" defaultRowHeight="12.75" outlineLevelCol="1"/>
  <cols>
    <col min="1" max="1" width="11.33203125" style="71" customWidth="1"/>
    <col min="2" max="2" width="11.6640625" style="71" customWidth="1"/>
    <col min="3" max="5" width="17.5" style="71" customWidth="1"/>
    <col min="6" max="8" width="17.5" style="71" hidden="1" customWidth="1" outlineLevel="1"/>
    <col min="9" max="9" width="12.83203125" style="71" customWidth="1" collapsed="1"/>
    <col min="10" max="11" width="12.83203125" style="71" customWidth="1"/>
    <col min="12" max="12" width="9.33203125" style="71" hidden="1" customWidth="1"/>
    <col min="13" max="13" width="9.33203125" style="70" customWidth="1"/>
    <col min="14" max="14" width="10.5" style="70" bestFit="1" customWidth="1"/>
    <col min="15" max="16384" width="9.33203125" style="70"/>
  </cols>
  <sheetData>
    <row r="1" spans="2:12" ht="15.75">
      <c r="B1" s="301" t="s">
        <v>176</v>
      </c>
      <c r="C1" s="302"/>
      <c r="D1" s="302"/>
      <c r="E1" s="302"/>
      <c r="F1" s="302"/>
      <c r="G1" s="302"/>
      <c r="H1" s="302"/>
      <c r="I1" s="303"/>
      <c r="J1" s="303"/>
      <c r="K1" s="303"/>
      <c r="L1" s="304"/>
    </row>
    <row r="2" spans="2:12" ht="5.25" customHeight="1">
      <c r="B2" s="301"/>
      <c r="C2" s="302"/>
      <c r="D2" s="302"/>
      <c r="E2" s="302"/>
      <c r="F2" s="302"/>
      <c r="G2" s="302"/>
      <c r="H2" s="302"/>
      <c r="I2" s="303"/>
      <c r="J2" s="303"/>
      <c r="K2" s="303"/>
      <c r="L2" s="304"/>
    </row>
    <row r="3" spans="2:12" ht="15.75">
      <c r="B3" s="305" t="s">
        <v>177</v>
      </c>
      <c r="C3" s="305"/>
      <c r="D3" s="305"/>
      <c r="E3" s="305"/>
      <c r="F3" s="305"/>
      <c r="G3" s="305"/>
      <c r="H3" s="305"/>
      <c r="I3" s="301"/>
      <c r="J3" s="301"/>
      <c r="K3" s="301"/>
      <c r="L3" s="304"/>
    </row>
    <row r="4" spans="2:12" ht="15.75">
      <c r="B4" s="5" t="s">
        <v>186</v>
      </c>
      <c r="C4" s="305"/>
      <c r="D4" s="305"/>
      <c r="E4" s="305"/>
      <c r="F4" s="305"/>
      <c r="G4" s="305"/>
      <c r="H4" s="305"/>
      <c r="I4" s="301"/>
      <c r="J4" s="301"/>
      <c r="K4" s="301"/>
      <c r="L4" s="304"/>
    </row>
    <row r="5" spans="2:12" ht="25.5" customHeight="1">
      <c r="C5" s="306" t="s">
        <v>178</v>
      </c>
      <c r="D5" s="306" t="s">
        <v>179</v>
      </c>
      <c r="E5" s="306" t="s">
        <v>116</v>
      </c>
      <c r="F5" s="306" t="s">
        <v>178</v>
      </c>
      <c r="G5" s="306" t="s">
        <v>179</v>
      </c>
      <c r="H5" s="306" t="s">
        <v>116</v>
      </c>
      <c r="I5" s="306" t="str">
        <f>C5</f>
        <v>Thermal</v>
      </c>
      <c r="J5" s="306" t="str">
        <f>D5</f>
        <v>Solar Tracking</v>
      </c>
      <c r="K5" s="306" t="str">
        <f>E5</f>
        <v>Wind</v>
      </c>
      <c r="L5" s="304"/>
    </row>
    <row r="6" spans="2:12">
      <c r="B6" s="306" t="s">
        <v>0</v>
      </c>
      <c r="C6" s="307" t="s">
        <v>180</v>
      </c>
      <c r="D6" s="307" t="s">
        <v>180</v>
      </c>
      <c r="E6" s="307" t="s">
        <v>180</v>
      </c>
      <c r="F6" s="307" t="s">
        <v>187</v>
      </c>
      <c r="G6" s="307" t="s">
        <v>187</v>
      </c>
      <c r="H6" s="307" t="s">
        <v>187</v>
      </c>
      <c r="I6" s="308"/>
      <c r="J6" s="308"/>
      <c r="K6" s="308"/>
      <c r="L6" s="309"/>
    </row>
    <row r="7" spans="2:12">
      <c r="B7" s="306"/>
      <c r="C7" s="310" t="s">
        <v>210</v>
      </c>
      <c r="D7" s="310" t="s">
        <v>181</v>
      </c>
      <c r="E7" s="310" t="s">
        <v>182</v>
      </c>
      <c r="F7" s="311" t="s">
        <v>183</v>
      </c>
      <c r="G7" s="311" t="s">
        <v>183</v>
      </c>
      <c r="H7" s="311" t="s">
        <v>183</v>
      </c>
      <c r="I7" s="312" t="s">
        <v>184</v>
      </c>
      <c r="J7" s="312" t="s">
        <v>184</v>
      </c>
      <c r="K7" s="312" t="s">
        <v>184</v>
      </c>
      <c r="L7" s="313"/>
    </row>
    <row r="8" spans="2:12">
      <c r="B8" s="314">
        <f>'Table 1'!B13</f>
        <v>2018</v>
      </c>
      <c r="C8" s="315">
        <f ca="1">'Table 1'!G13</f>
        <v>19.377099803641613</v>
      </c>
      <c r="D8" s="315">
        <v>19.328404402546269</v>
      </c>
      <c r="E8" s="315">
        <v>17.833113681650993</v>
      </c>
      <c r="F8" s="315">
        <v>20.686513239636621</v>
      </c>
      <c r="G8" s="315">
        <v>20.455461523846051</v>
      </c>
      <c r="H8" s="315">
        <v>19.01364729426205</v>
      </c>
      <c r="I8" s="315">
        <f t="shared" ref="I8:K22" ca="1" si="0">C8-F8</f>
        <v>-1.3094134359950083</v>
      </c>
      <c r="J8" s="315">
        <f t="shared" si="0"/>
        <v>-1.1270571212997815</v>
      </c>
      <c r="K8" s="316">
        <f t="shared" si="0"/>
        <v>-1.1805336126110575</v>
      </c>
      <c r="L8" s="317"/>
    </row>
    <row r="9" spans="2:12">
      <c r="B9" s="318">
        <f>'Table 1'!B14</f>
        <v>2019</v>
      </c>
      <c r="C9" s="319">
        <f ca="1">'Table 1'!G14</f>
        <v>19.0360484141789</v>
      </c>
      <c r="D9" s="319">
        <v>17.836868198537179</v>
      </c>
      <c r="E9" s="319">
        <v>17.516273747473477</v>
      </c>
      <c r="F9" s="319">
        <v>18.836343657770026</v>
      </c>
      <c r="G9" s="319">
        <v>17.569226202204746</v>
      </c>
      <c r="H9" s="319">
        <v>17.335480251116898</v>
      </c>
      <c r="I9" s="319">
        <f t="shared" ca="1" si="0"/>
        <v>0.19970475640887386</v>
      </c>
      <c r="J9" s="319">
        <f>D9-G9</f>
        <v>0.2676419963324328</v>
      </c>
      <c r="K9" s="320">
        <f t="shared" si="0"/>
        <v>0.18079349635657849</v>
      </c>
      <c r="L9" s="317"/>
    </row>
    <row r="10" spans="2:12">
      <c r="B10" s="318">
        <f>'Table 1'!B15</f>
        <v>2020</v>
      </c>
      <c r="C10" s="319">
        <f ca="1">'Table 1'!G15</f>
        <v>16.158892978998441</v>
      </c>
      <c r="D10" s="319">
        <v>11.708927859753553</v>
      </c>
      <c r="E10" s="319">
        <v>14.780570915810726</v>
      </c>
      <c r="F10" s="319">
        <v>16.931679373057246</v>
      </c>
      <c r="G10" s="319">
        <v>11.993059926629499</v>
      </c>
      <c r="H10" s="319">
        <v>15.753546213758417</v>
      </c>
      <c r="I10" s="319">
        <f t="shared" ca="1" si="0"/>
        <v>-0.77278639405880512</v>
      </c>
      <c r="J10" s="319">
        <f t="shared" si="0"/>
        <v>-0.28413206687594617</v>
      </c>
      <c r="K10" s="320">
        <f t="shared" si="0"/>
        <v>-0.97297529794769133</v>
      </c>
      <c r="L10" s="317"/>
    </row>
    <row r="11" spans="2:12">
      <c r="B11" s="318">
        <f>'Table 1'!B16</f>
        <v>2021</v>
      </c>
      <c r="C11" s="319">
        <f ca="1">'Table 1'!G16</f>
        <v>17.956914986286222</v>
      </c>
      <c r="D11" s="319">
        <v>15.116799068386296</v>
      </c>
      <c r="E11" s="319">
        <v>26.262697399878778</v>
      </c>
      <c r="F11" s="319">
        <v>18.863136764405425</v>
      </c>
      <c r="G11" s="319">
        <v>14.951322406878681</v>
      </c>
      <c r="H11" s="319">
        <v>17.48365503585817</v>
      </c>
      <c r="I11" s="319">
        <f t="shared" ca="1" si="0"/>
        <v>-0.90622177811920324</v>
      </c>
      <c r="J11" s="319">
        <f t="shared" si="0"/>
        <v>0.16547666150761486</v>
      </c>
      <c r="K11" s="320">
        <f t="shared" si="0"/>
        <v>8.7790423640206079</v>
      </c>
      <c r="L11" s="317"/>
    </row>
    <row r="12" spans="2:12">
      <c r="B12" s="318">
        <f>'Table 1'!B17</f>
        <v>2022</v>
      </c>
      <c r="C12" s="319">
        <f ca="1">'Table 1'!G17</f>
        <v>19.773833958692858</v>
      </c>
      <c r="D12" s="319">
        <v>16.882103608658024</v>
      </c>
      <c r="E12" s="319">
        <v>27.001786479203425</v>
      </c>
      <c r="F12" s="319">
        <v>19.909214380853001</v>
      </c>
      <c r="G12" s="319">
        <v>16.983189059128364</v>
      </c>
      <c r="H12" s="319">
        <v>18.43892823103819</v>
      </c>
      <c r="I12" s="319">
        <f t="shared" ca="1" si="0"/>
        <v>-0.1353804221601429</v>
      </c>
      <c r="J12" s="319">
        <f t="shared" si="0"/>
        <v>-0.10108545047033957</v>
      </c>
      <c r="K12" s="320">
        <f t="shared" si="0"/>
        <v>8.5628582481652344</v>
      </c>
      <c r="L12" s="317"/>
    </row>
    <row r="13" spans="2:12">
      <c r="B13" s="318">
        <f>'Table 1'!B18</f>
        <v>2023</v>
      </c>
      <c r="C13" s="319">
        <f ca="1">'Table 1'!G18</f>
        <v>20.017215140398964</v>
      </c>
      <c r="D13" s="319">
        <v>17.891665537005437</v>
      </c>
      <c r="E13" s="319">
        <v>26.750840587023916</v>
      </c>
      <c r="F13" s="319">
        <v>20.738115405922567</v>
      </c>
      <c r="G13" s="319">
        <v>18.434031179574998</v>
      </c>
      <c r="H13" s="319">
        <v>19.163162260883141</v>
      </c>
      <c r="I13" s="319">
        <f t="shared" ca="1" si="0"/>
        <v>-0.72090026552360342</v>
      </c>
      <c r="J13" s="319">
        <f t="shared" si="0"/>
        <v>-0.54236564256956044</v>
      </c>
      <c r="K13" s="320">
        <f t="shared" si="0"/>
        <v>7.5876783261407752</v>
      </c>
      <c r="L13" s="317"/>
    </row>
    <row r="14" spans="2:12">
      <c r="B14" s="318">
        <f>'Table 1'!B19</f>
        <v>2024</v>
      </c>
      <c r="C14" s="319">
        <f ca="1">'Table 1'!G19</f>
        <v>22.389368523755614</v>
      </c>
      <c r="D14" s="319">
        <v>19.629914892137784</v>
      </c>
      <c r="E14" s="319">
        <v>29.366345066441305</v>
      </c>
      <c r="F14" s="319">
        <v>24.255047915752513</v>
      </c>
      <c r="G14" s="319">
        <v>21.18716125073697</v>
      </c>
      <c r="H14" s="319">
        <v>22.364736540189678</v>
      </c>
      <c r="I14" s="319">
        <f t="shared" ca="1" si="0"/>
        <v>-1.865679391996899</v>
      </c>
      <c r="J14" s="319">
        <f t="shared" si="0"/>
        <v>-1.5572463585991869</v>
      </c>
      <c r="K14" s="320">
        <f t="shared" si="0"/>
        <v>7.0016085262516263</v>
      </c>
      <c r="L14" s="317"/>
    </row>
    <row r="15" spans="2:12">
      <c r="B15" s="318">
        <f>'Table 1'!B20</f>
        <v>2025</v>
      </c>
      <c r="C15" s="319">
        <f ca="1">'Table 1'!G20</f>
        <v>25.489860483672597</v>
      </c>
      <c r="D15" s="319">
        <v>20.972060649916422</v>
      </c>
      <c r="E15" s="319">
        <v>31.567542685130874</v>
      </c>
      <c r="F15" s="319">
        <v>27.642431340829628</v>
      </c>
      <c r="G15" s="319">
        <v>23.583151326863</v>
      </c>
      <c r="H15" s="319">
        <v>25.557051380265097</v>
      </c>
      <c r="I15" s="319">
        <f t="shared" ca="1" si="0"/>
        <v>-2.1525708571570306</v>
      </c>
      <c r="J15" s="319">
        <f t="shared" si="0"/>
        <v>-2.6110906769465778</v>
      </c>
      <c r="K15" s="320">
        <f t="shared" si="0"/>
        <v>6.0104913048657771</v>
      </c>
      <c r="L15" s="317"/>
    </row>
    <row r="16" spans="2:12">
      <c r="B16" s="318">
        <f>'Table 1'!B21</f>
        <v>2026</v>
      </c>
      <c r="C16" s="319">
        <f ca="1">'Table 1'!G21</f>
        <v>25.696584595204072</v>
      </c>
      <c r="D16" s="319">
        <v>21.81053729662095</v>
      </c>
      <c r="E16" s="319">
        <v>31.682229519179661</v>
      </c>
      <c r="F16" s="319">
        <v>27.391165664119526</v>
      </c>
      <c r="G16" s="319">
        <v>24.035233724055615</v>
      </c>
      <c r="H16" s="319">
        <v>24.991285293773711</v>
      </c>
      <c r="I16" s="319">
        <f t="shared" ca="1" si="0"/>
        <v>-1.6945810689154541</v>
      </c>
      <c r="J16" s="319">
        <f t="shared" si="0"/>
        <v>-2.2246964274346652</v>
      </c>
      <c r="K16" s="320">
        <f t="shared" si="0"/>
        <v>6.6909442254059499</v>
      </c>
      <c r="L16" s="317"/>
    </row>
    <row r="17" spans="1:12">
      <c r="B17" s="318">
        <f>'Table 1'!B22</f>
        <v>2027</v>
      </c>
      <c r="C17" s="319">
        <f ca="1">'Table 1'!G22</f>
        <v>26.611859374009423</v>
      </c>
      <c r="D17" s="319">
        <v>23.505481331922041</v>
      </c>
      <c r="E17" s="319">
        <v>33.051801374225526</v>
      </c>
      <c r="F17" s="319">
        <v>28.398835786691247</v>
      </c>
      <c r="G17" s="319">
        <v>24.372922995815031</v>
      </c>
      <c r="H17" s="319">
        <v>26.078388008242715</v>
      </c>
      <c r="I17" s="319">
        <f t="shared" ca="1" si="0"/>
        <v>-1.7869764126818239</v>
      </c>
      <c r="J17" s="319">
        <f t="shared" si="0"/>
        <v>-0.86744166389298982</v>
      </c>
      <c r="K17" s="320">
        <f t="shared" si="0"/>
        <v>6.973413365982811</v>
      </c>
      <c r="L17" s="317"/>
    </row>
    <row r="18" spans="1:12">
      <c r="B18" s="318">
        <f>'Table 1'!B23</f>
        <v>2028</v>
      </c>
      <c r="C18" s="319">
        <f ca="1">'Table 1'!G23</f>
        <v>29.553824798112419</v>
      </c>
      <c r="D18" s="319">
        <v>23.684173674802519</v>
      </c>
      <c r="E18" s="319">
        <v>29.494771210585782</v>
      </c>
      <c r="F18" s="319">
        <v>30.410001034037972</v>
      </c>
      <c r="G18" s="319">
        <v>25.217618141228918</v>
      </c>
      <c r="H18" s="319">
        <v>28.565139638232051</v>
      </c>
      <c r="I18" s="319">
        <f t="shared" ca="1" si="0"/>
        <v>-0.85617623592555248</v>
      </c>
      <c r="J18" s="319">
        <f t="shared" si="0"/>
        <v>-1.5334444664263991</v>
      </c>
      <c r="K18" s="320">
        <f t="shared" si="0"/>
        <v>0.92963157235373117</v>
      </c>
      <c r="L18" s="317"/>
    </row>
    <row r="19" spans="1:12">
      <c r="B19" s="318">
        <f>'Table 1'!B24</f>
        <v>2029</v>
      </c>
      <c r="C19" s="319">
        <f ca="1">'Table 1'!G24</f>
        <v>32.508635489325002</v>
      </c>
      <c r="D19" s="319">
        <v>24.874147416685805</v>
      </c>
      <c r="E19" s="319">
        <v>31.428079014631997</v>
      </c>
      <c r="F19" s="319">
        <v>32.533062437564745</v>
      </c>
      <c r="G19" s="319">
        <v>26.924480758535847</v>
      </c>
      <c r="H19" s="319">
        <v>31.099069376772235</v>
      </c>
      <c r="I19" s="319">
        <f t="shared" ca="1" si="0"/>
        <v>-2.4426948239742785E-2</v>
      </c>
      <c r="J19" s="319">
        <f t="shared" si="0"/>
        <v>-2.0503333418500418</v>
      </c>
      <c r="K19" s="320">
        <f t="shared" si="0"/>
        <v>0.32900963785976245</v>
      </c>
      <c r="L19" s="317"/>
    </row>
    <row r="20" spans="1:12">
      <c r="B20" s="318">
        <f>'Table 1'!B25</f>
        <v>2030</v>
      </c>
      <c r="C20" s="319">
        <f ca="1">'Table 1'!G25</f>
        <v>35.740782708733668</v>
      </c>
      <c r="D20" s="319">
        <v>24.966553165009707</v>
      </c>
      <c r="E20" s="319">
        <v>32.147257181788454</v>
      </c>
      <c r="F20" s="319">
        <v>34.994356941548553</v>
      </c>
      <c r="G20" s="319">
        <v>28.2697620998294</v>
      </c>
      <c r="H20" s="319">
        <v>33.789110189686376</v>
      </c>
      <c r="I20" s="319">
        <f t="shared" ca="1" si="0"/>
        <v>0.74642576718511577</v>
      </c>
      <c r="J20" s="319">
        <f t="shared" si="0"/>
        <v>-3.3032089348196934</v>
      </c>
      <c r="K20" s="320">
        <f t="shared" si="0"/>
        <v>-1.6418530078979217</v>
      </c>
      <c r="L20" s="317"/>
    </row>
    <row r="21" spans="1:12">
      <c r="B21" s="318">
        <f>'Table 1'!B26</f>
        <v>2031</v>
      </c>
      <c r="C21" s="319">
        <f ca="1">'Table 1'!G26</f>
        <v>37.461325922649237</v>
      </c>
      <c r="D21" s="319">
        <v>26.431942911419831</v>
      </c>
      <c r="E21" s="319">
        <v>57.355157909065341</v>
      </c>
      <c r="F21" s="319">
        <v>36.425602050460242</v>
      </c>
      <c r="G21" s="319">
        <v>29.322643294692874</v>
      </c>
      <c r="H21" s="319">
        <v>35.216380538241985</v>
      </c>
      <c r="I21" s="319">
        <f t="shared" ca="1" si="0"/>
        <v>1.0357238721889956</v>
      </c>
      <c r="J21" s="319">
        <f t="shared" si="0"/>
        <v>-2.8907003832730425</v>
      </c>
      <c r="K21" s="320">
        <f t="shared" si="0"/>
        <v>22.138777370823355</v>
      </c>
      <c r="L21" s="317"/>
    </row>
    <row r="22" spans="1:12">
      <c r="B22" s="321">
        <f>'Table 1'!B27</f>
        <v>2032</v>
      </c>
      <c r="C22" s="322">
        <f ca="1">'Table 1'!G27</f>
        <v>39.215930815619281</v>
      </c>
      <c r="D22" s="322">
        <v>27.159525529996984</v>
      </c>
      <c r="E22" s="322">
        <v>57.503533244496971</v>
      </c>
      <c r="F22" s="322">
        <v>37.699859700002897</v>
      </c>
      <c r="G22" s="322">
        <v>30.115469641982838</v>
      </c>
      <c r="H22" s="322">
        <v>36.500535156756008</v>
      </c>
      <c r="I22" s="322">
        <f t="shared" ca="1" si="0"/>
        <v>1.5160711156163842</v>
      </c>
      <c r="J22" s="322">
        <f t="shared" si="0"/>
        <v>-2.9559441119858541</v>
      </c>
      <c r="K22" s="323">
        <f t="shared" si="0"/>
        <v>21.002998087740963</v>
      </c>
      <c r="L22" s="317"/>
    </row>
    <row r="23" spans="1:12">
      <c r="F23" s="306"/>
      <c r="G23" s="306"/>
      <c r="H23" s="306"/>
    </row>
    <row r="24" spans="1:12">
      <c r="B24" s="72" t="s">
        <v>209</v>
      </c>
      <c r="F24" s="306"/>
      <c r="G24" s="306"/>
      <c r="H24" s="306"/>
      <c r="L24" s="324">
        <v>0</v>
      </c>
    </row>
    <row r="25" spans="1:12">
      <c r="A25" s="4" t="s">
        <v>185</v>
      </c>
      <c r="B25" s="325" t="s">
        <v>39</v>
      </c>
      <c r="C25" s="326">
        <f ca="1">ROUND('Table 1'!G40,2)</f>
        <v>23.96</v>
      </c>
      <c r="D25" s="326">
        <v>19.72</v>
      </c>
      <c r="E25" s="326">
        <v>28.317</v>
      </c>
      <c r="F25" s="326">
        <v>24.66</v>
      </c>
      <c r="G25" s="326">
        <v>20.87</v>
      </c>
      <c r="H25" s="327">
        <v>23.041</v>
      </c>
      <c r="I25" s="319">
        <f ca="1">C25-F25</f>
        <v>-0.69999999999999929</v>
      </c>
      <c r="J25" s="319">
        <f t="shared" ref="J25:K25" si="1">D25-G25</f>
        <v>-1.1500000000000021</v>
      </c>
      <c r="K25" s="319">
        <f t="shared" si="1"/>
        <v>5.2759999999999998</v>
      </c>
      <c r="L25" s="328">
        <v>0</v>
      </c>
    </row>
    <row r="26" spans="1:12" ht="17.25" hidden="1" customHeight="1">
      <c r="B26" s="325"/>
      <c r="C26" s="319"/>
      <c r="D26" s="319"/>
      <c r="E26" s="319"/>
      <c r="F26" s="319"/>
      <c r="G26" s="319"/>
      <c r="H26" s="319"/>
      <c r="I26" s="329"/>
      <c r="J26" s="329"/>
      <c r="K26" s="329"/>
    </row>
    <row r="27" spans="1:12" ht="10.5" hidden="1" customHeight="1">
      <c r="B27" s="325"/>
      <c r="C27" s="319"/>
      <c r="D27" s="319"/>
      <c r="E27" s="319"/>
      <c r="F27" s="319"/>
      <c r="G27" s="319"/>
      <c r="H27" s="319"/>
      <c r="I27" s="319"/>
      <c r="J27" s="319"/>
      <c r="K27" s="319"/>
    </row>
    <row r="28" spans="1:12" s="71" customFormat="1" ht="5.25" customHeight="1">
      <c r="F28" s="330"/>
      <c r="G28" s="330"/>
      <c r="H28" s="330"/>
    </row>
    <row r="29" spans="1:12" s="71" customFormat="1">
      <c r="B29" s="71" t="s">
        <v>19</v>
      </c>
      <c r="C29" s="331"/>
      <c r="D29" s="331"/>
      <c r="E29" s="331"/>
      <c r="F29" s="332"/>
      <c r="G29" s="332"/>
      <c r="H29" s="332"/>
      <c r="I29" s="332"/>
      <c r="J29" s="332"/>
      <c r="K29" s="332"/>
    </row>
    <row r="30" spans="1:12" s="71" customFormat="1">
      <c r="B30" s="333" t="str">
        <f>'Table 1'!$B$56</f>
        <v>(1)   Discount Rate - 2017 IRP</v>
      </c>
      <c r="F30" s="334"/>
      <c r="G30" s="334"/>
      <c r="H30" s="334"/>
      <c r="I30" s="334"/>
      <c r="J30" s="334"/>
      <c r="K30" s="334"/>
    </row>
    <row r="31" spans="1:12" s="71" customFormat="1">
      <c r="B31" s="333" t="str">
        <f>"(2)   Total Avoided Costs with Capacity, based on stated CF"</f>
        <v>(2)   Total Avoided Costs with Capacity, based on stated CF</v>
      </c>
    </row>
    <row r="32" spans="1:12" s="71" customFormat="1">
      <c r="B32" s="71" t="str">
        <f>"(3)   15-Years: "&amp;B8&amp;" - "&amp;B22</f>
        <v>(3)   15-Years: 2018 - 2032</v>
      </c>
    </row>
    <row r="33" spans="2:11" s="71" customFormat="1">
      <c r="B33" s="11" t="str">
        <f>"(4)   Levelized Monthly"</f>
        <v>(4)   Levelized Monthly</v>
      </c>
    </row>
    <row r="34" spans="2:11" s="71" customFormat="1">
      <c r="B34" s="11"/>
    </row>
    <row r="35" spans="2:11" s="71" customFormat="1">
      <c r="B35" s="11"/>
    </row>
    <row r="36" spans="2:11" s="71" customFormat="1" hidden="1"/>
    <row r="37" spans="2:11" s="71" customFormat="1">
      <c r="C37" s="319"/>
      <c r="D37" s="319"/>
      <c r="E37" s="319"/>
      <c r="F37" s="319"/>
      <c r="G37" s="319"/>
      <c r="H37" s="319"/>
    </row>
    <row r="39" spans="2:11" s="71" customFormat="1">
      <c r="C39" s="335"/>
      <c r="D39" s="335"/>
      <c r="E39" s="335"/>
      <c r="F39" s="335"/>
      <c r="G39" s="335"/>
      <c r="H39" s="335"/>
      <c r="I39" s="335"/>
      <c r="J39" s="335"/>
      <c r="K39" s="335"/>
    </row>
  </sheetData>
  <conditionalFormatting sqref="F8:F22">
    <cfRule type="expression" dxfId="4" priority="4">
      <formula>ISNA(L8)</formula>
    </cfRule>
  </conditionalFormatting>
  <conditionalFormatting sqref="G8:G22">
    <cfRule type="expression" dxfId="3" priority="3">
      <formula>ISNA(L8)</formula>
    </cfRule>
  </conditionalFormatting>
  <conditionalFormatting sqref="H8:H22">
    <cfRule type="expression" dxfId="2" priority="2">
      <formula>ISNA(M8)</formula>
    </cfRule>
  </conditionalFormatting>
  <conditionalFormatting sqref="I8:J22">
    <cfRule type="expression" dxfId="1" priority="1">
      <formula>ISNA(N8)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D43" sqref="D43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2" width="9.33203125" style="188"/>
    <col min="13" max="13" width="9.6640625" style="188" bestFit="1" customWidth="1"/>
    <col min="14" max="15" width="17" style="188" customWidth="1"/>
    <col min="16" max="16" width="9.33203125" style="188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159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25%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110</v>
      </c>
      <c r="G5" s="19" t="s">
        <v>13</v>
      </c>
      <c r="H5" s="192" t="s">
        <v>111</v>
      </c>
      <c r="I5" s="192" t="s">
        <v>124</v>
      </c>
      <c r="J5" s="19" t="s">
        <v>73</v>
      </c>
      <c r="K5" s="192" t="s">
        <v>112</v>
      </c>
      <c r="P5" s="192"/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Yakima Solar Resource - 25%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1761.8947998896474</v>
      </c>
      <c r="D10" s="199">
        <f>C10*$C$62</f>
        <v>135.94212977052993</v>
      </c>
      <c r="E10" s="199">
        <f>C56</f>
        <v>18.739825346529312</v>
      </c>
      <c r="F10" s="200">
        <f t="shared" ref="F10:F36" si="0">(D10+E10)/(8.76*$C$63)</f>
        <v>70.914688487768075</v>
      </c>
      <c r="G10" s="200">
        <f>C58</f>
        <v>0</v>
      </c>
      <c r="H10" s="199">
        <f>C59</f>
        <v>-2.9537611535827537</v>
      </c>
      <c r="I10" s="201">
        <f t="shared" ref="I10:I36" si="1">F10+H10+G10</f>
        <v>67.960927334185328</v>
      </c>
      <c r="J10" s="201">
        <f>ROUND(I10*$C$63*8.76,2)</f>
        <v>148.24</v>
      </c>
      <c r="K10" s="199">
        <f>$C$57</f>
        <v>0.60299999999999998</v>
      </c>
      <c r="N10" s="202"/>
      <c r="P10" s="240"/>
    </row>
    <row r="11" spans="2:18">
      <c r="B11" s="197">
        <f t="shared" ref="B11:B36" si="2">B10+1</f>
        <v>2017</v>
      </c>
      <c r="C11" s="203"/>
      <c r="D11" s="199">
        <f t="shared" ref="D11:D19" si="3">ROUND(D10*(1+$D66),2)</f>
        <v>138.66</v>
      </c>
      <c r="E11" s="199">
        <f t="shared" ref="E11:E19" si="4">ROUND(E10*(1+$D66),2)</f>
        <v>19.11</v>
      </c>
      <c r="F11" s="200">
        <f t="shared" si="0"/>
        <v>72.330417560653572</v>
      </c>
      <c r="G11" s="199">
        <f t="shared" ref="G11:G19" si="5">ROUND(G10*(1+$D66),2)</f>
        <v>0</v>
      </c>
      <c r="H11" s="199">
        <f t="shared" ref="H11:H19" si="6">ROUND(H10*(1+$D66),2)</f>
        <v>-3.01</v>
      </c>
      <c r="I11" s="201">
        <f t="shared" si="1"/>
        <v>69.320417560653567</v>
      </c>
      <c r="J11" s="201">
        <f t="shared" ref="J11:J36" si="7">ROUND(I11*$C$63*8.76,2)</f>
        <v>151.19999999999999</v>
      </c>
      <c r="K11" s="199">
        <f t="shared" ref="K11:K19" si="8">ROUND(K10*(1+$D66),2)</f>
        <v>0.62</v>
      </c>
      <c r="N11" s="202"/>
      <c r="P11" s="240"/>
    </row>
    <row r="12" spans="2:18">
      <c r="B12" s="210">
        <f t="shared" si="2"/>
        <v>2018</v>
      </c>
      <c r="C12" s="211"/>
      <c r="D12" s="199">
        <f t="shared" si="3"/>
        <v>141.29</v>
      </c>
      <c r="E12" s="199">
        <f t="shared" si="4"/>
        <v>19.47</v>
      </c>
      <c r="F12" s="201">
        <f t="shared" si="0"/>
        <v>73.701197483999934</v>
      </c>
      <c r="G12" s="199">
        <f t="shared" si="5"/>
        <v>0</v>
      </c>
      <c r="H12" s="212">
        <f t="shared" si="6"/>
        <v>-3.07</v>
      </c>
      <c r="I12" s="201">
        <f t="shared" si="1"/>
        <v>70.631197483999941</v>
      </c>
      <c r="J12" s="201">
        <f t="shared" si="7"/>
        <v>154.06</v>
      </c>
      <c r="K12" s="199">
        <f t="shared" si="8"/>
        <v>0.63</v>
      </c>
      <c r="L12" s="190"/>
      <c r="N12" s="202"/>
      <c r="P12" s="240"/>
    </row>
    <row r="13" spans="2:18">
      <c r="B13" s="210">
        <f t="shared" si="2"/>
        <v>2019</v>
      </c>
      <c r="C13" s="211"/>
      <c r="D13" s="199">
        <f t="shared" si="3"/>
        <v>144.4</v>
      </c>
      <c r="E13" s="199">
        <f t="shared" si="4"/>
        <v>19.899999999999999</v>
      </c>
      <c r="F13" s="201">
        <f t="shared" si="0"/>
        <v>75.324127560470203</v>
      </c>
      <c r="G13" s="199">
        <f t="shared" si="5"/>
        <v>0</v>
      </c>
      <c r="H13" s="212">
        <f t="shared" si="6"/>
        <v>-3.14</v>
      </c>
      <c r="I13" s="201">
        <f t="shared" si="1"/>
        <v>72.184127560470202</v>
      </c>
      <c r="J13" s="201">
        <f t="shared" si="7"/>
        <v>157.44999999999999</v>
      </c>
      <c r="K13" s="199">
        <f t="shared" si="8"/>
        <v>0.64</v>
      </c>
      <c r="L13" s="190"/>
      <c r="N13" s="202"/>
      <c r="P13" s="240"/>
    </row>
    <row r="14" spans="2:18">
      <c r="B14" s="210">
        <f t="shared" si="2"/>
        <v>2020</v>
      </c>
      <c r="C14" s="211"/>
      <c r="D14" s="199">
        <f t="shared" si="3"/>
        <v>148.15</v>
      </c>
      <c r="E14" s="199">
        <f t="shared" si="4"/>
        <v>20.420000000000002</v>
      </c>
      <c r="F14" s="201">
        <f t="shared" si="0"/>
        <v>77.281729658359467</v>
      </c>
      <c r="G14" s="199">
        <f t="shared" si="5"/>
        <v>0</v>
      </c>
      <c r="H14" s="212">
        <f t="shared" si="6"/>
        <v>-3.22</v>
      </c>
      <c r="I14" s="201">
        <f t="shared" si="1"/>
        <v>74.061729658359468</v>
      </c>
      <c r="J14" s="201">
        <f t="shared" si="7"/>
        <v>161.55000000000001</v>
      </c>
      <c r="K14" s="199">
        <f t="shared" si="8"/>
        <v>0.66</v>
      </c>
      <c r="L14" s="190"/>
      <c r="N14" s="202"/>
      <c r="O14" s="207"/>
      <c r="P14" s="240"/>
      <c r="Q14" s="208"/>
      <c r="R14" s="209"/>
    </row>
    <row r="15" spans="2:18">
      <c r="B15" s="210">
        <f t="shared" si="2"/>
        <v>2021</v>
      </c>
      <c r="C15" s="211"/>
      <c r="D15" s="199">
        <f t="shared" si="3"/>
        <v>151.71</v>
      </c>
      <c r="E15" s="199">
        <f t="shared" si="4"/>
        <v>20.91</v>
      </c>
      <c r="F15" s="201">
        <f t="shared" si="0"/>
        <v>79.138471694999183</v>
      </c>
      <c r="G15" s="199">
        <f t="shared" si="5"/>
        <v>0</v>
      </c>
      <c r="H15" s="212">
        <f t="shared" si="6"/>
        <v>-3.3</v>
      </c>
      <c r="I15" s="201">
        <f t="shared" si="1"/>
        <v>75.838471694999186</v>
      </c>
      <c r="J15" s="201">
        <f t="shared" si="7"/>
        <v>165.42</v>
      </c>
      <c r="K15" s="199">
        <f t="shared" si="8"/>
        <v>0.68</v>
      </c>
      <c r="L15" s="190"/>
      <c r="N15" s="208"/>
      <c r="O15" s="208"/>
      <c r="P15" s="240"/>
      <c r="Q15" s="208"/>
      <c r="R15" s="209"/>
    </row>
    <row r="16" spans="2:18">
      <c r="B16" s="210">
        <f t="shared" si="2"/>
        <v>2022</v>
      </c>
      <c r="C16" s="211"/>
      <c r="D16" s="199">
        <f t="shared" si="3"/>
        <v>155.19999999999999</v>
      </c>
      <c r="E16" s="199">
        <f t="shared" si="4"/>
        <v>21.39</v>
      </c>
      <c r="F16" s="201">
        <f t="shared" si="0"/>
        <v>80.958537345729951</v>
      </c>
      <c r="G16" s="199">
        <f t="shared" si="5"/>
        <v>0</v>
      </c>
      <c r="H16" s="212">
        <f t="shared" si="6"/>
        <v>-3.38</v>
      </c>
      <c r="I16" s="201">
        <f t="shared" si="1"/>
        <v>77.578537345729956</v>
      </c>
      <c r="J16" s="201">
        <f t="shared" si="7"/>
        <v>169.22</v>
      </c>
      <c r="K16" s="199">
        <f t="shared" si="8"/>
        <v>0.7</v>
      </c>
      <c r="L16" s="190"/>
      <c r="N16" s="202"/>
      <c r="P16" s="240"/>
    </row>
    <row r="17" spans="2:17">
      <c r="B17" s="210">
        <f t="shared" si="2"/>
        <v>2023</v>
      </c>
      <c r="C17" s="211"/>
      <c r="D17" s="199">
        <f t="shared" si="3"/>
        <v>158.77000000000001</v>
      </c>
      <c r="E17" s="199">
        <f t="shared" si="4"/>
        <v>21.88</v>
      </c>
      <c r="F17" s="201">
        <f t="shared" si="0"/>
        <v>82.819863930608292</v>
      </c>
      <c r="G17" s="199">
        <f t="shared" si="5"/>
        <v>0</v>
      </c>
      <c r="H17" s="212">
        <f t="shared" si="6"/>
        <v>-3.46</v>
      </c>
      <c r="I17" s="201">
        <f t="shared" si="1"/>
        <v>79.359863930608299</v>
      </c>
      <c r="J17" s="201">
        <f t="shared" si="7"/>
        <v>173.1</v>
      </c>
      <c r="K17" s="199">
        <f t="shared" si="8"/>
        <v>0.72</v>
      </c>
      <c r="L17" s="190"/>
      <c r="N17" s="202"/>
      <c r="O17" s="207"/>
      <c r="P17" s="240"/>
    </row>
    <row r="18" spans="2:17">
      <c r="B18" s="210">
        <f t="shared" si="2"/>
        <v>2024</v>
      </c>
      <c r="C18" s="211"/>
      <c r="D18" s="199">
        <f t="shared" si="3"/>
        <v>162.41999999999999</v>
      </c>
      <c r="E18" s="199">
        <f t="shared" si="4"/>
        <v>22.38</v>
      </c>
      <c r="F18" s="201">
        <f t="shared" si="0"/>
        <v>84.72245144963415</v>
      </c>
      <c r="G18" s="199">
        <f t="shared" si="5"/>
        <v>0</v>
      </c>
      <c r="H18" s="212">
        <f t="shared" si="6"/>
        <v>-3.54</v>
      </c>
      <c r="I18" s="201">
        <f t="shared" si="1"/>
        <v>81.182451449634144</v>
      </c>
      <c r="J18" s="201">
        <f t="shared" si="7"/>
        <v>177.08</v>
      </c>
      <c r="K18" s="199">
        <f t="shared" si="8"/>
        <v>0.74</v>
      </c>
      <c r="L18" s="190"/>
      <c r="P18" s="240"/>
    </row>
    <row r="19" spans="2:17">
      <c r="B19" s="210">
        <f t="shared" si="2"/>
        <v>2025</v>
      </c>
      <c r="C19" s="211"/>
      <c r="D19" s="199">
        <f t="shared" si="3"/>
        <v>166.16</v>
      </c>
      <c r="E19" s="199">
        <f t="shared" si="4"/>
        <v>22.89</v>
      </c>
      <c r="F19" s="201">
        <f t="shared" si="0"/>
        <v>86.670884451046206</v>
      </c>
      <c r="G19" s="199">
        <f t="shared" si="5"/>
        <v>0</v>
      </c>
      <c r="H19" s="212">
        <f t="shared" si="6"/>
        <v>-3.62</v>
      </c>
      <c r="I19" s="201">
        <f t="shared" si="1"/>
        <v>83.050884451046201</v>
      </c>
      <c r="J19" s="201">
        <f t="shared" si="7"/>
        <v>181.15</v>
      </c>
      <c r="K19" s="199">
        <f t="shared" si="8"/>
        <v>0.76</v>
      </c>
      <c r="L19" s="190"/>
      <c r="P19" s="240"/>
    </row>
    <row r="20" spans="2:17">
      <c r="B20" s="210">
        <f t="shared" si="2"/>
        <v>2026</v>
      </c>
      <c r="C20" s="211"/>
      <c r="D20" s="199">
        <f t="shared" ref="D20:D28" si="9">ROUND(D19*(1+$G66),2)</f>
        <v>169.98</v>
      </c>
      <c r="E20" s="199">
        <f t="shared" ref="E20:E28" si="10">ROUND(E19*(1+$G66),2)</f>
        <v>23.42</v>
      </c>
      <c r="F20" s="201">
        <f t="shared" si="0"/>
        <v>88.665162934844403</v>
      </c>
      <c r="G20" s="199">
        <f t="shared" ref="G20:G28" si="11">ROUND(G19*(1+$G66),2)</f>
        <v>0</v>
      </c>
      <c r="H20" s="212">
        <f t="shared" ref="H20:H28" si="12">ROUND(H19*(1+$G66),2)</f>
        <v>-3.7</v>
      </c>
      <c r="I20" s="201">
        <f t="shared" si="1"/>
        <v>84.9651629348444</v>
      </c>
      <c r="J20" s="201">
        <f t="shared" si="7"/>
        <v>185.33</v>
      </c>
      <c r="K20" s="199">
        <f t="shared" ref="K20:K28" si="13">ROUND(K19*(1+$G66),2)</f>
        <v>0.78</v>
      </c>
      <c r="L20" s="190"/>
      <c r="P20" s="240"/>
      <c r="Q20" s="241"/>
    </row>
    <row r="21" spans="2:17">
      <c r="B21" s="210">
        <f t="shared" si="2"/>
        <v>2027</v>
      </c>
      <c r="C21" s="211"/>
      <c r="D21" s="199">
        <f t="shared" si="9"/>
        <v>173.89</v>
      </c>
      <c r="E21" s="199">
        <f t="shared" si="10"/>
        <v>23.96</v>
      </c>
      <c r="F21" s="201">
        <f t="shared" si="0"/>
        <v>90.705286901028771</v>
      </c>
      <c r="G21" s="199">
        <f t="shared" si="11"/>
        <v>0</v>
      </c>
      <c r="H21" s="212">
        <f t="shared" si="12"/>
        <v>-3.79</v>
      </c>
      <c r="I21" s="201">
        <f t="shared" si="1"/>
        <v>86.915286901028765</v>
      </c>
      <c r="J21" s="201">
        <f t="shared" si="7"/>
        <v>189.58</v>
      </c>
      <c r="K21" s="199">
        <f t="shared" si="13"/>
        <v>0.8</v>
      </c>
      <c r="L21" s="190"/>
      <c r="P21" s="240"/>
    </row>
    <row r="22" spans="2:17">
      <c r="B22" s="210">
        <f t="shared" si="2"/>
        <v>2028</v>
      </c>
      <c r="C22" s="211"/>
      <c r="D22" s="205">
        <f t="shared" si="9"/>
        <v>177.89</v>
      </c>
      <c r="E22" s="205">
        <f t="shared" si="10"/>
        <v>24.51</v>
      </c>
      <c r="F22" s="206">
        <f t="shared" si="0"/>
        <v>92.791256349599308</v>
      </c>
      <c r="G22" s="205">
        <f t="shared" si="11"/>
        <v>0</v>
      </c>
      <c r="H22" s="205">
        <f t="shared" si="12"/>
        <v>-3.88</v>
      </c>
      <c r="I22" s="206">
        <f t="shared" si="1"/>
        <v>88.911256349599313</v>
      </c>
      <c r="J22" s="206">
        <f t="shared" si="7"/>
        <v>193.94</v>
      </c>
      <c r="K22" s="205">
        <f t="shared" si="13"/>
        <v>0.82</v>
      </c>
      <c r="L22" s="190"/>
      <c r="P22" s="240"/>
    </row>
    <row r="23" spans="2:17">
      <c r="B23" s="210">
        <f t="shared" si="2"/>
        <v>2029</v>
      </c>
      <c r="C23" s="211"/>
      <c r="D23" s="199">
        <f t="shared" si="9"/>
        <v>181.98</v>
      </c>
      <c r="E23" s="199">
        <f t="shared" si="10"/>
        <v>25.07</v>
      </c>
      <c r="F23" s="201">
        <f t="shared" si="0"/>
        <v>94.923071280556016</v>
      </c>
      <c r="G23" s="199">
        <f t="shared" si="11"/>
        <v>0</v>
      </c>
      <c r="H23" s="212">
        <f t="shared" si="12"/>
        <v>-3.97</v>
      </c>
      <c r="I23" s="201">
        <f t="shared" si="1"/>
        <v>90.953071280556017</v>
      </c>
      <c r="J23" s="201">
        <f t="shared" si="7"/>
        <v>198.39</v>
      </c>
      <c r="K23" s="199">
        <f t="shared" si="13"/>
        <v>0.84</v>
      </c>
      <c r="L23" s="190"/>
      <c r="P23" s="240"/>
    </row>
    <row r="24" spans="2:17">
      <c r="B24" s="210">
        <f t="shared" si="2"/>
        <v>2030</v>
      </c>
      <c r="C24" s="211"/>
      <c r="D24" s="199">
        <f t="shared" si="9"/>
        <v>186.17</v>
      </c>
      <c r="E24" s="199">
        <f t="shared" si="10"/>
        <v>25.65</v>
      </c>
      <c r="F24" s="201">
        <f t="shared" si="0"/>
        <v>97.109900790376116</v>
      </c>
      <c r="G24" s="199">
        <f t="shared" si="11"/>
        <v>0</v>
      </c>
      <c r="H24" s="212">
        <f t="shared" si="12"/>
        <v>-4.0599999999999996</v>
      </c>
      <c r="I24" s="201">
        <f t="shared" si="1"/>
        <v>93.049900790376114</v>
      </c>
      <c r="J24" s="201">
        <f t="shared" si="7"/>
        <v>202.96</v>
      </c>
      <c r="K24" s="199">
        <f t="shared" si="13"/>
        <v>0.86</v>
      </c>
      <c r="L24" s="190"/>
      <c r="P24" s="240"/>
    </row>
    <row r="25" spans="2:17">
      <c r="B25" s="210">
        <f t="shared" si="2"/>
        <v>2031</v>
      </c>
      <c r="C25" s="211"/>
      <c r="D25" s="199">
        <f t="shared" si="9"/>
        <v>190.45</v>
      </c>
      <c r="E25" s="199">
        <f t="shared" si="10"/>
        <v>26.24</v>
      </c>
      <c r="F25" s="201">
        <f t="shared" si="0"/>
        <v>99.342575782582387</v>
      </c>
      <c r="G25" s="199">
        <f t="shared" si="11"/>
        <v>0</v>
      </c>
      <c r="H25" s="212">
        <f t="shared" si="12"/>
        <v>-4.1500000000000004</v>
      </c>
      <c r="I25" s="201">
        <f t="shared" si="1"/>
        <v>95.192575782582381</v>
      </c>
      <c r="J25" s="201">
        <f t="shared" si="7"/>
        <v>207.64</v>
      </c>
      <c r="K25" s="199">
        <f t="shared" si="13"/>
        <v>0.88</v>
      </c>
      <c r="L25" s="190"/>
      <c r="P25" s="240"/>
    </row>
    <row r="26" spans="2:17">
      <c r="B26" s="210">
        <f t="shared" si="2"/>
        <v>2032</v>
      </c>
      <c r="C26" s="211"/>
      <c r="D26" s="199">
        <f t="shared" si="9"/>
        <v>194.64</v>
      </c>
      <c r="E26" s="199">
        <f t="shared" si="10"/>
        <v>26.82</v>
      </c>
      <c r="F26" s="201">
        <f t="shared" si="0"/>
        <v>101.52940529240249</v>
      </c>
      <c r="G26" s="199">
        <f t="shared" si="11"/>
        <v>0</v>
      </c>
      <c r="H26" s="212">
        <f t="shared" si="12"/>
        <v>-4.24</v>
      </c>
      <c r="I26" s="201">
        <f t="shared" si="1"/>
        <v>97.289405292402492</v>
      </c>
      <c r="J26" s="201">
        <f t="shared" si="7"/>
        <v>212.21</v>
      </c>
      <c r="K26" s="199">
        <f t="shared" si="13"/>
        <v>0.9</v>
      </c>
      <c r="L26" s="190"/>
      <c r="P26" s="240"/>
    </row>
    <row r="27" spans="2:17">
      <c r="B27" s="210">
        <f t="shared" si="2"/>
        <v>2033</v>
      </c>
      <c r="C27" s="211"/>
      <c r="D27" s="199">
        <f t="shared" si="9"/>
        <v>198.92</v>
      </c>
      <c r="E27" s="199">
        <f t="shared" si="10"/>
        <v>27.41</v>
      </c>
      <c r="F27" s="201">
        <f t="shared" si="0"/>
        <v>103.76208028460876</v>
      </c>
      <c r="G27" s="199">
        <f t="shared" si="11"/>
        <v>0</v>
      </c>
      <c r="H27" s="212">
        <f t="shared" si="12"/>
        <v>-4.33</v>
      </c>
      <c r="I27" s="201">
        <f t="shared" si="1"/>
        <v>99.432080284608759</v>
      </c>
      <c r="J27" s="201">
        <f t="shared" si="7"/>
        <v>216.89</v>
      </c>
      <c r="K27" s="199">
        <f t="shared" si="13"/>
        <v>0.92</v>
      </c>
      <c r="L27" s="190"/>
      <c r="P27" s="240"/>
    </row>
    <row r="28" spans="2:17">
      <c r="B28" s="210">
        <f t="shared" si="2"/>
        <v>2034</v>
      </c>
      <c r="C28" s="211"/>
      <c r="D28" s="199">
        <f t="shared" si="9"/>
        <v>203.5</v>
      </c>
      <c r="E28" s="199">
        <f t="shared" si="10"/>
        <v>28.04</v>
      </c>
      <c r="F28" s="201">
        <f t="shared" si="0"/>
        <v>106.15062991692798</v>
      </c>
      <c r="G28" s="199">
        <f t="shared" si="11"/>
        <v>0</v>
      </c>
      <c r="H28" s="212">
        <f t="shared" si="12"/>
        <v>-4.43</v>
      </c>
      <c r="I28" s="201">
        <f t="shared" si="1"/>
        <v>101.72062991692798</v>
      </c>
      <c r="J28" s="201">
        <f t="shared" si="7"/>
        <v>221.88</v>
      </c>
      <c r="K28" s="199">
        <f t="shared" si="13"/>
        <v>0.94</v>
      </c>
      <c r="L28" s="190"/>
      <c r="P28" s="240"/>
    </row>
    <row r="29" spans="2:17">
      <c r="B29" s="210">
        <f t="shared" si="2"/>
        <v>2035</v>
      </c>
      <c r="C29" s="211"/>
      <c r="D29" s="199">
        <f t="shared" ref="D29:E36" si="14">ROUND(D28*(1+$K66),2)</f>
        <v>208.18</v>
      </c>
      <c r="E29" s="199">
        <f t="shared" si="14"/>
        <v>28.68</v>
      </c>
      <c r="F29" s="201">
        <f t="shared" si="0"/>
        <v>108.58960957987202</v>
      </c>
      <c r="G29" s="199">
        <f t="shared" ref="G29:H36" si="15">ROUND(G28*(1+$K66),2)</f>
        <v>0</v>
      </c>
      <c r="H29" s="212">
        <f t="shared" si="15"/>
        <v>-4.53</v>
      </c>
      <c r="I29" s="201">
        <f t="shared" si="1"/>
        <v>104.05960957987202</v>
      </c>
      <c r="J29" s="201">
        <f t="shared" si="7"/>
        <v>226.98</v>
      </c>
      <c r="K29" s="199">
        <f>ROUND(K28*(1+$K66),2)</f>
        <v>0.96</v>
      </c>
      <c r="L29" s="190"/>
      <c r="P29" s="240"/>
    </row>
    <row r="30" spans="2:17">
      <c r="B30" s="210">
        <f t="shared" si="2"/>
        <v>2036</v>
      </c>
      <c r="C30" s="211"/>
      <c r="D30" s="199">
        <f t="shared" si="14"/>
        <v>212.97</v>
      </c>
      <c r="E30" s="199">
        <f t="shared" si="14"/>
        <v>29.34</v>
      </c>
      <c r="F30" s="201">
        <f t="shared" si="0"/>
        <v>111.08818836991804</v>
      </c>
      <c r="G30" s="199">
        <f t="shared" si="15"/>
        <v>0</v>
      </c>
      <c r="H30" s="212">
        <f t="shared" si="15"/>
        <v>-4.63</v>
      </c>
      <c r="I30" s="201">
        <f t="shared" si="1"/>
        <v>106.45818836991805</v>
      </c>
      <c r="J30" s="201">
        <f t="shared" si="7"/>
        <v>232.21</v>
      </c>
      <c r="K30" s="199">
        <f t="shared" ref="K30:K36" si="16">ROUND(K29*(1+$K67),2)</f>
        <v>0.98</v>
      </c>
      <c r="L30" s="190"/>
      <c r="P30" s="240"/>
    </row>
    <row r="31" spans="2:17">
      <c r="B31" s="210">
        <f t="shared" si="2"/>
        <v>2037</v>
      </c>
      <c r="C31" s="211"/>
      <c r="D31" s="199">
        <f t="shared" si="14"/>
        <v>217.66</v>
      </c>
      <c r="E31" s="199">
        <f t="shared" si="14"/>
        <v>29.99</v>
      </c>
      <c r="F31" s="201">
        <f t="shared" si="0"/>
        <v>113.53633712933929</v>
      </c>
      <c r="G31" s="199">
        <f t="shared" si="15"/>
        <v>0</v>
      </c>
      <c r="H31" s="212">
        <f t="shared" si="15"/>
        <v>-4.7300000000000004</v>
      </c>
      <c r="I31" s="201">
        <f t="shared" si="1"/>
        <v>108.80633712933928</v>
      </c>
      <c r="J31" s="201">
        <f t="shared" si="7"/>
        <v>237.33</v>
      </c>
      <c r="K31" s="199">
        <f t="shared" si="16"/>
        <v>1</v>
      </c>
      <c r="L31" s="190"/>
      <c r="P31" s="240"/>
    </row>
    <row r="32" spans="2:17">
      <c r="B32" s="210">
        <f t="shared" si="2"/>
        <v>2038</v>
      </c>
      <c r="C32" s="211"/>
      <c r="D32" s="199">
        <f t="shared" si="14"/>
        <v>222.45</v>
      </c>
      <c r="E32" s="199">
        <f t="shared" si="14"/>
        <v>30.65</v>
      </c>
      <c r="F32" s="201">
        <f t="shared" si="0"/>
        <v>116.03491591938531</v>
      </c>
      <c r="G32" s="199">
        <f t="shared" si="15"/>
        <v>0</v>
      </c>
      <c r="H32" s="212">
        <f t="shared" si="15"/>
        <v>-4.83</v>
      </c>
      <c r="I32" s="201">
        <f t="shared" si="1"/>
        <v>111.20491591938531</v>
      </c>
      <c r="J32" s="201">
        <f t="shared" si="7"/>
        <v>242.56</v>
      </c>
      <c r="K32" s="199">
        <f t="shared" si="16"/>
        <v>1.02</v>
      </c>
      <c r="L32" s="190"/>
      <c r="P32" s="240"/>
    </row>
    <row r="33" spans="2:16">
      <c r="B33" s="210">
        <f t="shared" si="2"/>
        <v>2039</v>
      </c>
      <c r="C33" s="211"/>
      <c r="D33" s="199">
        <f t="shared" si="14"/>
        <v>227.34</v>
      </c>
      <c r="E33" s="199">
        <f t="shared" si="14"/>
        <v>31.32</v>
      </c>
      <c r="F33" s="201">
        <f t="shared" si="0"/>
        <v>118.58392474005613</v>
      </c>
      <c r="G33" s="199">
        <f t="shared" si="15"/>
        <v>0</v>
      </c>
      <c r="H33" s="212">
        <f t="shared" si="15"/>
        <v>-4.9400000000000004</v>
      </c>
      <c r="I33" s="201">
        <f t="shared" si="1"/>
        <v>113.64392474005614</v>
      </c>
      <c r="J33" s="201">
        <f t="shared" si="7"/>
        <v>247.88</v>
      </c>
      <c r="K33" s="199">
        <f t="shared" si="16"/>
        <v>1.04</v>
      </c>
      <c r="L33" s="190"/>
      <c r="P33" s="240"/>
    </row>
    <row r="34" spans="2:16">
      <c r="B34" s="210">
        <f t="shared" si="2"/>
        <v>2040</v>
      </c>
      <c r="C34" s="211"/>
      <c r="D34" s="199">
        <f t="shared" si="14"/>
        <v>232.34</v>
      </c>
      <c r="E34" s="199">
        <f t="shared" si="14"/>
        <v>32.01</v>
      </c>
      <c r="F34" s="201">
        <f t="shared" si="0"/>
        <v>121.19253268782896</v>
      </c>
      <c r="G34" s="199">
        <f t="shared" si="15"/>
        <v>0</v>
      </c>
      <c r="H34" s="212">
        <f t="shared" si="15"/>
        <v>-5.05</v>
      </c>
      <c r="I34" s="201">
        <f t="shared" si="1"/>
        <v>116.14253268782896</v>
      </c>
      <c r="J34" s="201">
        <f t="shared" si="7"/>
        <v>253.33</v>
      </c>
      <c r="K34" s="199">
        <f t="shared" si="16"/>
        <v>1.06</v>
      </c>
      <c r="L34" s="190"/>
      <c r="P34" s="240"/>
    </row>
    <row r="35" spans="2:16">
      <c r="B35" s="210">
        <f t="shared" si="2"/>
        <v>2041</v>
      </c>
      <c r="C35" s="211"/>
      <c r="D35" s="199">
        <f t="shared" si="14"/>
        <v>237.45</v>
      </c>
      <c r="E35" s="199">
        <f t="shared" si="14"/>
        <v>32.71</v>
      </c>
      <c r="F35" s="201">
        <f t="shared" si="0"/>
        <v>123.85615521446516</v>
      </c>
      <c r="G35" s="199">
        <f t="shared" si="15"/>
        <v>0</v>
      </c>
      <c r="H35" s="212">
        <f t="shared" si="15"/>
        <v>-5.16</v>
      </c>
      <c r="I35" s="201">
        <f t="shared" si="1"/>
        <v>118.69615521446516</v>
      </c>
      <c r="J35" s="201">
        <f t="shared" si="7"/>
        <v>258.89999999999998</v>
      </c>
      <c r="K35" s="199">
        <f t="shared" si="16"/>
        <v>1.08</v>
      </c>
      <c r="L35" s="190"/>
      <c r="P35" s="240"/>
    </row>
    <row r="36" spans="2:16">
      <c r="B36" s="210">
        <f t="shared" si="2"/>
        <v>2042</v>
      </c>
      <c r="C36" s="211"/>
      <c r="D36" s="199">
        <f t="shared" si="14"/>
        <v>242.67</v>
      </c>
      <c r="E36" s="199">
        <f t="shared" si="14"/>
        <v>33.43</v>
      </c>
      <c r="F36" s="201">
        <f t="shared" si="0"/>
        <v>126.5793768682034</v>
      </c>
      <c r="G36" s="199">
        <f t="shared" si="15"/>
        <v>0</v>
      </c>
      <c r="H36" s="212">
        <f t="shared" si="15"/>
        <v>-5.27</v>
      </c>
      <c r="I36" s="201">
        <f t="shared" si="1"/>
        <v>121.3093768682034</v>
      </c>
      <c r="J36" s="201">
        <f t="shared" si="7"/>
        <v>264.60000000000002</v>
      </c>
      <c r="K36" s="199">
        <f t="shared" si="16"/>
        <v>1.1000000000000001</v>
      </c>
      <c r="L36" s="190"/>
      <c r="P36" s="240"/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113</v>
      </c>
      <c r="C44" s="216" t="s">
        <v>114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115</v>
      </c>
    </row>
    <row r="46" spans="2:16">
      <c r="C46" s="216" t="str">
        <f>D7</f>
        <v>(b)</v>
      </c>
      <c r="D46" s="201" t="str">
        <f>"= "&amp;C7&amp;" x "&amp;C62</f>
        <v>= (a) x 0.0771567801772526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24.9%)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Yakima Solar Resource - 25%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122</v>
      </c>
      <c r="D53" s="222" t="s">
        <v>117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104</v>
      </c>
      <c r="C55" s="224">
        <v>1761.8947998896474</v>
      </c>
      <c r="D55" s="188" t="s">
        <v>115</v>
      </c>
      <c r="H55" s="188" t="s">
        <v>9</v>
      </c>
    </row>
    <row r="56" spans="2:24">
      <c r="B56" s="104" t="s">
        <v>104</v>
      </c>
      <c r="C56" s="225">
        <v>18.739825346529312</v>
      </c>
      <c r="D56" s="188" t="s">
        <v>118</v>
      </c>
      <c r="H56" s="188" t="s">
        <v>9</v>
      </c>
    </row>
    <row r="57" spans="2:24">
      <c r="B57" s="104" t="s">
        <v>104</v>
      </c>
      <c r="C57" s="230">
        <v>0.60299999999999998</v>
      </c>
      <c r="D57" s="188" t="s">
        <v>123</v>
      </c>
      <c r="H57" s="188" t="s">
        <v>120</v>
      </c>
    </row>
    <row r="58" spans="2:24">
      <c r="B58" s="104" t="s">
        <v>104</v>
      </c>
      <c r="C58" s="225">
        <v>0</v>
      </c>
      <c r="D58" s="188" t="s">
        <v>119</v>
      </c>
      <c r="H58" s="188" t="s">
        <v>120</v>
      </c>
      <c r="K58" s="190"/>
      <c r="L58" s="226"/>
      <c r="M58" s="69"/>
      <c r="N58" s="227" t="s">
        <v>127</v>
      </c>
      <c r="O58" s="69" t="s">
        <v>126</v>
      </c>
      <c r="P58" s="229" t="s">
        <v>128</v>
      </c>
      <c r="Q58" s="69"/>
      <c r="S58" s="190"/>
      <c r="T58" s="190"/>
      <c r="U58" s="190"/>
      <c r="V58" s="190"/>
      <c r="W58" s="190"/>
      <c r="X58" s="190"/>
    </row>
    <row r="59" spans="2:24">
      <c r="B59" s="104" t="s">
        <v>104</v>
      </c>
      <c r="C59" s="238">
        <f>$P$63</f>
        <v>-2.9537611535827537</v>
      </c>
      <c r="D59" s="188" t="s">
        <v>121</v>
      </c>
      <c r="H59" s="188" t="s">
        <v>120</v>
      </c>
      <c r="K59" s="228"/>
      <c r="L59" s="228"/>
      <c r="N59" s="228">
        <f>C55</f>
        <v>1761.8947998896474</v>
      </c>
      <c r="O59" s="248">
        <v>6.910504691716815E-2</v>
      </c>
      <c r="P59" s="242">
        <f>O59*N59/8760/$C$63*1000-O60*N60/8760/$C$63*1000</f>
        <v>-6.5037808590715613</v>
      </c>
      <c r="Q59" s="249"/>
      <c r="R59" s="230"/>
      <c r="S59" s="190"/>
      <c r="T59" s="190"/>
      <c r="U59" s="190"/>
      <c r="V59" s="190"/>
      <c r="W59" s="190"/>
      <c r="X59" s="190"/>
    </row>
    <row r="60" spans="2:24">
      <c r="K60" s="228"/>
      <c r="N60" s="228">
        <f>N59</f>
        <v>1761.8947998896474</v>
      </c>
      <c r="O60" s="248">
        <v>7.7156780177252568E-2</v>
      </c>
      <c r="P60" s="190"/>
      <c r="Q60" s="249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N61" s="235"/>
      <c r="O61" s="235"/>
      <c r="S61" s="190"/>
      <c r="T61" s="190"/>
      <c r="U61" s="190"/>
      <c r="V61" s="190"/>
      <c r="W61" s="190"/>
      <c r="X61" s="190"/>
    </row>
    <row r="62" spans="2:24">
      <c r="C62" s="233">
        <v>7.7156780177252568E-2</v>
      </c>
      <c r="D62" s="188" t="s">
        <v>54</v>
      </c>
      <c r="K62" s="234"/>
      <c r="N62" s="227" t="s">
        <v>127</v>
      </c>
      <c r="O62" s="69" t="s">
        <v>126</v>
      </c>
      <c r="P62" s="229" t="s">
        <v>129</v>
      </c>
    </row>
    <row r="63" spans="2:24">
      <c r="C63" s="239">
        <v>0.249</v>
      </c>
      <c r="D63" s="188" t="s">
        <v>55</v>
      </c>
      <c r="N63" s="228">
        <f>N59</f>
        <v>1761.8947998896474</v>
      </c>
      <c r="O63" s="248">
        <v>7.3499999999999996E-2</v>
      </c>
      <c r="P63" s="242">
        <f>O63*N63/8760/$C$63*1000-O64*N64/8760/$C$63*1000</f>
        <v>-2.9537611535827537</v>
      </c>
      <c r="R63" s="188" t="s">
        <v>130</v>
      </c>
    </row>
    <row r="64" spans="2:24" ht="13.5" thickBot="1">
      <c r="D64" s="231"/>
      <c r="N64" s="228">
        <f>N59</f>
        <v>1761.8947998896474</v>
      </c>
      <c r="O64" s="248">
        <v>7.7156780177252568E-2</v>
      </c>
      <c r="P64" s="190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17">C66+1</f>
        <v>2018</v>
      </c>
      <c r="D67" s="57">
        <v>1.9E-2</v>
      </c>
      <c r="E67" s="104"/>
      <c r="F67" s="129">
        <f t="shared" ref="F67:F74" si="18">F66+1</f>
        <v>2027</v>
      </c>
      <c r="G67" s="57">
        <v>2.3E-2</v>
      </c>
      <c r="H67" s="104"/>
      <c r="I67" s="129">
        <f t="shared" ref="I67:I74" si="19">I66+1</f>
        <v>2036</v>
      </c>
      <c r="J67" s="129"/>
      <c r="K67" s="57">
        <v>2.3E-2</v>
      </c>
    </row>
    <row r="68" spans="3:11">
      <c r="C68" s="129">
        <f t="shared" si="17"/>
        <v>2019</v>
      </c>
      <c r="D68" s="57">
        <v>2.1999999999999999E-2</v>
      </c>
      <c r="E68" s="104"/>
      <c r="F68" s="129">
        <f t="shared" si="18"/>
        <v>2028</v>
      </c>
      <c r="G68" s="57">
        <v>2.3E-2</v>
      </c>
      <c r="H68" s="104"/>
      <c r="I68" s="129">
        <f t="shared" si="19"/>
        <v>2037</v>
      </c>
      <c r="J68" s="129"/>
      <c r="K68" s="57">
        <v>2.1999999999999999E-2</v>
      </c>
    </row>
    <row r="69" spans="3:11">
      <c r="C69" s="129">
        <f t="shared" si="17"/>
        <v>2020</v>
      </c>
      <c r="D69" s="57">
        <v>2.5999999999999999E-2</v>
      </c>
      <c r="E69" s="104"/>
      <c r="F69" s="129">
        <f t="shared" si="18"/>
        <v>2029</v>
      </c>
      <c r="G69" s="57">
        <v>2.3E-2</v>
      </c>
      <c r="H69" s="104"/>
      <c r="I69" s="129">
        <f t="shared" si="19"/>
        <v>2038</v>
      </c>
      <c r="J69" s="129"/>
      <c r="K69" s="57">
        <v>2.1999999999999999E-2</v>
      </c>
    </row>
    <row r="70" spans="3:11">
      <c r="C70" s="129">
        <f t="shared" si="17"/>
        <v>2021</v>
      </c>
      <c r="D70" s="57">
        <v>2.4E-2</v>
      </c>
      <c r="E70" s="104"/>
      <c r="F70" s="129">
        <f t="shared" si="18"/>
        <v>2030</v>
      </c>
      <c r="G70" s="57">
        <v>2.3E-2</v>
      </c>
      <c r="H70" s="104"/>
      <c r="I70" s="129">
        <f t="shared" si="19"/>
        <v>2039</v>
      </c>
      <c r="J70" s="129"/>
      <c r="K70" s="57">
        <v>2.1999999999999999E-2</v>
      </c>
    </row>
    <row r="71" spans="3:11">
      <c r="C71" s="129">
        <f t="shared" si="17"/>
        <v>2022</v>
      </c>
      <c r="D71" s="57">
        <v>2.3E-2</v>
      </c>
      <c r="E71" s="104"/>
      <c r="F71" s="129">
        <f t="shared" si="18"/>
        <v>2031</v>
      </c>
      <c r="G71" s="57">
        <v>2.3E-2</v>
      </c>
      <c r="H71" s="104"/>
      <c r="I71" s="129">
        <f t="shared" si="19"/>
        <v>2040</v>
      </c>
      <c r="J71" s="129"/>
      <c r="K71" s="57">
        <v>2.1999999999999999E-2</v>
      </c>
    </row>
    <row r="72" spans="3:11" s="190" customFormat="1">
      <c r="C72" s="129">
        <f t="shared" si="17"/>
        <v>2023</v>
      </c>
      <c r="D72" s="57">
        <v>2.3E-2</v>
      </c>
      <c r="E72" s="106"/>
      <c r="F72" s="129">
        <f t="shared" si="18"/>
        <v>2032</v>
      </c>
      <c r="G72" s="57">
        <v>2.1999999999999999E-2</v>
      </c>
      <c r="H72" s="106"/>
      <c r="I72" s="129">
        <f t="shared" si="19"/>
        <v>2041</v>
      </c>
      <c r="J72" s="129"/>
      <c r="K72" s="57">
        <v>2.1999999999999999E-2</v>
      </c>
    </row>
    <row r="73" spans="3:11" s="190" customFormat="1">
      <c r="C73" s="129">
        <f t="shared" si="17"/>
        <v>2024</v>
      </c>
      <c r="D73" s="57">
        <v>2.3E-2</v>
      </c>
      <c r="E73" s="106"/>
      <c r="F73" s="129">
        <f t="shared" si="18"/>
        <v>2033</v>
      </c>
      <c r="G73" s="57">
        <v>2.1999999999999999E-2</v>
      </c>
      <c r="H73" s="106"/>
      <c r="I73" s="129">
        <f t="shared" si="19"/>
        <v>2042</v>
      </c>
      <c r="J73" s="129"/>
      <c r="K73" s="57">
        <v>2.1999999999999999E-2</v>
      </c>
    </row>
    <row r="74" spans="3:11" s="190" customFormat="1">
      <c r="C74" s="129">
        <f t="shared" si="17"/>
        <v>2025</v>
      </c>
      <c r="D74" s="57">
        <v>2.3E-2</v>
      </c>
      <c r="E74" s="106"/>
      <c r="F74" s="129">
        <f t="shared" si="18"/>
        <v>2034</v>
      </c>
      <c r="G74" s="57">
        <v>2.3E-2</v>
      </c>
      <c r="H74" s="106"/>
      <c r="I74" s="129">
        <f t="shared" si="19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E54" sqref="E54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9" width="12.5" style="188" customWidth="1"/>
    <col min="10" max="10" width="11.6640625" style="188" customWidth="1"/>
    <col min="11" max="12" width="9.33203125" style="188"/>
    <col min="13" max="13" width="17.5" style="188" customWidth="1"/>
    <col min="14" max="14" width="4.83203125" style="188" customWidth="1"/>
    <col min="15" max="15" width="11.5" style="188" customWidth="1"/>
    <col min="16" max="16" width="12.5" style="188" customWidth="1"/>
    <col min="17" max="16384" width="9.33203125" style="188"/>
  </cols>
  <sheetData>
    <row r="1" spans="2:19" ht="15.75">
      <c r="B1" s="186" t="s">
        <v>85</v>
      </c>
      <c r="C1" s="187"/>
      <c r="D1" s="187"/>
      <c r="E1" s="187"/>
      <c r="F1" s="187"/>
      <c r="G1" s="187"/>
      <c r="H1" s="187"/>
      <c r="I1" s="187"/>
    </row>
    <row r="2" spans="2:19" ht="15.75">
      <c r="B2" s="186" t="s">
        <v>160</v>
      </c>
      <c r="C2" s="187"/>
      <c r="D2" s="187"/>
      <c r="E2" s="187"/>
      <c r="F2" s="187"/>
      <c r="G2" s="187"/>
      <c r="H2" s="187"/>
      <c r="I2" s="187"/>
    </row>
    <row r="3" spans="2:19" ht="15.75">
      <c r="B3" s="186" t="str">
        <f>TEXT($C$63,"0%")&amp;" Capacity Factor"</f>
        <v>90% Capacity Factor</v>
      </c>
      <c r="C3" s="187"/>
      <c r="D3" s="187"/>
      <c r="E3" s="187"/>
      <c r="F3" s="187"/>
      <c r="G3" s="187"/>
      <c r="H3" s="187"/>
      <c r="I3" s="187"/>
    </row>
    <row r="4" spans="2:19">
      <c r="B4" s="189"/>
      <c r="C4" s="189"/>
      <c r="D4" s="189"/>
      <c r="E4" s="189"/>
      <c r="F4" s="189"/>
      <c r="G4" s="189"/>
      <c r="H4" s="189"/>
      <c r="I4" s="190"/>
      <c r="J4" s="190"/>
    </row>
    <row r="5" spans="2:19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110</v>
      </c>
      <c r="G5" s="19" t="s">
        <v>13</v>
      </c>
      <c r="H5" s="192" t="s">
        <v>111</v>
      </c>
      <c r="I5" s="192" t="s">
        <v>124</v>
      </c>
      <c r="J5" s="19" t="s">
        <v>73</v>
      </c>
      <c r="K5"/>
      <c r="Q5" s="252"/>
    </row>
    <row r="6" spans="2:19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/>
      <c r="N6" s="254"/>
      <c r="O6" s="254"/>
      <c r="P6" s="70"/>
      <c r="Q6" s="70"/>
      <c r="R6" s="70"/>
    </row>
    <row r="7" spans="2:19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/>
      <c r="N7" s="70"/>
      <c r="O7" s="70"/>
      <c r="P7" s="70"/>
      <c r="Q7" s="70"/>
      <c r="R7" s="70"/>
    </row>
    <row r="8" spans="2:19" ht="6" customHeight="1">
      <c r="K8"/>
    </row>
    <row r="9" spans="2:19" ht="15.75">
      <c r="B9" s="60" t="str">
        <f>C52</f>
        <v>2017 IRP Geothermal PPA West Side Resource - 90% Capacity Factor</v>
      </c>
      <c r="C9" s="190"/>
      <c r="E9" s="190"/>
      <c r="F9" s="190"/>
      <c r="G9" s="190"/>
      <c r="H9" s="190"/>
      <c r="I9" s="190"/>
      <c r="J9" s="190"/>
      <c r="K9"/>
    </row>
    <row r="10" spans="2:19">
      <c r="B10" s="197">
        <v>2016</v>
      </c>
      <c r="C10" s="198">
        <f>C55</f>
        <v>0</v>
      </c>
      <c r="D10" s="199">
        <f>C10*$C$62</f>
        <v>0</v>
      </c>
      <c r="E10" s="199">
        <f>C56</f>
        <v>0</v>
      </c>
      <c r="F10" s="200">
        <f t="shared" ref="F10:F36" si="0">(D10+E10)/(8.76*$C$63)</f>
        <v>0</v>
      </c>
      <c r="G10" s="200">
        <f>$C$58</f>
        <v>77.34</v>
      </c>
      <c r="H10" s="247">
        <f>C59</f>
        <v>0</v>
      </c>
      <c r="I10" s="201">
        <f>F10+H10+G10</f>
        <v>77.34</v>
      </c>
      <c r="J10" s="201">
        <f>ROUND(I10*$C$63*8.76,2)</f>
        <v>611.44000000000005</v>
      </c>
      <c r="K10"/>
      <c r="N10" s="70"/>
      <c r="O10" s="70"/>
      <c r="P10" s="70"/>
      <c r="Q10" s="253"/>
      <c r="R10" s="70"/>
    </row>
    <row r="11" spans="2:19">
      <c r="B11" s="197">
        <f t="shared" ref="B11:B36" si="1">B10+1</f>
        <v>2017</v>
      </c>
      <c r="C11" s="203"/>
      <c r="D11" s="199">
        <f>ROUND(D10*(1+$D66),2)</f>
        <v>0</v>
      </c>
      <c r="E11" s="199">
        <f>ROUND(E10*(1+$D66),2)</f>
        <v>0</v>
      </c>
      <c r="F11" s="200">
        <f t="shared" si="0"/>
        <v>0</v>
      </c>
      <c r="G11" s="109">
        <f>ROUND(G10*(1+$D66),2)</f>
        <v>78.89</v>
      </c>
      <c r="H11" s="199">
        <f>ROUND(H10*(1+$D66),2)</f>
        <v>0</v>
      </c>
      <c r="I11" s="201">
        <f>F11+H11+G11</f>
        <v>78.89</v>
      </c>
      <c r="J11" s="201">
        <f t="shared" ref="J11:J36" si="2">ROUND(I11*$C$63*8.76,2)</f>
        <v>623.70000000000005</v>
      </c>
      <c r="K11"/>
      <c r="N11" s="70"/>
      <c r="O11" s="70"/>
      <c r="P11" s="70"/>
      <c r="Q11" s="253"/>
      <c r="R11" s="70"/>
    </row>
    <row r="12" spans="2:19">
      <c r="B12" s="210">
        <f t="shared" si="1"/>
        <v>2018</v>
      </c>
      <c r="C12" s="211"/>
      <c r="D12" s="199">
        <f t="shared" ref="D12:E19" si="3">ROUND(D11*(1+$D67),2)</f>
        <v>0</v>
      </c>
      <c r="E12" s="199">
        <f t="shared" si="3"/>
        <v>0</v>
      </c>
      <c r="F12" s="201">
        <f t="shared" si="0"/>
        <v>0</v>
      </c>
      <c r="G12" s="199">
        <f t="shared" ref="G12:G19" si="4">ROUND(G11*(1+$D67),2)</f>
        <v>80.39</v>
      </c>
      <c r="H12" s="212">
        <f t="shared" ref="H12" si="5">ROUND(H11*(1+$D67),2)</f>
        <v>0</v>
      </c>
      <c r="I12" s="201">
        <f t="shared" ref="I12:I36" si="6">F12+H12+G12</f>
        <v>80.39</v>
      </c>
      <c r="J12" s="201">
        <f t="shared" si="2"/>
        <v>635.55999999999995</v>
      </c>
      <c r="K12"/>
      <c r="L12" s="190"/>
      <c r="N12" s="70"/>
      <c r="O12" s="70"/>
      <c r="P12" s="70"/>
      <c r="Q12" s="253"/>
      <c r="R12" s="70"/>
    </row>
    <row r="13" spans="2:19">
      <c r="B13" s="210">
        <f t="shared" si="1"/>
        <v>2019</v>
      </c>
      <c r="C13" s="211"/>
      <c r="D13" s="199">
        <f t="shared" si="3"/>
        <v>0</v>
      </c>
      <c r="E13" s="199">
        <f t="shared" si="3"/>
        <v>0</v>
      </c>
      <c r="F13" s="201">
        <f t="shared" si="0"/>
        <v>0</v>
      </c>
      <c r="G13" s="199">
        <f t="shared" si="4"/>
        <v>82.16</v>
      </c>
      <c r="H13" s="212">
        <f t="shared" ref="H13" si="7">ROUND(H12*(1+$D68),2)</f>
        <v>0</v>
      </c>
      <c r="I13" s="201">
        <f t="shared" si="6"/>
        <v>82.16</v>
      </c>
      <c r="J13" s="201">
        <f t="shared" si="2"/>
        <v>649.54999999999995</v>
      </c>
      <c r="K13"/>
      <c r="L13" s="190"/>
      <c r="N13" s="70"/>
      <c r="O13" s="70"/>
      <c r="P13" s="70"/>
      <c r="Q13" s="253"/>
      <c r="R13" s="70"/>
    </row>
    <row r="14" spans="2:19">
      <c r="B14" s="210">
        <f t="shared" si="1"/>
        <v>2020</v>
      </c>
      <c r="C14" s="211"/>
      <c r="D14" s="199">
        <f t="shared" si="3"/>
        <v>0</v>
      </c>
      <c r="E14" s="199">
        <f t="shared" si="3"/>
        <v>0</v>
      </c>
      <c r="F14" s="201">
        <f t="shared" si="0"/>
        <v>0</v>
      </c>
      <c r="G14" s="199">
        <f t="shared" si="4"/>
        <v>84.3</v>
      </c>
      <c r="H14" s="212">
        <f t="shared" ref="H14" si="8">ROUND(H13*(1+$D69),2)</f>
        <v>0</v>
      </c>
      <c r="I14" s="201">
        <f t="shared" si="6"/>
        <v>84.3</v>
      </c>
      <c r="J14" s="201">
        <f t="shared" si="2"/>
        <v>666.47</v>
      </c>
      <c r="K14"/>
      <c r="L14" s="190"/>
      <c r="N14" s="70"/>
      <c r="O14" s="70"/>
      <c r="P14" s="70"/>
      <c r="Q14" s="253"/>
      <c r="R14" s="70"/>
      <c r="S14" s="209"/>
    </row>
    <row r="15" spans="2:19">
      <c r="B15" s="210">
        <f t="shared" si="1"/>
        <v>2021</v>
      </c>
      <c r="C15" s="211"/>
      <c r="D15" s="199">
        <f t="shared" si="3"/>
        <v>0</v>
      </c>
      <c r="E15" s="199">
        <f t="shared" si="3"/>
        <v>0</v>
      </c>
      <c r="F15" s="201">
        <f t="shared" si="0"/>
        <v>0</v>
      </c>
      <c r="G15" s="199">
        <f t="shared" si="4"/>
        <v>86.32</v>
      </c>
      <c r="H15" s="212">
        <f t="shared" ref="H15" si="9">ROUND(H14*(1+$D70),2)</f>
        <v>0</v>
      </c>
      <c r="I15" s="201">
        <f t="shared" si="6"/>
        <v>86.32</v>
      </c>
      <c r="J15" s="201">
        <f t="shared" si="2"/>
        <v>682.44</v>
      </c>
      <c r="K15"/>
      <c r="L15" s="190"/>
      <c r="N15" s="70"/>
      <c r="O15" s="70"/>
      <c r="P15" s="70"/>
      <c r="Q15" s="253"/>
      <c r="R15" s="70"/>
      <c r="S15" s="209"/>
    </row>
    <row r="16" spans="2:19">
      <c r="B16" s="210">
        <f t="shared" si="1"/>
        <v>2022</v>
      </c>
      <c r="C16" s="211"/>
      <c r="D16" s="199">
        <f t="shared" si="3"/>
        <v>0</v>
      </c>
      <c r="E16" s="199">
        <f t="shared" si="3"/>
        <v>0</v>
      </c>
      <c r="F16" s="201">
        <f t="shared" si="0"/>
        <v>0</v>
      </c>
      <c r="G16" s="199">
        <f t="shared" si="4"/>
        <v>88.31</v>
      </c>
      <c r="H16" s="212">
        <f t="shared" ref="H16" si="10">ROUND(H15*(1+$D71),2)</f>
        <v>0</v>
      </c>
      <c r="I16" s="201">
        <f t="shared" si="6"/>
        <v>88.31</v>
      </c>
      <c r="J16" s="201">
        <f t="shared" si="2"/>
        <v>698.17</v>
      </c>
      <c r="K16"/>
      <c r="L16" s="190"/>
      <c r="N16" s="70"/>
      <c r="O16" s="70"/>
      <c r="P16" s="70"/>
      <c r="Q16" s="253"/>
      <c r="R16" s="70"/>
    </row>
    <row r="17" spans="2:19">
      <c r="B17" s="210">
        <f t="shared" si="1"/>
        <v>2023</v>
      </c>
      <c r="C17" s="211"/>
      <c r="D17" s="199">
        <f t="shared" si="3"/>
        <v>0</v>
      </c>
      <c r="E17" s="199">
        <f t="shared" si="3"/>
        <v>0</v>
      </c>
      <c r="F17" s="201">
        <f t="shared" si="0"/>
        <v>0</v>
      </c>
      <c r="G17" s="199">
        <f t="shared" si="4"/>
        <v>90.34</v>
      </c>
      <c r="H17" s="212">
        <f t="shared" ref="H17" si="11">ROUND(H16*(1+$D72),2)</f>
        <v>0</v>
      </c>
      <c r="I17" s="201">
        <f t="shared" si="6"/>
        <v>90.34</v>
      </c>
      <c r="J17" s="201">
        <f t="shared" si="2"/>
        <v>714.22</v>
      </c>
      <c r="K17"/>
      <c r="L17" s="190"/>
      <c r="N17" s="70"/>
      <c r="O17" s="70"/>
      <c r="P17" s="70"/>
      <c r="Q17" s="253"/>
      <c r="R17" s="70"/>
    </row>
    <row r="18" spans="2:19">
      <c r="B18" s="210">
        <f t="shared" si="1"/>
        <v>2024</v>
      </c>
      <c r="C18" s="211"/>
      <c r="D18" s="199">
        <f t="shared" si="3"/>
        <v>0</v>
      </c>
      <c r="E18" s="199">
        <f t="shared" si="3"/>
        <v>0</v>
      </c>
      <c r="F18" s="201">
        <f t="shared" si="0"/>
        <v>0</v>
      </c>
      <c r="G18" s="199">
        <f t="shared" si="4"/>
        <v>92.42</v>
      </c>
      <c r="H18" s="212">
        <f t="shared" ref="H18" si="12">ROUND(H17*(1+$D73),2)</f>
        <v>0</v>
      </c>
      <c r="I18" s="201">
        <f t="shared" si="6"/>
        <v>92.42</v>
      </c>
      <c r="J18" s="201">
        <f t="shared" si="2"/>
        <v>730.66</v>
      </c>
      <c r="K18"/>
      <c r="L18" s="190"/>
      <c r="N18" s="70"/>
      <c r="O18" s="70"/>
      <c r="P18" s="70"/>
      <c r="Q18" s="253"/>
      <c r="R18" s="70"/>
    </row>
    <row r="19" spans="2:19">
      <c r="B19" s="210">
        <f t="shared" si="1"/>
        <v>2025</v>
      </c>
      <c r="C19" s="211"/>
      <c r="D19" s="199">
        <f t="shared" si="3"/>
        <v>0</v>
      </c>
      <c r="E19" s="199">
        <f t="shared" si="3"/>
        <v>0</v>
      </c>
      <c r="F19" s="201">
        <f t="shared" si="0"/>
        <v>0</v>
      </c>
      <c r="G19" s="199">
        <f t="shared" si="4"/>
        <v>94.55</v>
      </c>
      <c r="H19" s="212">
        <f t="shared" ref="H19" si="13">ROUND(H18*(1+$D74),2)</f>
        <v>0</v>
      </c>
      <c r="I19" s="201">
        <f t="shared" si="6"/>
        <v>94.55</v>
      </c>
      <c r="J19" s="201">
        <f t="shared" si="2"/>
        <v>747.5</v>
      </c>
      <c r="K19"/>
      <c r="L19" s="190"/>
      <c r="N19" s="70"/>
      <c r="O19" s="70"/>
      <c r="P19" s="70"/>
      <c r="Q19" s="253"/>
      <c r="R19" s="70"/>
    </row>
    <row r="20" spans="2:19">
      <c r="B20" s="210">
        <f t="shared" si="1"/>
        <v>2026</v>
      </c>
      <c r="C20" s="211"/>
      <c r="D20" s="199">
        <f>ROUND(D19*(1+$G66),2)</f>
        <v>0</v>
      </c>
      <c r="E20" s="199">
        <f>ROUND(E19*(1+$G66),2)</f>
        <v>0</v>
      </c>
      <c r="F20" s="201">
        <f t="shared" si="0"/>
        <v>0</v>
      </c>
      <c r="G20" s="199">
        <f>ROUND(G19*(1+$G66),2)</f>
        <v>96.72</v>
      </c>
      <c r="H20" s="212">
        <f>ROUND(H19*(1+$G66),2)</f>
        <v>0</v>
      </c>
      <c r="I20" s="201">
        <f t="shared" si="6"/>
        <v>96.72</v>
      </c>
      <c r="J20" s="201">
        <f t="shared" si="2"/>
        <v>764.66</v>
      </c>
      <c r="K20"/>
      <c r="L20" s="190"/>
      <c r="N20" s="70"/>
      <c r="O20" s="70"/>
      <c r="P20" s="70"/>
      <c r="Q20" s="253"/>
      <c r="R20" s="70"/>
    </row>
    <row r="21" spans="2:19">
      <c r="B21" s="210">
        <f t="shared" si="1"/>
        <v>2027</v>
      </c>
      <c r="C21" s="211"/>
      <c r="D21" s="199">
        <f t="shared" ref="D21:E28" si="14">ROUND(D20*(1+$G67),2)</f>
        <v>0</v>
      </c>
      <c r="E21" s="199">
        <f t="shared" si="14"/>
        <v>0</v>
      </c>
      <c r="F21" s="201">
        <f t="shared" si="0"/>
        <v>0</v>
      </c>
      <c r="G21" s="199">
        <f t="shared" ref="G21:G28" si="15">ROUND(G20*(1+$G67),2)</f>
        <v>98.94</v>
      </c>
      <c r="H21" s="212">
        <f t="shared" ref="H21" si="16">ROUND(H20*(1+$G67),2)</f>
        <v>0</v>
      </c>
      <c r="I21" s="201">
        <f t="shared" si="6"/>
        <v>98.94</v>
      </c>
      <c r="J21" s="201">
        <f t="shared" si="2"/>
        <v>782.21</v>
      </c>
      <c r="K21"/>
      <c r="L21" s="190"/>
      <c r="N21" s="70"/>
      <c r="O21" s="70"/>
      <c r="P21" s="70"/>
      <c r="Q21" s="253"/>
      <c r="R21" s="70"/>
    </row>
    <row r="22" spans="2:19">
      <c r="B22" s="210">
        <f t="shared" si="1"/>
        <v>2028</v>
      </c>
      <c r="C22" s="211"/>
      <c r="D22" s="205">
        <f t="shared" si="14"/>
        <v>0</v>
      </c>
      <c r="E22" s="205">
        <f t="shared" si="14"/>
        <v>0</v>
      </c>
      <c r="F22" s="206">
        <f t="shared" si="0"/>
        <v>0</v>
      </c>
      <c r="G22" s="205">
        <f t="shared" si="15"/>
        <v>101.22</v>
      </c>
      <c r="H22" s="205">
        <f t="shared" ref="H22" si="17">ROUND(H21*(1+$G68),2)</f>
        <v>0</v>
      </c>
      <c r="I22" s="206">
        <f t="shared" si="6"/>
        <v>101.22</v>
      </c>
      <c r="J22" s="206">
        <f t="shared" si="2"/>
        <v>800.24</v>
      </c>
      <c r="K22"/>
      <c r="L22" s="190"/>
      <c r="N22" s="70"/>
      <c r="O22" s="70"/>
      <c r="P22" s="70"/>
      <c r="Q22" s="253"/>
      <c r="R22" s="70"/>
    </row>
    <row r="23" spans="2:19">
      <c r="B23" s="210">
        <f t="shared" si="1"/>
        <v>2029</v>
      </c>
      <c r="C23" s="211"/>
      <c r="D23" s="199">
        <f t="shared" si="14"/>
        <v>0</v>
      </c>
      <c r="E23" s="199">
        <f t="shared" si="14"/>
        <v>0</v>
      </c>
      <c r="F23" s="201">
        <f t="shared" si="0"/>
        <v>0</v>
      </c>
      <c r="G23" s="199">
        <f t="shared" si="15"/>
        <v>103.55</v>
      </c>
      <c r="H23" s="212">
        <f t="shared" ref="H23" si="18">ROUND(H22*(1+$G69),2)</f>
        <v>0</v>
      </c>
      <c r="I23" s="201">
        <f t="shared" si="6"/>
        <v>103.55</v>
      </c>
      <c r="J23" s="201">
        <f t="shared" si="2"/>
        <v>818.66</v>
      </c>
      <c r="K23"/>
      <c r="L23" s="190"/>
      <c r="N23" s="70"/>
      <c r="O23" s="70"/>
      <c r="P23" s="253"/>
      <c r="Q23" s="253"/>
      <c r="R23" s="199"/>
      <c r="S23" s="230"/>
    </row>
    <row r="24" spans="2:19">
      <c r="B24" s="210">
        <f t="shared" si="1"/>
        <v>2030</v>
      </c>
      <c r="C24" s="211"/>
      <c r="D24" s="199">
        <f t="shared" si="14"/>
        <v>0</v>
      </c>
      <c r="E24" s="199">
        <f t="shared" si="14"/>
        <v>0</v>
      </c>
      <c r="F24" s="201">
        <f t="shared" si="0"/>
        <v>0</v>
      </c>
      <c r="G24" s="199">
        <f t="shared" si="15"/>
        <v>105.93</v>
      </c>
      <c r="H24" s="212">
        <f t="shared" ref="H24" si="19">ROUND(H23*(1+$G70),2)</f>
        <v>0</v>
      </c>
      <c r="I24" s="201">
        <f t="shared" si="6"/>
        <v>105.93</v>
      </c>
      <c r="J24" s="201">
        <f t="shared" si="2"/>
        <v>837.47</v>
      </c>
      <c r="K24"/>
      <c r="L24" s="190"/>
      <c r="N24" s="70"/>
      <c r="O24" s="70"/>
      <c r="P24" s="253"/>
      <c r="Q24" s="253"/>
      <c r="R24" s="199"/>
      <c r="S24" s="230"/>
    </row>
    <row r="25" spans="2:19">
      <c r="B25" s="210">
        <f t="shared" si="1"/>
        <v>2031</v>
      </c>
      <c r="C25" s="211"/>
      <c r="D25" s="199">
        <f t="shared" si="14"/>
        <v>0</v>
      </c>
      <c r="E25" s="199">
        <f t="shared" si="14"/>
        <v>0</v>
      </c>
      <c r="F25" s="201">
        <f t="shared" si="0"/>
        <v>0</v>
      </c>
      <c r="G25" s="199">
        <f t="shared" si="15"/>
        <v>108.37</v>
      </c>
      <c r="H25" s="212">
        <f t="shared" ref="H25" si="20">ROUND(H24*(1+$G71),2)</f>
        <v>0</v>
      </c>
      <c r="I25" s="201">
        <f t="shared" si="6"/>
        <v>108.37</v>
      </c>
      <c r="J25" s="201">
        <f t="shared" si="2"/>
        <v>856.76</v>
      </c>
      <c r="K25"/>
      <c r="L25" s="190"/>
      <c r="N25" s="70"/>
      <c r="O25" s="70"/>
      <c r="P25" s="253"/>
      <c r="Q25" s="253"/>
      <c r="R25" s="199"/>
      <c r="S25" s="230"/>
    </row>
    <row r="26" spans="2:19">
      <c r="B26" s="210">
        <f t="shared" si="1"/>
        <v>2032</v>
      </c>
      <c r="C26" s="211"/>
      <c r="D26" s="199">
        <f t="shared" si="14"/>
        <v>0</v>
      </c>
      <c r="E26" s="199">
        <f t="shared" si="14"/>
        <v>0</v>
      </c>
      <c r="F26" s="201">
        <f t="shared" si="0"/>
        <v>0</v>
      </c>
      <c r="G26" s="199">
        <f t="shared" si="15"/>
        <v>110.75</v>
      </c>
      <c r="H26" s="212">
        <f t="shared" ref="H26" si="21">ROUND(H25*(1+$G72),2)</f>
        <v>0</v>
      </c>
      <c r="I26" s="201">
        <f t="shared" si="6"/>
        <v>110.75</v>
      </c>
      <c r="J26" s="201">
        <f t="shared" si="2"/>
        <v>875.58</v>
      </c>
      <c r="K26"/>
      <c r="L26" s="190"/>
      <c r="N26" s="70"/>
      <c r="O26" s="70"/>
      <c r="P26" s="253"/>
      <c r="Q26" s="253"/>
      <c r="R26" s="199"/>
      <c r="S26" s="230"/>
    </row>
    <row r="27" spans="2:19">
      <c r="B27" s="210">
        <f t="shared" si="1"/>
        <v>2033</v>
      </c>
      <c r="C27" s="211"/>
      <c r="D27" s="199">
        <f t="shared" si="14"/>
        <v>0</v>
      </c>
      <c r="E27" s="199">
        <f t="shared" si="14"/>
        <v>0</v>
      </c>
      <c r="F27" s="201">
        <f t="shared" si="0"/>
        <v>0</v>
      </c>
      <c r="G27" s="199">
        <f t="shared" si="15"/>
        <v>113.19</v>
      </c>
      <c r="H27" s="212">
        <f t="shared" ref="H27" si="22">ROUND(H26*(1+$G73),2)</f>
        <v>0</v>
      </c>
      <c r="I27" s="201">
        <f t="shared" si="6"/>
        <v>113.19</v>
      </c>
      <c r="J27" s="201">
        <f t="shared" si="2"/>
        <v>894.87</v>
      </c>
      <c r="K27"/>
      <c r="L27" s="190"/>
      <c r="N27" s="70"/>
      <c r="O27" s="70"/>
      <c r="P27" s="253"/>
      <c r="Q27" s="253"/>
      <c r="R27" s="199"/>
      <c r="S27" s="230"/>
    </row>
    <row r="28" spans="2:19">
      <c r="B28" s="210">
        <f t="shared" si="1"/>
        <v>2034</v>
      </c>
      <c r="C28" s="211"/>
      <c r="D28" s="199">
        <f t="shared" si="14"/>
        <v>0</v>
      </c>
      <c r="E28" s="199">
        <f t="shared" si="14"/>
        <v>0</v>
      </c>
      <c r="F28" s="201">
        <f t="shared" si="0"/>
        <v>0</v>
      </c>
      <c r="G28" s="199">
        <f t="shared" si="15"/>
        <v>115.79</v>
      </c>
      <c r="H28" s="212">
        <f t="shared" ref="H28" si="23">ROUND(H27*(1+$G74),2)</f>
        <v>0</v>
      </c>
      <c r="I28" s="201">
        <f t="shared" si="6"/>
        <v>115.79</v>
      </c>
      <c r="J28" s="201">
        <f t="shared" si="2"/>
        <v>915.42</v>
      </c>
      <c r="K28"/>
      <c r="L28" s="190"/>
      <c r="N28" s="70"/>
      <c r="O28" s="70"/>
      <c r="P28" s="253"/>
      <c r="Q28" s="253"/>
      <c r="R28" s="199"/>
      <c r="S28" s="230"/>
    </row>
    <row r="29" spans="2:19">
      <c r="B29" s="210">
        <f t="shared" si="1"/>
        <v>2035</v>
      </c>
      <c r="C29" s="211"/>
      <c r="D29" s="199">
        <f>ROUND(D28*(1+$J66),2)</f>
        <v>0</v>
      </c>
      <c r="E29" s="199">
        <f>ROUND(E28*(1+$J66),2)</f>
        <v>0</v>
      </c>
      <c r="F29" s="201">
        <f t="shared" si="0"/>
        <v>0</v>
      </c>
      <c r="G29" s="199">
        <f>ROUND(G28*(1+$J66),2)</f>
        <v>118.45</v>
      </c>
      <c r="H29" s="212">
        <f>ROUND(H28*(1+$J66),2)</f>
        <v>0</v>
      </c>
      <c r="I29" s="201">
        <f t="shared" si="6"/>
        <v>118.45</v>
      </c>
      <c r="J29" s="201">
        <f t="shared" si="2"/>
        <v>936.45</v>
      </c>
      <c r="K29"/>
      <c r="L29" s="190"/>
      <c r="N29" s="70"/>
      <c r="O29" s="70"/>
      <c r="P29" s="253"/>
      <c r="Q29" s="253"/>
      <c r="R29" s="199"/>
      <c r="S29" s="230"/>
    </row>
    <row r="30" spans="2:19">
      <c r="B30" s="210">
        <f t="shared" si="1"/>
        <v>2036</v>
      </c>
      <c r="C30" s="211"/>
      <c r="D30" s="199">
        <f t="shared" ref="D30:E36" si="24">ROUND(D29*(1+$J67),2)</f>
        <v>0</v>
      </c>
      <c r="E30" s="199">
        <f t="shared" si="24"/>
        <v>0</v>
      </c>
      <c r="F30" s="201">
        <f t="shared" si="0"/>
        <v>0</v>
      </c>
      <c r="G30" s="199">
        <f t="shared" ref="G30:G36" si="25">ROUND(G29*(1+$J67),2)</f>
        <v>121.17</v>
      </c>
      <c r="H30" s="212">
        <f t="shared" ref="H30" si="26">ROUND(H29*(1+$J67),2)</f>
        <v>0</v>
      </c>
      <c r="I30" s="201">
        <f t="shared" si="6"/>
        <v>121.17</v>
      </c>
      <c r="J30" s="201">
        <f t="shared" si="2"/>
        <v>957.96</v>
      </c>
      <c r="K30"/>
      <c r="L30" s="190"/>
      <c r="N30" s="70"/>
      <c r="O30" s="70"/>
      <c r="P30" s="253"/>
      <c r="Q30" s="253"/>
      <c r="R30" s="199"/>
      <c r="S30" s="230"/>
    </row>
    <row r="31" spans="2:19">
      <c r="B31" s="210">
        <f t="shared" si="1"/>
        <v>2037</v>
      </c>
      <c r="C31" s="211"/>
      <c r="D31" s="199">
        <f t="shared" si="24"/>
        <v>0</v>
      </c>
      <c r="E31" s="199">
        <f t="shared" si="24"/>
        <v>0</v>
      </c>
      <c r="F31" s="201">
        <f t="shared" si="0"/>
        <v>0</v>
      </c>
      <c r="G31" s="199">
        <f t="shared" si="25"/>
        <v>123.84</v>
      </c>
      <c r="H31" s="212">
        <f t="shared" ref="H31" si="27">ROUND(H30*(1+$J68),2)</f>
        <v>0</v>
      </c>
      <c r="I31" s="201">
        <f t="shared" si="6"/>
        <v>123.84</v>
      </c>
      <c r="J31" s="201">
        <f t="shared" si="2"/>
        <v>979.07</v>
      </c>
      <c r="K31"/>
      <c r="L31" s="190"/>
      <c r="N31" s="70"/>
      <c r="O31" s="70"/>
      <c r="P31" s="70"/>
      <c r="Q31" s="253"/>
      <c r="R31" s="199"/>
      <c r="S31" s="199"/>
    </row>
    <row r="32" spans="2:19">
      <c r="B32" s="210">
        <f t="shared" si="1"/>
        <v>2038</v>
      </c>
      <c r="C32" s="211"/>
      <c r="D32" s="199">
        <f t="shared" si="24"/>
        <v>0</v>
      </c>
      <c r="E32" s="199">
        <f t="shared" si="24"/>
        <v>0</v>
      </c>
      <c r="F32" s="201">
        <f t="shared" si="0"/>
        <v>0</v>
      </c>
      <c r="G32" s="199">
        <f t="shared" si="25"/>
        <v>126.56</v>
      </c>
      <c r="H32" s="212">
        <f t="shared" ref="H32" si="28">ROUND(H31*(1+$J69),2)</f>
        <v>0</v>
      </c>
      <c r="I32" s="201">
        <f t="shared" si="6"/>
        <v>126.56</v>
      </c>
      <c r="J32" s="201">
        <f t="shared" si="2"/>
        <v>1000.57</v>
      </c>
      <c r="K32"/>
      <c r="L32" s="190"/>
      <c r="N32" s="70"/>
      <c r="O32" s="70"/>
      <c r="Q32" s="240"/>
      <c r="R32" s="199"/>
      <c r="S32" s="199"/>
    </row>
    <row r="33" spans="2:19">
      <c r="B33" s="210">
        <f t="shared" si="1"/>
        <v>2039</v>
      </c>
      <c r="C33" s="211"/>
      <c r="D33" s="199">
        <f t="shared" si="24"/>
        <v>0</v>
      </c>
      <c r="E33" s="199">
        <f t="shared" si="24"/>
        <v>0</v>
      </c>
      <c r="F33" s="201">
        <f t="shared" si="0"/>
        <v>0</v>
      </c>
      <c r="G33" s="199">
        <f t="shared" si="25"/>
        <v>129.34</v>
      </c>
      <c r="H33" s="212">
        <f t="shared" ref="H33" si="29">ROUND(H32*(1+$J70),2)</f>
        <v>0</v>
      </c>
      <c r="I33" s="201">
        <f t="shared" si="6"/>
        <v>129.34</v>
      </c>
      <c r="J33" s="201">
        <f t="shared" si="2"/>
        <v>1022.55</v>
      </c>
      <c r="K33"/>
      <c r="L33" s="190"/>
      <c r="N33" s="70"/>
      <c r="O33" s="70"/>
      <c r="Q33" s="240"/>
      <c r="R33" s="199"/>
      <c r="S33" s="199"/>
    </row>
    <row r="34" spans="2:19">
      <c r="B34" s="210">
        <f t="shared" si="1"/>
        <v>2040</v>
      </c>
      <c r="C34" s="211"/>
      <c r="D34" s="199">
        <f t="shared" si="24"/>
        <v>0</v>
      </c>
      <c r="E34" s="199">
        <f t="shared" si="24"/>
        <v>0</v>
      </c>
      <c r="F34" s="201">
        <f t="shared" si="0"/>
        <v>0</v>
      </c>
      <c r="G34" s="199">
        <f t="shared" si="25"/>
        <v>132.19</v>
      </c>
      <c r="H34" s="212">
        <f t="shared" ref="H34" si="30">ROUND(H33*(1+$J71),2)</f>
        <v>0</v>
      </c>
      <c r="I34" s="201">
        <f t="shared" si="6"/>
        <v>132.19</v>
      </c>
      <c r="J34" s="201">
        <f t="shared" si="2"/>
        <v>1045.08</v>
      </c>
      <c r="K34"/>
      <c r="L34" s="190"/>
      <c r="N34" s="70"/>
      <c r="O34" s="70"/>
      <c r="Q34" s="240"/>
      <c r="R34" s="199"/>
      <c r="S34" s="199"/>
    </row>
    <row r="35" spans="2:19">
      <c r="B35" s="210">
        <f t="shared" si="1"/>
        <v>2041</v>
      </c>
      <c r="C35" s="211"/>
      <c r="D35" s="199">
        <f t="shared" si="24"/>
        <v>0</v>
      </c>
      <c r="E35" s="199">
        <f t="shared" si="24"/>
        <v>0</v>
      </c>
      <c r="F35" s="201">
        <f t="shared" si="0"/>
        <v>0</v>
      </c>
      <c r="G35" s="199">
        <f t="shared" si="25"/>
        <v>135.1</v>
      </c>
      <c r="H35" s="212">
        <f t="shared" ref="H35" si="31">ROUND(H34*(1+$J72),2)</f>
        <v>0</v>
      </c>
      <c r="I35" s="201">
        <f t="shared" si="6"/>
        <v>135.1</v>
      </c>
      <c r="J35" s="201">
        <f t="shared" si="2"/>
        <v>1068.0899999999999</v>
      </c>
      <c r="K35"/>
      <c r="L35" s="190"/>
      <c r="N35" s="70"/>
      <c r="O35" s="70"/>
      <c r="Q35" s="240"/>
      <c r="R35" s="199"/>
      <c r="S35" s="199"/>
    </row>
    <row r="36" spans="2:19">
      <c r="B36" s="210">
        <f t="shared" si="1"/>
        <v>2042</v>
      </c>
      <c r="C36" s="211"/>
      <c r="D36" s="199">
        <f t="shared" si="24"/>
        <v>0</v>
      </c>
      <c r="E36" s="199">
        <f t="shared" si="24"/>
        <v>0</v>
      </c>
      <c r="F36" s="201">
        <f t="shared" si="0"/>
        <v>0</v>
      </c>
      <c r="G36" s="199">
        <f t="shared" si="25"/>
        <v>138.07</v>
      </c>
      <c r="H36" s="212">
        <f t="shared" ref="H36" si="32">ROUND(H35*(1+$J73),2)</f>
        <v>0</v>
      </c>
      <c r="I36" s="201">
        <f t="shared" si="6"/>
        <v>138.07</v>
      </c>
      <c r="J36" s="201">
        <f t="shared" si="2"/>
        <v>1091.57</v>
      </c>
      <c r="K36"/>
      <c r="L36" s="190"/>
      <c r="N36" s="70"/>
      <c r="O36" s="70"/>
      <c r="Q36" s="240"/>
      <c r="R36" s="199"/>
      <c r="S36" s="199"/>
    </row>
    <row r="37" spans="2:19">
      <c r="B37" s="210"/>
      <c r="C37" s="203"/>
      <c r="D37" s="199"/>
      <c r="E37" s="199"/>
      <c r="F37" s="200"/>
      <c r="G37" s="199"/>
      <c r="H37" s="199"/>
      <c r="I37" s="201"/>
      <c r="J37" s="213"/>
    </row>
    <row r="38" spans="2:19" hidden="1">
      <c r="B38" s="197"/>
      <c r="C38" s="203"/>
      <c r="D38" s="199"/>
      <c r="E38" s="199"/>
      <c r="F38" s="200"/>
      <c r="G38" s="199"/>
      <c r="H38" s="199"/>
      <c r="I38" s="201"/>
      <c r="J38" s="213"/>
    </row>
    <row r="39" spans="2:19" hidden="1">
      <c r="B39" s="197"/>
      <c r="C39" s="203"/>
      <c r="D39" s="199"/>
      <c r="E39" s="199"/>
      <c r="F39" s="200"/>
      <c r="G39" s="199"/>
      <c r="H39" s="199"/>
      <c r="I39" s="201"/>
      <c r="J39" s="213"/>
    </row>
    <row r="40" spans="2:19" hidden="1">
      <c r="B40" s="197"/>
      <c r="C40" s="203"/>
      <c r="D40" s="199"/>
      <c r="E40" s="199"/>
      <c r="F40" s="200"/>
      <c r="G40" s="199"/>
      <c r="H40" s="199"/>
      <c r="I40" s="201"/>
      <c r="J40" s="213"/>
    </row>
    <row r="42" spans="2:19" ht="14.25">
      <c r="B42" s="214" t="s">
        <v>31</v>
      </c>
      <c r="C42" s="215"/>
      <c r="D42" s="215"/>
      <c r="E42" s="215"/>
      <c r="F42" s="215"/>
      <c r="G42" s="215"/>
      <c r="H42" s="215"/>
    </row>
    <row r="44" spans="2:19">
      <c r="B44" s="188" t="s">
        <v>113</v>
      </c>
      <c r="C44" s="216" t="s">
        <v>114</v>
      </c>
      <c r="D44" s="217" t="str">
        <f>'Table 3 200 MW (Wyo) 2033'!E68</f>
        <v xml:space="preserve">Plant Costs  - 2017 IRP - Table 6.1 &amp; 6.2 </v>
      </c>
    </row>
    <row r="45" spans="2:19">
      <c r="C45" s="216" t="str">
        <f>C7</f>
        <v>(a)</v>
      </c>
      <c r="D45" s="188" t="s">
        <v>115</v>
      </c>
    </row>
    <row r="46" spans="2:19">
      <c r="C46" s="216" t="str">
        <f>D7</f>
        <v>(b)</v>
      </c>
      <c r="D46" s="201" t="str">
        <f>"= "&amp;C7&amp;" x "&amp;C62</f>
        <v>= (a) x 0.0631141369791985</v>
      </c>
    </row>
    <row r="47" spans="2:19">
      <c r="C47" s="216" t="str">
        <f>F7</f>
        <v>(d)</v>
      </c>
      <c r="D47" s="201" t="str">
        <f>"= ("&amp;$D$7&amp;" + "&amp;$E$7&amp;") /  (8.76 x "&amp;TEXT(C63,"0.0%")&amp;")"</f>
        <v>= ((b) + (c)) /  (8.76 x 90.3%)</v>
      </c>
    </row>
    <row r="48" spans="2:19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J7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Geothermal PPA West Side Resource - 90% Capacity Factor</v>
      </c>
      <c r="D52" s="218"/>
      <c r="E52" s="218"/>
      <c r="F52" s="218"/>
      <c r="G52" s="218"/>
      <c r="H52" s="218"/>
      <c r="I52" s="219"/>
      <c r="J52" s="220"/>
    </row>
    <row r="53" spans="2:24" ht="13.5" thickBot="1">
      <c r="C53" s="221" t="s">
        <v>122</v>
      </c>
      <c r="D53" s="222" t="s">
        <v>117</v>
      </c>
      <c r="E53" s="222"/>
      <c r="F53" s="222"/>
      <c r="G53" s="222"/>
      <c r="H53" s="223"/>
      <c r="I53" s="219"/>
      <c r="J53" s="220"/>
    </row>
    <row r="55" spans="2:24">
      <c r="B55" s="104" t="s">
        <v>104</v>
      </c>
      <c r="C55" s="224">
        <v>0</v>
      </c>
      <c r="D55" s="188" t="s">
        <v>115</v>
      </c>
      <c r="H55" s="188" t="s">
        <v>9</v>
      </c>
    </row>
    <row r="56" spans="2:24">
      <c r="B56" s="104" t="s">
        <v>104</v>
      </c>
      <c r="C56" s="225">
        <v>0</v>
      </c>
      <c r="D56" s="188" t="s">
        <v>118</v>
      </c>
      <c r="H56" s="188" t="s">
        <v>9</v>
      </c>
    </row>
    <row r="57" spans="2:24">
      <c r="B57" s="104" t="s">
        <v>104</v>
      </c>
      <c r="C57" s="230">
        <v>0</v>
      </c>
      <c r="D57" s="188" t="s">
        <v>123</v>
      </c>
      <c r="H57" s="188" t="s">
        <v>120</v>
      </c>
    </row>
    <row r="58" spans="2:24">
      <c r="B58" s="104" t="s">
        <v>104</v>
      </c>
      <c r="C58" s="225">
        <v>77.34</v>
      </c>
      <c r="D58" s="188" t="s">
        <v>119</v>
      </c>
      <c r="H58" s="188" t="s">
        <v>120</v>
      </c>
      <c r="J58" s="190"/>
      <c r="K58" s="226"/>
      <c r="L58" s="69"/>
      <c r="M58" s="227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104</v>
      </c>
      <c r="C59" s="238">
        <v>0</v>
      </c>
      <c r="D59" s="188" t="s">
        <v>121</v>
      </c>
      <c r="H59" s="188" t="s">
        <v>120</v>
      </c>
      <c r="J59" s="228"/>
      <c r="K59" s="228"/>
      <c r="L59" s="229"/>
      <c r="M59" s="230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J60" s="228"/>
      <c r="K60" s="228"/>
      <c r="L60" s="228"/>
      <c r="M60" s="190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J61" s="228"/>
      <c r="K61" s="228"/>
      <c r="L61" s="228"/>
      <c r="M61" s="190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6.3114136979198515E-2</v>
      </c>
      <c r="D62" s="188" t="s">
        <v>54</v>
      </c>
      <c r="J62" s="234"/>
      <c r="K62" s="235"/>
      <c r="L62" s="235"/>
      <c r="O62" s="236"/>
    </row>
    <row r="63" spans="2:24">
      <c r="C63" s="239">
        <v>0.90249999999999997</v>
      </c>
      <c r="D63" s="188" t="s">
        <v>55</v>
      </c>
    </row>
    <row r="64" spans="2:24" ht="13.5" thickBot="1">
      <c r="D64" s="231"/>
    </row>
    <row r="65" spans="3:10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20"/>
    </row>
    <row r="66" spans="3:10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57">
        <v>2.3E-2</v>
      </c>
    </row>
    <row r="67" spans="3:10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57">
        <v>2.3E-2</v>
      </c>
    </row>
    <row r="68" spans="3:10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57">
        <v>2.1999999999999999E-2</v>
      </c>
    </row>
    <row r="69" spans="3:10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57">
        <v>2.1999999999999999E-2</v>
      </c>
    </row>
    <row r="70" spans="3:10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57">
        <v>2.1999999999999999E-2</v>
      </c>
    </row>
    <row r="71" spans="3:10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57">
        <v>2.1999999999999999E-2</v>
      </c>
    </row>
    <row r="72" spans="3:10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57">
        <v>2.1999999999999999E-2</v>
      </c>
    </row>
    <row r="73" spans="3:10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57">
        <v>2.1999999999999999E-2</v>
      </c>
    </row>
    <row r="74" spans="3:10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57">
        <v>2.3E-2</v>
      </c>
    </row>
    <row r="75" spans="3:10" s="190" customFormat="1"/>
    <row r="76" spans="3:10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95"/>
  <sheetViews>
    <sheetView view="pageBreakPreview" zoomScale="85" zoomScaleNormal="90" zoomScaleSheetLayoutView="85" workbookViewId="0">
      <pane xSplit="3" ySplit="10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D27" sqref="D27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9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161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UT N - 200 MW - SCCT Frame "F" 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UT N - 200 MW - SCCT Frame "F" 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702</v>
      </c>
      <c r="D14" s="109">
        <f>ROUND(C14*$C$76,2)</f>
        <v>51.76</v>
      </c>
      <c r="E14" s="110">
        <f>$I$60</f>
        <v>30.66</v>
      </c>
      <c r="F14" s="110">
        <f>$J$65</f>
        <v>7.53</v>
      </c>
      <c r="G14" s="111">
        <f t="shared" ref="G14:G24" si="0">ROUND(F14*(8.76*$G$65)+E14,2)</f>
        <v>52.43</v>
      </c>
      <c r="H14" s="111">
        <f t="shared" ref="H14:H24" si="1">ROUND(D14+G14,2)</f>
        <v>104.19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17" si="3">ROUND(D14*(1+$D83),2)</f>
        <v>52.8</v>
      </c>
      <c r="E15" s="109">
        <f t="shared" si="3"/>
        <v>31.27</v>
      </c>
      <c r="F15" s="109">
        <f t="shared" si="3"/>
        <v>7.68</v>
      </c>
      <c r="G15" s="113">
        <f t="shared" si="0"/>
        <v>53.47</v>
      </c>
      <c r="H15" s="113">
        <f t="shared" si="1"/>
        <v>106.27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53.8</v>
      </c>
      <c r="E16" s="109">
        <f t="shared" si="3"/>
        <v>31.86</v>
      </c>
      <c r="F16" s="109">
        <f t="shared" si="3"/>
        <v>7.83</v>
      </c>
      <c r="G16" s="111">
        <f t="shared" si="0"/>
        <v>54.49</v>
      </c>
      <c r="H16" s="111">
        <f t="shared" si="1"/>
        <v>108.29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54.98</v>
      </c>
      <c r="E17" s="109">
        <f t="shared" si="3"/>
        <v>32.56</v>
      </c>
      <c r="F17" s="109">
        <f t="shared" si="3"/>
        <v>8</v>
      </c>
      <c r="G17" s="111">
        <f t="shared" si="0"/>
        <v>55.69</v>
      </c>
      <c r="H17" s="111">
        <f t="shared" si="1"/>
        <v>110.67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ref="D18:F18" si="4">ROUND(D17*(1+$D86),2)</f>
        <v>56.41</v>
      </c>
      <c r="E18" s="109">
        <f t="shared" si="4"/>
        <v>33.409999999999997</v>
      </c>
      <c r="F18" s="109">
        <f t="shared" si="4"/>
        <v>8.2100000000000009</v>
      </c>
      <c r="G18" s="111">
        <f t="shared" ref="G18:G23" si="5">ROUND(F18*(8.76*$G$65)+E18,2)</f>
        <v>57.14</v>
      </c>
      <c r="H18" s="111">
        <f t="shared" ref="H18:H23" si="6">ROUND(D18+G18,2)</f>
        <v>113.55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ref="D19:F19" si="7">ROUND(D18*(1+$D87),2)</f>
        <v>57.76</v>
      </c>
      <c r="E19" s="109">
        <f t="shared" si="7"/>
        <v>34.21</v>
      </c>
      <c r="F19" s="109">
        <f t="shared" si="7"/>
        <v>8.41</v>
      </c>
      <c r="G19" s="111">
        <f t="shared" si="5"/>
        <v>58.52</v>
      </c>
      <c r="H19" s="111">
        <f t="shared" si="6"/>
        <v>116.28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ref="D20:F20" si="8">ROUND(D19*(1+$D88),2)</f>
        <v>59.09</v>
      </c>
      <c r="E20" s="109">
        <f t="shared" si="8"/>
        <v>35</v>
      </c>
      <c r="F20" s="109">
        <f t="shared" si="8"/>
        <v>8.6</v>
      </c>
      <c r="G20" s="111">
        <f t="shared" si="5"/>
        <v>59.86</v>
      </c>
      <c r="H20" s="111">
        <f t="shared" si="6"/>
        <v>118.95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ref="D21:F21" si="9">ROUND(D20*(1+$D89),2)</f>
        <v>60.45</v>
      </c>
      <c r="E21" s="109">
        <f t="shared" si="9"/>
        <v>35.81</v>
      </c>
      <c r="F21" s="109">
        <f t="shared" si="9"/>
        <v>8.8000000000000007</v>
      </c>
      <c r="G21" s="111">
        <f t="shared" si="5"/>
        <v>61.25</v>
      </c>
      <c r="H21" s="111">
        <f t="shared" si="6"/>
        <v>121.7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ref="D22:F22" si="10">ROUND(D21*(1+$D90),2)</f>
        <v>61.84</v>
      </c>
      <c r="E22" s="109">
        <f t="shared" si="10"/>
        <v>36.630000000000003</v>
      </c>
      <c r="F22" s="109">
        <f t="shared" si="10"/>
        <v>9</v>
      </c>
      <c r="G22" s="111">
        <f t="shared" si="5"/>
        <v>62.65</v>
      </c>
      <c r="H22" s="111">
        <f t="shared" si="6"/>
        <v>124.49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ref="D23:F23" si="11">ROUND(D22*(1+$D91),2)</f>
        <v>63.26</v>
      </c>
      <c r="E23" s="109">
        <f t="shared" si="11"/>
        <v>37.47</v>
      </c>
      <c r="F23" s="109">
        <f t="shared" si="11"/>
        <v>9.2100000000000009</v>
      </c>
      <c r="G23" s="111">
        <f t="shared" si="5"/>
        <v>64.09</v>
      </c>
      <c r="H23" s="111">
        <f t="shared" si="6"/>
        <v>127.35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64.709999999999994</v>
      </c>
      <c r="E24" s="113">
        <f>ROUND(E23*(1+$G83),2)</f>
        <v>38.33</v>
      </c>
      <c r="F24" s="113">
        <f>ROUND(F23*(1+$G83),2)</f>
        <v>9.42</v>
      </c>
      <c r="G24" s="111">
        <f t="shared" si="0"/>
        <v>65.56</v>
      </c>
      <c r="H24" s="111">
        <f t="shared" si="1"/>
        <v>130.27000000000001</v>
      </c>
      <c r="I24" s="111"/>
      <c r="J24" s="111"/>
      <c r="K24" s="111"/>
      <c r="M24" s="57"/>
    </row>
    <row r="25" spans="2:13">
      <c r="B25" s="107">
        <f t="shared" si="2"/>
        <v>2027</v>
      </c>
      <c r="C25" s="112"/>
      <c r="D25" s="113">
        <f t="shared" ref="D25:F25" si="12">ROUND(D24*(1+$G84),2)</f>
        <v>66.2</v>
      </c>
      <c r="E25" s="113">
        <f t="shared" si="12"/>
        <v>39.21</v>
      </c>
      <c r="F25" s="113">
        <f t="shared" si="12"/>
        <v>9.64</v>
      </c>
      <c r="G25" s="111">
        <f t="shared" ref="G25:G30" si="13">ROUND(F25*(8.76*$G$65)+E25,2)</f>
        <v>67.08</v>
      </c>
      <c r="H25" s="111">
        <f t="shared" ref="H25:H30" si="14">ROUND(D25+G25,2)</f>
        <v>133.28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83">
        <f t="shared" ref="D26:F26" si="15">ROUND(D25*(1+$G85),2)</f>
        <v>67.72</v>
      </c>
      <c r="E26" s="183">
        <f t="shared" si="15"/>
        <v>40.11</v>
      </c>
      <c r="F26" s="183">
        <f t="shared" si="15"/>
        <v>9.86</v>
      </c>
      <c r="G26" s="184">
        <f t="shared" si="13"/>
        <v>68.61</v>
      </c>
      <c r="H26" s="184">
        <f t="shared" si="14"/>
        <v>136.33000000000001</v>
      </c>
      <c r="I26" s="184"/>
      <c r="J26" s="184"/>
      <c r="K26" s="184"/>
      <c r="M26" s="57"/>
    </row>
    <row r="27" spans="2:13">
      <c r="B27" s="107">
        <f t="shared" si="2"/>
        <v>2029</v>
      </c>
      <c r="C27" s="112"/>
      <c r="D27" s="113">
        <f t="shared" ref="D27:F28" si="16">ROUND(D26*(1+$G86),2)</f>
        <v>69.28</v>
      </c>
      <c r="E27" s="113">
        <f t="shared" si="16"/>
        <v>41.03</v>
      </c>
      <c r="F27" s="113">
        <f t="shared" si="16"/>
        <v>10.09</v>
      </c>
      <c r="G27" s="111">
        <f t="shared" si="13"/>
        <v>70.2</v>
      </c>
      <c r="H27" s="111">
        <f t="shared" si="14"/>
        <v>139.47999999999999</v>
      </c>
      <c r="I27" s="111">
        <f>VLOOKUP(B27,'Table 4'!$B$13:$D$43,2,FALSE)</f>
        <v>4.51</v>
      </c>
      <c r="J27" s="111">
        <f t="shared" ref="J27" si="17">ROUND($K$65*I27/1000,2)</f>
        <v>43.36</v>
      </c>
      <c r="K27" s="111">
        <f t="shared" ref="K27" si="18">ROUND(H27*1000/8760/$G$65+J27,2)</f>
        <v>91.61</v>
      </c>
      <c r="M27" s="57"/>
    </row>
    <row r="28" spans="2:13" s="145" customFormat="1">
      <c r="B28" s="148">
        <f t="shared" si="2"/>
        <v>2030</v>
      </c>
      <c r="C28" s="149"/>
      <c r="D28" s="143">
        <f t="shared" si="16"/>
        <v>70.87</v>
      </c>
      <c r="E28" s="143">
        <f t="shared" si="16"/>
        <v>41.97</v>
      </c>
      <c r="F28" s="143">
        <f t="shared" si="16"/>
        <v>10.32</v>
      </c>
      <c r="G28" s="143">
        <f t="shared" ref="G28" si="19">ROUND(F28*(8.76*$G$65)+E28,2)</f>
        <v>71.8</v>
      </c>
      <c r="H28" s="143">
        <f t="shared" ref="H28" si="20">ROUND(D28+G28,2)</f>
        <v>142.66999999999999</v>
      </c>
      <c r="I28" s="111">
        <f>VLOOKUP(B28,'Table 4'!$B$13:$D$43,3,FALSE)</f>
        <v>4.7699999999999996</v>
      </c>
      <c r="J28" s="111">
        <f t="shared" ref="J28" si="21">ROUND($K$65*I28/1000,2)</f>
        <v>45.86</v>
      </c>
      <c r="K28" s="111">
        <f t="shared" ref="K28" si="22">ROUND(H28*1000/8760/$G$65+J28,2)</f>
        <v>95.21</v>
      </c>
      <c r="M28" s="67"/>
    </row>
    <row r="29" spans="2:13" s="145" customFormat="1">
      <c r="B29" s="148">
        <f t="shared" si="2"/>
        <v>2031</v>
      </c>
      <c r="C29" s="149"/>
      <c r="D29" s="143">
        <f t="shared" ref="D29" si="23">ROUND(D28*(1+$G88),2)</f>
        <v>72.5</v>
      </c>
      <c r="E29" s="143">
        <f t="shared" ref="E29" si="24">ROUND(E28*(1+$G88),2)</f>
        <v>42.94</v>
      </c>
      <c r="F29" s="143">
        <f t="shared" ref="F29" si="25">ROUND(F28*(1+$G88),2)</f>
        <v>10.56</v>
      </c>
      <c r="G29" s="143">
        <f t="shared" ref="G29" si="26">ROUND(F29*(8.76*$G$65)+E29,2)</f>
        <v>73.47</v>
      </c>
      <c r="H29" s="143">
        <f t="shared" ref="H29" si="27">ROUND(D29+G29,2)</f>
        <v>145.97</v>
      </c>
      <c r="I29" s="111">
        <f>VLOOKUP(B29,'Table 4'!$B$13:$C$43,2,FALSE)</f>
        <v>5.08</v>
      </c>
      <c r="J29" s="111">
        <f t="shared" ref="J29" si="28">ROUND($K$65*I29/1000,2)</f>
        <v>48.84</v>
      </c>
      <c r="K29" s="111">
        <f t="shared" ref="K29" si="29">ROUND(H29*1000/8760/$G$65+J29,2)</f>
        <v>99.33</v>
      </c>
      <c r="M29" s="67"/>
    </row>
    <row r="30" spans="2:13" s="145" customFormat="1">
      <c r="B30" s="148">
        <f t="shared" si="2"/>
        <v>2032</v>
      </c>
      <c r="C30" s="149"/>
      <c r="D30" s="143">
        <f t="shared" ref="D30:F30" si="30">ROUND(D29*(1+$G89),2)</f>
        <v>74.099999999999994</v>
      </c>
      <c r="E30" s="143">
        <f t="shared" si="30"/>
        <v>43.88</v>
      </c>
      <c r="F30" s="143">
        <f t="shared" si="30"/>
        <v>10.79</v>
      </c>
      <c r="G30" s="143">
        <f t="shared" si="13"/>
        <v>75.069999999999993</v>
      </c>
      <c r="H30" s="143">
        <f t="shared" si="14"/>
        <v>149.16999999999999</v>
      </c>
      <c r="I30" s="111">
        <f>VLOOKUP(B30,'Table 4'!$B$13:$C$43,2,FALSE)</f>
        <v>5.25</v>
      </c>
      <c r="J30" s="111">
        <f t="shared" ref="J30:J40" si="31">ROUND($K$65*I30/1000,2)</f>
        <v>50.47</v>
      </c>
      <c r="K30" s="111">
        <f t="shared" ref="K30:K40" si="32">ROUND(H30*1000/8760/$G$65+J30,2)</f>
        <v>102.07</v>
      </c>
      <c r="M30" s="67"/>
    </row>
    <row r="31" spans="2:13" s="145" customFormat="1">
      <c r="B31" s="148">
        <f t="shared" si="2"/>
        <v>2033</v>
      </c>
      <c r="C31" s="149"/>
      <c r="D31" s="143">
        <f t="shared" ref="D31:D32" si="33">ROUND(D30*(1+$G90),2)</f>
        <v>75.73</v>
      </c>
      <c r="E31" s="143">
        <f t="shared" ref="E31:E32" si="34">ROUND(E30*(1+$G90),2)</f>
        <v>44.85</v>
      </c>
      <c r="F31" s="143">
        <f t="shared" ref="F31:F32" si="35">ROUND(F30*(1+$G90),2)</f>
        <v>11.03</v>
      </c>
      <c r="G31" s="143">
        <f t="shared" ref="G31:G33" si="36">ROUND(F31*(8.76*$G$65)+E31,2)</f>
        <v>76.739999999999995</v>
      </c>
      <c r="H31" s="143">
        <f t="shared" ref="H31:H33" si="37">ROUND(D31+G31,2)</f>
        <v>152.47</v>
      </c>
      <c r="I31" s="111">
        <f>VLOOKUP(B31,'Table 4'!$B$13:$C$43,2,FALSE)</f>
        <v>5.5</v>
      </c>
      <c r="J31" s="111">
        <f t="shared" si="31"/>
        <v>52.88</v>
      </c>
      <c r="K31" s="111">
        <f t="shared" si="32"/>
        <v>105.62</v>
      </c>
      <c r="M31" s="67"/>
    </row>
    <row r="32" spans="2:13" s="145" customFormat="1">
      <c r="B32" s="148">
        <f t="shared" si="2"/>
        <v>2034</v>
      </c>
      <c r="C32" s="149"/>
      <c r="D32" s="143">
        <f t="shared" si="33"/>
        <v>77.47</v>
      </c>
      <c r="E32" s="143">
        <f t="shared" si="34"/>
        <v>45.88</v>
      </c>
      <c r="F32" s="143">
        <f t="shared" si="35"/>
        <v>11.28</v>
      </c>
      <c r="G32" s="143">
        <f t="shared" si="36"/>
        <v>78.489999999999995</v>
      </c>
      <c r="H32" s="143">
        <f t="shared" si="37"/>
        <v>155.96</v>
      </c>
      <c r="I32" s="111">
        <f>VLOOKUP(B32,'Table 4'!$B$13:$C$43,2,FALSE)</f>
        <v>5.78</v>
      </c>
      <c r="J32" s="111">
        <f t="shared" si="31"/>
        <v>55.57</v>
      </c>
      <c r="K32" s="111">
        <f t="shared" si="32"/>
        <v>109.52</v>
      </c>
      <c r="M32" s="67"/>
    </row>
    <row r="33" spans="2:15">
      <c r="B33" s="107">
        <f t="shared" si="2"/>
        <v>2035</v>
      </c>
      <c r="C33" s="112"/>
      <c r="D33" s="111">
        <f>ROUND(D32*(1+$J83),2)</f>
        <v>79.25</v>
      </c>
      <c r="E33" s="109">
        <f>ROUND(E32*(1+$J83),2)</f>
        <v>46.94</v>
      </c>
      <c r="F33" s="109">
        <f>ROUND(F32*(1+$J83),2)</f>
        <v>11.54</v>
      </c>
      <c r="G33" s="111">
        <f t="shared" si="36"/>
        <v>80.3</v>
      </c>
      <c r="H33" s="111">
        <f t="shared" si="37"/>
        <v>159.55000000000001</v>
      </c>
      <c r="I33" s="111">
        <f>VLOOKUP(B33,'Table 4'!$B$13:$C$43,2,FALSE)</f>
        <v>6</v>
      </c>
      <c r="J33" s="111">
        <f t="shared" si="31"/>
        <v>57.68</v>
      </c>
      <c r="K33" s="111">
        <f t="shared" si="32"/>
        <v>112.87</v>
      </c>
      <c r="M33" s="67"/>
    </row>
    <row r="34" spans="2:15">
      <c r="B34" s="107">
        <f t="shared" si="2"/>
        <v>2036</v>
      </c>
      <c r="C34" s="112"/>
      <c r="D34" s="111">
        <f t="shared" ref="D34:F34" si="38">ROUND(D33*(1+$J84),2)</f>
        <v>81.069999999999993</v>
      </c>
      <c r="E34" s="109">
        <f t="shared" si="38"/>
        <v>48.02</v>
      </c>
      <c r="F34" s="109">
        <f t="shared" si="38"/>
        <v>11.81</v>
      </c>
      <c r="G34" s="111">
        <f t="shared" ref="G34:G40" si="39">ROUND(F34*(8.76*$G$65)+E34,2)</f>
        <v>82.16</v>
      </c>
      <c r="H34" s="111">
        <f t="shared" ref="H34:H40" si="40">ROUND(D34+G34,2)</f>
        <v>163.22999999999999</v>
      </c>
      <c r="I34" s="111">
        <f>VLOOKUP(B34,'Table 4'!$B$13:$C$43,2,FALSE)</f>
        <v>6.37</v>
      </c>
      <c r="J34" s="111">
        <f t="shared" si="31"/>
        <v>61.24</v>
      </c>
      <c r="K34" s="111">
        <f t="shared" si="32"/>
        <v>117.71</v>
      </c>
      <c r="M34" s="67"/>
    </row>
    <row r="35" spans="2:15">
      <c r="B35" s="107">
        <f t="shared" si="2"/>
        <v>2037</v>
      </c>
      <c r="C35" s="112"/>
      <c r="D35" s="111">
        <f t="shared" ref="D35:F35" si="41">ROUND(D34*(1+$J85),2)</f>
        <v>82.85</v>
      </c>
      <c r="E35" s="109">
        <f t="shared" si="41"/>
        <v>49.08</v>
      </c>
      <c r="F35" s="109">
        <f t="shared" si="41"/>
        <v>12.07</v>
      </c>
      <c r="G35" s="111">
        <f t="shared" si="39"/>
        <v>83.97</v>
      </c>
      <c r="H35" s="111">
        <f t="shared" si="40"/>
        <v>166.82</v>
      </c>
      <c r="I35" s="111">
        <f>VLOOKUP(B35,'Table 4'!$B$13:$C$43,2,FALSE)</f>
        <v>6.55</v>
      </c>
      <c r="J35" s="111">
        <f t="shared" si="31"/>
        <v>62.97</v>
      </c>
      <c r="K35" s="111">
        <f t="shared" si="32"/>
        <v>120.68</v>
      </c>
      <c r="M35" s="67"/>
    </row>
    <row r="36" spans="2:15">
      <c r="B36" s="107">
        <f t="shared" si="2"/>
        <v>2038</v>
      </c>
      <c r="C36" s="112"/>
      <c r="D36" s="111">
        <f t="shared" ref="D36:F36" si="42">ROUND(D35*(1+$J86),2)</f>
        <v>84.67</v>
      </c>
      <c r="E36" s="109">
        <f t="shared" si="42"/>
        <v>50.16</v>
      </c>
      <c r="F36" s="109">
        <f t="shared" si="42"/>
        <v>12.34</v>
      </c>
      <c r="G36" s="111">
        <f t="shared" si="39"/>
        <v>85.83</v>
      </c>
      <c r="H36" s="111">
        <f t="shared" si="40"/>
        <v>170.5</v>
      </c>
      <c r="I36" s="111">
        <f>VLOOKUP(B36,'Table 4'!$B$13:$C$43,2,FALSE)</f>
        <v>6.83</v>
      </c>
      <c r="J36" s="111">
        <f t="shared" si="31"/>
        <v>65.66</v>
      </c>
      <c r="K36" s="111">
        <f t="shared" si="32"/>
        <v>124.64</v>
      </c>
      <c r="M36" s="67"/>
    </row>
    <row r="37" spans="2:15">
      <c r="B37" s="107">
        <f t="shared" si="2"/>
        <v>2039</v>
      </c>
      <c r="C37" s="112"/>
      <c r="D37" s="111">
        <f t="shared" ref="D37:F37" si="43">ROUND(D36*(1+$J87),2)</f>
        <v>86.53</v>
      </c>
      <c r="E37" s="109">
        <f t="shared" si="43"/>
        <v>51.26</v>
      </c>
      <c r="F37" s="109">
        <f t="shared" si="43"/>
        <v>12.61</v>
      </c>
      <c r="G37" s="111">
        <f t="shared" si="39"/>
        <v>87.71</v>
      </c>
      <c r="H37" s="111">
        <f t="shared" si="40"/>
        <v>174.24</v>
      </c>
      <c r="I37" s="111">
        <f>VLOOKUP(B37,'Table 4'!$B$13:$C$43,2,FALSE)</f>
        <v>6.99</v>
      </c>
      <c r="J37" s="111">
        <f t="shared" si="31"/>
        <v>67.2</v>
      </c>
      <c r="K37" s="111">
        <f t="shared" si="32"/>
        <v>127.47</v>
      </c>
      <c r="M37" s="67"/>
    </row>
    <row r="38" spans="2:15">
      <c r="B38" s="107">
        <f t="shared" si="2"/>
        <v>2040</v>
      </c>
      <c r="C38" s="112"/>
      <c r="D38" s="111">
        <f t="shared" ref="D38:F38" si="44">ROUND(D37*(1+$J88),2)</f>
        <v>88.43</v>
      </c>
      <c r="E38" s="109">
        <f t="shared" si="44"/>
        <v>52.39</v>
      </c>
      <c r="F38" s="109">
        <f t="shared" si="44"/>
        <v>12.89</v>
      </c>
      <c r="G38" s="111">
        <f t="shared" si="39"/>
        <v>89.65</v>
      </c>
      <c r="H38" s="111">
        <f t="shared" si="40"/>
        <v>178.08</v>
      </c>
      <c r="I38" s="111">
        <f>VLOOKUP(B38,'Table 4'!$B$13:$C$43,2,FALSE)</f>
        <v>7.17</v>
      </c>
      <c r="J38" s="111">
        <f t="shared" si="31"/>
        <v>68.930000000000007</v>
      </c>
      <c r="K38" s="111">
        <f t="shared" si="32"/>
        <v>130.53</v>
      </c>
      <c r="M38" s="67"/>
    </row>
    <row r="39" spans="2:15">
      <c r="B39" s="107">
        <f t="shared" si="2"/>
        <v>2041</v>
      </c>
      <c r="C39" s="112"/>
      <c r="D39" s="111">
        <f t="shared" ref="D39:F39" si="45">ROUND(D38*(1+$J89),2)</f>
        <v>90.38</v>
      </c>
      <c r="E39" s="109">
        <f t="shared" si="45"/>
        <v>53.54</v>
      </c>
      <c r="F39" s="109">
        <f t="shared" si="45"/>
        <v>13.17</v>
      </c>
      <c r="G39" s="111">
        <f t="shared" si="39"/>
        <v>91.61</v>
      </c>
      <c r="H39" s="111">
        <f t="shared" si="40"/>
        <v>181.99</v>
      </c>
      <c r="I39" s="111">
        <f>VLOOKUP(B39,'Table 4'!$B$13:$C$43,2,FALSE)</f>
        <v>7.33</v>
      </c>
      <c r="J39" s="111">
        <f t="shared" si="31"/>
        <v>70.47</v>
      </c>
      <c r="K39" s="111">
        <f t="shared" si="32"/>
        <v>133.41999999999999</v>
      </c>
      <c r="M39" s="67"/>
    </row>
    <row r="40" spans="2:15">
      <c r="B40" s="107">
        <f t="shared" si="2"/>
        <v>2042</v>
      </c>
      <c r="C40" s="112"/>
      <c r="D40" s="111">
        <f t="shared" ref="D40:F40" si="46">ROUND(D39*(1+$J90),2)</f>
        <v>92.37</v>
      </c>
      <c r="E40" s="109">
        <f t="shared" si="46"/>
        <v>54.72</v>
      </c>
      <c r="F40" s="109">
        <f t="shared" si="46"/>
        <v>13.46</v>
      </c>
      <c r="G40" s="111">
        <f t="shared" si="39"/>
        <v>93.63</v>
      </c>
      <c r="H40" s="111">
        <f t="shared" si="40"/>
        <v>186</v>
      </c>
      <c r="I40" s="111">
        <f>VLOOKUP(B40,'Table 4'!$B$13:$C$43,2,FALSE)</f>
        <v>5.01</v>
      </c>
      <c r="J40" s="111">
        <f t="shared" si="31"/>
        <v>48.17</v>
      </c>
      <c r="K40" s="111">
        <f t="shared" si="32"/>
        <v>112.51</v>
      </c>
      <c r="M40" s="6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tr">
        <f>'Table 3 436MW (West M) 2030'!D46</f>
        <v xml:space="preserve">Plant Costs  - 2017 IRP - Table 6.1 &amp; 6.2 </v>
      </c>
    </row>
    <row r="47" spans="2:15">
      <c r="C47" s="116" t="str">
        <f>D10</f>
        <v>(b)</v>
      </c>
      <c r="D47" s="111" t="str">
        <f>"= "&amp;C10&amp;" x "&amp;C76</f>
        <v>= (a) x 0.0737263117964292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33.0%)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9,614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105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107</v>
      </c>
      <c r="F58" s="118">
        <f>C69</f>
        <v>199.924125</v>
      </c>
      <c r="G58" s="57">
        <f>F58/F60</f>
        <v>1</v>
      </c>
      <c r="H58" s="132">
        <f>C70</f>
        <v>701.59905041057641</v>
      </c>
      <c r="I58" s="134">
        <f>C73</f>
        <v>30.657239904849501</v>
      </c>
    </row>
    <row r="59" spans="3:11">
      <c r="C59" s="145"/>
      <c r="F59" s="48">
        <f>D69</f>
        <v>0</v>
      </c>
      <c r="G59" s="44">
        <f>1-G58</f>
        <v>0</v>
      </c>
      <c r="H59" s="133">
        <f>D70</f>
        <v>0</v>
      </c>
      <c r="I59" s="135">
        <f>D73</f>
        <v>0</v>
      </c>
    </row>
    <row r="60" spans="3:11">
      <c r="C60" s="145" t="s">
        <v>45</v>
      </c>
      <c r="F60" s="118">
        <f>F58+F59</f>
        <v>199.924125</v>
      </c>
      <c r="G60" s="57">
        <f>G58+G59</f>
        <v>1</v>
      </c>
      <c r="H60" s="132">
        <f>ROUND(((F58*H58)+(F59*H59))/F60,0)</f>
        <v>702</v>
      </c>
      <c r="I60" s="134">
        <f>ROUND(((F58*I58)+(F59*I59))/F60,2)</f>
        <v>30.66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SCCT Dry "F" - Turbine</v>
      </c>
      <c r="D63" s="121"/>
      <c r="E63" s="121"/>
      <c r="F63" s="104">
        <f>C69</f>
        <v>199.924125</v>
      </c>
      <c r="G63" s="57">
        <f>C77</f>
        <v>0.33</v>
      </c>
      <c r="H63" s="168">
        <f>G63*F63</f>
        <v>65.974961250000007</v>
      </c>
      <c r="I63" s="57">
        <f>H63/H65</f>
        <v>1</v>
      </c>
      <c r="J63" s="120">
        <f>C74</f>
        <v>7.5299874286936257</v>
      </c>
      <c r="K63" s="122">
        <f>C75</f>
        <v>9614</v>
      </c>
    </row>
    <row r="64" spans="3:11">
      <c r="C64" s="147">
        <f>C59</f>
        <v>0</v>
      </c>
      <c r="D64" s="121"/>
      <c r="E64" s="121"/>
      <c r="F64" s="43">
        <f>D69</f>
        <v>0</v>
      </c>
      <c r="G64" s="44">
        <f>D77</f>
        <v>0</v>
      </c>
      <c r="H64" s="169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5" t="s">
        <v>50</v>
      </c>
      <c r="F65" s="104">
        <f>F63+F64</f>
        <v>199.924125</v>
      </c>
      <c r="G65" s="123">
        <f>ROUND(H65/F65,3)</f>
        <v>0.33</v>
      </c>
      <c r="H65" s="168">
        <f>SUM(H63:H64)</f>
        <v>65.974961250000007</v>
      </c>
      <c r="I65" s="57">
        <f>I63+I64</f>
        <v>1</v>
      </c>
      <c r="J65" s="120">
        <f>ROUND(($I63*J63)+($I64*J64),2)</f>
        <v>7.53</v>
      </c>
      <c r="K65" s="124">
        <f>ROUND(($I63*K63)+($I64*K64),0)</f>
        <v>9614</v>
      </c>
    </row>
    <row r="66" spans="2:11">
      <c r="G66" s="123"/>
      <c r="I66" s="57"/>
      <c r="J66" s="120"/>
      <c r="K66" s="47" t="s">
        <v>51</v>
      </c>
    </row>
    <row r="68" spans="2:11">
      <c r="C68" s="41" t="s">
        <v>106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1">
      <c r="C69" s="104">
        <v>199.924125</v>
      </c>
      <c r="E69" s="104" t="s">
        <v>77</v>
      </c>
      <c r="H69" s="127"/>
    </row>
    <row r="70" spans="2:11">
      <c r="B70" s="104" t="s">
        <v>104</v>
      </c>
      <c r="C70" s="119">
        <v>701.59905041057641</v>
      </c>
      <c r="D70" s="119"/>
      <c r="E70" s="104" t="s">
        <v>78</v>
      </c>
    </row>
    <row r="71" spans="2:11">
      <c r="B71" s="104" t="s">
        <v>104</v>
      </c>
      <c r="C71" s="120">
        <v>16.0158293408495</v>
      </c>
      <c r="D71" s="120"/>
      <c r="E71" s="104" t="s">
        <v>79</v>
      </c>
    </row>
    <row r="72" spans="2:11">
      <c r="B72" s="104" t="s">
        <v>104</v>
      </c>
      <c r="C72" s="49">
        <v>14.641410564000001</v>
      </c>
      <c r="D72" s="49"/>
      <c r="E72" s="104" t="s">
        <v>75</v>
      </c>
    </row>
    <row r="73" spans="2:11">
      <c r="B73" s="104" t="s">
        <v>104</v>
      </c>
      <c r="C73" s="120">
        <f>C71+C72</f>
        <v>30.657239904849501</v>
      </c>
      <c r="D73" s="120"/>
      <c r="E73" s="104" t="s">
        <v>80</v>
      </c>
    </row>
    <row r="74" spans="2:11">
      <c r="B74" s="104" t="s">
        <v>104</v>
      </c>
      <c r="C74" s="120">
        <v>7.5299874286936257</v>
      </c>
      <c r="D74" s="120"/>
      <c r="E74" s="104" t="s">
        <v>81</v>
      </c>
    </row>
    <row r="75" spans="2:11">
      <c r="C75" s="124">
        <v>9614</v>
      </c>
      <c r="D75" s="124"/>
      <c r="E75" s="104" t="s">
        <v>53</v>
      </c>
    </row>
    <row r="76" spans="2:11">
      <c r="C76" s="142">
        <v>7.3726311796429175E-2</v>
      </c>
      <c r="D76" s="142"/>
      <c r="E76" s="104" t="s">
        <v>54</v>
      </c>
    </row>
    <row r="77" spans="2:11">
      <c r="C77" s="128">
        <v>0.33</v>
      </c>
      <c r="D77" s="128"/>
      <c r="E77" s="104" t="s">
        <v>55</v>
      </c>
    </row>
    <row r="78" spans="2:11">
      <c r="D78" s="57">
        <f>ROUND(H65/F65,3)</f>
        <v>0.33</v>
      </c>
      <c r="E78" s="104" t="s">
        <v>56</v>
      </c>
    </row>
    <row r="79" spans="2:11">
      <c r="D79" s="123"/>
      <c r="E79" s="67"/>
    </row>
    <row r="80" spans="2:11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47">C83+1</f>
        <v>2018</v>
      </c>
      <c r="D84" s="57">
        <v>1.9E-2</v>
      </c>
      <c r="F84" s="129">
        <f t="shared" ref="F84:F91" si="48">F83+1</f>
        <v>2027</v>
      </c>
      <c r="G84" s="57">
        <v>2.3E-2</v>
      </c>
      <c r="I84" s="129">
        <f t="shared" ref="I84:I91" si="49">I83+1</f>
        <v>2036</v>
      </c>
      <c r="J84" s="57">
        <v>2.3E-2</v>
      </c>
    </row>
    <row r="85" spans="3:15">
      <c r="C85" s="129">
        <f t="shared" si="47"/>
        <v>2019</v>
      </c>
      <c r="D85" s="57">
        <v>2.1999999999999999E-2</v>
      </c>
      <c r="F85" s="129">
        <f t="shared" si="48"/>
        <v>2028</v>
      </c>
      <c r="G85" s="57">
        <v>2.3E-2</v>
      </c>
      <c r="I85" s="129">
        <f t="shared" si="49"/>
        <v>2037</v>
      </c>
      <c r="J85" s="57">
        <v>2.1999999999999999E-2</v>
      </c>
    </row>
    <row r="86" spans="3:15">
      <c r="C86" s="129">
        <f t="shared" si="47"/>
        <v>2020</v>
      </c>
      <c r="D86" s="57">
        <v>2.5999999999999999E-2</v>
      </c>
      <c r="F86" s="129">
        <f t="shared" si="48"/>
        <v>2029</v>
      </c>
      <c r="G86" s="57">
        <v>2.3E-2</v>
      </c>
      <c r="I86" s="129">
        <f t="shared" si="49"/>
        <v>2038</v>
      </c>
      <c r="J86" s="57">
        <v>2.1999999999999999E-2</v>
      </c>
    </row>
    <row r="87" spans="3:15">
      <c r="C87" s="129">
        <f t="shared" si="47"/>
        <v>2021</v>
      </c>
      <c r="D87" s="57">
        <v>2.4E-2</v>
      </c>
      <c r="F87" s="129">
        <f t="shared" si="48"/>
        <v>2030</v>
      </c>
      <c r="G87" s="57">
        <v>2.3E-2</v>
      </c>
      <c r="I87" s="129">
        <f t="shared" si="49"/>
        <v>2039</v>
      </c>
      <c r="J87" s="57">
        <v>2.1999999999999999E-2</v>
      </c>
    </row>
    <row r="88" spans="3:15">
      <c r="C88" s="129">
        <f t="shared" si="47"/>
        <v>2022</v>
      </c>
      <c r="D88" s="57">
        <v>2.3E-2</v>
      </c>
      <c r="F88" s="129">
        <f t="shared" si="48"/>
        <v>2031</v>
      </c>
      <c r="G88" s="57">
        <v>2.3E-2</v>
      </c>
      <c r="I88" s="129">
        <f t="shared" si="49"/>
        <v>2040</v>
      </c>
      <c r="J88" s="57">
        <v>2.1999999999999999E-2</v>
      </c>
    </row>
    <row r="89" spans="3:15" s="106" customFormat="1">
      <c r="C89" s="129">
        <f t="shared" si="47"/>
        <v>2023</v>
      </c>
      <c r="D89" s="57">
        <v>2.3E-2</v>
      </c>
      <c r="F89" s="129">
        <f t="shared" si="48"/>
        <v>2032</v>
      </c>
      <c r="G89" s="57">
        <v>2.1999999999999999E-2</v>
      </c>
      <c r="I89" s="129">
        <f t="shared" si="49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47"/>
        <v>2024</v>
      </c>
      <c r="D90" s="57">
        <v>2.3E-2</v>
      </c>
      <c r="F90" s="129">
        <f t="shared" si="48"/>
        <v>2033</v>
      </c>
      <c r="G90" s="57">
        <v>2.1999999999999999E-2</v>
      </c>
      <c r="I90" s="129">
        <f t="shared" si="49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47"/>
        <v>2025</v>
      </c>
      <c r="D91" s="57">
        <v>2.3E-2</v>
      </c>
      <c r="F91" s="129">
        <f t="shared" si="48"/>
        <v>2034</v>
      </c>
      <c r="G91" s="57">
        <v>2.3E-2</v>
      </c>
      <c r="I91" s="129">
        <f t="shared" si="49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honeticPr fontId="7" type="noConversion"/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95"/>
  <sheetViews>
    <sheetView view="pageBreakPreview" topLeftCell="A11" zoomScale="85" zoomScaleNormal="85" zoomScaleSheetLayoutView="85" workbookViewId="0">
      <selection activeCell="C45" sqref="C45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26.1640625" style="104" customWidth="1"/>
    <col min="4" max="4" width="12.33203125" style="104" customWidth="1"/>
    <col min="5" max="5" width="9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5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5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5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5" ht="15.75">
      <c r="B4" s="1" t="s">
        <v>94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5" ht="15.75">
      <c r="B5" s="1" t="str">
        <f>C54</f>
        <v>Willamette Valley - 436 MW - CCCT Dry "G/H", 1x1 - West Side Resource (1,500')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5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5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5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5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5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5" ht="6" customHeight="1"/>
    <row r="12" spans="2:15" ht="15.75">
      <c r="B12" s="60" t="str">
        <f>C54</f>
        <v>Willamette Valley - 436 MW - CCCT Dry "G/H", 1x1 - West Side Resource (1,500')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5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5">
      <c r="B14" s="107">
        <v>2016</v>
      </c>
      <c r="C14" s="108">
        <f>$H$60</f>
        <v>1363</v>
      </c>
      <c r="D14" s="109">
        <f>ROUND(C14*$C$76,2)</f>
        <v>98.9</v>
      </c>
      <c r="E14" s="110">
        <f>$I$60</f>
        <v>43.7</v>
      </c>
      <c r="F14" s="110">
        <f>$J$65</f>
        <v>2.02</v>
      </c>
      <c r="G14" s="111">
        <f t="shared" ref="G14:G24" si="0">ROUND(F14*(8.76*$G$65)+E14,2)</f>
        <v>56.14</v>
      </c>
      <c r="H14" s="111">
        <f t="shared" ref="H14:H24" si="1">ROUND(D14+G14,2)</f>
        <v>155.04</v>
      </c>
      <c r="I14" s="111"/>
      <c r="J14" s="111"/>
      <c r="K14" s="111"/>
      <c r="O14" s="104" t="s">
        <v>125</v>
      </c>
    </row>
    <row r="15" spans="2:15">
      <c r="B15" s="107">
        <f t="shared" ref="B15:B40" si="2">B14+1</f>
        <v>2017</v>
      </c>
      <c r="C15" s="112"/>
      <c r="D15" s="109">
        <f>ROUND(D14*(1+$D83),2)</f>
        <v>100.88</v>
      </c>
      <c r="E15" s="109">
        <f t="shared" ref="D15:F17" si="3">ROUND(E14*(1+$D83),2)</f>
        <v>44.57</v>
      </c>
      <c r="F15" s="109">
        <f t="shared" si="3"/>
        <v>2.06</v>
      </c>
      <c r="G15" s="113">
        <f t="shared" si="0"/>
        <v>57.26</v>
      </c>
      <c r="H15" s="113">
        <f t="shared" si="1"/>
        <v>158.13999999999999</v>
      </c>
      <c r="I15" s="111"/>
      <c r="J15" s="111"/>
      <c r="K15" s="111"/>
    </row>
    <row r="16" spans="2:15">
      <c r="B16" s="107">
        <f t="shared" si="2"/>
        <v>2018</v>
      </c>
      <c r="C16" s="112"/>
      <c r="D16" s="109">
        <f t="shared" si="3"/>
        <v>102.8</v>
      </c>
      <c r="E16" s="109">
        <f t="shared" si="3"/>
        <v>45.42</v>
      </c>
      <c r="F16" s="109">
        <f t="shared" si="3"/>
        <v>2.1</v>
      </c>
      <c r="G16" s="111">
        <f t="shared" si="0"/>
        <v>58.35</v>
      </c>
      <c r="H16" s="111">
        <f t="shared" si="1"/>
        <v>161.15</v>
      </c>
      <c r="I16" s="111"/>
      <c r="J16" s="111"/>
      <c r="K16" s="111"/>
    </row>
    <row r="17" spans="2:13">
      <c r="B17" s="107">
        <f t="shared" si="2"/>
        <v>2019</v>
      </c>
      <c r="C17" s="112"/>
      <c r="D17" s="109">
        <f t="shared" si="3"/>
        <v>105.06</v>
      </c>
      <c r="E17" s="109">
        <f t="shared" si="3"/>
        <v>46.42</v>
      </c>
      <c r="F17" s="109">
        <f t="shared" si="3"/>
        <v>2.15</v>
      </c>
      <c r="G17" s="111">
        <f t="shared" si="0"/>
        <v>59.66</v>
      </c>
      <c r="H17" s="111">
        <f t="shared" si="1"/>
        <v>164.72</v>
      </c>
      <c r="I17" s="111"/>
      <c r="J17" s="111"/>
      <c r="K17" s="111"/>
    </row>
    <row r="18" spans="2:13">
      <c r="B18" s="107">
        <f t="shared" si="2"/>
        <v>2020</v>
      </c>
      <c r="C18" s="112"/>
      <c r="D18" s="109">
        <f t="shared" ref="D18:F18" si="4">ROUND(D17*(1+$D86),2)</f>
        <v>107.79</v>
      </c>
      <c r="E18" s="109">
        <f t="shared" si="4"/>
        <v>47.63</v>
      </c>
      <c r="F18" s="109">
        <f t="shared" si="4"/>
        <v>2.21</v>
      </c>
      <c r="G18" s="111">
        <f t="shared" ref="G18:G23" si="5">ROUND(F18*(8.76*$G$65)+E18,2)</f>
        <v>61.24</v>
      </c>
      <c r="H18" s="111">
        <f t="shared" ref="H18:H23" si="6">ROUND(D18+G18,2)</f>
        <v>169.03</v>
      </c>
      <c r="I18" s="111"/>
      <c r="J18" s="111"/>
      <c r="K18" s="111"/>
    </row>
    <row r="19" spans="2:13">
      <c r="B19" s="107">
        <f t="shared" si="2"/>
        <v>2021</v>
      </c>
      <c r="C19" s="112"/>
      <c r="D19" s="109">
        <f t="shared" ref="D19:F19" si="7">ROUND(D18*(1+$D87),2)</f>
        <v>110.38</v>
      </c>
      <c r="E19" s="109">
        <f t="shared" si="7"/>
        <v>48.77</v>
      </c>
      <c r="F19" s="109">
        <f t="shared" si="7"/>
        <v>2.2599999999999998</v>
      </c>
      <c r="G19" s="111">
        <f t="shared" si="5"/>
        <v>62.69</v>
      </c>
      <c r="H19" s="111">
        <f t="shared" si="6"/>
        <v>173.07</v>
      </c>
      <c r="I19" s="111"/>
      <c r="J19" s="111"/>
      <c r="K19" s="111"/>
    </row>
    <row r="20" spans="2:13">
      <c r="B20" s="107">
        <f t="shared" si="2"/>
        <v>2022</v>
      </c>
      <c r="C20" s="112"/>
      <c r="D20" s="109">
        <f t="shared" ref="D20:F20" si="8">ROUND(D19*(1+$D88),2)</f>
        <v>112.92</v>
      </c>
      <c r="E20" s="109">
        <f t="shared" si="8"/>
        <v>49.89</v>
      </c>
      <c r="F20" s="109">
        <f t="shared" si="8"/>
        <v>2.31</v>
      </c>
      <c r="G20" s="111">
        <f t="shared" si="5"/>
        <v>64.12</v>
      </c>
      <c r="H20" s="111">
        <f t="shared" si="6"/>
        <v>177.04</v>
      </c>
      <c r="I20" s="111"/>
      <c r="J20" s="111"/>
      <c r="K20" s="111"/>
    </row>
    <row r="21" spans="2:13">
      <c r="B21" s="107">
        <f t="shared" si="2"/>
        <v>2023</v>
      </c>
      <c r="C21" s="112"/>
      <c r="D21" s="109">
        <f t="shared" ref="D21:F21" si="9">ROUND(D20*(1+$D89),2)</f>
        <v>115.52</v>
      </c>
      <c r="E21" s="109">
        <f t="shared" si="9"/>
        <v>51.04</v>
      </c>
      <c r="F21" s="109">
        <f t="shared" si="9"/>
        <v>2.36</v>
      </c>
      <c r="G21" s="111">
        <f t="shared" si="5"/>
        <v>65.569999999999993</v>
      </c>
      <c r="H21" s="111">
        <f t="shared" si="6"/>
        <v>181.09</v>
      </c>
      <c r="I21" s="111"/>
      <c r="J21" s="111"/>
      <c r="K21" s="111"/>
    </row>
    <row r="22" spans="2:13">
      <c r="B22" s="107">
        <f t="shared" si="2"/>
        <v>2024</v>
      </c>
      <c r="C22" s="112"/>
      <c r="D22" s="109">
        <f t="shared" ref="D22:F22" si="10">ROUND(D21*(1+$D90),2)</f>
        <v>118.18</v>
      </c>
      <c r="E22" s="109">
        <f t="shared" si="10"/>
        <v>52.21</v>
      </c>
      <c r="F22" s="109">
        <f t="shared" si="10"/>
        <v>2.41</v>
      </c>
      <c r="G22" s="111">
        <f t="shared" si="5"/>
        <v>67.05</v>
      </c>
      <c r="H22" s="111">
        <f t="shared" si="6"/>
        <v>185.23</v>
      </c>
      <c r="I22" s="111"/>
      <c r="J22" s="111"/>
      <c r="K22" s="111"/>
    </row>
    <row r="23" spans="2:13">
      <c r="B23" s="107">
        <f t="shared" si="2"/>
        <v>2025</v>
      </c>
      <c r="C23" s="112"/>
      <c r="D23" s="109">
        <f t="shared" ref="D23:F23" si="11">ROUND(D22*(1+$D91),2)</f>
        <v>120.9</v>
      </c>
      <c r="E23" s="109">
        <f t="shared" si="11"/>
        <v>53.41</v>
      </c>
      <c r="F23" s="109">
        <f t="shared" si="11"/>
        <v>2.4700000000000002</v>
      </c>
      <c r="G23" s="111">
        <f t="shared" si="5"/>
        <v>68.62</v>
      </c>
      <c r="H23" s="111">
        <f t="shared" si="6"/>
        <v>189.52</v>
      </c>
      <c r="I23" s="111"/>
      <c r="J23" s="111"/>
      <c r="K23" s="111"/>
    </row>
    <row r="24" spans="2:13">
      <c r="B24" s="107">
        <f t="shared" si="2"/>
        <v>2026</v>
      </c>
      <c r="C24" s="112"/>
      <c r="D24" s="113">
        <f>ROUND(D23*(1+$G83),2)</f>
        <v>123.68</v>
      </c>
      <c r="E24" s="113">
        <f>ROUND(E23*(1+$G83),2)</f>
        <v>54.64</v>
      </c>
      <c r="F24" s="113">
        <f>ROUND(F23*(1+$G83),2)</f>
        <v>2.5299999999999998</v>
      </c>
      <c r="G24" s="111">
        <f t="shared" si="0"/>
        <v>70.22</v>
      </c>
      <c r="H24" s="111">
        <f t="shared" si="1"/>
        <v>193.9</v>
      </c>
      <c r="I24" s="111"/>
      <c r="J24" s="111"/>
      <c r="K24" s="111"/>
    </row>
    <row r="25" spans="2:13">
      <c r="B25" s="107">
        <f t="shared" si="2"/>
        <v>2027</v>
      </c>
      <c r="C25" s="112"/>
      <c r="D25" s="113">
        <f t="shared" ref="D25:F25" si="12">ROUND(D24*(1+$G84),2)</f>
        <v>126.52</v>
      </c>
      <c r="E25" s="113">
        <f t="shared" si="12"/>
        <v>55.9</v>
      </c>
      <c r="F25" s="113">
        <f t="shared" si="12"/>
        <v>2.59</v>
      </c>
      <c r="G25" s="111">
        <f t="shared" ref="G25:G30" si="13">ROUND(F25*(8.76*$G$65)+E25,2)</f>
        <v>71.849999999999994</v>
      </c>
      <c r="H25" s="111">
        <f t="shared" ref="H25:H30" si="14">ROUND(D25+G25,2)</f>
        <v>198.37</v>
      </c>
      <c r="I25" s="111"/>
      <c r="J25" s="111"/>
      <c r="K25" s="111"/>
    </row>
    <row r="26" spans="2:13">
      <c r="B26" s="107">
        <f t="shared" si="2"/>
        <v>2028</v>
      </c>
      <c r="C26" s="112"/>
      <c r="D26" s="113">
        <f t="shared" ref="D26:F26" si="15">ROUND(D25*(1+$G85),2)</f>
        <v>129.43</v>
      </c>
      <c r="E26" s="113">
        <f t="shared" si="15"/>
        <v>57.19</v>
      </c>
      <c r="F26" s="113">
        <f t="shared" si="15"/>
        <v>2.65</v>
      </c>
      <c r="G26" s="111">
        <f t="shared" si="13"/>
        <v>73.510000000000005</v>
      </c>
      <c r="H26" s="111">
        <f t="shared" si="14"/>
        <v>202.94</v>
      </c>
      <c r="I26" s="111"/>
      <c r="J26" s="111"/>
      <c r="K26" s="111"/>
    </row>
    <row r="27" spans="2:13">
      <c r="B27" s="107">
        <f t="shared" si="2"/>
        <v>2029</v>
      </c>
      <c r="C27" s="112"/>
      <c r="D27" s="113">
        <f t="shared" ref="D27:F27" si="16">ROUND(D26*(1+$G86),2)</f>
        <v>132.41</v>
      </c>
      <c r="E27" s="113">
        <f t="shared" si="16"/>
        <v>58.51</v>
      </c>
      <c r="F27" s="113">
        <f t="shared" si="16"/>
        <v>2.71</v>
      </c>
      <c r="G27" s="111">
        <f t="shared" si="13"/>
        <v>75.2</v>
      </c>
      <c r="H27" s="111">
        <f t="shared" si="14"/>
        <v>207.61</v>
      </c>
      <c r="I27" s="111"/>
      <c r="J27" s="111"/>
      <c r="K27" s="111"/>
    </row>
    <row r="28" spans="2:13">
      <c r="B28" s="107">
        <f t="shared" si="2"/>
        <v>2030</v>
      </c>
      <c r="C28" s="112"/>
      <c r="D28" s="113">
        <f t="shared" ref="D28:D29" si="17">ROUND(D27*(1+$G87),2)</f>
        <v>135.46</v>
      </c>
      <c r="E28" s="113">
        <f t="shared" ref="E28:E29" si="18">ROUND(E27*(1+$G87),2)</f>
        <v>59.86</v>
      </c>
      <c r="F28" s="113">
        <f t="shared" ref="F28:F29" si="19">ROUND(F27*(1+$G87),2)</f>
        <v>2.77</v>
      </c>
      <c r="G28" s="111">
        <f t="shared" ref="G28:G29" si="20">ROUND(F28*(8.76*$G$65)+E28,2)</f>
        <v>76.92</v>
      </c>
      <c r="H28" s="111">
        <f t="shared" ref="H28:H29" si="21">ROUND(D28+G28,2)</f>
        <v>212.38</v>
      </c>
      <c r="I28" s="111"/>
      <c r="J28" s="111"/>
      <c r="K28" s="111"/>
    </row>
    <row r="29" spans="2:13" ht="13.5" thickBot="1">
      <c r="B29" s="176">
        <f t="shared" si="2"/>
        <v>2031</v>
      </c>
      <c r="C29" s="177"/>
      <c r="D29" s="164">
        <f t="shared" si="17"/>
        <v>138.58000000000001</v>
      </c>
      <c r="E29" s="164">
        <f t="shared" si="18"/>
        <v>61.24</v>
      </c>
      <c r="F29" s="164">
        <f t="shared" si="19"/>
        <v>2.83</v>
      </c>
      <c r="G29" s="138">
        <f t="shared" si="20"/>
        <v>78.67</v>
      </c>
      <c r="H29" s="138">
        <f t="shared" si="21"/>
        <v>217.25</v>
      </c>
      <c r="I29" s="138"/>
      <c r="J29" s="138"/>
      <c r="K29" s="138"/>
    </row>
    <row r="30" spans="2:13" s="145" customFormat="1">
      <c r="B30" s="148">
        <f t="shared" si="2"/>
        <v>2032</v>
      </c>
      <c r="C30" s="149"/>
      <c r="D30" s="113">
        <f t="shared" ref="D30:F30" si="22">ROUND(D29*(1+$G89),2)</f>
        <v>141.63</v>
      </c>
      <c r="E30" s="113">
        <f t="shared" si="22"/>
        <v>62.59</v>
      </c>
      <c r="F30" s="113">
        <f t="shared" si="22"/>
        <v>2.89</v>
      </c>
      <c r="G30" s="111">
        <f t="shared" si="13"/>
        <v>80.39</v>
      </c>
      <c r="H30" s="111">
        <f t="shared" si="14"/>
        <v>222.02</v>
      </c>
      <c r="I30" s="111">
        <f>VLOOKUP(B30,'Table 4'!$B$13:$D$43,3,FALSE)</f>
        <v>5.2</v>
      </c>
      <c r="J30" s="111">
        <f t="shared" ref="J30:J32" si="23">ROUND($K$65*I30/1000,2)</f>
        <v>33.36</v>
      </c>
      <c r="K30" s="111">
        <f t="shared" ref="K30:K32" si="24">ROUND(H30*1000/8760/$G$65+J30,2)</f>
        <v>69.41</v>
      </c>
      <c r="M30" s="104"/>
    </row>
    <row r="31" spans="2:13" s="145" customFormat="1">
      <c r="B31" s="148">
        <f t="shared" si="2"/>
        <v>2033</v>
      </c>
      <c r="C31" s="149"/>
      <c r="D31" s="113">
        <f t="shared" ref="D31:D32" si="25">ROUND(D30*(1+$G90),2)</f>
        <v>144.75</v>
      </c>
      <c r="E31" s="113">
        <f t="shared" ref="E31:E32" si="26">ROUND(E30*(1+$G90),2)</f>
        <v>63.97</v>
      </c>
      <c r="F31" s="113">
        <f t="shared" ref="F31:F32" si="27">ROUND(F30*(1+$G90),2)</f>
        <v>2.95</v>
      </c>
      <c r="G31" s="111">
        <f t="shared" ref="G31:G32" si="28">ROUND(F31*(8.76*$G$65)+E31,2)</f>
        <v>82.14</v>
      </c>
      <c r="H31" s="111">
        <f t="shared" ref="H31:H32" si="29">ROUND(D31+G31,2)</f>
        <v>226.89</v>
      </c>
      <c r="I31" s="111">
        <f>VLOOKUP(B31,'Table 4'!$B$13:$D$43,3,FALSE)</f>
        <v>5.44</v>
      </c>
      <c r="J31" s="111">
        <f t="shared" si="23"/>
        <v>34.9</v>
      </c>
      <c r="K31" s="111">
        <f t="shared" si="24"/>
        <v>71.739999999999995</v>
      </c>
      <c r="M31" s="104"/>
    </row>
    <row r="32" spans="2:13" s="145" customFormat="1">
      <c r="B32" s="107">
        <f t="shared" si="2"/>
        <v>2034</v>
      </c>
      <c r="C32" s="112"/>
      <c r="D32" s="111">
        <f t="shared" si="25"/>
        <v>148.08000000000001</v>
      </c>
      <c r="E32" s="109">
        <f t="shared" si="26"/>
        <v>65.44</v>
      </c>
      <c r="F32" s="109">
        <f t="shared" si="27"/>
        <v>3.02</v>
      </c>
      <c r="G32" s="111">
        <f t="shared" si="28"/>
        <v>84.04</v>
      </c>
      <c r="H32" s="111">
        <f t="shared" si="29"/>
        <v>232.12</v>
      </c>
      <c r="I32" s="111">
        <f>VLOOKUP(B32,'Table 4'!$B$13:$D$43,3,FALSE)</f>
        <v>5.73</v>
      </c>
      <c r="J32" s="111">
        <f t="shared" si="23"/>
        <v>36.76</v>
      </c>
      <c r="K32" s="111">
        <f t="shared" si="24"/>
        <v>74.45</v>
      </c>
      <c r="M32" s="104"/>
    </row>
    <row r="33" spans="2:15">
      <c r="B33" s="107">
        <f t="shared" si="2"/>
        <v>2035</v>
      </c>
      <c r="C33" s="112"/>
      <c r="D33" s="111">
        <f>ROUND(D32*(1+$J83),2)</f>
        <v>151.49</v>
      </c>
      <c r="E33" s="109">
        <f>ROUND(E32*(1+$J83),2)</f>
        <v>66.95</v>
      </c>
      <c r="F33" s="109">
        <f>ROUND(F32*(1+$J83),2)</f>
        <v>3.09</v>
      </c>
      <c r="G33" s="111">
        <f t="shared" ref="G33" si="30">ROUND(F33*(8.76*$G$65)+E33,2)</f>
        <v>85.98</v>
      </c>
      <c r="H33" s="111">
        <f t="shared" ref="H33" si="31">ROUND(D33+G33,2)</f>
        <v>237.47</v>
      </c>
      <c r="I33" s="111">
        <f>VLOOKUP(B33,'Table 4'!$B$13:$D$43,3,FALSE)</f>
        <v>5.93</v>
      </c>
      <c r="J33" s="111">
        <f t="shared" ref="J33:J35" si="32">ROUND($K$65*I33/1000,2)</f>
        <v>38.04</v>
      </c>
      <c r="K33" s="111">
        <f t="shared" ref="K33:K35" si="33">ROUND(H33*1000/8760/$G$65+J33,2)</f>
        <v>76.599999999999994</v>
      </c>
    </row>
    <row r="34" spans="2:15">
      <c r="B34" s="107">
        <f t="shared" si="2"/>
        <v>2036</v>
      </c>
      <c r="C34" s="112"/>
      <c r="D34" s="111">
        <f t="shared" ref="D34:F34" si="34">ROUND(D33*(1+$J84),2)</f>
        <v>154.97</v>
      </c>
      <c r="E34" s="109">
        <f t="shared" si="34"/>
        <v>68.489999999999995</v>
      </c>
      <c r="F34" s="109">
        <f t="shared" si="34"/>
        <v>3.16</v>
      </c>
      <c r="G34" s="111">
        <f t="shared" ref="G34:G39" si="35">ROUND(F34*(8.76*$G$65)+E34,2)</f>
        <v>87.95</v>
      </c>
      <c r="H34" s="111">
        <f t="shared" ref="H34:H39" si="36">ROUND(D34+G34,2)</f>
        <v>242.92</v>
      </c>
      <c r="I34" s="111">
        <f>VLOOKUP(B34,'Table 4'!$B$13:$D$43,3,FALSE)</f>
        <v>6.3</v>
      </c>
      <c r="J34" s="111">
        <f t="shared" si="32"/>
        <v>40.409999999999997</v>
      </c>
      <c r="K34" s="111">
        <f t="shared" si="33"/>
        <v>79.86</v>
      </c>
    </row>
    <row r="35" spans="2:15">
      <c r="B35" s="107">
        <f t="shared" si="2"/>
        <v>2037</v>
      </c>
      <c r="C35" s="112"/>
      <c r="D35" s="111">
        <f t="shared" ref="D35:F35" si="37">ROUND(D34*(1+$J85),2)</f>
        <v>158.38</v>
      </c>
      <c r="E35" s="109">
        <f t="shared" si="37"/>
        <v>70</v>
      </c>
      <c r="F35" s="109">
        <f t="shared" si="37"/>
        <v>3.23</v>
      </c>
      <c r="G35" s="111">
        <f t="shared" si="35"/>
        <v>89.89</v>
      </c>
      <c r="H35" s="111">
        <f t="shared" si="36"/>
        <v>248.27</v>
      </c>
      <c r="I35" s="111">
        <f>VLOOKUP(B35,'Table 4'!$B$13:$D$43,3,FALSE)</f>
        <v>6.47</v>
      </c>
      <c r="J35" s="111">
        <f t="shared" si="32"/>
        <v>41.51</v>
      </c>
      <c r="K35" s="111">
        <f t="shared" si="33"/>
        <v>81.819999999999993</v>
      </c>
    </row>
    <row r="36" spans="2:15">
      <c r="B36" s="107">
        <f t="shared" si="2"/>
        <v>2038</v>
      </c>
      <c r="C36" s="112"/>
      <c r="D36" s="111">
        <f t="shared" ref="D36:F36" si="38">ROUND(D35*(1+$J86),2)</f>
        <v>161.86000000000001</v>
      </c>
      <c r="E36" s="109">
        <f t="shared" si="38"/>
        <v>71.540000000000006</v>
      </c>
      <c r="F36" s="109">
        <f t="shared" si="38"/>
        <v>3.3</v>
      </c>
      <c r="G36" s="111">
        <f t="shared" si="35"/>
        <v>91.86</v>
      </c>
      <c r="H36" s="111">
        <f t="shared" si="36"/>
        <v>253.72</v>
      </c>
      <c r="I36" s="111">
        <f>VLOOKUP(B36,'Table 4'!$B$13:$D$43,3,FALSE)</f>
        <v>6.75</v>
      </c>
      <c r="J36" s="111">
        <f t="shared" ref="J36:J39" si="39">ROUND($K$65*I36/1000,2)</f>
        <v>43.3</v>
      </c>
      <c r="K36" s="111">
        <f t="shared" ref="K36:K39" si="40">ROUND(H36*1000/8760/$G$65+J36,2)</f>
        <v>84.5</v>
      </c>
    </row>
    <row r="37" spans="2:15">
      <c r="B37" s="107">
        <f t="shared" si="2"/>
        <v>2039</v>
      </c>
      <c r="C37" s="112"/>
      <c r="D37" s="111">
        <f t="shared" ref="D37:F37" si="41">ROUND(D36*(1+$J87),2)</f>
        <v>165.42</v>
      </c>
      <c r="E37" s="109">
        <f t="shared" si="41"/>
        <v>73.11</v>
      </c>
      <c r="F37" s="109">
        <f t="shared" si="41"/>
        <v>3.37</v>
      </c>
      <c r="G37" s="111">
        <f t="shared" si="35"/>
        <v>93.86</v>
      </c>
      <c r="H37" s="111">
        <f t="shared" si="36"/>
        <v>259.27999999999997</v>
      </c>
      <c r="I37" s="111">
        <f>VLOOKUP(B37,'Table 4'!$B$13:$D$43,3,FALSE)</f>
        <v>6.9</v>
      </c>
      <c r="J37" s="111">
        <f t="shared" si="39"/>
        <v>44.26</v>
      </c>
      <c r="K37" s="111">
        <f t="shared" si="40"/>
        <v>86.36</v>
      </c>
    </row>
    <row r="38" spans="2:15">
      <c r="B38" s="107">
        <f t="shared" si="2"/>
        <v>2040</v>
      </c>
      <c r="C38" s="112"/>
      <c r="D38" s="111">
        <f t="shared" ref="D38:F38" si="42">ROUND(D37*(1+$J88),2)</f>
        <v>169.06</v>
      </c>
      <c r="E38" s="109">
        <f t="shared" si="42"/>
        <v>74.72</v>
      </c>
      <c r="F38" s="109">
        <f t="shared" si="42"/>
        <v>3.44</v>
      </c>
      <c r="G38" s="111">
        <f t="shared" si="35"/>
        <v>95.9</v>
      </c>
      <c r="H38" s="111">
        <f t="shared" si="36"/>
        <v>264.95999999999998</v>
      </c>
      <c r="I38" s="111">
        <f>VLOOKUP(B38,'Table 4'!$B$13:$D$43,3,FALSE)</f>
        <v>7.08</v>
      </c>
      <c r="J38" s="111">
        <f t="shared" si="39"/>
        <v>45.42</v>
      </c>
      <c r="K38" s="111">
        <f t="shared" si="40"/>
        <v>88.45</v>
      </c>
    </row>
    <row r="39" spans="2:15">
      <c r="B39" s="107">
        <f t="shared" si="2"/>
        <v>2041</v>
      </c>
      <c r="C39" s="112"/>
      <c r="D39" s="111">
        <f t="shared" ref="D39:F40" si="43">ROUND(D38*(1+$J89),2)</f>
        <v>172.78</v>
      </c>
      <c r="E39" s="109">
        <f t="shared" si="43"/>
        <v>76.36</v>
      </c>
      <c r="F39" s="109">
        <f t="shared" si="43"/>
        <v>3.52</v>
      </c>
      <c r="G39" s="111">
        <f t="shared" si="35"/>
        <v>98.04</v>
      </c>
      <c r="H39" s="111">
        <f t="shared" si="36"/>
        <v>270.82</v>
      </c>
      <c r="I39" s="111">
        <f>VLOOKUP(B39,'Table 4'!$B$13:$D$43,3,FALSE)</f>
        <v>7.24</v>
      </c>
      <c r="J39" s="111">
        <f t="shared" si="39"/>
        <v>46.44</v>
      </c>
      <c r="K39" s="111">
        <f t="shared" si="40"/>
        <v>90.42</v>
      </c>
    </row>
    <row r="40" spans="2:15">
      <c r="B40" s="107">
        <f t="shared" si="2"/>
        <v>2042</v>
      </c>
      <c r="C40" s="112"/>
      <c r="D40" s="111">
        <f t="shared" si="43"/>
        <v>176.58</v>
      </c>
      <c r="E40" s="109">
        <f t="shared" si="43"/>
        <v>78.040000000000006</v>
      </c>
      <c r="F40" s="109">
        <f t="shared" si="43"/>
        <v>3.6</v>
      </c>
      <c r="G40" s="111">
        <f t="shared" ref="G40" si="44">ROUND(F40*(8.76*$G$65)+E40,2)</f>
        <v>100.21</v>
      </c>
      <c r="H40" s="111">
        <f t="shared" ref="H40" si="45">ROUND(D40+G40,2)</f>
        <v>276.79000000000002</v>
      </c>
      <c r="I40" s="111">
        <f>VLOOKUP(B40,'Table 4'!$B$13:$D$43,3,FALSE)</f>
        <v>4.95</v>
      </c>
      <c r="J40" s="111">
        <f t="shared" ref="J40" si="46">ROUND($K$65*I40/1000,2)</f>
        <v>31.75</v>
      </c>
      <c r="K40" s="111">
        <f t="shared" ref="K40" si="47">ROUND(H40*1000/8760/$G$65+J40,2)</f>
        <v>76.7</v>
      </c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">
        <v>103</v>
      </c>
    </row>
    <row r="47" spans="2:15">
      <c r="C47" s="116" t="str">
        <f>D10</f>
        <v>(b)</v>
      </c>
      <c r="D47" s="111" t="str">
        <f>"= "&amp;C10&amp;" x "&amp;C76</f>
        <v>= (a) x 0.0725628795024555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70.3%) + (c)</v>
      </c>
    </row>
    <row r="49" spans="3:15">
      <c r="C49" s="116" t="str">
        <f>H10</f>
        <v>(f)</v>
      </c>
      <c r="D49" s="111" t="str">
        <f>"= "&amp;D10&amp;" + "&amp;G10</f>
        <v>= (b) + (e)</v>
      </c>
    </row>
    <row r="50" spans="3:15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5">
      <c r="C51" s="116" t="str">
        <f>J10</f>
        <v>(h)</v>
      </c>
      <c r="D51" s="111" t="str">
        <f>"= "&amp;TEXT(K65,"?,0")&amp;" MMBtu/MWH x "&amp;I9</f>
        <v>= 6,415 MMBtu/MWH x $/MMBtu</v>
      </c>
    </row>
    <row r="52" spans="3:15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5" ht="13.5" thickBot="1"/>
    <row r="54" spans="3:15" ht="13.5" thickBot="1">
      <c r="C54" s="58" t="s">
        <v>95</v>
      </c>
      <c r="D54" s="55"/>
      <c r="E54" s="55"/>
      <c r="F54" s="55"/>
      <c r="G54" s="55"/>
      <c r="H54" s="55"/>
      <c r="I54" s="55"/>
      <c r="J54" s="56"/>
      <c r="K54" s="117"/>
    </row>
    <row r="55" spans="3:15" ht="5.25" customHeight="1"/>
    <row r="56" spans="3:15" ht="5.25" customHeight="1"/>
    <row r="57" spans="3:15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5">
      <c r="C58" s="145" t="s">
        <v>96</v>
      </c>
      <c r="F58" s="118">
        <f>C69</f>
        <v>385.35346874999999</v>
      </c>
      <c r="G58" s="57">
        <f>F58/F60</f>
        <v>0.88311475045887722</v>
      </c>
      <c r="H58" s="132">
        <f>C70</f>
        <v>1484.338135058779</v>
      </c>
      <c r="I58" s="134">
        <f>C73</f>
        <v>44.501635407885907</v>
      </c>
      <c r="O58" s="182"/>
    </row>
    <row r="59" spans="3:15">
      <c r="C59" s="145" t="s">
        <v>97</v>
      </c>
      <c r="F59" s="48">
        <f>D69</f>
        <v>51.003718749999997</v>
      </c>
      <c r="G59" s="44">
        <f>1-G58</f>
        <v>0.11688524954112278</v>
      </c>
      <c r="H59" s="133">
        <f>D70</f>
        <v>443.00439708045104</v>
      </c>
      <c r="I59" s="135">
        <f>D73</f>
        <v>37.670659567999998</v>
      </c>
    </row>
    <row r="60" spans="3:15">
      <c r="C60" s="145" t="s">
        <v>45</v>
      </c>
      <c r="F60" s="118">
        <f>F58+F59</f>
        <v>436.35718750000001</v>
      </c>
      <c r="G60" s="57">
        <f>G58+G59</f>
        <v>1</v>
      </c>
      <c r="H60" s="132">
        <f>ROUND(((F58*H58)+(F59*H59))/F60,0)</f>
        <v>1363</v>
      </c>
      <c r="I60" s="134">
        <f>ROUND(((F58*I58)+(F59*I59))/F60,2)</f>
        <v>43.7</v>
      </c>
    </row>
    <row r="61" spans="3:15">
      <c r="C61" s="145"/>
      <c r="F61" s="118"/>
      <c r="G61" s="57"/>
      <c r="H61" s="119"/>
      <c r="I61" s="120"/>
    </row>
    <row r="62" spans="3:15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5">
      <c r="C63" s="147" t="str">
        <f>C58</f>
        <v>CCCT Dry "G/H", 1x1 - Turbine</v>
      </c>
      <c r="D63" s="121"/>
      <c r="E63" s="121"/>
      <c r="F63" s="104">
        <f>C69</f>
        <v>385.35346874999999</v>
      </c>
      <c r="G63" s="57">
        <f>C77</f>
        <v>0.78</v>
      </c>
      <c r="H63" s="168">
        <f>G63*F63</f>
        <v>300.57570562500001</v>
      </c>
      <c r="I63" s="57">
        <f>H63/H65</f>
        <v>0.98004394182130306</v>
      </c>
      <c r="J63" s="120">
        <f>C74</f>
        <v>2.0592662948867351</v>
      </c>
      <c r="K63" s="122">
        <f>C75</f>
        <v>6362</v>
      </c>
    </row>
    <row r="64" spans="3:15">
      <c r="C64" s="147" t="str">
        <f>C59</f>
        <v>CCCT Dry "G/H", 1x1 - Duct Firing</v>
      </c>
      <c r="D64" s="121"/>
      <c r="E64" s="121"/>
      <c r="F64" s="43">
        <f>D69</f>
        <v>51.003718749999997</v>
      </c>
      <c r="G64" s="44">
        <f>D77</f>
        <v>0.12</v>
      </c>
      <c r="H64" s="169">
        <f>G64*F64</f>
        <v>6.1204462499999996</v>
      </c>
      <c r="I64" s="44">
        <f>1-I63</f>
        <v>1.9956058178696945E-2</v>
      </c>
      <c r="J64" s="45">
        <f>D74</f>
        <v>0.15</v>
      </c>
      <c r="K64" s="46">
        <f>D75</f>
        <v>9012</v>
      </c>
    </row>
    <row r="65" spans="2:12">
      <c r="C65" s="145" t="s">
        <v>50</v>
      </c>
      <c r="F65" s="104">
        <f>F63+F64</f>
        <v>436.35718750000001</v>
      </c>
      <c r="G65" s="123">
        <f>ROUND(H65/F65,3)</f>
        <v>0.70299999999999996</v>
      </c>
      <c r="H65" s="168">
        <f>SUM(H63:H64)</f>
        <v>306.696151875</v>
      </c>
      <c r="I65" s="57">
        <f>I63+I64</f>
        <v>1</v>
      </c>
      <c r="J65" s="120">
        <f>ROUND(($I63*J63)+($I64*J64),2)</f>
        <v>2.02</v>
      </c>
      <c r="K65" s="124">
        <f>ROUND(($I63*K63)+($I64*K64),0)</f>
        <v>6415</v>
      </c>
    </row>
    <row r="66" spans="2:12">
      <c r="G66" s="123"/>
      <c r="I66" s="57"/>
      <c r="J66" s="120"/>
      <c r="K66" s="47" t="s">
        <v>51</v>
      </c>
    </row>
    <row r="68" spans="2:12">
      <c r="C68" s="41" t="s">
        <v>34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2">
      <c r="C69" s="104">
        <v>385.35346874999999</v>
      </c>
      <c r="D69" s="104">
        <v>51.003718749999997</v>
      </c>
      <c r="E69" s="104" t="s">
        <v>77</v>
      </c>
      <c r="H69" s="127"/>
    </row>
    <row r="70" spans="2:12">
      <c r="B70" s="104" t="s">
        <v>104</v>
      </c>
      <c r="C70" s="119">
        <v>1484.338135058779</v>
      </c>
      <c r="D70" s="119">
        <v>443.00439708045104</v>
      </c>
      <c r="E70" s="104" t="s">
        <v>78</v>
      </c>
      <c r="L70" s="68"/>
    </row>
    <row r="71" spans="2:12">
      <c r="B71" s="104" t="s">
        <v>104</v>
      </c>
      <c r="C71" s="120">
        <v>21.713180439885903</v>
      </c>
      <c r="D71" s="120">
        <v>5.39</v>
      </c>
      <c r="E71" s="104" t="s">
        <v>79</v>
      </c>
      <c r="L71" s="68"/>
    </row>
    <row r="72" spans="2:12">
      <c r="B72" s="104" t="s">
        <v>104</v>
      </c>
      <c r="C72" s="49">
        <v>22.788454968000003</v>
      </c>
      <c r="D72" s="49">
        <v>32.280659567999997</v>
      </c>
      <c r="E72" s="104" t="s">
        <v>75</v>
      </c>
      <c r="L72" s="68"/>
    </row>
    <row r="73" spans="2:12">
      <c r="B73" s="104" t="s">
        <v>104</v>
      </c>
      <c r="C73" s="120">
        <f>C71+C72</f>
        <v>44.501635407885907</v>
      </c>
      <c r="D73" s="120">
        <f>D71+D72</f>
        <v>37.670659567999998</v>
      </c>
      <c r="E73" s="104" t="s">
        <v>80</v>
      </c>
    </row>
    <row r="74" spans="2:12">
      <c r="C74" s="120">
        <v>2.0592662948867351</v>
      </c>
      <c r="D74" s="120">
        <v>0.15</v>
      </c>
      <c r="E74" s="104" t="s">
        <v>81</v>
      </c>
    </row>
    <row r="75" spans="2:12">
      <c r="C75" s="124">
        <v>6362</v>
      </c>
      <c r="D75" s="124">
        <v>9012</v>
      </c>
      <c r="E75" s="104" t="s">
        <v>53</v>
      </c>
    </row>
    <row r="76" spans="2:12">
      <c r="C76" s="142">
        <v>7.2562879502455491E-2</v>
      </c>
      <c r="D76" s="142">
        <v>7.2562879502455491E-2</v>
      </c>
      <c r="E76" s="104" t="s">
        <v>54</v>
      </c>
    </row>
    <row r="77" spans="2:12">
      <c r="C77" s="128">
        <v>0.78</v>
      </c>
      <c r="D77" s="128">
        <v>0.12</v>
      </c>
      <c r="E77" s="104" t="s">
        <v>55</v>
      </c>
    </row>
    <row r="78" spans="2:12">
      <c r="D78" s="57">
        <f>ROUND(H65/F65,3)</f>
        <v>0.70299999999999996</v>
      </c>
      <c r="E78" s="104" t="s">
        <v>56</v>
      </c>
    </row>
    <row r="79" spans="2:12">
      <c r="D79" s="123"/>
      <c r="E79" s="67"/>
    </row>
    <row r="80" spans="2:12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48">C83+1</f>
        <v>2018</v>
      </c>
      <c r="D84" s="57">
        <v>1.9E-2</v>
      </c>
      <c r="F84" s="129">
        <f t="shared" ref="F84:F91" si="49">F83+1</f>
        <v>2027</v>
      </c>
      <c r="G84" s="57">
        <v>2.3E-2</v>
      </c>
      <c r="I84" s="129">
        <f t="shared" ref="I84:I91" si="50">I83+1</f>
        <v>2036</v>
      </c>
      <c r="J84" s="57">
        <v>2.3E-2</v>
      </c>
    </row>
    <row r="85" spans="3:15">
      <c r="C85" s="129">
        <f t="shared" si="48"/>
        <v>2019</v>
      </c>
      <c r="D85" s="57">
        <v>2.1999999999999999E-2</v>
      </c>
      <c r="F85" s="129">
        <f t="shared" si="49"/>
        <v>2028</v>
      </c>
      <c r="G85" s="57">
        <v>2.3E-2</v>
      </c>
      <c r="I85" s="129">
        <f t="shared" si="50"/>
        <v>2037</v>
      </c>
      <c r="J85" s="57">
        <v>2.1999999999999999E-2</v>
      </c>
    </row>
    <row r="86" spans="3:15">
      <c r="C86" s="129">
        <f t="shared" si="48"/>
        <v>2020</v>
      </c>
      <c r="D86" s="57">
        <v>2.5999999999999999E-2</v>
      </c>
      <c r="F86" s="129">
        <f t="shared" si="49"/>
        <v>2029</v>
      </c>
      <c r="G86" s="57">
        <v>2.3E-2</v>
      </c>
      <c r="I86" s="129">
        <f t="shared" si="50"/>
        <v>2038</v>
      </c>
      <c r="J86" s="57">
        <v>2.1999999999999999E-2</v>
      </c>
    </row>
    <row r="87" spans="3:15">
      <c r="C87" s="129">
        <f t="shared" si="48"/>
        <v>2021</v>
      </c>
      <c r="D87" s="57">
        <v>2.4E-2</v>
      </c>
      <c r="F87" s="129">
        <f t="shared" si="49"/>
        <v>2030</v>
      </c>
      <c r="G87" s="57">
        <v>2.3E-2</v>
      </c>
      <c r="I87" s="129">
        <f t="shared" si="50"/>
        <v>2039</v>
      </c>
      <c r="J87" s="57">
        <v>2.1999999999999999E-2</v>
      </c>
    </row>
    <row r="88" spans="3:15">
      <c r="C88" s="129">
        <f t="shared" si="48"/>
        <v>2022</v>
      </c>
      <c r="D88" s="57">
        <v>2.3E-2</v>
      </c>
      <c r="F88" s="129">
        <f t="shared" si="49"/>
        <v>2031</v>
      </c>
      <c r="G88" s="57">
        <v>2.3E-2</v>
      </c>
      <c r="I88" s="129">
        <f t="shared" si="50"/>
        <v>2040</v>
      </c>
      <c r="J88" s="57">
        <v>2.1999999999999999E-2</v>
      </c>
    </row>
    <row r="89" spans="3:15" s="106" customFormat="1">
      <c r="C89" s="129">
        <f t="shared" si="48"/>
        <v>2023</v>
      </c>
      <c r="D89" s="57">
        <v>2.3E-2</v>
      </c>
      <c r="F89" s="129">
        <f t="shared" si="49"/>
        <v>2032</v>
      </c>
      <c r="G89" s="57">
        <v>2.1999999999999999E-2</v>
      </c>
      <c r="I89" s="129">
        <f t="shared" si="50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48"/>
        <v>2024</v>
      </c>
      <c r="D90" s="57">
        <v>2.3E-2</v>
      </c>
      <c r="F90" s="129">
        <f t="shared" si="49"/>
        <v>2033</v>
      </c>
      <c r="G90" s="57">
        <v>2.1999999999999999E-2</v>
      </c>
      <c r="I90" s="129">
        <f t="shared" si="50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48"/>
        <v>2025</v>
      </c>
      <c r="D91" s="57">
        <v>2.3E-2</v>
      </c>
      <c r="F91" s="129">
        <f t="shared" si="49"/>
        <v>2034</v>
      </c>
      <c r="G91" s="57">
        <v>2.3E-2</v>
      </c>
      <c r="I91" s="129">
        <f t="shared" si="50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75" fitToHeight="0" orientation="portrait" r:id="rId1"/>
  <headerFooter alignWithMargins="0"/>
  <rowBreaks count="1" manualBreakCount="1">
    <brk id="52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95"/>
  <sheetViews>
    <sheetView view="pageBreakPreview" topLeftCell="A2" zoomScale="85" zoomScaleNormal="90" zoomScaleSheetLayoutView="85" workbookViewId="0">
      <pane xSplit="2" ySplit="9" topLeftCell="C11" activePane="bottomRight" state="frozen"/>
      <selection activeCell="E17" sqref="E17"/>
      <selection pane="topRight" activeCell="E17" sqref="E17"/>
      <selection pane="bottomLeft" activeCell="E17" sqref="E17"/>
      <selection pane="bottomRight" activeCell="D24" sqref="D24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10.164062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5.25" hidden="1" customHeight="1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94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WYNE  DJohns - 477 MW - CCCT Dry "J/HA.02", 1x1 -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 DJohns - 477 MW - CCCT Dry "J/HA.02", 1x1 -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1203</v>
      </c>
      <c r="D14" s="109">
        <f>ROUND(C14*$C$76,2)</f>
        <v>87.29</v>
      </c>
      <c r="E14" s="110">
        <f>$I$60</f>
        <v>57.97</v>
      </c>
      <c r="F14" s="110">
        <f>$J$65</f>
        <v>2.2200000000000002</v>
      </c>
      <c r="G14" s="111">
        <f t="shared" ref="G14:G24" si="0">ROUND(F14*(8.76*$G$65)+E14,2)</f>
        <v>71.45</v>
      </c>
      <c r="H14" s="111">
        <f t="shared" ref="H14:H24" si="1">ROUND(D14+G14,2)</f>
        <v>158.74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17" si="3">ROUND(D14*(1+$D83),2)</f>
        <v>89.04</v>
      </c>
      <c r="E15" s="109">
        <f t="shared" si="3"/>
        <v>59.13</v>
      </c>
      <c r="F15" s="109">
        <f t="shared" si="3"/>
        <v>2.2599999999999998</v>
      </c>
      <c r="G15" s="113">
        <f t="shared" si="0"/>
        <v>72.849999999999994</v>
      </c>
      <c r="H15" s="113">
        <f t="shared" si="1"/>
        <v>161.88999999999999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90.73</v>
      </c>
      <c r="E16" s="109">
        <f t="shared" si="3"/>
        <v>60.25</v>
      </c>
      <c r="F16" s="109">
        <f t="shared" si="3"/>
        <v>2.2999999999999998</v>
      </c>
      <c r="G16" s="111">
        <f t="shared" si="0"/>
        <v>74.209999999999994</v>
      </c>
      <c r="H16" s="111">
        <f t="shared" si="1"/>
        <v>164.94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92.73</v>
      </c>
      <c r="E17" s="109">
        <f t="shared" si="3"/>
        <v>61.58</v>
      </c>
      <c r="F17" s="109">
        <f t="shared" si="3"/>
        <v>2.35</v>
      </c>
      <c r="G17" s="111">
        <f t="shared" si="0"/>
        <v>75.849999999999994</v>
      </c>
      <c r="H17" s="111">
        <f t="shared" si="1"/>
        <v>168.58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ref="D18:F18" si="4">ROUND(D17*(1+$D86),2)</f>
        <v>95.14</v>
      </c>
      <c r="E18" s="109">
        <f t="shared" si="4"/>
        <v>63.18</v>
      </c>
      <c r="F18" s="109">
        <f t="shared" si="4"/>
        <v>2.41</v>
      </c>
      <c r="G18" s="111">
        <f t="shared" ref="G18:G23" si="5">ROUND(F18*(8.76*$G$65)+E18,2)</f>
        <v>77.81</v>
      </c>
      <c r="H18" s="111">
        <f t="shared" ref="H18:H23" si="6">ROUND(D18+G18,2)</f>
        <v>172.95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ref="D19:F19" si="7">ROUND(D18*(1+$D87),2)</f>
        <v>97.42</v>
      </c>
      <c r="E19" s="109">
        <f t="shared" si="7"/>
        <v>64.7</v>
      </c>
      <c r="F19" s="109">
        <f t="shared" si="7"/>
        <v>2.4700000000000002</v>
      </c>
      <c r="G19" s="111">
        <f t="shared" si="5"/>
        <v>79.69</v>
      </c>
      <c r="H19" s="111">
        <f t="shared" si="6"/>
        <v>177.11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ref="D20:F20" si="8">ROUND(D19*(1+$D88),2)</f>
        <v>99.66</v>
      </c>
      <c r="E20" s="109">
        <f t="shared" si="8"/>
        <v>66.19</v>
      </c>
      <c r="F20" s="109">
        <f t="shared" si="8"/>
        <v>2.5299999999999998</v>
      </c>
      <c r="G20" s="111">
        <f t="shared" si="5"/>
        <v>81.55</v>
      </c>
      <c r="H20" s="111">
        <f t="shared" si="6"/>
        <v>181.21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ref="D21:F21" si="9">ROUND(D20*(1+$D89),2)</f>
        <v>101.95</v>
      </c>
      <c r="E21" s="109">
        <f t="shared" si="9"/>
        <v>67.709999999999994</v>
      </c>
      <c r="F21" s="109">
        <f t="shared" si="9"/>
        <v>2.59</v>
      </c>
      <c r="G21" s="111">
        <f t="shared" si="5"/>
        <v>83.43</v>
      </c>
      <c r="H21" s="111">
        <f t="shared" si="6"/>
        <v>185.38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ref="D22:F22" si="10">ROUND(D21*(1+$D90),2)</f>
        <v>104.29</v>
      </c>
      <c r="E22" s="109">
        <f t="shared" si="10"/>
        <v>69.27</v>
      </c>
      <c r="F22" s="109">
        <f t="shared" si="10"/>
        <v>2.65</v>
      </c>
      <c r="G22" s="111">
        <f t="shared" si="5"/>
        <v>85.36</v>
      </c>
      <c r="H22" s="111">
        <f t="shared" si="6"/>
        <v>189.65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ref="D23:F23" si="11">ROUND(D22*(1+$D91),2)</f>
        <v>106.69</v>
      </c>
      <c r="E23" s="109">
        <f t="shared" si="11"/>
        <v>70.86</v>
      </c>
      <c r="F23" s="109">
        <f t="shared" si="11"/>
        <v>2.71</v>
      </c>
      <c r="G23" s="111">
        <f t="shared" si="5"/>
        <v>87.31</v>
      </c>
      <c r="H23" s="111">
        <f t="shared" si="6"/>
        <v>194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109.14</v>
      </c>
      <c r="E24" s="113">
        <f>ROUND(E23*(1+$G83),2)</f>
        <v>72.489999999999995</v>
      </c>
      <c r="F24" s="113">
        <f>ROUND(F23*(1+$G83),2)</f>
        <v>2.77</v>
      </c>
      <c r="G24" s="111">
        <f t="shared" si="0"/>
        <v>89.31</v>
      </c>
      <c r="H24" s="111">
        <f t="shared" si="1"/>
        <v>198.45</v>
      </c>
      <c r="I24" s="111"/>
      <c r="J24" s="111"/>
      <c r="K24" s="111"/>
      <c r="M24" s="57"/>
    </row>
    <row r="25" spans="2:13" ht="12" customHeight="1">
      <c r="B25" s="107">
        <f t="shared" si="2"/>
        <v>2027</v>
      </c>
      <c r="C25" s="112"/>
      <c r="D25" s="113">
        <f t="shared" ref="D25:F25" si="12">ROUND(D24*(1+$G84),2)</f>
        <v>111.65</v>
      </c>
      <c r="E25" s="113">
        <f t="shared" si="12"/>
        <v>74.16</v>
      </c>
      <c r="F25" s="113">
        <f t="shared" si="12"/>
        <v>2.83</v>
      </c>
      <c r="G25" s="111">
        <f t="shared" ref="G25:G30" si="13">ROUND(F25*(8.76*$G$65)+E25,2)</f>
        <v>91.34</v>
      </c>
      <c r="H25" s="111">
        <f t="shared" ref="H25:H30" si="14">ROUND(D25+G25,2)</f>
        <v>202.99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13">
        <f t="shared" ref="D26:F26" si="15">ROUND(D25*(1+$G85),2)</f>
        <v>114.22</v>
      </c>
      <c r="E26" s="113">
        <f t="shared" si="15"/>
        <v>75.87</v>
      </c>
      <c r="F26" s="113">
        <f t="shared" si="15"/>
        <v>2.9</v>
      </c>
      <c r="G26" s="111">
        <f t="shared" si="13"/>
        <v>93.47</v>
      </c>
      <c r="H26" s="111">
        <f t="shared" si="14"/>
        <v>207.69</v>
      </c>
      <c r="I26" s="111"/>
      <c r="J26" s="111"/>
      <c r="K26" s="111"/>
      <c r="M26" s="57"/>
    </row>
    <row r="27" spans="2:13">
      <c r="B27" s="107">
        <f t="shared" si="2"/>
        <v>2029</v>
      </c>
      <c r="C27" s="112"/>
      <c r="D27" s="113">
        <f t="shared" ref="D27:F27" si="16">ROUND(D26*(1+$G86),2)</f>
        <v>116.85</v>
      </c>
      <c r="E27" s="113">
        <f t="shared" si="16"/>
        <v>77.62</v>
      </c>
      <c r="F27" s="113">
        <f t="shared" si="16"/>
        <v>2.97</v>
      </c>
      <c r="G27" s="111">
        <f t="shared" si="13"/>
        <v>95.65</v>
      </c>
      <c r="H27" s="111">
        <f t="shared" si="14"/>
        <v>212.5</v>
      </c>
      <c r="I27" s="111"/>
      <c r="J27" s="111"/>
      <c r="K27" s="111"/>
      <c r="M27" s="57"/>
    </row>
    <row r="28" spans="2:13">
      <c r="B28" s="107">
        <f t="shared" si="2"/>
        <v>2030</v>
      </c>
      <c r="C28" s="112"/>
      <c r="D28" s="113">
        <f t="shared" ref="D28:D29" si="17">ROUND(D27*(1+$G87),2)</f>
        <v>119.54</v>
      </c>
      <c r="E28" s="113">
        <f t="shared" ref="E28:E29" si="18">ROUND(E27*(1+$G87),2)</f>
        <v>79.41</v>
      </c>
      <c r="F28" s="113">
        <f t="shared" ref="F28:F29" si="19">ROUND(F27*(1+$G87),2)</f>
        <v>3.04</v>
      </c>
      <c r="G28" s="111">
        <f t="shared" ref="G28:G29" si="20">ROUND(F28*(8.76*$G$65)+E28,2)</f>
        <v>97.86</v>
      </c>
      <c r="H28" s="111">
        <f t="shared" ref="H28:H29" si="21">ROUND(D28+G28,2)</f>
        <v>217.4</v>
      </c>
      <c r="I28" s="111"/>
      <c r="J28" s="111"/>
      <c r="K28" s="111"/>
      <c r="M28" s="57"/>
    </row>
    <row r="29" spans="2:13">
      <c r="B29" s="148">
        <f t="shared" si="2"/>
        <v>2031</v>
      </c>
      <c r="C29" s="149"/>
      <c r="D29" s="143">
        <f t="shared" si="17"/>
        <v>122.29</v>
      </c>
      <c r="E29" s="143">
        <f t="shared" si="18"/>
        <v>81.239999999999995</v>
      </c>
      <c r="F29" s="143">
        <f t="shared" si="19"/>
        <v>3.11</v>
      </c>
      <c r="G29" s="143">
        <f t="shared" si="20"/>
        <v>100.12</v>
      </c>
      <c r="H29" s="143">
        <f t="shared" si="21"/>
        <v>222.41</v>
      </c>
      <c r="I29" s="111"/>
      <c r="J29" s="111"/>
      <c r="K29" s="111"/>
      <c r="M29" s="57"/>
    </row>
    <row r="30" spans="2:13" s="145" customFormat="1">
      <c r="B30" s="148">
        <f t="shared" si="2"/>
        <v>2032</v>
      </c>
      <c r="C30" s="149"/>
      <c r="D30" s="185">
        <f t="shared" ref="D30:F30" si="22">ROUND(D29*(1+$G89),2)</f>
        <v>124.98</v>
      </c>
      <c r="E30" s="185">
        <f t="shared" si="22"/>
        <v>83.03</v>
      </c>
      <c r="F30" s="185">
        <f t="shared" si="22"/>
        <v>3.18</v>
      </c>
      <c r="G30" s="185">
        <f t="shared" si="13"/>
        <v>102.33</v>
      </c>
      <c r="H30" s="185">
        <f t="shared" si="14"/>
        <v>227.31</v>
      </c>
      <c r="I30" s="184"/>
      <c r="J30" s="184"/>
      <c r="K30" s="184"/>
      <c r="M30" s="57"/>
    </row>
    <row r="31" spans="2:13" s="145" customFormat="1">
      <c r="B31" s="148">
        <f t="shared" si="2"/>
        <v>2033</v>
      </c>
      <c r="C31" s="149"/>
      <c r="D31" s="143">
        <f t="shared" ref="D31:D32" si="23">ROUND(D30*(1+$G90),2)</f>
        <v>127.73</v>
      </c>
      <c r="E31" s="143">
        <f t="shared" ref="E31:E32" si="24">ROUND(E30*(1+$G90),2)</f>
        <v>84.86</v>
      </c>
      <c r="F31" s="143">
        <f t="shared" ref="F31:F32" si="25">ROUND(F30*(1+$G90),2)</f>
        <v>3.25</v>
      </c>
      <c r="G31" s="143">
        <f t="shared" ref="G31:G33" si="26">ROUND(F31*(8.76*$G$65)+E31,2)</f>
        <v>104.59</v>
      </c>
      <c r="H31" s="143">
        <f t="shared" ref="H31:H33" si="27">ROUND(D31+G31,2)</f>
        <v>232.32</v>
      </c>
      <c r="I31" s="111">
        <f>VLOOKUP(B31,'Table 4'!$B$13:$E$43,4,FALSE)</f>
        <v>5.53</v>
      </c>
      <c r="J31" s="111">
        <f t="shared" ref="J31:J40" si="28">ROUND($K$65*I31/1000,2)</f>
        <v>35.35</v>
      </c>
      <c r="K31" s="111">
        <f t="shared" ref="K31:K40" si="29">ROUND(H31*1000/8760/$G$65+J31,2)</f>
        <v>73.62</v>
      </c>
      <c r="M31" s="57"/>
    </row>
    <row r="32" spans="2:13" s="145" customFormat="1">
      <c r="B32" s="148">
        <f t="shared" si="2"/>
        <v>2034</v>
      </c>
      <c r="C32" s="149"/>
      <c r="D32" s="143">
        <f t="shared" si="23"/>
        <v>130.66999999999999</v>
      </c>
      <c r="E32" s="143">
        <f t="shared" si="24"/>
        <v>86.81</v>
      </c>
      <c r="F32" s="143">
        <f t="shared" si="25"/>
        <v>3.32</v>
      </c>
      <c r="G32" s="143">
        <f t="shared" si="26"/>
        <v>106.96</v>
      </c>
      <c r="H32" s="143">
        <f t="shared" si="27"/>
        <v>237.63</v>
      </c>
      <c r="I32" s="111">
        <f>VLOOKUP(B32,'Table 4'!$B$13:$E$43,4,FALSE)</f>
        <v>5.81</v>
      </c>
      <c r="J32" s="111">
        <f t="shared" si="28"/>
        <v>37.14</v>
      </c>
      <c r="K32" s="111">
        <f t="shared" si="29"/>
        <v>76.28</v>
      </c>
      <c r="M32" s="57"/>
    </row>
    <row r="33" spans="2:15">
      <c r="B33" s="107">
        <f t="shared" si="2"/>
        <v>2035</v>
      </c>
      <c r="C33" s="112"/>
      <c r="D33" s="111">
        <f>ROUND(D32*(1+$J83),2)</f>
        <v>133.68</v>
      </c>
      <c r="E33" s="109">
        <f>ROUND(E32*(1+$J83),2)</f>
        <v>88.81</v>
      </c>
      <c r="F33" s="109">
        <f>ROUND(F32*(1+$J83),2)</f>
        <v>3.4</v>
      </c>
      <c r="G33" s="111">
        <f t="shared" si="26"/>
        <v>109.45</v>
      </c>
      <c r="H33" s="111">
        <f t="shared" si="27"/>
        <v>243.13</v>
      </c>
      <c r="I33" s="111">
        <f>VLOOKUP(B33,'Table 4'!$B$13:$E$43,4,FALSE)</f>
        <v>6.03</v>
      </c>
      <c r="J33" s="111">
        <f t="shared" si="28"/>
        <v>38.54</v>
      </c>
      <c r="K33" s="111">
        <f t="shared" si="29"/>
        <v>78.59</v>
      </c>
      <c r="M33" s="57"/>
    </row>
    <row r="34" spans="2:15">
      <c r="B34" s="107">
        <f t="shared" si="2"/>
        <v>2036</v>
      </c>
      <c r="C34" s="112"/>
      <c r="D34" s="111">
        <f t="shared" ref="D34:F34" si="30">ROUND(D33*(1+$J84),2)</f>
        <v>136.75</v>
      </c>
      <c r="E34" s="109">
        <f t="shared" si="30"/>
        <v>90.85</v>
      </c>
      <c r="F34" s="109">
        <f t="shared" si="30"/>
        <v>3.48</v>
      </c>
      <c r="G34" s="111">
        <f t="shared" ref="G34:G40" si="31">ROUND(F34*(8.76*$G$65)+E34,2)</f>
        <v>111.98</v>
      </c>
      <c r="H34" s="111">
        <f t="shared" ref="H34:H40" si="32">ROUND(D34+G34,2)</f>
        <v>248.73</v>
      </c>
      <c r="I34" s="111">
        <f>VLOOKUP(B34,'Table 4'!$B$13:$E$43,4,FALSE)</f>
        <v>6.4</v>
      </c>
      <c r="J34" s="111">
        <f t="shared" si="28"/>
        <v>40.909999999999997</v>
      </c>
      <c r="K34" s="111">
        <f t="shared" si="29"/>
        <v>81.88</v>
      </c>
      <c r="M34" s="57"/>
    </row>
    <row r="35" spans="2:15">
      <c r="B35" s="107">
        <f t="shared" si="2"/>
        <v>2037</v>
      </c>
      <c r="C35" s="112"/>
      <c r="D35" s="111">
        <f t="shared" ref="D35:F35" si="33">ROUND(D34*(1+$J85),2)</f>
        <v>139.76</v>
      </c>
      <c r="E35" s="109">
        <f t="shared" si="33"/>
        <v>92.85</v>
      </c>
      <c r="F35" s="109">
        <f t="shared" si="33"/>
        <v>3.56</v>
      </c>
      <c r="G35" s="111">
        <f t="shared" si="31"/>
        <v>114.46</v>
      </c>
      <c r="H35" s="111">
        <f t="shared" si="32"/>
        <v>254.22</v>
      </c>
      <c r="I35" s="111">
        <f>VLOOKUP(B35,'Table 4'!$B$13:$E$43,4,FALSE)</f>
        <v>6.58</v>
      </c>
      <c r="J35" s="111">
        <f t="shared" si="28"/>
        <v>42.06</v>
      </c>
      <c r="K35" s="111">
        <f t="shared" si="29"/>
        <v>83.94</v>
      </c>
      <c r="M35" s="57"/>
    </row>
    <row r="36" spans="2:15">
      <c r="B36" s="107">
        <f t="shared" si="2"/>
        <v>2038</v>
      </c>
      <c r="C36" s="112"/>
      <c r="D36" s="111">
        <f t="shared" ref="D36:F36" si="34">ROUND(D35*(1+$J86),2)</f>
        <v>142.83000000000001</v>
      </c>
      <c r="E36" s="109">
        <f t="shared" si="34"/>
        <v>94.89</v>
      </c>
      <c r="F36" s="109">
        <f t="shared" si="34"/>
        <v>3.64</v>
      </c>
      <c r="G36" s="111">
        <f t="shared" si="31"/>
        <v>116.99</v>
      </c>
      <c r="H36" s="111">
        <f t="shared" si="32"/>
        <v>259.82</v>
      </c>
      <c r="I36" s="111">
        <f>VLOOKUP(B36,'Table 4'!$B$13:$E$43,4,FALSE)</f>
        <v>6.87</v>
      </c>
      <c r="J36" s="111">
        <f t="shared" si="28"/>
        <v>43.91</v>
      </c>
      <c r="K36" s="111">
        <f t="shared" si="29"/>
        <v>86.71</v>
      </c>
      <c r="M36" s="57"/>
    </row>
    <row r="37" spans="2:15">
      <c r="B37" s="107">
        <f t="shared" si="2"/>
        <v>2039</v>
      </c>
      <c r="C37" s="112"/>
      <c r="D37" s="111">
        <f t="shared" ref="D37:F37" si="35">ROUND(D36*(1+$J87),2)</f>
        <v>145.97</v>
      </c>
      <c r="E37" s="109">
        <f t="shared" si="35"/>
        <v>96.98</v>
      </c>
      <c r="F37" s="109">
        <f t="shared" si="35"/>
        <v>3.72</v>
      </c>
      <c r="G37" s="111">
        <f t="shared" si="31"/>
        <v>119.56</v>
      </c>
      <c r="H37" s="111">
        <f t="shared" si="32"/>
        <v>265.52999999999997</v>
      </c>
      <c r="I37" s="111">
        <f>VLOOKUP(B37,'Table 4'!$B$13:$E$43,4,FALSE)</f>
        <v>7.03</v>
      </c>
      <c r="J37" s="111">
        <f t="shared" si="28"/>
        <v>44.94</v>
      </c>
      <c r="K37" s="111">
        <f t="shared" si="29"/>
        <v>88.68</v>
      </c>
      <c r="M37" s="57"/>
    </row>
    <row r="38" spans="2:15">
      <c r="B38" s="107">
        <f t="shared" si="2"/>
        <v>2040</v>
      </c>
      <c r="C38" s="112"/>
      <c r="D38" s="111">
        <f t="shared" ref="D38:F38" si="36">ROUND(D37*(1+$J88),2)</f>
        <v>149.18</v>
      </c>
      <c r="E38" s="109">
        <f t="shared" si="36"/>
        <v>99.11</v>
      </c>
      <c r="F38" s="109">
        <f t="shared" si="36"/>
        <v>3.8</v>
      </c>
      <c r="G38" s="111">
        <f t="shared" si="31"/>
        <v>122.18</v>
      </c>
      <c r="H38" s="111">
        <f t="shared" si="32"/>
        <v>271.36</v>
      </c>
      <c r="I38" s="111">
        <f>VLOOKUP(B38,'Table 4'!$B$13:$E$43,4,FALSE)</f>
        <v>7.21</v>
      </c>
      <c r="J38" s="111">
        <f t="shared" si="28"/>
        <v>46.09</v>
      </c>
      <c r="K38" s="111">
        <f t="shared" si="29"/>
        <v>90.79</v>
      </c>
      <c r="M38" s="57"/>
    </row>
    <row r="39" spans="2:15">
      <c r="B39" s="107">
        <f t="shared" si="2"/>
        <v>2041</v>
      </c>
      <c r="C39" s="112"/>
      <c r="D39" s="111">
        <f t="shared" ref="D39:F39" si="37">ROUND(D38*(1+$J89),2)</f>
        <v>152.46</v>
      </c>
      <c r="E39" s="109">
        <f t="shared" si="37"/>
        <v>101.29</v>
      </c>
      <c r="F39" s="109">
        <f t="shared" si="37"/>
        <v>3.88</v>
      </c>
      <c r="G39" s="111">
        <f t="shared" si="31"/>
        <v>124.84</v>
      </c>
      <c r="H39" s="111">
        <f t="shared" si="32"/>
        <v>277.3</v>
      </c>
      <c r="I39" s="111">
        <f>VLOOKUP(B39,'Table 4'!$B$13:$E$43,4,FALSE)</f>
        <v>7.37</v>
      </c>
      <c r="J39" s="111">
        <f t="shared" si="28"/>
        <v>47.11</v>
      </c>
      <c r="K39" s="111">
        <f t="shared" si="29"/>
        <v>92.79</v>
      </c>
      <c r="M39" s="57"/>
    </row>
    <row r="40" spans="2:15">
      <c r="B40" s="107">
        <f t="shared" si="2"/>
        <v>2042</v>
      </c>
      <c r="C40" s="112"/>
      <c r="D40" s="111">
        <f t="shared" ref="D40:F40" si="38">ROUND(D39*(1+$J90),2)</f>
        <v>155.81</v>
      </c>
      <c r="E40" s="109">
        <f t="shared" si="38"/>
        <v>103.52</v>
      </c>
      <c r="F40" s="109">
        <f t="shared" si="38"/>
        <v>3.97</v>
      </c>
      <c r="G40" s="111">
        <f t="shared" si="31"/>
        <v>127.62</v>
      </c>
      <c r="H40" s="111">
        <f t="shared" si="32"/>
        <v>283.43</v>
      </c>
      <c r="I40" s="111">
        <f>VLOOKUP(B40,'Table 4'!$B$13:$E$43,4,FALSE)</f>
        <v>5.03</v>
      </c>
      <c r="J40" s="111">
        <f t="shared" si="28"/>
        <v>32.15</v>
      </c>
      <c r="K40" s="111">
        <f t="shared" si="29"/>
        <v>78.84</v>
      </c>
      <c r="M40" s="5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">
        <v>87</v>
      </c>
    </row>
    <row r="47" spans="2:15">
      <c r="C47" s="116" t="str">
        <f>D10</f>
        <v>(b)</v>
      </c>
      <c r="D47" s="111" t="str">
        <f>"= "&amp;C10&amp;" x "&amp;C76</f>
        <v>= (a) x 0.0725628795024555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69.3%)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6,392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108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82</v>
      </c>
      <c r="F58" s="118">
        <f>C69</f>
        <v>413.5678125</v>
      </c>
      <c r="G58" s="57">
        <f>F58/F60</f>
        <v>0.86778904695639725</v>
      </c>
      <c r="H58" s="132">
        <f>C70</f>
        <v>1334.2100235755099</v>
      </c>
      <c r="I58" s="134">
        <f>C73</f>
        <v>57.933984723786267</v>
      </c>
    </row>
    <row r="59" spans="3:11">
      <c r="C59" s="145" t="s">
        <v>83</v>
      </c>
      <c r="F59" s="48">
        <f>D69</f>
        <v>63.008625000000002</v>
      </c>
      <c r="G59" s="44">
        <f>1-G58</f>
        <v>0.13221095304360275</v>
      </c>
      <c r="H59" s="133">
        <f>D70</f>
        <v>341.60689307865113</v>
      </c>
      <c r="I59" s="135">
        <f>D73</f>
        <v>58.211939462399997</v>
      </c>
    </row>
    <row r="60" spans="3:11">
      <c r="C60" s="145" t="s">
        <v>45</v>
      </c>
      <c r="F60" s="118">
        <f>F58+F59</f>
        <v>476.5764375</v>
      </c>
      <c r="G60" s="57">
        <f>G58+G59</f>
        <v>1</v>
      </c>
      <c r="H60" s="132">
        <f>ROUND(((F58*H58)+(F59*H59))/F60,0)</f>
        <v>1203</v>
      </c>
      <c r="I60" s="134">
        <f>ROUND(((F58*I58)+(F59*I59))/F60,2)</f>
        <v>57.97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CCCT Dry "J" - Turbine</v>
      </c>
      <c r="D63" s="121"/>
      <c r="E63" s="121"/>
      <c r="F63" s="104">
        <f>C69</f>
        <v>413.5678125</v>
      </c>
      <c r="G63" s="57">
        <f>C77</f>
        <v>0.78</v>
      </c>
      <c r="H63" s="168">
        <f>G63*F63</f>
        <v>322.58289375000004</v>
      </c>
      <c r="I63" s="57">
        <f>H63/H65</f>
        <v>0.97709776148654981</v>
      </c>
      <c r="J63" s="120">
        <f>C74</f>
        <v>2.2696214540418311</v>
      </c>
      <c r="K63" s="122">
        <f>C75</f>
        <v>6326</v>
      </c>
    </row>
    <row r="64" spans="3:11">
      <c r="C64" s="147" t="str">
        <f>C59</f>
        <v>CCCT Dry "J" - Duct Firing</v>
      </c>
      <c r="D64" s="121"/>
      <c r="E64" s="121"/>
      <c r="F64" s="43">
        <f>D69</f>
        <v>63.008625000000002</v>
      </c>
      <c r="G64" s="44">
        <f>D77</f>
        <v>0.12</v>
      </c>
      <c r="H64" s="169">
        <f>G64*F64</f>
        <v>7.5610350000000004</v>
      </c>
      <c r="I64" s="44">
        <f>1-I63</f>
        <v>2.290223851345019E-2</v>
      </c>
      <c r="J64" s="45">
        <f>D74</f>
        <v>0.16</v>
      </c>
      <c r="K64" s="46">
        <f>D75</f>
        <v>9211</v>
      </c>
    </row>
    <row r="65" spans="3:11">
      <c r="C65" s="145" t="s">
        <v>50</v>
      </c>
      <c r="F65" s="104">
        <f>F63+F64</f>
        <v>476.5764375</v>
      </c>
      <c r="G65" s="123">
        <f>ROUND(H65/F65,3)</f>
        <v>0.69299999999999995</v>
      </c>
      <c r="H65" s="168">
        <f>SUM(H63:H64)</f>
        <v>330.14392875000004</v>
      </c>
      <c r="I65" s="57">
        <f>I63+I64</f>
        <v>1</v>
      </c>
      <c r="J65" s="120">
        <f>ROUND(($I63*J63)+($I64*J64),2)</f>
        <v>2.2200000000000002</v>
      </c>
      <c r="K65" s="124">
        <f>ROUND(($I63*K63)+($I64*K64),0)</f>
        <v>6392</v>
      </c>
    </row>
    <row r="66" spans="3:11">
      <c r="G66" s="123"/>
      <c r="I66" s="57"/>
      <c r="J66" s="120"/>
      <c r="K66" s="47" t="s">
        <v>51</v>
      </c>
    </row>
    <row r="68" spans="3:11">
      <c r="C68" s="41" t="s">
        <v>34</v>
      </c>
      <c r="D68" s="41" t="s">
        <v>35</v>
      </c>
      <c r="E68" s="59" t="str">
        <f>D46</f>
        <v>Plant Costs  - 2015 IRP - Table 6.1 &amp; 6.2 - Page 92</v>
      </c>
      <c r="F68" s="125"/>
      <c r="G68" s="125"/>
      <c r="H68" s="125"/>
      <c r="I68" s="125"/>
      <c r="J68" s="125"/>
      <c r="K68" s="126"/>
    </row>
    <row r="69" spans="3:11">
      <c r="C69" s="104">
        <v>413.5678125</v>
      </c>
      <c r="D69" s="104">
        <v>63.008625000000002</v>
      </c>
      <c r="E69" s="104" t="s">
        <v>77</v>
      </c>
      <c r="H69" s="127"/>
    </row>
    <row r="70" spans="3:11">
      <c r="C70" s="119">
        <v>1334.2100235755099</v>
      </c>
      <c r="D70" s="119">
        <v>341.60689307865113</v>
      </c>
      <c r="E70" s="104" t="s">
        <v>78</v>
      </c>
    </row>
    <row r="71" spans="3:11">
      <c r="C71" s="120">
        <v>21.292537645386268</v>
      </c>
      <c r="D71" s="120">
        <v>4.8600000000000003</v>
      </c>
      <c r="E71" s="104" t="s">
        <v>79</v>
      </c>
    </row>
    <row r="72" spans="3:11">
      <c r="C72" s="49">
        <v>36.641447078399999</v>
      </c>
      <c r="D72" s="49">
        <v>53.351939462399997</v>
      </c>
      <c r="E72" s="104" t="s">
        <v>75</v>
      </c>
    </row>
    <row r="73" spans="3:11">
      <c r="C73" s="120">
        <f>C71+C72</f>
        <v>57.933984723786267</v>
      </c>
      <c r="D73" s="120">
        <f>D71+D72</f>
        <v>58.211939462399997</v>
      </c>
      <c r="E73" s="104" t="s">
        <v>80</v>
      </c>
    </row>
    <row r="74" spans="3:11">
      <c r="C74" s="120">
        <v>2.2696214540418311</v>
      </c>
      <c r="D74" s="120">
        <v>0.16</v>
      </c>
      <c r="E74" s="104" t="s">
        <v>81</v>
      </c>
    </row>
    <row r="75" spans="3:11">
      <c r="C75" s="124">
        <v>6326</v>
      </c>
      <c r="D75" s="124">
        <v>9211</v>
      </c>
      <c r="E75" s="104" t="s">
        <v>53</v>
      </c>
    </row>
    <row r="76" spans="3:11">
      <c r="C76" s="142">
        <v>7.2562879502455491E-2</v>
      </c>
      <c r="D76" s="142">
        <v>7.2562879502455491E-2</v>
      </c>
      <c r="E76" s="104" t="s">
        <v>54</v>
      </c>
    </row>
    <row r="77" spans="3:11">
      <c r="C77" s="128">
        <v>0.78</v>
      </c>
      <c r="D77" s="128">
        <v>0.12</v>
      </c>
      <c r="E77" s="104" t="s">
        <v>55</v>
      </c>
    </row>
    <row r="78" spans="3:11">
      <c r="D78" s="57">
        <f>ROUND(H65/F65,3)</f>
        <v>0.69299999999999995</v>
      </c>
      <c r="E78" s="104" t="s">
        <v>56</v>
      </c>
    </row>
    <row r="79" spans="3:11">
      <c r="D79" s="123"/>
      <c r="E79" s="67"/>
    </row>
    <row r="80" spans="3:11">
      <c r="C80" s="128"/>
      <c r="D80" s="128"/>
    </row>
    <row r="82" spans="3:15" ht="13.5" thickBot="1">
      <c r="C82" s="54" t="str">
        <f>"Company Official Inflation Forecast Dated "&amp;TEXT('Table 4'!G5,"mmmm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39">C83+1</f>
        <v>2018</v>
      </c>
      <c r="D84" s="57">
        <v>1.9E-2</v>
      </c>
      <c r="F84" s="129">
        <f t="shared" ref="F84:F91" si="40">F83+1</f>
        <v>2027</v>
      </c>
      <c r="G84" s="57">
        <v>2.3E-2</v>
      </c>
      <c r="I84" s="129">
        <f t="shared" ref="I84:I91" si="41">I83+1</f>
        <v>2036</v>
      </c>
      <c r="J84" s="57">
        <v>2.3E-2</v>
      </c>
    </row>
    <row r="85" spans="3:15">
      <c r="C85" s="129">
        <f t="shared" si="39"/>
        <v>2019</v>
      </c>
      <c r="D85" s="57">
        <v>2.1999999999999999E-2</v>
      </c>
      <c r="F85" s="129">
        <f t="shared" si="40"/>
        <v>2028</v>
      </c>
      <c r="G85" s="57">
        <v>2.3E-2</v>
      </c>
      <c r="I85" s="129">
        <f t="shared" si="41"/>
        <v>2037</v>
      </c>
      <c r="J85" s="57">
        <v>2.1999999999999999E-2</v>
      </c>
    </row>
    <row r="86" spans="3:15">
      <c r="C86" s="129">
        <f t="shared" si="39"/>
        <v>2020</v>
      </c>
      <c r="D86" s="57">
        <v>2.5999999999999999E-2</v>
      </c>
      <c r="F86" s="129">
        <f t="shared" si="40"/>
        <v>2029</v>
      </c>
      <c r="G86" s="57">
        <v>2.3E-2</v>
      </c>
      <c r="I86" s="129">
        <f t="shared" si="41"/>
        <v>2038</v>
      </c>
      <c r="J86" s="57">
        <v>2.1999999999999999E-2</v>
      </c>
    </row>
    <row r="87" spans="3:15">
      <c r="C87" s="129">
        <f t="shared" si="39"/>
        <v>2021</v>
      </c>
      <c r="D87" s="57">
        <v>2.4E-2</v>
      </c>
      <c r="F87" s="129">
        <f t="shared" si="40"/>
        <v>2030</v>
      </c>
      <c r="G87" s="57">
        <v>2.3E-2</v>
      </c>
      <c r="I87" s="129">
        <f t="shared" si="41"/>
        <v>2039</v>
      </c>
      <c r="J87" s="57">
        <v>2.1999999999999999E-2</v>
      </c>
    </row>
    <row r="88" spans="3:15">
      <c r="C88" s="129">
        <f t="shared" si="39"/>
        <v>2022</v>
      </c>
      <c r="D88" s="57">
        <v>2.3E-2</v>
      </c>
      <c r="F88" s="129">
        <f t="shared" si="40"/>
        <v>2031</v>
      </c>
      <c r="G88" s="57">
        <v>2.3E-2</v>
      </c>
      <c r="I88" s="129">
        <f t="shared" si="41"/>
        <v>2040</v>
      </c>
      <c r="J88" s="57">
        <v>2.1999999999999999E-2</v>
      </c>
    </row>
    <row r="89" spans="3:15" s="106" customFormat="1">
      <c r="C89" s="129">
        <f t="shared" si="39"/>
        <v>2023</v>
      </c>
      <c r="D89" s="57">
        <v>2.3E-2</v>
      </c>
      <c r="F89" s="129">
        <f t="shared" si="40"/>
        <v>2032</v>
      </c>
      <c r="G89" s="57">
        <v>2.1999999999999999E-2</v>
      </c>
      <c r="I89" s="129">
        <f t="shared" si="41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39"/>
        <v>2024</v>
      </c>
      <c r="D90" s="57">
        <v>2.3E-2</v>
      </c>
      <c r="F90" s="129">
        <f t="shared" si="40"/>
        <v>2033</v>
      </c>
      <c r="G90" s="57">
        <v>2.1999999999999999E-2</v>
      </c>
      <c r="I90" s="129">
        <f t="shared" si="41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39"/>
        <v>2025</v>
      </c>
      <c r="D91" s="57">
        <v>2.3E-2</v>
      </c>
      <c r="F91" s="129">
        <f t="shared" si="40"/>
        <v>2034</v>
      </c>
      <c r="G91" s="57">
        <v>2.3E-2</v>
      </c>
      <c r="I91" s="129">
        <f t="shared" si="41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view="pageBreakPreview" zoomScale="85" zoomScaleNormal="90" zoomScaleSheetLayoutView="85" workbookViewId="0">
      <pane xSplit="3" ySplit="10" topLeftCell="D11" activePane="bottomRight" state="frozen"/>
      <selection activeCell="E15" sqref="E15"/>
      <selection pane="topRight" activeCell="E15" sqref="E15"/>
      <selection pane="bottomLeft" activeCell="E15" sqref="E15"/>
      <selection pane="bottomRight" activeCell="E8" sqref="E8"/>
    </sheetView>
  </sheetViews>
  <sheetFormatPr defaultColWidth="9.33203125" defaultRowHeight="12.75"/>
  <cols>
    <col min="1" max="1" width="2.8320312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9.5" style="104" customWidth="1"/>
    <col min="6" max="6" width="10.5" style="104" customWidth="1"/>
    <col min="7" max="7" width="10.5" style="104" bestFit="1" customWidth="1"/>
    <col min="8" max="8" width="11.6640625" style="104" bestFit="1" customWidth="1"/>
    <col min="9" max="9" width="11.1640625" style="104" customWidth="1"/>
    <col min="10" max="10" width="12" style="104" bestFit="1" customWidth="1"/>
    <col min="11" max="11" width="12" style="104" customWidth="1"/>
    <col min="12" max="13" width="9.33203125" style="104"/>
    <col min="14" max="15" width="9.33203125" style="104" customWidth="1"/>
    <col min="16" max="16384" width="9.33203125" style="104"/>
  </cols>
  <sheetData>
    <row r="1" spans="2:14" ht="15.75" hidden="1">
      <c r="B1" s="1" t="s">
        <v>52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4" ht="15.75">
      <c r="B2" s="1"/>
      <c r="C2" s="103"/>
      <c r="D2" s="103"/>
      <c r="E2" s="103"/>
      <c r="F2" s="103"/>
      <c r="G2" s="103"/>
      <c r="H2" s="103"/>
      <c r="I2" s="103"/>
      <c r="J2" s="103"/>
      <c r="K2" s="103"/>
    </row>
    <row r="3" spans="2:14" ht="15.75">
      <c r="B3" s="1" t="s">
        <v>85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4" ht="15.75">
      <c r="B4" s="1" t="s">
        <v>161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4" ht="15.75">
      <c r="B5" s="1" t="str">
        <f>C54</f>
        <v>WYNE DJohns- 200 MW - SCCT Frame "F" x1 - East Side Resource (5,050')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2:14" ht="15.75">
      <c r="B6" s="1"/>
      <c r="C6" s="103"/>
      <c r="D6" s="103"/>
      <c r="E6" s="103"/>
      <c r="F6" s="103"/>
      <c r="G6" s="103"/>
      <c r="H6" s="103"/>
      <c r="I6" s="103"/>
      <c r="K6" s="17"/>
    </row>
    <row r="7" spans="2:14">
      <c r="B7" s="105"/>
      <c r="C7" s="105"/>
      <c r="D7" s="105"/>
      <c r="E7" s="105"/>
      <c r="F7" s="105"/>
      <c r="G7" s="105"/>
      <c r="H7" s="105"/>
      <c r="I7" s="103"/>
      <c r="J7" s="106"/>
      <c r="K7" s="106"/>
      <c r="L7" s="106"/>
      <c r="M7" s="106"/>
      <c r="N7" s="106"/>
    </row>
    <row r="8" spans="2:14" ht="51.75" customHeight="1">
      <c r="B8" s="18" t="s">
        <v>0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26</v>
      </c>
      <c r="J8" s="20" t="s">
        <v>72</v>
      </c>
      <c r="K8" s="19" t="s">
        <v>73</v>
      </c>
      <c r="L8" s="106"/>
    </row>
    <row r="9" spans="2:14" ht="18.75" customHeight="1">
      <c r="B9" s="21"/>
      <c r="C9" s="22" t="s">
        <v>8</v>
      </c>
      <c r="D9" s="23" t="s">
        <v>9</v>
      </c>
      <c r="E9" s="23" t="s">
        <v>9</v>
      </c>
      <c r="F9" s="22" t="s">
        <v>39</v>
      </c>
      <c r="G9" s="23" t="s">
        <v>9</v>
      </c>
      <c r="H9" s="23" t="s">
        <v>9</v>
      </c>
      <c r="I9" s="23" t="s">
        <v>27</v>
      </c>
      <c r="J9" s="22" t="s">
        <v>39</v>
      </c>
      <c r="K9" s="22" t="s">
        <v>39</v>
      </c>
      <c r="L9" s="106"/>
    </row>
    <row r="10" spans="2:14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28</v>
      </c>
      <c r="J10" s="2" t="s">
        <v>29</v>
      </c>
      <c r="K10" s="2" t="s">
        <v>30</v>
      </c>
    </row>
    <row r="11" spans="2:14" ht="6" customHeight="1"/>
    <row r="12" spans="2:14" ht="15.75">
      <c r="B12" s="60" t="str">
        <f>C54</f>
        <v>WYNE DJohns- 200 MW - SCCT Frame "F" x1 - East Side Resource (5,050')</v>
      </c>
      <c r="C12" s="106"/>
      <c r="E12" s="106"/>
      <c r="F12" s="106"/>
      <c r="G12" s="106"/>
      <c r="H12" s="106"/>
      <c r="I12" s="105"/>
      <c r="J12" s="105"/>
      <c r="K12" s="105"/>
      <c r="L12" s="106"/>
    </row>
    <row r="13" spans="2:14" ht="4.5" customHeight="1">
      <c r="B13" s="107"/>
      <c r="C13" s="108"/>
      <c r="D13" s="109"/>
      <c r="E13" s="110"/>
      <c r="F13" s="110"/>
      <c r="G13" s="111"/>
      <c r="H13" s="111"/>
      <c r="I13" s="111"/>
      <c r="J13" s="111"/>
      <c r="K13" s="111"/>
    </row>
    <row r="14" spans="2:14">
      <c r="B14" s="107">
        <v>2016</v>
      </c>
      <c r="C14" s="108">
        <f>$H$60</f>
        <v>589</v>
      </c>
      <c r="D14" s="109">
        <f>ROUND(C14*$C$76,2)</f>
        <v>43.42</v>
      </c>
      <c r="E14" s="110">
        <f>$I$60</f>
        <v>71.7</v>
      </c>
      <c r="F14" s="110">
        <f>$J$65</f>
        <v>7.53</v>
      </c>
      <c r="G14" s="111">
        <f t="shared" ref="G14:G40" si="0">ROUND(F14*(8.76*$G$65)+E14,2)</f>
        <v>93.47</v>
      </c>
      <c r="H14" s="111">
        <f t="shared" ref="H14:H40" si="1">ROUND(D14+G14,2)</f>
        <v>136.88999999999999</v>
      </c>
      <c r="I14" s="111"/>
      <c r="J14" s="111"/>
      <c r="K14" s="111"/>
    </row>
    <row r="15" spans="2:14">
      <c r="B15" s="107">
        <f t="shared" ref="B15:B40" si="2">B14+1</f>
        <v>2017</v>
      </c>
      <c r="C15" s="112"/>
      <c r="D15" s="109">
        <f t="shared" ref="D15:F23" si="3">ROUND(D14*(1+$D83),2)</f>
        <v>44.29</v>
      </c>
      <c r="E15" s="109">
        <f t="shared" si="3"/>
        <v>73.13</v>
      </c>
      <c r="F15" s="109">
        <f t="shared" si="3"/>
        <v>7.68</v>
      </c>
      <c r="G15" s="113">
        <f t="shared" si="0"/>
        <v>95.33</v>
      </c>
      <c r="H15" s="113">
        <f t="shared" si="1"/>
        <v>139.62</v>
      </c>
      <c r="I15" s="111"/>
      <c r="J15" s="111"/>
      <c r="K15" s="111"/>
      <c r="M15" s="57"/>
    </row>
    <row r="16" spans="2:14">
      <c r="B16" s="107">
        <f t="shared" si="2"/>
        <v>2018</v>
      </c>
      <c r="C16" s="112"/>
      <c r="D16" s="109">
        <f t="shared" si="3"/>
        <v>45.13</v>
      </c>
      <c r="E16" s="109">
        <f t="shared" si="3"/>
        <v>74.52</v>
      </c>
      <c r="F16" s="109">
        <f t="shared" si="3"/>
        <v>7.83</v>
      </c>
      <c r="G16" s="111">
        <f t="shared" si="0"/>
        <v>97.15</v>
      </c>
      <c r="H16" s="111">
        <f t="shared" si="1"/>
        <v>142.28</v>
      </c>
      <c r="I16" s="111"/>
      <c r="J16" s="111"/>
      <c r="K16" s="111"/>
      <c r="M16" s="57"/>
    </row>
    <row r="17" spans="2:13">
      <c r="B17" s="107">
        <f t="shared" si="2"/>
        <v>2019</v>
      </c>
      <c r="C17" s="112"/>
      <c r="D17" s="109">
        <f t="shared" si="3"/>
        <v>46.12</v>
      </c>
      <c r="E17" s="109">
        <f t="shared" si="3"/>
        <v>76.16</v>
      </c>
      <c r="F17" s="109">
        <f t="shared" si="3"/>
        <v>8</v>
      </c>
      <c r="G17" s="111">
        <f t="shared" si="0"/>
        <v>99.29</v>
      </c>
      <c r="H17" s="111">
        <f t="shared" si="1"/>
        <v>145.41</v>
      </c>
      <c r="I17" s="111"/>
      <c r="J17" s="111"/>
      <c r="K17" s="111"/>
      <c r="M17" s="57"/>
    </row>
    <row r="18" spans="2:13">
      <c r="B18" s="107">
        <f t="shared" si="2"/>
        <v>2020</v>
      </c>
      <c r="C18" s="112"/>
      <c r="D18" s="109">
        <f t="shared" si="3"/>
        <v>47.32</v>
      </c>
      <c r="E18" s="109">
        <f t="shared" si="3"/>
        <v>78.14</v>
      </c>
      <c r="F18" s="109">
        <f t="shared" si="3"/>
        <v>8.2100000000000009</v>
      </c>
      <c r="G18" s="111">
        <f t="shared" si="0"/>
        <v>101.87</v>
      </c>
      <c r="H18" s="111">
        <f t="shared" si="1"/>
        <v>149.19</v>
      </c>
      <c r="I18" s="111"/>
      <c r="J18" s="111"/>
      <c r="K18" s="111"/>
      <c r="M18" s="57"/>
    </row>
    <row r="19" spans="2:13">
      <c r="B19" s="107">
        <f t="shared" si="2"/>
        <v>2021</v>
      </c>
      <c r="C19" s="112"/>
      <c r="D19" s="109">
        <f t="shared" si="3"/>
        <v>48.46</v>
      </c>
      <c r="E19" s="109">
        <f t="shared" si="3"/>
        <v>80.02</v>
      </c>
      <c r="F19" s="109">
        <f t="shared" si="3"/>
        <v>8.41</v>
      </c>
      <c r="G19" s="111">
        <f t="shared" si="0"/>
        <v>104.33</v>
      </c>
      <c r="H19" s="111">
        <f t="shared" si="1"/>
        <v>152.79</v>
      </c>
      <c r="I19" s="111"/>
      <c r="J19" s="111"/>
      <c r="K19" s="111"/>
      <c r="M19" s="57"/>
    </row>
    <row r="20" spans="2:13">
      <c r="B20" s="107">
        <f t="shared" si="2"/>
        <v>2022</v>
      </c>
      <c r="C20" s="112"/>
      <c r="D20" s="109">
        <f t="shared" si="3"/>
        <v>49.57</v>
      </c>
      <c r="E20" s="109">
        <f t="shared" si="3"/>
        <v>81.86</v>
      </c>
      <c r="F20" s="109">
        <f t="shared" si="3"/>
        <v>8.6</v>
      </c>
      <c r="G20" s="111">
        <f t="shared" si="0"/>
        <v>106.72</v>
      </c>
      <c r="H20" s="111">
        <f t="shared" si="1"/>
        <v>156.29</v>
      </c>
      <c r="I20" s="111"/>
      <c r="J20" s="111"/>
      <c r="K20" s="111"/>
      <c r="M20" s="57"/>
    </row>
    <row r="21" spans="2:13">
      <c r="B21" s="107">
        <f t="shared" si="2"/>
        <v>2023</v>
      </c>
      <c r="C21" s="112"/>
      <c r="D21" s="109">
        <f t="shared" si="3"/>
        <v>50.71</v>
      </c>
      <c r="E21" s="109">
        <f t="shared" si="3"/>
        <v>83.74</v>
      </c>
      <c r="F21" s="109">
        <f t="shared" si="3"/>
        <v>8.8000000000000007</v>
      </c>
      <c r="G21" s="111">
        <f t="shared" si="0"/>
        <v>109.18</v>
      </c>
      <c r="H21" s="111">
        <f t="shared" si="1"/>
        <v>159.88999999999999</v>
      </c>
      <c r="I21" s="111"/>
      <c r="J21" s="111"/>
      <c r="K21" s="111"/>
      <c r="M21" s="57"/>
    </row>
    <row r="22" spans="2:13">
      <c r="B22" s="107">
        <f t="shared" si="2"/>
        <v>2024</v>
      </c>
      <c r="C22" s="112"/>
      <c r="D22" s="109">
        <f t="shared" si="3"/>
        <v>51.88</v>
      </c>
      <c r="E22" s="109">
        <f t="shared" si="3"/>
        <v>85.67</v>
      </c>
      <c r="F22" s="109">
        <f t="shared" si="3"/>
        <v>9</v>
      </c>
      <c r="G22" s="111">
        <f t="shared" si="0"/>
        <v>111.69</v>
      </c>
      <c r="H22" s="111">
        <f t="shared" si="1"/>
        <v>163.57</v>
      </c>
      <c r="I22" s="111"/>
      <c r="J22" s="111"/>
      <c r="K22" s="111"/>
      <c r="M22" s="57"/>
    </row>
    <row r="23" spans="2:13">
      <c r="B23" s="107">
        <f t="shared" si="2"/>
        <v>2025</v>
      </c>
      <c r="C23" s="112"/>
      <c r="D23" s="109">
        <f t="shared" si="3"/>
        <v>53.07</v>
      </c>
      <c r="E23" s="109">
        <f t="shared" si="3"/>
        <v>87.64</v>
      </c>
      <c r="F23" s="109">
        <f t="shared" si="3"/>
        <v>9.2100000000000009</v>
      </c>
      <c r="G23" s="111">
        <f t="shared" si="0"/>
        <v>114.26</v>
      </c>
      <c r="H23" s="111">
        <f t="shared" si="1"/>
        <v>167.33</v>
      </c>
      <c r="I23" s="111"/>
      <c r="J23" s="111"/>
      <c r="K23" s="111"/>
      <c r="M23" s="57"/>
    </row>
    <row r="24" spans="2:13">
      <c r="B24" s="107">
        <f t="shared" si="2"/>
        <v>2026</v>
      </c>
      <c r="C24" s="112"/>
      <c r="D24" s="113">
        <f>ROUND(D23*(1+$G83),2)</f>
        <v>54.29</v>
      </c>
      <c r="E24" s="113">
        <f>ROUND(E23*(1+$G83),2)</f>
        <v>89.66</v>
      </c>
      <c r="F24" s="113">
        <f>ROUND(F23*(1+$G83),2)</f>
        <v>9.42</v>
      </c>
      <c r="G24" s="111">
        <f t="shared" si="0"/>
        <v>116.89</v>
      </c>
      <c r="H24" s="111">
        <f t="shared" si="1"/>
        <v>171.18</v>
      </c>
      <c r="I24" s="111"/>
      <c r="J24" s="111"/>
      <c r="K24" s="111"/>
      <c r="M24" s="57"/>
    </row>
    <row r="25" spans="2:13">
      <c r="B25" s="107">
        <f t="shared" si="2"/>
        <v>2027</v>
      </c>
      <c r="C25" s="112"/>
      <c r="D25" s="113">
        <f t="shared" ref="D25:F32" si="4">ROUND(D24*(1+$G84),2)</f>
        <v>55.54</v>
      </c>
      <c r="E25" s="113">
        <f t="shared" si="4"/>
        <v>91.72</v>
      </c>
      <c r="F25" s="113">
        <f t="shared" si="4"/>
        <v>9.64</v>
      </c>
      <c r="G25" s="111">
        <f t="shared" si="0"/>
        <v>119.59</v>
      </c>
      <c r="H25" s="111">
        <f t="shared" si="1"/>
        <v>175.13</v>
      </c>
      <c r="I25" s="111"/>
      <c r="J25" s="111"/>
      <c r="K25" s="111"/>
      <c r="M25" s="57"/>
    </row>
    <row r="26" spans="2:13">
      <c r="B26" s="107">
        <f t="shared" si="2"/>
        <v>2028</v>
      </c>
      <c r="C26" s="112"/>
      <c r="D26" s="113">
        <f t="shared" si="4"/>
        <v>56.82</v>
      </c>
      <c r="E26" s="113">
        <f t="shared" si="4"/>
        <v>93.83</v>
      </c>
      <c r="F26" s="113">
        <f t="shared" si="4"/>
        <v>9.86</v>
      </c>
      <c r="G26" s="111">
        <f t="shared" si="0"/>
        <v>122.33</v>
      </c>
      <c r="H26" s="111">
        <f t="shared" si="1"/>
        <v>179.15</v>
      </c>
      <c r="I26" s="111"/>
      <c r="J26" s="111"/>
      <c r="K26" s="111"/>
      <c r="M26" s="57"/>
    </row>
    <row r="27" spans="2:13">
      <c r="B27" s="107">
        <f t="shared" si="2"/>
        <v>2029</v>
      </c>
      <c r="C27" s="112"/>
      <c r="D27" s="113">
        <f t="shared" si="4"/>
        <v>58.13</v>
      </c>
      <c r="E27" s="113">
        <f t="shared" si="4"/>
        <v>95.99</v>
      </c>
      <c r="F27" s="113">
        <f t="shared" si="4"/>
        <v>10.09</v>
      </c>
      <c r="G27" s="111">
        <f t="shared" si="0"/>
        <v>125.16</v>
      </c>
      <c r="H27" s="111">
        <f t="shared" si="1"/>
        <v>183.29</v>
      </c>
      <c r="I27" s="111"/>
      <c r="J27" s="111"/>
      <c r="K27" s="111"/>
      <c r="M27" s="57"/>
    </row>
    <row r="28" spans="2:13" s="145" customFormat="1">
      <c r="B28" s="148">
        <f t="shared" si="2"/>
        <v>2030</v>
      </c>
      <c r="C28" s="149"/>
      <c r="D28" s="143">
        <f t="shared" si="4"/>
        <v>59.47</v>
      </c>
      <c r="E28" s="143">
        <f t="shared" si="4"/>
        <v>98.2</v>
      </c>
      <c r="F28" s="143">
        <f t="shared" si="4"/>
        <v>10.32</v>
      </c>
      <c r="G28" s="143">
        <f t="shared" si="0"/>
        <v>128.03</v>
      </c>
      <c r="H28" s="143">
        <f t="shared" si="1"/>
        <v>187.5</v>
      </c>
      <c r="I28" s="111"/>
      <c r="J28" s="111"/>
      <c r="K28" s="111"/>
      <c r="M28" s="67"/>
    </row>
    <row r="29" spans="2:13" s="145" customFormat="1">
      <c r="B29" s="148">
        <f t="shared" si="2"/>
        <v>2031</v>
      </c>
      <c r="C29" s="149"/>
      <c r="D29" s="143">
        <f t="shared" si="4"/>
        <v>60.84</v>
      </c>
      <c r="E29" s="143">
        <f t="shared" si="4"/>
        <v>100.46</v>
      </c>
      <c r="F29" s="143">
        <f t="shared" si="4"/>
        <v>10.56</v>
      </c>
      <c r="G29" s="143">
        <f t="shared" si="0"/>
        <v>130.99</v>
      </c>
      <c r="H29" s="143">
        <f t="shared" si="1"/>
        <v>191.83</v>
      </c>
      <c r="I29" s="111"/>
      <c r="J29" s="111"/>
      <c r="K29" s="111"/>
      <c r="M29" s="67"/>
    </row>
    <row r="30" spans="2:13" s="145" customFormat="1">
      <c r="B30" s="148">
        <f t="shared" si="2"/>
        <v>2032</v>
      </c>
      <c r="C30" s="149"/>
      <c r="D30" s="185">
        <f t="shared" si="4"/>
        <v>62.18</v>
      </c>
      <c r="E30" s="185">
        <f t="shared" si="4"/>
        <v>102.67</v>
      </c>
      <c r="F30" s="185">
        <f t="shared" si="4"/>
        <v>10.79</v>
      </c>
      <c r="G30" s="185">
        <f t="shared" si="0"/>
        <v>133.86000000000001</v>
      </c>
      <c r="H30" s="185">
        <f t="shared" si="1"/>
        <v>196.04</v>
      </c>
      <c r="I30" s="184"/>
      <c r="J30" s="184"/>
      <c r="K30" s="184"/>
      <c r="M30" s="67"/>
    </row>
    <row r="31" spans="2:13" s="145" customFormat="1">
      <c r="B31" s="148">
        <f t="shared" si="2"/>
        <v>2033</v>
      </c>
      <c r="C31" s="149"/>
      <c r="D31" s="143">
        <f t="shared" si="4"/>
        <v>63.55</v>
      </c>
      <c r="E31" s="143">
        <f t="shared" si="4"/>
        <v>104.93</v>
      </c>
      <c r="F31" s="143">
        <f t="shared" si="4"/>
        <v>11.03</v>
      </c>
      <c r="G31" s="143">
        <f t="shared" si="0"/>
        <v>136.82</v>
      </c>
      <c r="H31" s="143">
        <f t="shared" si="1"/>
        <v>200.37</v>
      </c>
      <c r="I31" s="111">
        <f>VLOOKUP(B31,'Table 4'!$B$13:$E$43,4,FALSE)</f>
        <v>5.53</v>
      </c>
      <c r="J31" s="111">
        <f t="shared" ref="J31:J40" si="5">ROUND($K$65*I31/1000,2)</f>
        <v>53.17</v>
      </c>
      <c r="K31" s="111">
        <f t="shared" ref="K31:K40" si="6">ROUND(H31*1000/8760/$G$65+J31,2)</f>
        <v>122.48</v>
      </c>
      <c r="M31" s="67"/>
    </row>
    <row r="32" spans="2:13" s="145" customFormat="1">
      <c r="B32" s="148">
        <f t="shared" si="2"/>
        <v>2034</v>
      </c>
      <c r="C32" s="149"/>
      <c r="D32" s="143">
        <f t="shared" si="4"/>
        <v>65.010000000000005</v>
      </c>
      <c r="E32" s="143">
        <f t="shared" si="4"/>
        <v>107.34</v>
      </c>
      <c r="F32" s="143">
        <f t="shared" si="4"/>
        <v>11.28</v>
      </c>
      <c r="G32" s="143">
        <f t="shared" si="0"/>
        <v>139.94999999999999</v>
      </c>
      <c r="H32" s="143">
        <f t="shared" si="1"/>
        <v>204.96</v>
      </c>
      <c r="I32" s="111">
        <f>VLOOKUP(B32,'Table 4'!$B$13:$E$43,4,FALSE)</f>
        <v>5.81</v>
      </c>
      <c r="J32" s="111">
        <f t="shared" si="5"/>
        <v>55.86</v>
      </c>
      <c r="K32" s="111">
        <f t="shared" si="6"/>
        <v>126.76</v>
      </c>
      <c r="M32" s="67"/>
    </row>
    <row r="33" spans="2:15">
      <c r="B33" s="107">
        <f t="shared" si="2"/>
        <v>2035</v>
      </c>
      <c r="C33" s="112"/>
      <c r="D33" s="111">
        <f>ROUND(D32*(1+$J83),2)</f>
        <v>66.510000000000005</v>
      </c>
      <c r="E33" s="109">
        <f>ROUND(E32*(1+$J83),2)</f>
        <v>109.81</v>
      </c>
      <c r="F33" s="109">
        <f>ROUND(F32*(1+$J83),2)</f>
        <v>11.54</v>
      </c>
      <c r="G33" s="111">
        <f t="shared" si="0"/>
        <v>143.16999999999999</v>
      </c>
      <c r="H33" s="111">
        <f t="shared" si="1"/>
        <v>209.68</v>
      </c>
      <c r="I33" s="111">
        <f>VLOOKUP(B33,'Table 4'!$B$13:$E$43,4,FALSE)</f>
        <v>6.03</v>
      </c>
      <c r="J33" s="111">
        <f t="shared" si="5"/>
        <v>57.97</v>
      </c>
      <c r="K33" s="111">
        <f t="shared" si="6"/>
        <v>130.5</v>
      </c>
      <c r="M33" s="67"/>
    </row>
    <row r="34" spans="2:15">
      <c r="B34" s="107">
        <f t="shared" si="2"/>
        <v>2036</v>
      </c>
      <c r="C34" s="112"/>
      <c r="D34" s="111">
        <f t="shared" ref="D34:F40" si="7">ROUND(D33*(1+$J84),2)</f>
        <v>68.040000000000006</v>
      </c>
      <c r="E34" s="109">
        <f t="shared" si="7"/>
        <v>112.34</v>
      </c>
      <c r="F34" s="109">
        <f t="shared" si="7"/>
        <v>11.81</v>
      </c>
      <c r="G34" s="111">
        <f t="shared" si="0"/>
        <v>146.47999999999999</v>
      </c>
      <c r="H34" s="111">
        <f t="shared" si="1"/>
        <v>214.52</v>
      </c>
      <c r="I34" s="111">
        <f>VLOOKUP(B34,'Table 4'!$B$13:$E$43,4,FALSE)</f>
        <v>6.4</v>
      </c>
      <c r="J34" s="111">
        <f t="shared" si="5"/>
        <v>61.53</v>
      </c>
      <c r="K34" s="111">
        <f t="shared" si="6"/>
        <v>135.74</v>
      </c>
      <c r="M34" s="67"/>
    </row>
    <row r="35" spans="2:15">
      <c r="B35" s="107">
        <f t="shared" si="2"/>
        <v>2037</v>
      </c>
      <c r="C35" s="112"/>
      <c r="D35" s="111">
        <f t="shared" si="7"/>
        <v>69.540000000000006</v>
      </c>
      <c r="E35" s="109">
        <f t="shared" si="7"/>
        <v>114.81</v>
      </c>
      <c r="F35" s="109">
        <f t="shared" si="7"/>
        <v>12.07</v>
      </c>
      <c r="G35" s="111">
        <f t="shared" si="0"/>
        <v>149.69999999999999</v>
      </c>
      <c r="H35" s="111">
        <f t="shared" si="1"/>
        <v>219.24</v>
      </c>
      <c r="I35" s="111">
        <f>VLOOKUP(B35,'Table 4'!$B$13:$E$43,4,FALSE)</f>
        <v>6.58</v>
      </c>
      <c r="J35" s="111">
        <f t="shared" si="5"/>
        <v>63.26</v>
      </c>
      <c r="K35" s="111">
        <f t="shared" si="6"/>
        <v>139.1</v>
      </c>
      <c r="M35" s="67"/>
    </row>
    <row r="36" spans="2:15">
      <c r="B36" s="107">
        <f t="shared" si="2"/>
        <v>2038</v>
      </c>
      <c r="C36" s="112"/>
      <c r="D36" s="111">
        <f t="shared" si="7"/>
        <v>71.069999999999993</v>
      </c>
      <c r="E36" s="109">
        <f t="shared" si="7"/>
        <v>117.34</v>
      </c>
      <c r="F36" s="109">
        <f t="shared" si="7"/>
        <v>12.34</v>
      </c>
      <c r="G36" s="111">
        <f t="shared" si="0"/>
        <v>153.01</v>
      </c>
      <c r="H36" s="111">
        <f t="shared" si="1"/>
        <v>224.08</v>
      </c>
      <c r="I36" s="111">
        <f>VLOOKUP(B36,'Table 4'!$B$13:$E$43,4,FALSE)</f>
        <v>6.87</v>
      </c>
      <c r="J36" s="111">
        <f t="shared" si="5"/>
        <v>66.05</v>
      </c>
      <c r="K36" s="111">
        <f t="shared" si="6"/>
        <v>143.56</v>
      </c>
      <c r="M36" s="67"/>
    </row>
    <row r="37" spans="2:15">
      <c r="B37" s="107">
        <f t="shared" si="2"/>
        <v>2039</v>
      </c>
      <c r="C37" s="112"/>
      <c r="D37" s="111">
        <f t="shared" si="7"/>
        <v>72.63</v>
      </c>
      <c r="E37" s="109">
        <f t="shared" si="7"/>
        <v>119.92</v>
      </c>
      <c r="F37" s="109">
        <f t="shared" si="7"/>
        <v>12.61</v>
      </c>
      <c r="G37" s="111">
        <f t="shared" si="0"/>
        <v>156.37</v>
      </c>
      <c r="H37" s="111">
        <f t="shared" si="1"/>
        <v>229</v>
      </c>
      <c r="I37" s="111">
        <f>VLOOKUP(B37,'Table 4'!$B$13:$E$43,4,FALSE)</f>
        <v>7.03</v>
      </c>
      <c r="J37" s="111">
        <f t="shared" si="5"/>
        <v>67.59</v>
      </c>
      <c r="K37" s="111">
        <f t="shared" si="6"/>
        <v>146.81</v>
      </c>
      <c r="M37" s="67"/>
    </row>
    <row r="38" spans="2:15">
      <c r="B38" s="107">
        <f t="shared" si="2"/>
        <v>2040</v>
      </c>
      <c r="C38" s="112"/>
      <c r="D38" s="111">
        <f t="shared" si="7"/>
        <v>74.23</v>
      </c>
      <c r="E38" s="109">
        <f t="shared" si="7"/>
        <v>122.56</v>
      </c>
      <c r="F38" s="109">
        <f t="shared" si="7"/>
        <v>12.89</v>
      </c>
      <c r="G38" s="111">
        <f t="shared" si="0"/>
        <v>159.82</v>
      </c>
      <c r="H38" s="111">
        <f t="shared" si="1"/>
        <v>234.05</v>
      </c>
      <c r="I38" s="111">
        <f>VLOOKUP(B38,'Table 4'!$B$13:$E$43,4,FALSE)</f>
        <v>7.21</v>
      </c>
      <c r="J38" s="111">
        <f t="shared" si="5"/>
        <v>69.319999999999993</v>
      </c>
      <c r="K38" s="111">
        <f t="shared" si="6"/>
        <v>150.28</v>
      </c>
      <c r="M38" s="67"/>
    </row>
    <row r="39" spans="2:15">
      <c r="B39" s="107">
        <f t="shared" si="2"/>
        <v>2041</v>
      </c>
      <c r="C39" s="112"/>
      <c r="D39" s="111">
        <f t="shared" si="7"/>
        <v>75.86</v>
      </c>
      <c r="E39" s="109">
        <f t="shared" si="7"/>
        <v>125.26</v>
      </c>
      <c r="F39" s="109">
        <f t="shared" si="7"/>
        <v>13.17</v>
      </c>
      <c r="G39" s="111">
        <f t="shared" si="0"/>
        <v>163.33000000000001</v>
      </c>
      <c r="H39" s="111">
        <f t="shared" si="1"/>
        <v>239.19</v>
      </c>
      <c r="I39" s="111">
        <f>VLOOKUP(B39,'Table 4'!$B$13:$E$43,4,FALSE)</f>
        <v>7.37</v>
      </c>
      <c r="J39" s="111">
        <f t="shared" si="5"/>
        <v>70.86</v>
      </c>
      <c r="K39" s="111">
        <f t="shared" si="6"/>
        <v>153.6</v>
      </c>
      <c r="M39" s="67"/>
    </row>
    <row r="40" spans="2:15">
      <c r="B40" s="107">
        <f t="shared" si="2"/>
        <v>2042</v>
      </c>
      <c r="C40" s="112"/>
      <c r="D40" s="111">
        <f t="shared" si="7"/>
        <v>77.53</v>
      </c>
      <c r="E40" s="109">
        <f t="shared" si="7"/>
        <v>128.02000000000001</v>
      </c>
      <c r="F40" s="109">
        <f t="shared" si="7"/>
        <v>13.46</v>
      </c>
      <c r="G40" s="111">
        <f t="shared" si="0"/>
        <v>166.93</v>
      </c>
      <c r="H40" s="111">
        <f t="shared" si="1"/>
        <v>244.46</v>
      </c>
      <c r="I40" s="111">
        <f>VLOOKUP(B40,'Table 4'!$B$13:$E$43,4,FALSE)</f>
        <v>5.03</v>
      </c>
      <c r="J40" s="111">
        <f t="shared" si="5"/>
        <v>48.36</v>
      </c>
      <c r="K40" s="111">
        <f t="shared" si="6"/>
        <v>132.91999999999999</v>
      </c>
      <c r="M40" s="67"/>
    </row>
    <row r="41" spans="2:15">
      <c r="B41" s="107"/>
      <c r="C41" s="112"/>
      <c r="D41" s="111"/>
      <c r="E41" s="109"/>
      <c r="F41" s="109"/>
      <c r="G41" s="111"/>
      <c r="H41" s="111"/>
      <c r="I41" s="111"/>
      <c r="J41" s="111"/>
      <c r="K41" s="111"/>
    </row>
    <row r="42" spans="2:15">
      <c r="B42" s="107"/>
      <c r="C42" s="112"/>
      <c r="D42" s="111"/>
      <c r="E42" s="109"/>
      <c r="F42" s="109"/>
      <c r="G42" s="111"/>
      <c r="H42" s="111"/>
      <c r="I42" s="111"/>
      <c r="J42" s="111"/>
      <c r="K42" s="111"/>
    </row>
    <row r="43" spans="2:15">
      <c r="M43" s="107"/>
      <c r="O43" s="114"/>
    </row>
    <row r="44" spans="2:15" ht="14.25">
      <c r="B44" s="5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M44" s="107"/>
      <c r="N44" s="114"/>
      <c r="O44" s="114"/>
    </row>
    <row r="46" spans="2:15">
      <c r="B46" s="104" t="s">
        <v>16</v>
      </c>
      <c r="D46" s="115" t="str">
        <f>'Table 3 436MW (West M) 2030'!D46</f>
        <v xml:space="preserve">Plant Costs  - 2017 IRP - Table 6.1 &amp; 6.2 </v>
      </c>
    </row>
    <row r="47" spans="2:15">
      <c r="C47" s="116" t="str">
        <f>D10</f>
        <v>(b)</v>
      </c>
      <c r="D47" s="111" t="str">
        <f>"= "&amp;C10&amp;" x "&amp;C76</f>
        <v>= (a) x 0.0737263117964292</v>
      </c>
    </row>
    <row r="48" spans="2:15">
      <c r="C48" s="116" t="str">
        <f>G10</f>
        <v>(e)</v>
      </c>
      <c r="D48" s="111" t="str">
        <f>"= "&amp;$F$10&amp;" x  (8.76 x "&amp;TEXT(G65,"0.0%")&amp;") + "&amp;$E$10</f>
        <v>= (d) x  (8.76 x 33.0%) + (c)</v>
      </c>
    </row>
    <row r="49" spans="3:11">
      <c r="C49" s="116" t="str">
        <f>H10</f>
        <v>(f)</v>
      </c>
      <c r="D49" s="111" t="str">
        <f>"= "&amp;D10&amp;" + "&amp;G10</f>
        <v>= (b) + (e)</v>
      </c>
    </row>
    <row r="50" spans="3:11">
      <c r="C50" s="116" t="str">
        <f>I10</f>
        <v>(g)</v>
      </c>
      <c r="D50" s="144" t="str">
        <f>'Table 4'!B3&amp;" - "&amp;'Table 4'!B4</f>
        <v>Table 4 - Burnertip Natural Gas Price Forecast</v>
      </c>
    </row>
    <row r="51" spans="3:11">
      <c r="C51" s="116" t="str">
        <f>J10</f>
        <v>(h)</v>
      </c>
      <c r="D51" s="111" t="str">
        <f>"= "&amp;TEXT(K65,"?,0")&amp;" MMBtu/MWH x "&amp;I9</f>
        <v>= 9,614 MMBtu/MWH x $/MMBtu</v>
      </c>
    </row>
    <row r="52" spans="3:11">
      <c r="C52" s="116" t="str">
        <f>K10</f>
        <v>(i)</v>
      </c>
      <c r="D52" s="111" t="str">
        <f>"= "&amp;H10&amp;" / (8.76 x 'Capacity Factor' ) + "&amp;J10</f>
        <v>= (f) / (8.76 x 'Capacity Factor' ) + (h)</v>
      </c>
    </row>
    <row r="53" spans="3:11" ht="13.5" thickBot="1"/>
    <row r="54" spans="3:11" ht="13.5" thickBot="1">
      <c r="C54" s="58" t="s">
        <v>109</v>
      </c>
      <c r="D54" s="55"/>
      <c r="E54" s="55"/>
      <c r="F54" s="55"/>
      <c r="G54" s="55"/>
      <c r="H54" s="55"/>
      <c r="I54" s="55"/>
      <c r="J54" s="56"/>
      <c r="K54" s="117"/>
    </row>
    <row r="55" spans="3:11" ht="5.25" customHeight="1"/>
    <row r="56" spans="3:11" ht="5.25" customHeight="1"/>
    <row r="57" spans="3:11">
      <c r="C57" s="42" t="s">
        <v>40</v>
      </c>
      <c r="D57" s="32"/>
      <c r="E57" s="42"/>
      <c r="F57" s="41" t="s">
        <v>41</v>
      </c>
      <c r="G57" s="41" t="s">
        <v>42</v>
      </c>
      <c r="H57" s="41" t="s">
        <v>43</v>
      </c>
      <c r="I57" s="41" t="s">
        <v>44</v>
      </c>
    </row>
    <row r="58" spans="3:11">
      <c r="C58" s="145" t="s">
        <v>107</v>
      </c>
      <c r="F58" s="118">
        <f>C69</f>
        <v>199.924125</v>
      </c>
      <c r="G58" s="57">
        <f>F58/F60</f>
        <v>1</v>
      </c>
      <c r="H58" s="132">
        <f>C70</f>
        <v>589.49609575732859</v>
      </c>
      <c r="I58" s="134">
        <f>C73</f>
        <v>71.702024758449483</v>
      </c>
    </row>
    <row r="59" spans="3:11">
      <c r="C59" s="145"/>
      <c r="F59" s="48">
        <f>D69</f>
        <v>0</v>
      </c>
      <c r="G59" s="44">
        <f>1-G58</f>
        <v>0</v>
      </c>
      <c r="H59" s="133">
        <f>D70</f>
        <v>0</v>
      </c>
      <c r="I59" s="135">
        <f>D73</f>
        <v>0</v>
      </c>
    </row>
    <row r="60" spans="3:11">
      <c r="C60" s="145" t="s">
        <v>45</v>
      </c>
      <c r="F60" s="118">
        <f>F58+F59</f>
        <v>199.924125</v>
      </c>
      <c r="G60" s="57">
        <f>G58+G59</f>
        <v>1</v>
      </c>
      <c r="H60" s="132">
        <f>ROUND(((F58*H58)+(F59*H59))/F60,0)</f>
        <v>589</v>
      </c>
      <c r="I60" s="134">
        <f>ROUND(((F58*I58)+(F59*I59))/F60,2)</f>
        <v>71.7</v>
      </c>
    </row>
    <row r="61" spans="3:11">
      <c r="C61" s="145"/>
      <c r="F61" s="118"/>
      <c r="G61" s="57"/>
      <c r="H61" s="119"/>
      <c r="I61" s="120"/>
    </row>
    <row r="62" spans="3:11">
      <c r="C62" s="146" t="s">
        <v>40</v>
      </c>
      <c r="D62" s="32"/>
      <c r="E62" s="42"/>
      <c r="F62" s="41" t="s">
        <v>41</v>
      </c>
      <c r="G62" s="41" t="s">
        <v>46</v>
      </c>
      <c r="H62" s="41" t="s">
        <v>47</v>
      </c>
      <c r="I62" s="41" t="s">
        <v>42</v>
      </c>
      <c r="J62" s="41" t="s">
        <v>48</v>
      </c>
      <c r="K62" s="41" t="s">
        <v>49</v>
      </c>
    </row>
    <row r="63" spans="3:11">
      <c r="C63" s="147" t="str">
        <f>C58</f>
        <v>SCCT Dry "F" - Turbine</v>
      </c>
      <c r="D63" s="121"/>
      <c r="E63" s="121"/>
      <c r="F63" s="104">
        <f>C69</f>
        <v>199.924125</v>
      </c>
      <c r="G63" s="57">
        <f>C77</f>
        <v>0.33</v>
      </c>
      <c r="H63" s="168">
        <f>G63*F63</f>
        <v>65.974961250000007</v>
      </c>
      <c r="I63" s="57">
        <f>H63/H65</f>
        <v>1</v>
      </c>
      <c r="J63" s="120">
        <f>C74</f>
        <v>7.5299874286936257</v>
      </c>
      <c r="K63" s="122">
        <f>C75</f>
        <v>9614</v>
      </c>
    </row>
    <row r="64" spans="3:11">
      <c r="C64" s="147">
        <f>C59</f>
        <v>0</v>
      </c>
      <c r="D64" s="121"/>
      <c r="E64" s="121"/>
      <c r="F64" s="43">
        <f>D69</f>
        <v>0</v>
      </c>
      <c r="G64" s="44">
        <f>D77</f>
        <v>0</v>
      </c>
      <c r="H64" s="169">
        <f>G64*F64</f>
        <v>0</v>
      </c>
      <c r="I64" s="44">
        <f>1-I63</f>
        <v>0</v>
      </c>
      <c r="J64" s="45">
        <f>D74</f>
        <v>0</v>
      </c>
      <c r="K64" s="46">
        <f>D75</f>
        <v>0</v>
      </c>
    </row>
    <row r="65" spans="2:11">
      <c r="C65" s="145" t="s">
        <v>50</v>
      </c>
      <c r="F65" s="104">
        <f>F63+F64</f>
        <v>199.924125</v>
      </c>
      <c r="G65" s="123">
        <f>ROUND(H65/F65,3)</f>
        <v>0.33</v>
      </c>
      <c r="H65" s="168">
        <f>SUM(H63:H64)</f>
        <v>65.974961250000007</v>
      </c>
      <c r="I65" s="57">
        <f>I63+I64</f>
        <v>1</v>
      </c>
      <c r="J65" s="120">
        <f>ROUND(($I63*J63)+($I64*J64),2)</f>
        <v>7.53</v>
      </c>
      <c r="K65" s="124">
        <f>ROUND(($I63*K63)+($I64*K64),0)</f>
        <v>9614</v>
      </c>
    </row>
    <row r="66" spans="2:11">
      <c r="G66" s="123"/>
      <c r="I66" s="57"/>
      <c r="J66" s="120"/>
      <c r="K66" s="47" t="s">
        <v>51</v>
      </c>
    </row>
    <row r="68" spans="2:11">
      <c r="C68" s="41" t="s">
        <v>106</v>
      </c>
      <c r="D68" s="41" t="s">
        <v>35</v>
      </c>
      <c r="E68" s="59" t="str">
        <f>D46</f>
        <v xml:space="preserve">Plant Costs  - 2017 IRP - Table 6.1 &amp; 6.2 </v>
      </c>
      <c r="F68" s="125"/>
      <c r="G68" s="125"/>
      <c r="H68" s="125"/>
      <c r="I68" s="125"/>
      <c r="J68" s="125"/>
      <c r="K68" s="126"/>
    </row>
    <row r="69" spans="2:11">
      <c r="C69" s="104">
        <v>199.924125</v>
      </c>
      <c r="E69" s="104" t="s">
        <v>77</v>
      </c>
      <c r="H69" s="127"/>
    </row>
    <row r="70" spans="2:11">
      <c r="B70" s="104" t="s">
        <v>104</v>
      </c>
      <c r="C70" s="119">
        <v>589.49609575732859</v>
      </c>
      <c r="D70" s="119"/>
      <c r="E70" s="104" t="s">
        <v>78</v>
      </c>
    </row>
    <row r="71" spans="2:11">
      <c r="B71" s="104" t="s">
        <v>104</v>
      </c>
      <c r="C71" s="120">
        <v>16.0158293408495</v>
      </c>
      <c r="D71" s="120"/>
      <c r="E71" s="104" t="s">
        <v>79</v>
      </c>
    </row>
    <row r="72" spans="2:11">
      <c r="B72" s="104" t="s">
        <v>104</v>
      </c>
      <c r="C72" s="49">
        <v>55.68619541759999</v>
      </c>
      <c r="D72" s="49"/>
      <c r="E72" s="104" t="s">
        <v>75</v>
      </c>
    </row>
    <row r="73" spans="2:11">
      <c r="B73" s="104" t="s">
        <v>104</v>
      </c>
      <c r="C73" s="120">
        <f>C71+C72</f>
        <v>71.702024758449483</v>
      </c>
      <c r="D73" s="120"/>
      <c r="E73" s="104" t="s">
        <v>80</v>
      </c>
    </row>
    <row r="74" spans="2:11">
      <c r="B74" s="104" t="s">
        <v>104</v>
      </c>
      <c r="C74" s="120">
        <v>7.5299874286936257</v>
      </c>
      <c r="D74" s="120"/>
      <c r="E74" s="104" t="s">
        <v>81</v>
      </c>
    </row>
    <row r="75" spans="2:11">
      <c r="C75" s="124">
        <v>9614</v>
      </c>
      <c r="D75" s="124"/>
      <c r="E75" s="104" t="s">
        <v>53</v>
      </c>
    </row>
    <row r="76" spans="2:11">
      <c r="C76" s="142">
        <v>7.3726311796429175E-2</v>
      </c>
      <c r="D76" s="142"/>
      <c r="E76" s="104" t="s">
        <v>54</v>
      </c>
    </row>
    <row r="77" spans="2:11">
      <c r="C77" s="128">
        <v>0.33</v>
      </c>
      <c r="D77" s="128"/>
      <c r="E77" s="104" t="s">
        <v>55</v>
      </c>
    </row>
    <row r="78" spans="2:11">
      <c r="D78" s="57">
        <f>ROUND(H65/F65,3)</f>
        <v>0.33</v>
      </c>
      <c r="E78" s="104" t="s">
        <v>56</v>
      </c>
    </row>
    <row r="79" spans="2:11">
      <c r="D79" s="123"/>
      <c r="E79" s="67"/>
    </row>
    <row r="80" spans="2:11">
      <c r="C80" s="128"/>
      <c r="D80" s="128"/>
    </row>
    <row r="82" spans="3:15" ht="13.5" thickBot="1">
      <c r="C82" s="54" t="str">
        <f>"Company Official Inflation Forecast Dated "&amp;TEXT('Table 4'!$G$5,"mmmm dd, yyyy")</f>
        <v>Company Official Inflation Forecast Dated December 29, 2017</v>
      </c>
      <c r="D82" s="55"/>
      <c r="E82" s="55"/>
      <c r="F82" s="55"/>
      <c r="G82" s="55"/>
      <c r="H82" s="55"/>
      <c r="I82" s="55"/>
      <c r="J82" s="56"/>
      <c r="K82" s="117"/>
    </row>
    <row r="83" spans="3:15">
      <c r="C83" s="129">
        <v>2017</v>
      </c>
      <c r="D83" s="57">
        <v>0.02</v>
      </c>
      <c r="F83" s="129">
        <f>C91+1</f>
        <v>2026</v>
      </c>
      <c r="G83" s="57">
        <v>2.3E-2</v>
      </c>
      <c r="I83" s="129">
        <f>F91+1</f>
        <v>2035</v>
      </c>
      <c r="J83" s="57">
        <v>2.3E-2</v>
      </c>
    </row>
    <row r="84" spans="3:15">
      <c r="C84" s="129">
        <f t="shared" ref="C84:C91" si="8">C83+1</f>
        <v>2018</v>
      </c>
      <c r="D84" s="57">
        <v>1.9E-2</v>
      </c>
      <c r="F84" s="129">
        <f t="shared" ref="F84:F91" si="9">F83+1</f>
        <v>2027</v>
      </c>
      <c r="G84" s="57">
        <v>2.3E-2</v>
      </c>
      <c r="I84" s="129">
        <f t="shared" ref="I84:I91" si="10">I83+1</f>
        <v>2036</v>
      </c>
      <c r="J84" s="57">
        <v>2.3E-2</v>
      </c>
    </row>
    <row r="85" spans="3:15">
      <c r="C85" s="129">
        <f t="shared" si="8"/>
        <v>2019</v>
      </c>
      <c r="D85" s="57">
        <v>2.1999999999999999E-2</v>
      </c>
      <c r="F85" s="129">
        <f t="shared" si="9"/>
        <v>2028</v>
      </c>
      <c r="G85" s="57">
        <v>2.3E-2</v>
      </c>
      <c r="I85" s="129">
        <f t="shared" si="10"/>
        <v>2037</v>
      </c>
      <c r="J85" s="57">
        <v>2.1999999999999999E-2</v>
      </c>
    </row>
    <row r="86" spans="3:15">
      <c r="C86" s="129">
        <f t="shared" si="8"/>
        <v>2020</v>
      </c>
      <c r="D86" s="57">
        <v>2.5999999999999999E-2</v>
      </c>
      <c r="F86" s="129">
        <f t="shared" si="9"/>
        <v>2029</v>
      </c>
      <c r="G86" s="57">
        <v>2.3E-2</v>
      </c>
      <c r="I86" s="129">
        <f t="shared" si="10"/>
        <v>2038</v>
      </c>
      <c r="J86" s="57">
        <v>2.1999999999999999E-2</v>
      </c>
    </row>
    <row r="87" spans="3:15">
      <c r="C87" s="129">
        <f t="shared" si="8"/>
        <v>2021</v>
      </c>
      <c r="D87" s="57">
        <v>2.4E-2</v>
      </c>
      <c r="F87" s="129">
        <f t="shared" si="9"/>
        <v>2030</v>
      </c>
      <c r="G87" s="57">
        <v>2.3E-2</v>
      </c>
      <c r="I87" s="129">
        <f t="shared" si="10"/>
        <v>2039</v>
      </c>
      <c r="J87" s="57">
        <v>2.1999999999999999E-2</v>
      </c>
    </row>
    <row r="88" spans="3:15">
      <c r="C88" s="129">
        <f t="shared" si="8"/>
        <v>2022</v>
      </c>
      <c r="D88" s="57">
        <v>2.3E-2</v>
      </c>
      <c r="F88" s="129">
        <f t="shared" si="9"/>
        <v>2031</v>
      </c>
      <c r="G88" s="57">
        <v>2.3E-2</v>
      </c>
      <c r="I88" s="129">
        <f t="shared" si="10"/>
        <v>2040</v>
      </c>
      <c r="J88" s="57">
        <v>2.1999999999999999E-2</v>
      </c>
    </row>
    <row r="89" spans="3:15" s="106" customFormat="1">
      <c r="C89" s="129">
        <f t="shared" si="8"/>
        <v>2023</v>
      </c>
      <c r="D89" s="57">
        <v>2.3E-2</v>
      </c>
      <c r="F89" s="129">
        <f t="shared" si="9"/>
        <v>2032</v>
      </c>
      <c r="G89" s="57">
        <v>2.1999999999999999E-2</v>
      </c>
      <c r="I89" s="129">
        <f t="shared" si="10"/>
        <v>2041</v>
      </c>
      <c r="J89" s="57">
        <v>2.1999999999999999E-2</v>
      </c>
      <c r="N89" s="104"/>
      <c r="O89" s="104"/>
    </row>
    <row r="90" spans="3:15" s="106" customFormat="1">
      <c r="C90" s="129">
        <f t="shared" si="8"/>
        <v>2024</v>
      </c>
      <c r="D90" s="57">
        <v>2.3E-2</v>
      </c>
      <c r="F90" s="129">
        <f t="shared" si="9"/>
        <v>2033</v>
      </c>
      <c r="G90" s="57">
        <v>2.1999999999999999E-2</v>
      </c>
      <c r="I90" s="129">
        <f t="shared" si="10"/>
        <v>2042</v>
      </c>
      <c r="J90" s="57">
        <v>2.1999999999999999E-2</v>
      </c>
      <c r="N90" s="104"/>
      <c r="O90" s="104"/>
    </row>
    <row r="91" spans="3:15" s="106" customFormat="1">
      <c r="C91" s="129">
        <f t="shared" si="8"/>
        <v>2025</v>
      </c>
      <c r="D91" s="57">
        <v>2.3E-2</v>
      </c>
      <c r="F91" s="129">
        <f t="shared" si="9"/>
        <v>2034</v>
      </c>
      <c r="G91" s="57">
        <v>2.3E-2</v>
      </c>
      <c r="I91" s="129">
        <f t="shared" si="10"/>
        <v>2043</v>
      </c>
      <c r="J91" s="57">
        <v>2.3E-2</v>
      </c>
      <c r="N91" s="104"/>
      <c r="O91" s="104"/>
    </row>
    <row r="92" spans="3:15" s="106" customFormat="1">
      <c r="N92" s="104"/>
      <c r="O92" s="104"/>
    </row>
    <row r="93" spans="3:15" s="106" customFormat="1">
      <c r="N93" s="104"/>
      <c r="O93" s="104"/>
    </row>
    <row r="94" spans="3:15">
      <c r="D94" s="136"/>
    </row>
    <row r="95" spans="3:15">
      <c r="D95" s="136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W53" sqref="W53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0" style="188" hidden="1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162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38%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110</v>
      </c>
      <c r="G5" s="19" t="s">
        <v>13</v>
      </c>
      <c r="H5" s="192" t="s">
        <v>111</v>
      </c>
      <c r="I5" s="19" t="s">
        <v>73</v>
      </c>
      <c r="J5" s="19" t="s">
        <v>73</v>
      </c>
      <c r="K5" s="192" t="s">
        <v>112</v>
      </c>
      <c r="P5" s="192" t="s">
        <v>111</v>
      </c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ID Wind Resource - 38%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1811.0329095752811</v>
      </c>
      <c r="D10" s="199">
        <f>C10*$C$62</f>
        <v>127.99449484849457</v>
      </c>
      <c r="E10" s="199">
        <f>C56</f>
        <v>37.565582271006477</v>
      </c>
      <c r="F10" s="200">
        <f t="shared" ref="F10:F36" si="0">(D10+E10)/(8.76*$C$63)</f>
        <v>49.735663638398542</v>
      </c>
      <c r="G10" s="200">
        <f>C58</f>
        <v>0</v>
      </c>
      <c r="H10" s="247">
        <f>C59</f>
        <v>0</v>
      </c>
      <c r="I10" s="201">
        <f>F10+H10+G10</f>
        <v>49.735663638398542</v>
      </c>
      <c r="J10" s="201">
        <f>ROUND(I10*$C$63*8.76,2)</f>
        <v>165.56</v>
      </c>
      <c r="K10" s="199">
        <f>$C$57</f>
        <v>0.57299999999999995</v>
      </c>
      <c r="N10" s="202"/>
      <c r="P10" s="240">
        <f>$C$59</f>
        <v>0</v>
      </c>
    </row>
    <row r="11" spans="2:18">
      <c r="B11" s="197">
        <f t="shared" ref="B11:B36" si="1">B10+1</f>
        <v>2017</v>
      </c>
      <c r="C11" s="203"/>
      <c r="D11" s="199">
        <f>ROUND(D10*(1+$D66),2)</f>
        <v>130.55000000000001</v>
      </c>
      <c r="E11" s="199">
        <f>ROUND(E10*(1+$D66),2)</f>
        <v>38.32</v>
      </c>
      <c r="F11" s="200">
        <f t="shared" si="0"/>
        <v>50.729992790194672</v>
      </c>
      <c r="G11" s="199">
        <f>ROUND(G10*(1+$D66),2)</f>
        <v>0</v>
      </c>
      <c r="H11" s="199">
        <f>ROUND(H10*(1+$D66),2)</f>
        <v>0</v>
      </c>
      <c r="I11" s="201">
        <f>F11+H11+G11</f>
        <v>50.729992790194672</v>
      </c>
      <c r="J11" s="201">
        <f t="shared" ref="J11:J36" si="2">ROUND(I11*$C$63*8.76,2)</f>
        <v>168.87</v>
      </c>
      <c r="K11" s="199">
        <f>ROUND(K10*(1+$D66),2)</f>
        <v>0.57999999999999996</v>
      </c>
      <c r="N11" s="202"/>
      <c r="P11" s="240">
        <f>ROUND(P10*(1+$D66),2)</f>
        <v>0</v>
      </c>
    </row>
    <row r="12" spans="2:18">
      <c r="B12" s="210">
        <f t="shared" si="1"/>
        <v>2018</v>
      </c>
      <c r="C12" s="211"/>
      <c r="D12" s="199">
        <f t="shared" ref="D12:G19" si="3">ROUND(D11*(1+$D67),2)</f>
        <v>133.03</v>
      </c>
      <c r="E12" s="199">
        <f t="shared" si="3"/>
        <v>39.049999999999997</v>
      </c>
      <c r="F12" s="201">
        <f t="shared" si="0"/>
        <v>51.694304253785148</v>
      </c>
      <c r="G12" s="199">
        <f t="shared" si="3"/>
        <v>0</v>
      </c>
      <c r="H12" s="199">
        <f t="shared" ref="H12" si="4">ROUND(H11*(1+$D67),2)</f>
        <v>0</v>
      </c>
      <c r="I12" s="201">
        <f t="shared" ref="I12:I36" si="5">F12+H12+G12</f>
        <v>51.694304253785148</v>
      </c>
      <c r="J12" s="201">
        <f t="shared" si="2"/>
        <v>172.08</v>
      </c>
      <c r="K12" s="199">
        <f t="shared" ref="K12:K19" si="6">ROUND(K11*(1+$D67),2)</f>
        <v>0.59</v>
      </c>
      <c r="L12" s="190"/>
      <c r="N12" s="202"/>
      <c r="P12" s="240">
        <f t="shared" ref="P12:P19" si="7">ROUND(P11*(1+$D67),2)</f>
        <v>0</v>
      </c>
    </row>
    <row r="13" spans="2:18">
      <c r="B13" s="210">
        <f t="shared" si="1"/>
        <v>2019</v>
      </c>
      <c r="C13" s="211"/>
      <c r="D13" s="199">
        <f t="shared" si="3"/>
        <v>135.96</v>
      </c>
      <c r="E13" s="199">
        <f t="shared" si="3"/>
        <v>39.909999999999997</v>
      </c>
      <c r="F13" s="201">
        <f t="shared" si="0"/>
        <v>52.832852679644319</v>
      </c>
      <c r="G13" s="199">
        <f t="shared" si="3"/>
        <v>0</v>
      </c>
      <c r="H13" s="199">
        <f t="shared" ref="H13" si="8">ROUND(H12*(1+$D68),2)</f>
        <v>0</v>
      </c>
      <c r="I13" s="201">
        <f t="shared" si="5"/>
        <v>52.832852679644319</v>
      </c>
      <c r="J13" s="201">
        <f t="shared" si="2"/>
        <v>175.87</v>
      </c>
      <c r="K13" s="199">
        <f t="shared" si="6"/>
        <v>0.6</v>
      </c>
      <c r="L13" s="190"/>
      <c r="N13" s="202"/>
      <c r="P13" s="240">
        <f t="shared" si="7"/>
        <v>0</v>
      </c>
    </row>
    <row r="14" spans="2:18">
      <c r="B14" s="210">
        <f t="shared" si="1"/>
        <v>2020</v>
      </c>
      <c r="C14" s="211"/>
      <c r="D14" s="199">
        <f t="shared" si="3"/>
        <v>139.49</v>
      </c>
      <c r="E14" s="199">
        <f t="shared" si="3"/>
        <v>40.950000000000003</v>
      </c>
      <c r="F14" s="201">
        <f t="shared" si="0"/>
        <v>54.205719778899308</v>
      </c>
      <c r="G14" s="199">
        <f t="shared" si="3"/>
        <v>0</v>
      </c>
      <c r="H14" s="199">
        <f t="shared" ref="H14" si="9">ROUND(H13*(1+$D69),2)</f>
        <v>0</v>
      </c>
      <c r="I14" s="201">
        <f t="shared" si="5"/>
        <v>54.205719778899308</v>
      </c>
      <c r="J14" s="201">
        <f t="shared" si="2"/>
        <v>180.44</v>
      </c>
      <c r="K14" s="199">
        <f t="shared" si="6"/>
        <v>0.62</v>
      </c>
      <c r="L14" s="190"/>
      <c r="N14" s="202"/>
      <c r="O14" s="207"/>
      <c r="P14" s="240">
        <f t="shared" si="7"/>
        <v>0</v>
      </c>
      <c r="Q14" s="208"/>
      <c r="R14" s="209"/>
    </row>
    <row r="15" spans="2:18">
      <c r="B15" s="210">
        <f t="shared" si="1"/>
        <v>2021</v>
      </c>
      <c r="C15" s="211"/>
      <c r="D15" s="199">
        <f t="shared" si="3"/>
        <v>142.84</v>
      </c>
      <c r="E15" s="199">
        <f t="shared" si="3"/>
        <v>41.93</v>
      </c>
      <c r="F15" s="201">
        <f t="shared" si="0"/>
        <v>55.506488824801735</v>
      </c>
      <c r="G15" s="199">
        <f t="shared" si="3"/>
        <v>0</v>
      </c>
      <c r="H15" s="199">
        <f t="shared" ref="H15" si="10">ROUND(H14*(1+$D70),2)</f>
        <v>0</v>
      </c>
      <c r="I15" s="201">
        <f t="shared" si="5"/>
        <v>55.506488824801735</v>
      </c>
      <c r="J15" s="201">
        <f t="shared" si="2"/>
        <v>184.77</v>
      </c>
      <c r="K15" s="199">
        <f t="shared" si="6"/>
        <v>0.63</v>
      </c>
      <c r="L15" s="190"/>
      <c r="N15" s="208"/>
      <c r="O15" s="208"/>
      <c r="P15" s="240">
        <f t="shared" si="7"/>
        <v>0</v>
      </c>
      <c r="Q15" s="208"/>
      <c r="R15" s="209"/>
    </row>
    <row r="16" spans="2:18">
      <c r="B16" s="210">
        <f t="shared" si="1"/>
        <v>2022</v>
      </c>
      <c r="C16" s="211"/>
      <c r="D16" s="199">
        <f t="shared" si="3"/>
        <v>146.13</v>
      </c>
      <c r="E16" s="199">
        <f t="shared" si="3"/>
        <v>42.89</v>
      </c>
      <c r="F16" s="201">
        <f t="shared" si="0"/>
        <v>56.783225186253304</v>
      </c>
      <c r="G16" s="199">
        <f t="shared" si="3"/>
        <v>0</v>
      </c>
      <c r="H16" s="199">
        <f t="shared" ref="H16" si="11">ROUND(H15*(1+$D71),2)</f>
        <v>0</v>
      </c>
      <c r="I16" s="201">
        <f t="shared" si="5"/>
        <v>56.783225186253304</v>
      </c>
      <c r="J16" s="201">
        <f t="shared" si="2"/>
        <v>189.02</v>
      </c>
      <c r="K16" s="199">
        <f t="shared" si="6"/>
        <v>0.64</v>
      </c>
      <c r="L16" s="190"/>
      <c r="N16" s="202"/>
      <c r="P16" s="240">
        <f t="shared" si="7"/>
        <v>0</v>
      </c>
    </row>
    <row r="17" spans="2:16">
      <c r="B17" s="210">
        <f t="shared" si="1"/>
        <v>2023</v>
      </c>
      <c r="C17" s="211"/>
      <c r="D17" s="199">
        <f t="shared" si="3"/>
        <v>149.49</v>
      </c>
      <c r="E17" s="199">
        <f t="shared" si="3"/>
        <v>43.88</v>
      </c>
      <c r="F17" s="201">
        <f t="shared" si="0"/>
        <v>58.09000240326845</v>
      </c>
      <c r="G17" s="199">
        <f t="shared" si="3"/>
        <v>0</v>
      </c>
      <c r="H17" s="199">
        <f t="shared" ref="H17" si="12">ROUND(H16*(1+$D72),2)</f>
        <v>0</v>
      </c>
      <c r="I17" s="201">
        <f t="shared" si="5"/>
        <v>58.09000240326845</v>
      </c>
      <c r="J17" s="201">
        <f t="shared" si="2"/>
        <v>193.37</v>
      </c>
      <c r="K17" s="199">
        <f t="shared" si="6"/>
        <v>0.65</v>
      </c>
      <c r="L17" s="190"/>
      <c r="N17" s="202"/>
      <c r="O17" s="207"/>
      <c r="P17" s="240">
        <f t="shared" si="7"/>
        <v>0</v>
      </c>
    </row>
    <row r="18" spans="2:16">
      <c r="B18" s="210">
        <f t="shared" si="1"/>
        <v>2024</v>
      </c>
      <c r="C18" s="211"/>
      <c r="D18" s="199">
        <f t="shared" si="3"/>
        <v>152.93</v>
      </c>
      <c r="E18" s="199">
        <f t="shared" si="3"/>
        <v>44.89</v>
      </c>
      <c r="F18" s="201">
        <f t="shared" si="0"/>
        <v>59.426820475847151</v>
      </c>
      <c r="G18" s="199">
        <f t="shared" si="3"/>
        <v>0</v>
      </c>
      <c r="H18" s="199">
        <f t="shared" ref="H18" si="13">ROUND(H17*(1+$D73),2)</f>
        <v>0</v>
      </c>
      <c r="I18" s="201">
        <f t="shared" si="5"/>
        <v>59.426820475847151</v>
      </c>
      <c r="J18" s="201">
        <f t="shared" si="2"/>
        <v>197.82</v>
      </c>
      <c r="K18" s="199">
        <f t="shared" si="6"/>
        <v>0.66</v>
      </c>
      <c r="L18" s="190"/>
      <c r="N18" s="202"/>
      <c r="O18" s="207"/>
      <c r="P18" s="240">
        <f t="shared" si="7"/>
        <v>0</v>
      </c>
    </row>
    <row r="19" spans="2:16">
      <c r="B19" s="210">
        <f t="shared" si="1"/>
        <v>2025</v>
      </c>
      <c r="C19" s="211"/>
      <c r="D19" s="199">
        <f t="shared" si="3"/>
        <v>156.44999999999999</v>
      </c>
      <c r="E19" s="199">
        <f t="shared" si="3"/>
        <v>45.92</v>
      </c>
      <c r="F19" s="201">
        <f t="shared" si="0"/>
        <v>60.793679403989429</v>
      </c>
      <c r="G19" s="199">
        <f t="shared" si="3"/>
        <v>0</v>
      </c>
      <c r="H19" s="199">
        <f t="shared" ref="H19" si="14">ROUND(H18*(1+$D74),2)</f>
        <v>0</v>
      </c>
      <c r="I19" s="201">
        <f t="shared" si="5"/>
        <v>60.793679403989429</v>
      </c>
      <c r="J19" s="201">
        <f t="shared" si="2"/>
        <v>202.37</v>
      </c>
      <c r="K19" s="199">
        <f t="shared" si="6"/>
        <v>0.68</v>
      </c>
      <c r="L19" s="190"/>
      <c r="N19" s="202"/>
      <c r="O19" s="207"/>
      <c r="P19" s="240">
        <f t="shared" si="7"/>
        <v>0</v>
      </c>
    </row>
    <row r="20" spans="2:16">
      <c r="B20" s="210">
        <f t="shared" si="1"/>
        <v>2026</v>
      </c>
      <c r="C20" s="211"/>
      <c r="D20" s="199">
        <f>ROUND(D19*(1+$G66),2)</f>
        <v>160.05000000000001</v>
      </c>
      <c r="E20" s="199">
        <f>ROUND(E19*(1+$G66),2)</f>
        <v>46.98</v>
      </c>
      <c r="F20" s="201">
        <f t="shared" si="0"/>
        <v>62.193583273251626</v>
      </c>
      <c r="G20" s="199">
        <f>ROUND(G19*(1+$G66),2)</f>
        <v>0</v>
      </c>
      <c r="H20" s="199">
        <f>ROUND(H19*(1+$G66),2)</f>
        <v>0</v>
      </c>
      <c r="I20" s="201">
        <f t="shared" si="5"/>
        <v>62.193583273251626</v>
      </c>
      <c r="J20" s="201">
        <f t="shared" si="2"/>
        <v>207.03</v>
      </c>
      <c r="K20" s="199">
        <f>ROUND(K19*(1+$G66),2)</f>
        <v>0.7</v>
      </c>
      <c r="L20" s="190"/>
      <c r="N20" s="202"/>
      <c r="O20" s="207"/>
      <c r="P20" s="240">
        <f>ROUND(P19*(1+$G66),2)</f>
        <v>0</v>
      </c>
    </row>
    <row r="21" spans="2:16">
      <c r="B21" s="210">
        <f t="shared" si="1"/>
        <v>2027</v>
      </c>
      <c r="C21" s="211"/>
      <c r="D21" s="199">
        <f t="shared" ref="D21:G28" si="15">ROUND(D20*(1+$G67),2)</f>
        <v>163.72999999999999</v>
      </c>
      <c r="E21" s="199">
        <f t="shared" si="15"/>
        <v>48.06</v>
      </c>
      <c r="F21" s="201">
        <f t="shared" si="0"/>
        <v>63.623527998077385</v>
      </c>
      <c r="G21" s="199">
        <f t="shared" si="15"/>
        <v>0</v>
      </c>
      <c r="H21" s="199">
        <f t="shared" ref="H21" si="16">ROUND(H20*(1+$G67),2)</f>
        <v>0</v>
      </c>
      <c r="I21" s="201">
        <f t="shared" si="5"/>
        <v>63.623527998077385</v>
      </c>
      <c r="J21" s="201">
        <f t="shared" si="2"/>
        <v>211.79</v>
      </c>
      <c r="K21" s="199">
        <f t="shared" ref="K21:K28" si="17">ROUND(K20*(1+$G67),2)</f>
        <v>0.72</v>
      </c>
      <c r="L21" s="190"/>
      <c r="N21" s="202"/>
      <c r="O21" s="207"/>
      <c r="P21" s="240">
        <f t="shared" ref="P21:P28" si="18">ROUND(P20*(1+$G67),2)</f>
        <v>0</v>
      </c>
    </row>
    <row r="22" spans="2:16">
      <c r="B22" s="210">
        <f t="shared" si="1"/>
        <v>2028</v>
      </c>
      <c r="C22" s="211"/>
      <c r="D22" s="199">
        <f t="shared" si="15"/>
        <v>167.5</v>
      </c>
      <c r="E22" s="199">
        <f t="shared" si="15"/>
        <v>49.17</v>
      </c>
      <c r="F22" s="201">
        <f t="shared" si="0"/>
        <v>65.089521749579433</v>
      </c>
      <c r="G22" s="199">
        <f t="shared" si="15"/>
        <v>0</v>
      </c>
      <c r="H22" s="199">
        <f t="shared" ref="H22" si="19">ROUND(H21*(1+$G68),2)</f>
        <v>0</v>
      </c>
      <c r="I22" s="201">
        <f t="shared" si="5"/>
        <v>65.089521749579433</v>
      </c>
      <c r="J22" s="201">
        <f t="shared" si="2"/>
        <v>216.67</v>
      </c>
      <c r="K22" s="199">
        <f t="shared" si="17"/>
        <v>0.74</v>
      </c>
      <c r="L22" s="190"/>
      <c r="N22" s="202"/>
      <c r="O22" s="207"/>
      <c r="P22" s="240">
        <f t="shared" si="18"/>
        <v>0</v>
      </c>
    </row>
    <row r="23" spans="2:16">
      <c r="B23" s="210">
        <f t="shared" si="1"/>
        <v>2029</v>
      </c>
      <c r="C23" s="211"/>
      <c r="D23" s="199">
        <f t="shared" si="15"/>
        <v>171.35</v>
      </c>
      <c r="E23" s="199">
        <f t="shared" si="15"/>
        <v>50.3</v>
      </c>
      <c r="F23" s="201">
        <f t="shared" si="0"/>
        <v>66.585556356645029</v>
      </c>
      <c r="G23" s="199">
        <f t="shared" si="15"/>
        <v>0</v>
      </c>
      <c r="H23" s="199">
        <f t="shared" ref="H23" si="20">ROUND(H22*(1+$G69),2)</f>
        <v>0</v>
      </c>
      <c r="I23" s="201">
        <f t="shared" si="5"/>
        <v>66.585556356645029</v>
      </c>
      <c r="J23" s="201">
        <f t="shared" si="2"/>
        <v>221.65</v>
      </c>
      <c r="K23" s="199">
        <f t="shared" si="17"/>
        <v>0.76</v>
      </c>
      <c r="L23" s="190"/>
      <c r="N23" s="202"/>
      <c r="O23" s="207"/>
      <c r="P23" s="240">
        <f t="shared" si="18"/>
        <v>0</v>
      </c>
    </row>
    <row r="24" spans="2:16">
      <c r="B24" s="210">
        <f t="shared" si="1"/>
        <v>2030</v>
      </c>
      <c r="C24" s="211"/>
      <c r="D24" s="199">
        <f t="shared" si="15"/>
        <v>175.29</v>
      </c>
      <c r="E24" s="199">
        <f t="shared" si="15"/>
        <v>51.46</v>
      </c>
      <c r="F24" s="201">
        <f t="shared" si="0"/>
        <v>68.117639990386934</v>
      </c>
      <c r="G24" s="199">
        <f t="shared" si="15"/>
        <v>0</v>
      </c>
      <c r="H24" s="199">
        <f t="shared" ref="H24" si="21">ROUND(H23*(1+$G70),2)</f>
        <v>0</v>
      </c>
      <c r="I24" s="201">
        <f t="shared" si="5"/>
        <v>68.117639990386934</v>
      </c>
      <c r="J24" s="201">
        <f t="shared" si="2"/>
        <v>226.75</v>
      </c>
      <c r="K24" s="199">
        <f t="shared" si="17"/>
        <v>0.78</v>
      </c>
      <c r="L24" s="190"/>
      <c r="N24" s="202"/>
      <c r="O24" s="207"/>
      <c r="P24" s="240">
        <f t="shared" si="18"/>
        <v>0</v>
      </c>
    </row>
    <row r="25" spans="2:16">
      <c r="B25" s="210">
        <f t="shared" si="1"/>
        <v>2031</v>
      </c>
      <c r="C25" s="211"/>
      <c r="D25" s="199">
        <f t="shared" si="15"/>
        <v>179.32</v>
      </c>
      <c r="E25" s="199">
        <f t="shared" si="15"/>
        <v>52.64</v>
      </c>
      <c r="F25" s="201">
        <f t="shared" si="0"/>
        <v>69.682768565248736</v>
      </c>
      <c r="G25" s="199">
        <f t="shared" si="15"/>
        <v>0</v>
      </c>
      <c r="H25" s="199">
        <f t="shared" ref="H25" si="22">ROUND(H24*(1+$G71),2)</f>
        <v>0</v>
      </c>
      <c r="I25" s="201">
        <f t="shared" si="5"/>
        <v>69.682768565248736</v>
      </c>
      <c r="J25" s="201">
        <f t="shared" si="2"/>
        <v>231.96</v>
      </c>
      <c r="K25" s="199">
        <f t="shared" si="17"/>
        <v>0.8</v>
      </c>
      <c r="L25" s="190"/>
      <c r="N25" s="202"/>
      <c r="O25" s="207"/>
      <c r="P25" s="240">
        <f t="shared" si="18"/>
        <v>0</v>
      </c>
    </row>
    <row r="26" spans="2:16">
      <c r="B26" s="210">
        <f t="shared" si="1"/>
        <v>2032</v>
      </c>
      <c r="C26" s="211"/>
      <c r="D26" s="199">
        <f t="shared" si="15"/>
        <v>183.27</v>
      </c>
      <c r="E26" s="199">
        <f t="shared" si="15"/>
        <v>53.8</v>
      </c>
      <c r="F26" s="201">
        <f t="shared" si="0"/>
        <v>71.217856284546983</v>
      </c>
      <c r="G26" s="199">
        <f t="shared" si="15"/>
        <v>0</v>
      </c>
      <c r="H26" s="199">
        <f t="shared" ref="H26" si="23">ROUND(H25*(1+$G72),2)</f>
        <v>0</v>
      </c>
      <c r="I26" s="201">
        <f t="shared" si="5"/>
        <v>71.217856284546983</v>
      </c>
      <c r="J26" s="201">
        <f t="shared" si="2"/>
        <v>237.07</v>
      </c>
      <c r="K26" s="199">
        <f t="shared" si="17"/>
        <v>0.82</v>
      </c>
      <c r="L26" s="190"/>
      <c r="N26" s="202"/>
      <c r="O26" s="207"/>
      <c r="P26" s="240">
        <f t="shared" si="18"/>
        <v>0</v>
      </c>
    </row>
    <row r="27" spans="2:16">
      <c r="B27" s="210">
        <f t="shared" si="1"/>
        <v>2033</v>
      </c>
      <c r="C27" s="211"/>
      <c r="D27" s="199">
        <f t="shared" si="15"/>
        <v>187.3</v>
      </c>
      <c r="E27" s="199">
        <f t="shared" si="15"/>
        <v>54.98</v>
      </c>
      <c r="F27" s="201">
        <f t="shared" si="0"/>
        <v>72.782984859408799</v>
      </c>
      <c r="G27" s="199">
        <f t="shared" si="15"/>
        <v>0</v>
      </c>
      <c r="H27" s="199">
        <f t="shared" ref="H27" si="24">ROUND(H26*(1+$G73),2)</f>
        <v>0</v>
      </c>
      <c r="I27" s="201">
        <f t="shared" si="5"/>
        <v>72.782984859408799</v>
      </c>
      <c r="J27" s="201">
        <f t="shared" si="2"/>
        <v>242.28</v>
      </c>
      <c r="K27" s="199">
        <f t="shared" si="17"/>
        <v>0.84</v>
      </c>
      <c r="L27" s="190"/>
      <c r="P27" s="240">
        <f t="shared" si="18"/>
        <v>0</v>
      </c>
    </row>
    <row r="28" spans="2:16">
      <c r="B28" s="210">
        <f t="shared" si="1"/>
        <v>2034</v>
      </c>
      <c r="C28" s="211"/>
      <c r="D28" s="199">
        <f t="shared" si="15"/>
        <v>191.61</v>
      </c>
      <c r="E28" s="199">
        <f t="shared" si="15"/>
        <v>56.24</v>
      </c>
      <c r="F28" s="201">
        <f t="shared" si="0"/>
        <v>74.456260514299458</v>
      </c>
      <c r="G28" s="199">
        <f t="shared" si="15"/>
        <v>0</v>
      </c>
      <c r="H28" s="199">
        <f t="shared" ref="H28" si="25">ROUND(H27*(1+$G74),2)</f>
        <v>0</v>
      </c>
      <c r="I28" s="201">
        <f t="shared" si="5"/>
        <v>74.456260514299458</v>
      </c>
      <c r="J28" s="201">
        <f t="shared" si="2"/>
        <v>247.85</v>
      </c>
      <c r="K28" s="199">
        <f t="shared" si="17"/>
        <v>0.86</v>
      </c>
      <c r="L28" s="190"/>
      <c r="P28" s="240">
        <f t="shared" si="18"/>
        <v>0</v>
      </c>
    </row>
    <row r="29" spans="2:16">
      <c r="B29" s="210">
        <f t="shared" si="1"/>
        <v>2035</v>
      </c>
      <c r="C29" s="211"/>
      <c r="D29" s="199">
        <f t="shared" ref="D29:E36" si="26">ROUND(D28*(1+$K66),2)</f>
        <v>196.02</v>
      </c>
      <c r="E29" s="199">
        <f t="shared" si="26"/>
        <v>57.53</v>
      </c>
      <c r="F29" s="201">
        <f t="shared" si="0"/>
        <v>76.16858928142274</v>
      </c>
      <c r="G29" s="199">
        <f t="shared" ref="G29:H36" si="27">ROUND(G28*(1+$K66),2)</f>
        <v>0</v>
      </c>
      <c r="H29" s="199">
        <f t="shared" si="27"/>
        <v>0</v>
      </c>
      <c r="I29" s="201">
        <f t="shared" si="5"/>
        <v>76.16858928142274</v>
      </c>
      <c r="J29" s="201">
        <f t="shared" si="2"/>
        <v>253.55</v>
      </c>
      <c r="K29" s="199">
        <f>ROUND(K28*(1+$K66),2)</f>
        <v>0.88</v>
      </c>
      <c r="L29" s="190"/>
      <c r="P29" s="240">
        <f>ROUND(P28*(1+$K66),2)</f>
        <v>0</v>
      </c>
    </row>
    <row r="30" spans="2:16">
      <c r="B30" s="210">
        <f t="shared" si="1"/>
        <v>2036</v>
      </c>
      <c r="C30" s="211"/>
      <c r="D30" s="199">
        <f t="shared" si="26"/>
        <v>200.53</v>
      </c>
      <c r="E30" s="199">
        <f t="shared" si="26"/>
        <v>58.85</v>
      </c>
      <c r="F30" s="201">
        <f t="shared" si="0"/>
        <v>77.919971160778658</v>
      </c>
      <c r="G30" s="199">
        <f t="shared" si="27"/>
        <v>0</v>
      </c>
      <c r="H30" s="199">
        <f t="shared" si="27"/>
        <v>0</v>
      </c>
      <c r="I30" s="201">
        <f t="shared" si="5"/>
        <v>77.919971160778658</v>
      </c>
      <c r="J30" s="201">
        <f t="shared" si="2"/>
        <v>259.38</v>
      </c>
      <c r="K30" s="199">
        <f t="shared" ref="K30:K36" si="28">ROUND(K29*(1+$K67),2)</f>
        <v>0.9</v>
      </c>
      <c r="L30" s="190"/>
      <c r="P30" s="240">
        <f t="shared" ref="P30:P36" si="29">ROUND(P29*(1+$K67),2)</f>
        <v>0</v>
      </c>
    </row>
    <row r="31" spans="2:16">
      <c r="B31" s="210">
        <f t="shared" si="1"/>
        <v>2037</v>
      </c>
      <c r="C31" s="211"/>
      <c r="D31" s="199">
        <f t="shared" si="26"/>
        <v>204.94</v>
      </c>
      <c r="E31" s="199">
        <f t="shared" si="26"/>
        <v>60.14</v>
      </c>
      <c r="F31" s="201">
        <f t="shared" si="0"/>
        <v>79.632299927901954</v>
      </c>
      <c r="G31" s="199">
        <f t="shared" si="27"/>
        <v>0</v>
      </c>
      <c r="H31" s="199">
        <f t="shared" si="27"/>
        <v>0</v>
      </c>
      <c r="I31" s="201">
        <f t="shared" si="5"/>
        <v>79.632299927901954</v>
      </c>
      <c r="J31" s="201">
        <f t="shared" si="2"/>
        <v>265.08</v>
      </c>
      <c r="K31" s="199">
        <f t="shared" si="28"/>
        <v>0.92</v>
      </c>
      <c r="L31" s="190"/>
      <c r="P31" s="240">
        <f t="shared" si="29"/>
        <v>0</v>
      </c>
    </row>
    <row r="32" spans="2:16">
      <c r="B32" s="210">
        <f t="shared" si="1"/>
        <v>2038</v>
      </c>
      <c r="C32" s="211"/>
      <c r="D32" s="199">
        <f t="shared" si="26"/>
        <v>209.45</v>
      </c>
      <c r="E32" s="199">
        <f t="shared" si="26"/>
        <v>61.46</v>
      </c>
      <c r="F32" s="201">
        <f t="shared" si="0"/>
        <v>81.383681807257872</v>
      </c>
      <c r="G32" s="199">
        <f t="shared" si="27"/>
        <v>0</v>
      </c>
      <c r="H32" s="199">
        <f t="shared" si="27"/>
        <v>0</v>
      </c>
      <c r="I32" s="201">
        <f t="shared" si="5"/>
        <v>81.383681807257872</v>
      </c>
      <c r="J32" s="201">
        <f t="shared" si="2"/>
        <v>270.91000000000003</v>
      </c>
      <c r="K32" s="199">
        <f t="shared" si="28"/>
        <v>0.94</v>
      </c>
      <c r="L32" s="190"/>
      <c r="P32" s="240">
        <f t="shared" si="29"/>
        <v>0</v>
      </c>
    </row>
    <row r="33" spans="2:16">
      <c r="B33" s="210">
        <f t="shared" si="1"/>
        <v>2039</v>
      </c>
      <c r="C33" s="211"/>
      <c r="D33" s="199">
        <f t="shared" si="26"/>
        <v>214.06</v>
      </c>
      <c r="E33" s="199">
        <f t="shared" si="26"/>
        <v>62.81</v>
      </c>
      <c r="F33" s="201">
        <f t="shared" si="0"/>
        <v>83.174116798846441</v>
      </c>
      <c r="G33" s="199">
        <f t="shared" si="27"/>
        <v>0</v>
      </c>
      <c r="H33" s="199">
        <f t="shared" si="27"/>
        <v>0</v>
      </c>
      <c r="I33" s="201">
        <f t="shared" si="5"/>
        <v>83.174116798846441</v>
      </c>
      <c r="J33" s="201">
        <f t="shared" si="2"/>
        <v>276.87</v>
      </c>
      <c r="K33" s="199">
        <f t="shared" si="28"/>
        <v>0.96</v>
      </c>
      <c r="L33" s="190"/>
      <c r="P33" s="240">
        <f t="shared" si="29"/>
        <v>0</v>
      </c>
    </row>
    <row r="34" spans="2:16">
      <c r="B34" s="210">
        <f t="shared" si="1"/>
        <v>2040</v>
      </c>
      <c r="C34" s="211"/>
      <c r="D34" s="199">
        <f t="shared" si="26"/>
        <v>218.77</v>
      </c>
      <c r="E34" s="199">
        <f t="shared" si="26"/>
        <v>64.19</v>
      </c>
      <c r="F34" s="201">
        <f t="shared" si="0"/>
        <v>85.003604902667647</v>
      </c>
      <c r="G34" s="199">
        <f t="shared" si="27"/>
        <v>0</v>
      </c>
      <c r="H34" s="199">
        <f t="shared" si="27"/>
        <v>0</v>
      </c>
      <c r="I34" s="201">
        <f t="shared" si="5"/>
        <v>85.003604902667647</v>
      </c>
      <c r="J34" s="201">
        <f t="shared" si="2"/>
        <v>282.95999999999998</v>
      </c>
      <c r="K34" s="199">
        <f t="shared" si="28"/>
        <v>0.98</v>
      </c>
      <c r="L34" s="190"/>
      <c r="P34" s="240">
        <f t="shared" si="29"/>
        <v>0</v>
      </c>
    </row>
    <row r="35" spans="2:16">
      <c r="B35" s="210">
        <f t="shared" si="1"/>
        <v>2041</v>
      </c>
      <c r="C35" s="211"/>
      <c r="D35" s="199">
        <f t="shared" si="26"/>
        <v>223.58</v>
      </c>
      <c r="E35" s="199">
        <f t="shared" si="26"/>
        <v>65.599999999999994</v>
      </c>
      <c r="F35" s="201">
        <f t="shared" si="0"/>
        <v>86.872146118721474</v>
      </c>
      <c r="G35" s="199">
        <f t="shared" si="27"/>
        <v>0</v>
      </c>
      <c r="H35" s="199">
        <f t="shared" si="27"/>
        <v>0</v>
      </c>
      <c r="I35" s="201">
        <f t="shared" si="5"/>
        <v>86.872146118721474</v>
      </c>
      <c r="J35" s="201">
        <f t="shared" si="2"/>
        <v>289.18</v>
      </c>
      <c r="K35" s="199">
        <f t="shared" si="28"/>
        <v>1</v>
      </c>
      <c r="L35" s="190"/>
      <c r="P35" s="240">
        <f t="shared" si="29"/>
        <v>0</v>
      </c>
    </row>
    <row r="36" spans="2:16">
      <c r="B36" s="210">
        <f t="shared" si="1"/>
        <v>2042</v>
      </c>
      <c r="C36" s="211"/>
      <c r="D36" s="199">
        <f t="shared" si="26"/>
        <v>228.5</v>
      </c>
      <c r="E36" s="199">
        <f t="shared" si="26"/>
        <v>67.040000000000006</v>
      </c>
      <c r="F36" s="201">
        <f t="shared" si="0"/>
        <v>88.782744532564294</v>
      </c>
      <c r="G36" s="199">
        <f t="shared" si="27"/>
        <v>0</v>
      </c>
      <c r="H36" s="199">
        <f t="shared" si="27"/>
        <v>0</v>
      </c>
      <c r="I36" s="201">
        <f t="shared" si="5"/>
        <v>88.782744532564294</v>
      </c>
      <c r="J36" s="201">
        <f t="shared" si="2"/>
        <v>295.54000000000002</v>
      </c>
      <c r="K36" s="199">
        <f t="shared" si="28"/>
        <v>1.02</v>
      </c>
      <c r="L36" s="190"/>
      <c r="P36" s="240">
        <f t="shared" si="29"/>
        <v>0</v>
      </c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113</v>
      </c>
      <c r="C44" s="216" t="s">
        <v>114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115</v>
      </c>
    </row>
    <row r="46" spans="2:16">
      <c r="C46" s="216" t="str">
        <f>D7</f>
        <v>(b)</v>
      </c>
      <c r="D46" s="201" t="str">
        <f>"= "&amp;C7&amp;" x "&amp;C62</f>
        <v>= (a) x 0.0706748586244695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38.0%)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ID Wind Resource - 38%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116</v>
      </c>
      <c r="D53" s="222" t="s">
        <v>117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104</v>
      </c>
      <c r="C55" s="224">
        <v>1811.0329095752811</v>
      </c>
      <c r="D55" s="188" t="s">
        <v>115</v>
      </c>
      <c r="H55" s="188" t="s">
        <v>9</v>
      </c>
    </row>
    <row r="56" spans="2:24">
      <c r="B56" s="104" t="s">
        <v>104</v>
      </c>
      <c r="C56" s="225">
        <v>37.565582271006477</v>
      </c>
      <c r="D56" s="188" t="s">
        <v>118</v>
      </c>
      <c r="H56" s="188" t="s">
        <v>9</v>
      </c>
    </row>
    <row r="57" spans="2:24">
      <c r="B57" s="104" t="s">
        <v>104</v>
      </c>
      <c r="C57" s="230">
        <v>0.57299999999999995</v>
      </c>
      <c r="D57" s="188" t="s">
        <v>123</v>
      </c>
      <c r="H57" s="188" t="s">
        <v>120</v>
      </c>
    </row>
    <row r="58" spans="2:24">
      <c r="B58" s="104" t="s">
        <v>104</v>
      </c>
      <c r="C58" s="225">
        <v>0</v>
      </c>
      <c r="D58" s="188" t="s">
        <v>119</v>
      </c>
      <c r="H58" s="188" t="s">
        <v>120</v>
      </c>
      <c r="K58" s="190"/>
      <c r="L58" s="226"/>
      <c r="M58" s="69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104</v>
      </c>
      <c r="C59" s="238"/>
      <c r="D59" s="188" t="s">
        <v>121</v>
      </c>
      <c r="H59" s="188" t="s">
        <v>120</v>
      </c>
      <c r="K59" s="228"/>
      <c r="L59" s="228"/>
      <c r="M59" s="229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4">
      <c r="C63" s="237">
        <v>0.38</v>
      </c>
      <c r="D63" s="188" t="s">
        <v>55</v>
      </c>
    </row>
    <row r="64" spans="2:24" ht="13.5" thickBot="1">
      <c r="D64" s="231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30">C66+1</f>
        <v>2018</v>
      </c>
      <c r="D67" s="57">
        <v>1.9E-2</v>
      </c>
      <c r="E67" s="104"/>
      <c r="F67" s="129">
        <f t="shared" ref="F67:F74" si="31">F66+1</f>
        <v>2027</v>
      </c>
      <c r="G67" s="57">
        <v>2.3E-2</v>
      </c>
      <c r="H67" s="104"/>
      <c r="I67" s="129">
        <f t="shared" ref="I67:I74" si="32">I66+1</f>
        <v>2036</v>
      </c>
      <c r="J67" s="129"/>
      <c r="K67" s="57">
        <v>2.3E-2</v>
      </c>
    </row>
    <row r="68" spans="3:11">
      <c r="C68" s="129">
        <f t="shared" si="30"/>
        <v>2019</v>
      </c>
      <c r="D68" s="57">
        <v>2.1999999999999999E-2</v>
      </c>
      <c r="E68" s="104"/>
      <c r="F68" s="129">
        <f t="shared" si="31"/>
        <v>2028</v>
      </c>
      <c r="G68" s="57">
        <v>2.3E-2</v>
      </c>
      <c r="H68" s="104"/>
      <c r="I68" s="129">
        <f t="shared" si="32"/>
        <v>2037</v>
      </c>
      <c r="J68" s="129"/>
      <c r="K68" s="57">
        <v>2.1999999999999999E-2</v>
      </c>
    </row>
    <row r="69" spans="3:11">
      <c r="C69" s="129">
        <f t="shared" si="30"/>
        <v>2020</v>
      </c>
      <c r="D69" s="57">
        <v>2.5999999999999999E-2</v>
      </c>
      <c r="E69" s="104"/>
      <c r="F69" s="129">
        <f t="shared" si="31"/>
        <v>2029</v>
      </c>
      <c r="G69" s="57">
        <v>2.3E-2</v>
      </c>
      <c r="H69" s="104"/>
      <c r="I69" s="129">
        <f t="shared" si="32"/>
        <v>2038</v>
      </c>
      <c r="J69" s="129"/>
      <c r="K69" s="57">
        <v>2.1999999999999999E-2</v>
      </c>
    </row>
    <row r="70" spans="3:11">
      <c r="C70" s="129">
        <f t="shared" si="30"/>
        <v>2021</v>
      </c>
      <c r="D70" s="57">
        <v>2.4E-2</v>
      </c>
      <c r="E70" s="104"/>
      <c r="F70" s="129">
        <f t="shared" si="31"/>
        <v>2030</v>
      </c>
      <c r="G70" s="57">
        <v>2.3E-2</v>
      </c>
      <c r="H70" s="104"/>
      <c r="I70" s="129">
        <f t="shared" si="32"/>
        <v>2039</v>
      </c>
      <c r="J70" s="129"/>
      <c r="K70" s="57">
        <v>2.1999999999999999E-2</v>
      </c>
    </row>
    <row r="71" spans="3:11">
      <c r="C71" s="129">
        <f t="shared" si="30"/>
        <v>2022</v>
      </c>
      <c r="D71" s="57">
        <v>2.3E-2</v>
      </c>
      <c r="E71" s="104"/>
      <c r="F71" s="129">
        <f t="shared" si="31"/>
        <v>2031</v>
      </c>
      <c r="G71" s="57">
        <v>2.3E-2</v>
      </c>
      <c r="H71" s="104"/>
      <c r="I71" s="129">
        <f t="shared" si="32"/>
        <v>2040</v>
      </c>
      <c r="J71" s="129"/>
      <c r="K71" s="57">
        <v>2.1999999999999999E-2</v>
      </c>
    </row>
    <row r="72" spans="3:11" s="190" customFormat="1">
      <c r="C72" s="129">
        <f t="shared" si="30"/>
        <v>2023</v>
      </c>
      <c r="D72" s="57">
        <v>2.3E-2</v>
      </c>
      <c r="E72" s="106"/>
      <c r="F72" s="129">
        <f t="shared" si="31"/>
        <v>2032</v>
      </c>
      <c r="G72" s="57">
        <v>2.1999999999999999E-2</v>
      </c>
      <c r="H72" s="106"/>
      <c r="I72" s="129">
        <f t="shared" si="32"/>
        <v>2041</v>
      </c>
      <c r="J72" s="129"/>
      <c r="K72" s="57">
        <v>2.1999999999999999E-2</v>
      </c>
    </row>
    <row r="73" spans="3:11" s="190" customFormat="1">
      <c r="C73" s="129">
        <f t="shared" si="30"/>
        <v>2024</v>
      </c>
      <c r="D73" s="57">
        <v>2.3E-2</v>
      </c>
      <c r="E73" s="106"/>
      <c r="F73" s="129">
        <f t="shared" si="31"/>
        <v>2033</v>
      </c>
      <c r="G73" s="57">
        <v>2.1999999999999999E-2</v>
      </c>
      <c r="H73" s="106"/>
      <c r="I73" s="129">
        <f t="shared" si="32"/>
        <v>2042</v>
      </c>
      <c r="J73" s="129"/>
      <c r="K73" s="57">
        <v>2.1999999999999999E-2</v>
      </c>
    </row>
    <row r="74" spans="3:11" s="190" customFormat="1">
      <c r="C74" s="129">
        <f t="shared" si="30"/>
        <v>2025</v>
      </c>
      <c r="D74" s="57">
        <v>2.3E-2</v>
      </c>
      <c r="E74" s="106"/>
      <c r="F74" s="129">
        <f t="shared" si="31"/>
        <v>2034</v>
      </c>
      <c r="G74" s="57">
        <v>2.3E-2</v>
      </c>
      <c r="H74" s="106"/>
      <c r="I74" s="129">
        <f t="shared" si="32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O72"/>
  <sheetViews>
    <sheetView view="pageBreakPreview" topLeftCell="A34" zoomScale="80" zoomScaleNormal="70" zoomScaleSheetLayoutView="80" workbookViewId="0">
      <selection activeCell="B56" sqref="B56"/>
    </sheetView>
  </sheetViews>
  <sheetFormatPr defaultRowHeight="12.75"/>
  <cols>
    <col min="1" max="1" width="12.5" style="4" customWidth="1"/>
    <col min="2" max="2" width="10.83203125" style="4" customWidth="1"/>
    <col min="3" max="3" width="18.83203125" style="4" customWidth="1"/>
    <col min="4" max="4" width="6.5" style="4" customWidth="1"/>
    <col min="5" max="5" width="18.83203125" style="4" customWidth="1"/>
    <col min="6" max="6" width="3.5" style="4" bestFit="1" customWidth="1"/>
    <col min="7" max="7" width="27.83203125" style="4" customWidth="1"/>
    <col min="8" max="8" width="8.33203125" style="4" bestFit="1" customWidth="1"/>
    <col min="9" max="9" width="14.1640625" style="4" customWidth="1"/>
    <col min="10" max="10" width="6.83203125" customWidth="1"/>
    <col min="11" max="11" width="16.6640625" customWidth="1"/>
    <col min="12" max="12" width="19.1640625" customWidth="1"/>
    <col min="20" max="20" width="13.1640625" customWidth="1"/>
    <col min="62" max="62" width="11" customWidth="1"/>
    <col min="65" max="65" width="17.33203125" customWidth="1"/>
    <col min="66" max="66" width="16.6640625" customWidth="1"/>
    <col min="67" max="67" width="15" customWidth="1"/>
  </cols>
  <sheetData>
    <row r="1" spans="2:66" customFormat="1" ht="15.75" hidden="1">
      <c r="B1" s="1" t="s">
        <v>52</v>
      </c>
      <c r="C1" s="3"/>
      <c r="D1" s="3"/>
      <c r="E1" s="3"/>
      <c r="F1" s="3"/>
      <c r="G1" s="12"/>
      <c r="H1" s="50"/>
      <c r="I1" s="6"/>
    </row>
    <row r="2" spans="2:66" customFormat="1" ht="5.25" customHeight="1">
      <c r="B2" s="1"/>
      <c r="C2" s="3"/>
      <c r="D2" s="3"/>
      <c r="E2" s="3"/>
      <c r="F2" s="4"/>
      <c r="G2" s="12"/>
      <c r="H2" s="50"/>
      <c r="I2" s="6"/>
    </row>
    <row r="3" spans="2:66" customFormat="1" ht="15.75">
      <c r="B3" s="1" t="s">
        <v>24</v>
      </c>
      <c r="C3" s="3"/>
      <c r="D3" s="3"/>
      <c r="E3" s="3"/>
      <c r="F3" s="3"/>
      <c r="G3" s="12"/>
      <c r="H3" s="50"/>
      <c r="I3" s="4"/>
      <c r="K3">
        <f>MATCH('Table 5'!K5,'Table 5'!$B$12:$B$264,FALSE)+ROW('Table 5'!B11)</f>
        <v>13</v>
      </c>
      <c r="BM3" s="296">
        <v>0</v>
      </c>
      <c r="BN3" t="s">
        <v>174</v>
      </c>
    </row>
    <row r="4" spans="2:66" customFormat="1" ht="15.75">
      <c r="B4" s="5" t="s">
        <v>21</v>
      </c>
      <c r="C4" s="5"/>
      <c r="D4" s="5"/>
      <c r="E4" s="5"/>
      <c r="F4" s="5"/>
      <c r="G4" s="1"/>
      <c r="H4" s="50"/>
      <c r="I4" s="4"/>
      <c r="K4">
        <f>MATCH('Table 5'!K6,'Table 5'!$B$12:$B$264,FALSE)+ROW('Table 5'!B11)</f>
        <v>252</v>
      </c>
      <c r="P4" s="258" t="s">
        <v>88</v>
      </c>
      <c r="BM4">
        <v>750</v>
      </c>
      <c r="BN4" t="s">
        <v>175</v>
      </c>
    </row>
    <row r="5" spans="2:66" customFormat="1" ht="15.75">
      <c r="B5" s="5" t="str">
        <f ca="1">'Table 5'!M4&amp; " - "&amp;TEXT(Study_MW,"#.0")&amp;" MW and "&amp;TEXT(Study_CF,"#.0%")&amp;" CF"</f>
        <v>Utah 2017.Q4 - 100.0 MW and 85.0% CF</v>
      </c>
      <c r="C5" s="5"/>
      <c r="D5" s="5"/>
      <c r="E5" s="5"/>
      <c r="F5" s="5"/>
      <c r="G5" s="1"/>
      <c r="H5" s="50"/>
      <c r="I5" s="6"/>
      <c r="P5" s="259">
        <v>0.158</v>
      </c>
      <c r="Q5" s="259">
        <v>0.158</v>
      </c>
      <c r="R5" s="259">
        <v>0.158</v>
      </c>
      <c r="S5" s="260">
        <v>1</v>
      </c>
      <c r="T5" s="260">
        <v>1</v>
      </c>
      <c r="U5" s="260">
        <v>1</v>
      </c>
      <c r="V5" s="260">
        <v>1</v>
      </c>
      <c r="W5" s="260">
        <v>1</v>
      </c>
      <c r="X5" s="259">
        <v>0.53861399146353772</v>
      </c>
      <c r="Y5" s="259">
        <v>0.59672377662708742</v>
      </c>
      <c r="BM5" s="273">
        <f>$BM$3*$BM$4</f>
        <v>0</v>
      </c>
      <c r="BN5" t="s">
        <v>172</v>
      </c>
    </row>
    <row r="6" spans="2:66" customFormat="1" ht="14.25" hidden="1">
      <c r="B6" s="24"/>
      <c r="C6" s="5"/>
      <c r="D6" s="5"/>
      <c r="E6" s="5"/>
      <c r="F6" s="5"/>
      <c r="G6" s="12"/>
      <c r="H6" s="50"/>
      <c r="I6" s="6"/>
    </row>
    <row r="7" spans="2:66" customFormat="1">
      <c r="B7" s="4"/>
      <c r="C7" s="8"/>
      <c r="D7" s="8"/>
      <c r="E7" s="4"/>
      <c r="F7" s="4"/>
      <c r="G7" s="4"/>
      <c r="H7" s="50"/>
      <c r="I7" s="66"/>
    </row>
    <row r="8" spans="2:66" customFormat="1" ht="40.5" customHeight="1">
      <c r="B8" s="4"/>
      <c r="C8" s="4"/>
      <c r="D8" s="4"/>
      <c r="E8" s="13"/>
      <c r="F8" s="53"/>
      <c r="G8" s="7" t="s">
        <v>17</v>
      </c>
      <c r="H8" s="50"/>
      <c r="I8" s="268"/>
      <c r="K8" s="171" t="s">
        <v>88</v>
      </c>
      <c r="L8" s="171"/>
      <c r="P8" s="256" t="s">
        <v>144</v>
      </c>
      <c r="AB8" s="256" t="s">
        <v>145</v>
      </c>
      <c r="AN8" s="256" t="s">
        <v>146</v>
      </c>
      <c r="AZ8" s="256" t="s">
        <v>147</v>
      </c>
      <c r="BM8" s="289" t="s">
        <v>146</v>
      </c>
      <c r="BN8" s="290" t="s">
        <v>147</v>
      </c>
    </row>
    <row r="9" spans="2:66" customFormat="1">
      <c r="B9" s="4"/>
      <c r="C9" s="7" t="s">
        <v>6</v>
      </c>
      <c r="D9" s="7"/>
      <c r="E9" s="13" t="s">
        <v>22</v>
      </c>
      <c r="F9" s="53"/>
      <c r="G9" s="69">
        <f ca="1">Study_CF</f>
        <v>0.85</v>
      </c>
      <c r="H9" s="50"/>
      <c r="I9" s="66"/>
      <c r="K9" s="172" t="s">
        <v>89</v>
      </c>
      <c r="L9" s="172" t="s">
        <v>71</v>
      </c>
      <c r="M9" s="261" t="s">
        <v>148</v>
      </c>
      <c r="P9" t="s">
        <v>140</v>
      </c>
      <c r="Q9" t="s">
        <v>135</v>
      </c>
      <c r="R9" t="s">
        <v>136</v>
      </c>
      <c r="S9" t="s">
        <v>141</v>
      </c>
      <c r="T9" t="s">
        <v>142</v>
      </c>
      <c r="U9" t="s">
        <v>143</v>
      </c>
      <c r="V9" t="s">
        <v>132</v>
      </c>
      <c r="W9" t="s">
        <v>131</v>
      </c>
      <c r="X9" t="s">
        <v>138</v>
      </c>
      <c r="Y9" t="s">
        <v>139</v>
      </c>
      <c r="AB9" t="s">
        <v>140</v>
      </c>
      <c r="AC9" t="s">
        <v>135</v>
      </c>
      <c r="AD9" t="s">
        <v>136</v>
      </c>
      <c r="AE9" t="s">
        <v>141</v>
      </c>
      <c r="AF9" t="s">
        <v>142</v>
      </c>
      <c r="AG9" t="s">
        <v>143</v>
      </c>
      <c r="AH9" t="s">
        <v>132</v>
      </c>
      <c r="AI9" t="s">
        <v>131</v>
      </c>
      <c r="AJ9" t="s">
        <v>138</v>
      </c>
      <c r="AK9" t="s">
        <v>139</v>
      </c>
      <c r="AN9" t="s">
        <v>140</v>
      </c>
      <c r="AO9" t="s">
        <v>135</v>
      </c>
      <c r="AP9" t="s">
        <v>136</v>
      </c>
      <c r="AQ9" t="s">
        <v>141</v>
      </c>
      <c r="AR9" t="s">
        <v>142</v>
      </c>
      <c r="AS9" t="s">
        <v>143</v>
      </c>
      <c r="AT9" t="s">
        <v>132</v>
      </c>
      <c r="AU9" t="s">
        <v>131</v>
      </c>
      <c r="AV9" t="s">
        <v>138</v>
      </c>
      <c r="AW9" t="s">
        <v>139</v>
      </c>
      <c r="AZ9" t="s">
        <v>140</v>
      </c>
      <c r="BA9" t="s">
        <v>135</v>
      </c>
      <c r="BB9" t="s">
        <v>136</v>
      </c>
      <c r="BC9" t="s">
        <v>141</v>
      </c>
      <c r="BD9" t="s">
        <v>142</v>
      </c>
      <c r="BE9" t="s">
        <v>143</v>
      </c>
      <c r="BF9" t="s">
        <v>132</v>
      </c>
      <c r="BG9" t="s">
        <v>131</v>
      </c>
      <c r="BH9" t="s">
        <v>138</v>
      </c>
      <c r="BI9" t="s">
        <v>139</v>
      </c>
      <c r="BJ9" t="s">
        <v>149</v>
      </c>
      <c r="BM9" t="s">
        <v>173</v>
      </c>
      <c r="BN9" t="s">
        <v>173</v>
      </c>
    </row>
    <row r="10" spans="2:66" customFormat="1">
      <c r="B10" s="7" t="s">
        <v>0</v>
      </c>
      <c r="C10" s="7" t="str">
        <f>"Price"&amp;IF(I8&lt;&gt;1," ","")</f>
        <v xml:space="preserve">Price </v>
      </c>
      <c r="D10" s="7"/>
      <c r="E10" s="13" t="s">
        <v>23</v>
      </c>
      <c r="F10" s="53"/>
      <c r="G10" s="13" t="s">
        <v>18</v>
      </c>
      <c r="H10" s="50"/>
      <c r="I10" s="131"/>
      <c r="K10" s="173"/>
      <c r="L10" s="173"/>
      <c r="M10" s="262"/>
    </row>
    <row r="11" spans="2:66" customFormat="1" ht="13.5">
      <c r="B11" s="7"/>
      <c r="C11" s="7" t="s">
        <v>20</v>
      </c>
      <c r="D11" s="7"/>
      <c r="E11" s="102" t="s">
        <v>74</v>
      </c>
      <c r="F11" s="53"/>
      <c r="G11" s="13" t="s">
        <v>39</v>
      </c>
      <c r="H11" s="50"/>
      <c r="I11" s="131"/>
      <c r="K11" s="174" t="s">
        <v>90</v>
      </c>
      <c r="L11" s="175">
        <v>0.158</v>
      </c>
      <c r="M11" s="175">
        <v>0.11776428835036618</v>
      </c>
      <c r="P11" t="s">
        <v>41</v>
      </c>
      <c r="Q11" t="s">
        <v>41</v>
      </c>
      <c r="R11" t="s">
        <v>41</v>
      </c>
      <c r="S11" t="s">
        <v>41</v>
      </c>
      <c r="T11" t="s">
        <v>41</v>
      </c>
      <c r="U11" t="s">
        <v>41</v>
      </c>
      <c r="V11" t="s">
        <v>41</v>
      </c>
      <c r="W11" t="s">
        <v>41</v>
      </c>
      <c r="X11" t="s">
        <v>41</v>
      </c>
      <c r="Y11" t="s">
        <v>41</v>
      </c>
      <c r="AB11" t="s">
        <v>41</v>
      </c>
      <c r="AC11" t="s">
        <v>41</v>
      </c>
      <c r="AD11" t="s">
        <v>41</v>
      </c>
      <c r="AE11" t="s">
        <v>41</v>
      </c>
      <c r="AF11" t="s">
        <v>41</v>
      </c>
      <c r="AG11" t="s">
        <v>41</v>
      </c>
      <c r="AH11" t="s">
        <v>41</v>
      </c>
      <c r="AI11" t="s">
        <v>41</v>
      </c>
      <c r="AJ11" t="s">
        <v>41</v>
      </c>
      <c r="AK11" t="s">
        <v>41</v>
      </c>
      <c r="AN11" t="s">
        <v>150</v>
      </c>
      <c r="AO11" t="s">
        <v>150</v>
      </c>
      <c r="AP11" t="s">
        <v>150</v>
      </c>
      <c r="AQ11" t="s">
        <v>150</v>
      </c>
      <c r="AR11" t="s">
        <v>150</v>
      </c>
      <c r="AS11" t="s">
        <v>150</v>
      </c>
      <c r="AT11" t="s">
        <v>150</v>
      </c>
      <c r="AU11" t="s">
        <v>150</v>
      </c>
      <c r="AV11" t="s">
        <v>150</v>
      </c>
      <c r="AW11" t="s">
        <v>150</v>
      </c>
      <c r="AZ11" t="s">
        <v>151</v>
      </c>
      <c r="BA11" t="s">
        <v>151</v>
      </c>
      <c r="BB11" t="s">
        <v>151</v>
      </c>
      <c r="BC11" t="s">
        <v>151</v>
      </c>
      <c r="BD11" t="s">
        <v>151</v>
      </c>
      <c r="BE11" t="s">
        <v>151</v>
      </c>
      <c r="BF11" t="s">
        <v>151</v>
      </c>
      <c r="BG11" t="s">
        <v>151</v>
      </c>
      <c r="BH11" t="s">
        <v>151</v>
      </c>
      <c r="BI11" t="s">
        <v>151</v>
      </c>
      <c r="BJ11" t="s">
        <v>151</v>
      </c>
      <c r="BM11" t="s">
        <v>150</v>
      </c>
      <c r="BN11" t="s">
        <v>151</v>
      </c>
    </row>
    <row r="12" spans="2:66" customFormat="1">
      <c r="B12" s="266"/>
      <c r="C12" s="267"/>
      <c r="D12" s="266"/>
      <c r="E12" s="13"/>
      <c r="F12" s="13"/>
      <c r="G12" s="4"/>
      <c r="H12" s="50"/>
      <c r="I12" s="131"/>
      <c r="K12" s="174" t="s">
        <v>44</v>
      </c>
      <c r="L12" s="175">
        <v>0.37912293315598289</v>
      </c>
      <c r="M12" s="175">
        <v>0.53861399146353772</v>
      </c>
    </row>
    <row r="13" spans="2:66" customFormat="1">
      <c r="B13" s="16">
        <f>'Table 5'!J13</f>
        <v>2018</v>
      </c>
      <c r="C13" s="10">
        <f t="shared" ref="C13:C33" si="0">(INDEX($BJ:$BJ,MATCH(B13,$O:$O,0),1)+INDEX($BN:$BN,MATCH(B13,$O:$O,0),1))*1000/Study_MW</f>
        <v>0</v>
      </c>
      <c r="D13" s="62"/>
      <c r="E13" s="9">
        <f ca="1">SUMIF(INDIRECT("'Table 5'!$J$"&amp;$K$3&amp;":$J$"&amp;$K$4),B13,INDIRECT("'Table 5'!$c$"&amp;$K$3&amp;":$c$"&amp;$K$4))/SUMIF(INDIRECT("'Table 5'!$J$"&amp;$K$3&amp;":$J$"&amp;$K$4),B13,INDIRECT("'Table 5'!$f$"&amp;$K$3&amp;":$f$"&amp;$K$4))</f>
        <v>19.377099803641613</v>
      </c>
      <c r="F13" s="61"/>
      <c r="G13" s="14">
        <f ca="1">SUMIF(INDIRECT("'Table 5'!$J$"&amp;$K$3&amp;":$J$"&amp;$K$4),B13,INDIRECT("'Table 5'!$e$"&amp;$K$3&amp;":$e$"&amp;$K$4))/SUMIF(INDIRECT("'Table 5'!$J$"&amp;$K$3&amp;":$J$"&amp;$K$4),B13,INDIRECT("'Table 5'!$f$"&amp;$K$3&amp;":$f$"&amp;$K$4))</f>
        <v>19.377099803641613</v>
      </c>
      <c r="H13" s="50"/>
      <c r="I13" s="273"/>
      <c r="J13" s="273"/>
      <c r="K13" s="174" t="s">
        <v>91</v>
      </c>
      <c r="L13" s="175">
        <v>0.59672377662708742</v>
      </c>
      <c r="M13" s="175">
        <v>0.64803174039612643</v>
      </c>
      <c r="O13">
        <f t="shared" ref="O13:O32" si="1">B13</f>
        <v>2018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B13">
        <f>P13/P$5</f>
        <v>0</v>
      </c>
      <c r="AC13">
        <f t="shared" ref="AC13:AK32" si="2">Q13/Q$5</f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2"/>
        <v>0</v>
      </c>
      <c r="AK13">
        <f t="shared" si="2"/>
        <v>0</v>
      </c>
      <c r="AN13">
        <f>VLOOKUP($O13,'Table 3 WY Wind 2021'!$B$10:$J$36,9,FALSE)</f>
        <v>95.09</v>
      </c>
      <c r="AO13">
        <f>VLOOKUP($O13,'Table 3 DJ Wind 2031'!$B$10:$J$36,9,FALSE)</f>
        <v>169.19</v>
      </c>
      <c r="AP13">
        <f>VLOOKUP($O13,'Table 3 ID Wind 2036'!$B$10:$J$36,9,FALSE)</f>
        <v>172.08</v>
      </c>
      <c r="AQ13">
        <f>VLOOKUP($O13,'Table 3 30 MW Geoth 2029'!$B$10:$J$36,9,FALSE)</f>
        <v>635.55999999999995</v>
      </c>
      <c r="AR13">
        <f>VLOOKUP($O13,'Table 3 200 MW (UT N) 2029)'!$B$11:$H$41,7,FALSE)</f>
        <v>108.29</v>
      </c>
      <c r="AS13">
        <f>VLOOKUP($O13,'Table 3 436MW (West M) 2030'!$B$11:$I$41,7,FALSE)</f>
        <v>161.15</v>
      </c>
      <c r="AT13">
        <f>VLOOKUP($O13,'Table 3 477 MW (Wyo) 2033'!$B$11:$I$41,7,FALSE)</f>
        <v>164.94</v>
      </c>
      <c r="AU13">
        <f>VLOOKUP($O13,'Table 3 200 MW (Wyo) 2033'!$B$11:$I$41,7,FALSE)</f>
        <v>142.28</v>
      </c>
      <c r="AV13">
        <f>VLOOKUP($O13,'Table 3 Yakima Solar 2028'!$B$10:$K$36,9,FALSE)</f>
        <v>154.06</v>
      </c>
      <c r="AW13">
        <f>VLOOKUP($O13,'Table 3 UT Solar 2031'!$B$10:$K$36,9,FALSE)</f>
        <v>159.66</v>
      </c>
      <c r="AZ13">
        <f>SUM(AB$13:AB13)*AN13/1000</f>
        <v>0</v>
      </c>
      <c r="BA13">
        <f>SUM(AC$13:AC13)*AO13/1000</f>
        <v>0</v>
      </c>
      <c r="BB13">
        <f>SUM(AD$13:AD13)*AP13/1000</f>
        <v>0</v>
      </c>
      <c r="BC13">
        <f>SUM(AE$13:AE13)*AQ13/1000</f>
        <v>0</v>
      </c>
      <c r="BD13">
        <f>SUM(AF$13:AF13)*AR13/1000</f>
        <v>0</v>
      </c>
      <c r="BE13">
        <f>SUM(AG$13:AG13)*AS13/1000</f>
        <v>0</v>
      </c>
      <c r="BF13">
        <f>SUM(AH$13:AH13)*AT13/1000</f>
        <v>0</v>
      </c>
      <c r="BG13">
        <f>SUM(AI$13:AI13)*AU13/1000</f>
        <v>0</v>
      </c>
      <c r="BH13">
        <f>SUM(AJ$13:AJ13)*AV13/1000</f>
        <v>0</v>
      </c>
      <c r="BI13">
        <f>SUM(AK$13:AK13)*AW13/1000</f>
        <v>0</v>
      </c>
      <c r="BJ13">
        <f t="shared" ref="BJ13:BJ14" si="3">SUM(AZ13:BI13)</f>
        <v>0</v>
      </c>
      <c r="BL13">
        <f>O13</f>
        <v>2018</v>
      </c>
      <c r="BM13" s="131">
        <f>IFERROR(VLOOKUP($BL13,'Table 3 TransCost D2 '!$B$10:$E$34,4,FALSE),0)</f>
        <v>0</v>
      </c>
      <c r="BN13" s="273">
        <f>$BM$5*BM13/1000</f>
        <v>0</v>
      </c>
    </row>
    <row r="14" spans="2:66" customFormat="1">
      <c r="B14" s="16">
        <f t="shared" ref="B14:B33" si="4">B13+1</f>
        <v>2019</v>
      </c>
      <c r="C14" s="10">
        <f t="shared" si="0"/>
        <v>0</v>
      </c>
      <c r="D14" s="62"/>
      <c r="E14" s="10">
        <f t="shared" ref="E14:E32" ca="1" si="5">SUMIF(INDIRECT("'Table 5'!$J$"&amp;$K$3&amp;":$J$"&amp;$K$4),B14,INDIRECT("'Table 5'!$c$"&amp;$K$3&amp;":$c$"&amp;$K$4))/SUMIF(INDIRECT("'Table 5'!$J$"&amp;$K$3&amp;":$J$"&amp;$K$4),B14,INDIRECT("'Table 5'!$f$"&amp;$K$3&amp;":$f$"&amp;$K$4))</f>
        <v>19.0360484141789</v>
      </c>
      <c r="F14" s="51"/>
      <c r="G14" s="15">
        <f ca="1">SUMIF(INDIRECT("'Table 5'!$J$"&amp;$K$3&amp;":$J$"&amp;$K$4),B14,INDIRECT("'Table 5'!$e$"&amp;$K$3&amp;":$e$"&amp;$K$4))/SUMIF(INDIRECT("'Table 5'!$J$"&amp;$K$3&amp;":$J$"&amp;$K$4),B14,INDIRECT("'Table 5'!$f$"&amp;$K$3&amp;":$f$"&amp;$K$4))</f>
        <v>19.0360484141789</v>
      </c>
      <c r="H14" s="50"/>
      <c r="I14" s="273"/>
      <c r="J14" s="273"/>
      <c r="K14" s="174" t="s">
        <v>92</v>
      </c>
      <c r="L14" s="175">
        <v>1</v>
      </c>
      <c r="M14" s="175">
        <v>1</v>
      </c>
      <c r="O14">
        <f t="shared" si="1"/>
        <v>2019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B14">
        <f t="shared" ref="AB14:AB32" si="6">P14/P$5</f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2"/>
        <v>0</v>
      </c>
      <c r="AK14">
        <f t="shared" si="2"/>
        <v>0</v>
      </c>
      <c r="AN14">
        <f>VLOOKUP($O14,'Table 3 WY Wind 2021'!$B$10:$J$36,9,FALSE)</f>
        <v>97.16</v>
      </c>
      <c r="AO14">
        <f>VLOOKUP($O14,'Table 3 DJ Wind 2031'!$B$10:$J$36,9,FALSE)</f>
        <v>172.9</v>
      </c>
      <c r="AP14">
        <f>VLOOKUP($O14,'Table 3 ID Wind 2036'!$B$10:$J$36,9,FALSE)</f>
        <v>175.87</v>
      </c>
      <c r="AQ14">
        <f>VLOOKUP($O14,'Table 3 30 MW Geoth 2029'!$B$10:$J$36,9,FALSE)</f>
        <v>649.54999999999995</v>
      </c>
      <c r="AR14">
        <f>VLOOKUP($O14,'Table 3 200 MW (UT N) 2029)'!$B$11:$H$41,7,FALSE)</f>
        <v>110.67</v>
      </c>
      <c r="AS14">
        <f>VLOOKUP($O14,'Table 3 436MW (West M) 2030'!$B$11:$I$41,7,FALSE)</f>
        <v>164.72</v>
      </c>
      <c r="AT14">
        <f>VLOOKUP($O14,'Table 3 477 MW (Wyo) 2033'!$B$11:$I$41,7,FALSE)</f>
        <v>168.58</v>
      </c>
      <c r="AU14">
        <f>VLOOKUP($O14,'Table 3 200 MW (Wyo) 2033'!$B$11:$I$41,7,FALSE)</f>
        <v>145.41</v>
      </c>
      <c r="AV14">
        <f>VLOOKUP($O14,'Table 3 Yakima Solar 2028'!$B$10:$K$36,9,FALSE)</f>
        <v>157.44999999999999</v>
      </c>
      <c r="AW14">
        <f>VLOOKUP($O14,'Table 3 UT Solar 2031'!$B$10:$K$36,9,FALSE)</f>
        <v>163.16999999999999</v>
      </c>
      <c r="AZ14">
        <f>SUM(AB$13:AB14)*AN14/1000</f>
        <v>0</v>
      </c>
      <c r="BA14">
        <f>SUM(AC$13:AC14)*AO14/1000</f>
        <v>0</v>
      </c>
      <c r="BB14">
        <f>SUM(AD$13:AD14)*AP14/1000</f>
        <v>0</v>
      </c>
      <c r="BC14">
        <f>SUM(AE$13:AE14)*AQ14/1000</f>
        <v>0</v>
      </c>
      <c r="BD14">
        <f>SUM(AF$13:AF14)*AR14/1000</f>
        <v>0</v>
      </c>
      <c r="BE14">
        <f>SUM(AG$13:AG14)*AS14/1000</f>
        <v>0</v>
      </c>
      <c r="BF14">
        <f>SUM(AH$13:AH14)*AT14/1000</f>
        <v>0</v>
      </c>
      <c r="BG14">
        <f>SUM(AI$13:AI14)*AU14/1000</f>
        <v>0</v>
      </c>
      <c r="BH14">
        <f>SUM(AJ$13:AJ14)*AV14/1000</f>
        <v>0</v>
      </c>
      <c r="BI14">
        <f>SUM(AK$13:AK14)*AW14/1000</f>
        <v>0</v>
      </c>
      <c r="BJ14">
        <f t="shared" si="3"/>
        <v>0</v>
      </c>
      <c r="BL14">
        <f t="shared" ref="BL14:BL32" si="7">O14</f>
        <v>2019</v>
      </c>
      <c r="BM14" s="131">
        <f>IFERROR(VLOOKUP($BL14,'Table 3 TransCost D2 '!$B$10:$E$34,4,FALSE),0)</f>
        <v>0</v>
      </c>
      <c r="BN14" s="273">
        <f t="shared" ref="BN14:BN33" si="8">$BM$5*BM14/1000</f>
        <v>0</v>
      </c>
    </row>
    <row r="15" spans="2:66" customFormat="1">
      <c r="B15" s="16">
        <f t="shared" si="4"/>
        <v>2020</v>
      </c>
      <c r="C15" s="10">
        <f t="shared" si="0"/>
        <v>0</v>
      </c>
      <c r="D15" s="62"/>
      <c r="E15" s="10">
        <f t="shared" ca="1" si="5"/>
        <v>16.158892978998441</v>
      </c>
      <c r="F15" s="51"/>
      <c r="G15" s="15">
        <f t="shared" ref="G15:G32" ca="1" si="9">SUMIF(INDIRECT("'Table 5'!$J$"&amp;$K$3&amp;":$J$"&amp;$K$4),B15,INDIRECT("'Table 5'!$e$"&amp;$K$3&amp;":$e$"&amp;$K$4))/SUMIF(INDIRECT("'Table 5'!$J$"&amp;$K$3&amp;":$J$"&amp;$K$4),B15,INDIRECT("'Table 5'!$f$"&amp;$K$3&amp;":$f$"&amp;$K$4))</f>
        <v>16.158892978998441</v>
      </c>
      <c r="H15" s="50"/>
      <c r="I15" s="273"/>
      <c r="J15" s="273"/>
      <c r="K15" s="174" t="s">
        <v>93</v>
      </c>
      <c r="L15" s="175">
        <v>1</v>
      </c>
      <c r="M15" s="175">
        <v>1</v>
      </c>
      <c r="O15">
        <f t="shared" si="1"/>
        <v>2020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AB15">
        <f t="shared" si="6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2"/>
        <v>0</v>
      </c>
      <c r="AK15">
        <f t="shared" si="2"/>
        <v>0</v>
      </c>
      <c r="AN15">
        <f>VLOOKUP($O15,'Table 3 WY Wind 2021'!$B$10:$J$36,9,FALSE)</f>
        <v>99.7</v>
      </c>
      <c r="AO15">
        <f>VLOOKUP($O15,'Table 3 DJ Wind 2031'!$B$10:$J$36,9,FALSE)</f>
        <v>177.41</v>
      </c>
      <c r="AP15">
        <f>VLOOKUP($O15,'Table 3 ID Wind 2036'!$B$10:$J$36,9,FALSE)</f>
        <v>180.44</v>
      </c>
      <c r="AQ15">
        <f>VLOOKUP($O15,'Table 3 30 MW Geoth 2029'!$B$10:$J$36,9,FALSE)</f>
        <v>666.47</v>
      </c>
      <c r="AR15">
        <f>VLOOKUP($O15,'Table 3 200 MW (UT N) 2029)'!$B$11:$H$41,7,FALSE)</f>
        <v>113.55</v>
      </c>
      <c r="AS15">
        <f>VLOOKUP($O15,'Table 3 436MW (West M) 2030'!$B$11:$I$41,7,FALSE)</f>
        <v>169.03</v>
      </c>
      <c r="AT15">
        <f>VLOOKUP($O15,'Table 3 477 MW (Wyo) 2033'!$B$11:$I$41,7,FALSE)</f>
        <v>172.95</v>
      </c>
      <c r="AU15">
        <f>VLOOKUP($O15,'Table 3 200 MW (Wyo) 2033'!$B$11:$I$41,7,FALSE)</f>
        <v>149.19</v>
      </c>
      <c r="AV15">
        <f>VLOOKUP($O15,'Table 3 Yakima Solar 2028'!$B$10:$K$36,9,FALSE)</f>
        <v>161.55000000000001</v>
      </c>
      <c r="AW15">
        <f>VLOOKUP($O15,'Table 3 UT Solar 2031'!$B$10:$K$36,9,FALSE)</f>
        <v>167.4</v>
      </c>
      <c r="AZ15">
        <f>SUM(AB$13:AB15)*AN15/1000</f>
        <v>0</v>
      </c>
      <c r="BA15">
        <f>SUM(AC$13:AC15)*AO15/1000</f>
        <v>0</v>
      </c>
      <c r="BB15">
        <f>SUM(AD$13:AD15)*AP15/1000</f>
        <v>0</v>
      </c>
      <c r="BC15">
        <f>SUM(AE$13:AE15)*AQ15/1000</f>
        <v>0</v>
      </c>
      <c r="BD15">
        <f>SUM(AF$13:AF15)*AR15/1000</f>
        <v>0</v>
      </c>
      <c r="BE15">
        <f>SUM(AG$13:AG15)*AS15/1000</f>
        <v>0</v>
      </c>
      <c r="BF15">
        <f>SUM(AH$13:AH15)*AT15/1000</f>
        <v>0</v>
      </c>
      <c r="BG15">
        <f>SUM(AI$13:AI15)*AU15/1000</f>
        <v>0</v>
      </c>
      <c r="BH15">
        <f>SUM(AJ$13:AJ15)*AV15/1000</f>
        <v>0</v>
      </c>
      <c r="BI15">
        <f>SUM(AK$13:AK15)*AW15/1000</f>
        <v>0</v>
      </c>
      <c r="BJ15">
        <f>SUM(AZ15:BI15)</f>
        <v>0</v>
      </c>
      <c r="BL15">
        <f t="shared" si="7"/>
        <v>2020</v>
      </c>
      <c r="BM15" s="131">
        <f>IFERROR(VLOOKUP($BL15,'Table 3 TransCost D2 '!$B$10:$E$34,4,FALSE),0)</f>
        <v>7.8933333333333335</v>
      </c>
      <c r="BN15" s="273">
        <f t="shared" si="8"/>
        <v>0</v>
      </c>
    </row>
    <row r="16" spans="2:66" customFormat="1">
      <c r="B16" s="16">
        <f t="shared" si="4"/>
        <v>2021</v>
      </c>
      <c r="C16" s="10">
        <f t="shared" si="0"/>
        <v>0</v>
      </c>
      <c r="D16" s="62"/>
      <c r="E16" s="10">
        <f t="shared" ca="1" si="5"/>
        <v>17.956914986286222</v>
      </c>
      <c r="F16" s="51"/>
      <c r="G16" s="15">
        <f t="shared" ca="1" si="9"/>
        <v>17.956914986286222</v>
      </c>
      <c r="H16" s="50"/>
      <c r="I16" s="273"/>
      <c r="J16" s="273"/>
      <c r="M16" s="178"/>
      <c r="O16">
        <f t="shared" si="1"/>
        <v>2021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B16">
        <f t="shared" si="6"/>
        <v>0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2"/>
        <v>0</v>
      </c>
      <c r="AK16">
        <f t="shared" si="2"/>
        <v>0</v>
      </c>
      <c r="AN16">
        <f>VLOOKUP($O16,'Table 3 WY Wind 2021'!$B$10:$J$36,9,FALSE)</f>
        <v>102.13</v>
      </c>
      <c r="AO16">
        <f>VLOOKUP($O16,'Table 3 DJ Wind 2031'!$B$10:$J$36,9,FALSE)</f>
        <v>181.67</v>
      </c>
      <c r="AP16">
        <f>VLOOKUP($O16,'Table 3 ID Wind 2036'!$B$10:$J$36,9,FALSE)</f>
        <v>184.77</v>
      </c>
      <c r="AQ16">
        <f>VLOOKUP($O16,'Table 3 30 MW Geoth 2029'!$B$10:$J$36,9,FALSE)</f>
        <v>682.44</v>
      </c>
      <c r="AR16">
        <f>VLOOKUP($O16,'Table 3 200 MW (UT N) 2029)'!$B$11:$H$41,7,FALSE)</f>
        <v>116.28</v>
      </c>
      <c r="AS16">
        <f>VLOOKUP($O16,'Table 3 436MW (West M) 2030'!$B$11:$I$41,7,FALSE)</f>
        <v>173.07</v>
      </c>
      <c r="AT16">
        <f>VLOOKUP($O16,'Table 3 477 MW (Wyo) 2033'!$B$11:$I$41,7,FALSE)</f>
        <v>177.11</v>
      </c>
      <c r="AU16">
        <f>VLOOKUP($O16,'Table 3 200 MW (Wyo) 2033'!$B$11:$I$41,7,FALSE)</f>
        <v>152.79</v>
      </c>
      <c r="AV16">
        <f>VLOOKUP($O16,'Table 3 Yakima Solar 2028'!$B$10:$K$36,9,FALSE)</f>
        <v>165.42</v>
      </c>
      <c r="AW16">
        <f>VLOOKUP($O16,'Table 3 UT Solar 2031'!$B$10:$K$36,9,FALSE)</f>
        <v>171.44</v>
      </c>
      <c r="AZ16">
        <f>SUM(AB$13:AB16)*AN16/1000</f>
        <v>0</v>
      </c>
      <c r="BA16">
        <f>SUM(AC$13:AC16)*AO16/1000</f>
        <v>0</v>
      </c>
      <c r="BB16">
        <f>SUM(AD$13:AD16)*AP16/1000</f>
        <v>0</v>
      </c>
      <c r="BC16">
        <f>SUM(AE$13:AE16)*AQ16/1000</f>
        <v>0</v>
      </c>
      <c r="BD16">
        <f>SUM(AF$13:AF16)*AR16/1000</f>
        <v>0</v>
      </c>
      <c r="BE16">
        <f>SUM(AG$13:AG16)*AS16/1000</f>
        <v>0</v>
      </c>
      <c r="BF16">
        <f>SUM(AH$13:AH16)*AT16/1000</f>
        <v>0</v>
      </c>
      <c r="BG16">
        <f>SUM(AI$13:AI16)*AU16/1000</f>
        <v>0</v>
      </c>
      <c r="BH16">
        <f>SUM(AJ$13:AJ16)*AV16/1000</f>
        <v>0</v>
      </c>
      <c r="BI16">
        <f>SUM(AK$13:AK16)*AW16/1000</f>
        <v>0</v>
      </c>
      <c r="BJ16">
        <f t="shared" ref="BJ16:BJ32" si="10">SUM(AZ16:BI16)</f>
        <v>0</v>
      </c>
      <c r="BL16">
        <f t="shared" si="7"/>
        <v>2021</v>
      </c>
      <c r="BM16" s="131">
        <f>IFERROR(VLOOKUP($BL16,'Table 3 TransCost D2 '!$B$10:$E$34,4,FALSE),0)</f>
        <v>48.5910167356733</v>
      </c>
      <c r="BN16" s="273">
        <f t="shared" si="8"/>
        <v>0</v>
      </c>
    </row>
    <row r="17" spans="2:66">
      <c r="B17" s="16">
        <f t="shared" si="4"/>
        <v>2022</v>
      </c>
      <c r="C17" s="10">
        <f t="shared" si="0"/>
        <v>0</v>
      </c>
      <c r="D17" s="62"/>
      <c r="E17" s="10">
        <f t="shared" ca="1" si="5"/>
        <v>19.773833958692858</v>
      </c>
      <c r="F17" s="51"/>
      <c r="G17" s="15">
        <f t="shared" ca="1" si="9"/>
        <v>19.773833958692858</v>
      </c>
      <c r="H17" s="50"/>
      <c r="I17" s="273"/>
      <c r="J17" s="273"/>
      <c r="M17" s="179"/>
      <c r="O17">
        <f t="shared" si="1"/>
        <v>2022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AB17">
        <f t="shared" si="6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2"/>
        <v>0</v>
      </c>
      <c r="AK17">
        <f t="shared" si="2"/>
        <v>0</v>
      </c>
      <c r="AN17">
        <f>VLOOKUP($O17,'Table 3 WY Wind 2021'!$B$10:$J$36,9,FALSE)</f>
        <v>104.47</v>
      </c>
      <c r="AO17">
        <f>VLOOKUP($O17,'Table 3 DJ Wind 2031'!$B$10:$J$36,9,FALSE)</f>
        <v>185.86</v>
      </c>
      <c r="AP17">
        <f>VLOOKUP($O17,'Table 3 ID Wind 2036'!$B$10:$J$36,9,FALSE)</f>
        <v>189.02</v>
      </c>
      <c r="AQ17">
        <f>VLOOKUP($O17,'Table 3 30 MW Geoth 2029'!$B$10:$J$36,9,FALSE)</f>
        <v>698.17</v>
      </c>
      <c r="AR17">
        <f>VLOOKUP($O17,'Table 3 200 MW (UT N) 2029)'!$B$11:$H$41,7,FALSE)</f>
        <v>118.95</v>
      </c>
      <c r="AS17">
        <f>VLOOKUP($O17,'Table 3 436MW (West M) 2030'!$B$11:$I$41,7,FALSE)</f>
        <v>177.04</v>
      </c>
      <c r="AT17">
        <f>VLOOKUP($O17,'Table 3 477 MW (Wyo) 2033'!$B$11:$I$41,7,FALSE)</f>
        <v>181.21</v>
      </c>
      <c r="AU17">
        <f>VLOOKUP($O17,'Table 3 200 MW (Wyo) 2033'!$B$11:$I$41,7,FALSE)</f>
        <v>156.29</v>
      </c>
      <c r="AV17">
        <f>VLOOKUP($O17,'Table 3 Yakima Solar 2028'!$B$10:$K$36,9,FALSE)</f>
        <v>169.22</v>
      </c>
      <c r="AW17">
        <f>VLOOKUP($O17,'Table 3 UT Solar 2031'!$B$10:$K$36,9,FALSE)</f>
        <v>175.39</v>
      </c>
      <c r="AZ17">
        <f>SUM(AB$13:AB17)*AN17/1000</f>
        <v>0</v>
      </c>
      <c r="BA17">
        <f>SUM(AC$13:AC17)*AO17/1000</f>
        <v>0</v>
      </c>
      <c r="BB17">
        <f>SUM(AD$13:AD17)*AP17/1000</f>
        <v>0</v>
      </c>
      <c r="BC17">
        <f>SUM(AE$13:AE17)*AQ17/1000</f>
        <v>0</v>
      </c>
      <c r="BD17">
        <f>SUM(AF$13:AF17)*AR17/1000</f>
        <v>0</v>
      </c>
      <c r="BE17">
        <f>SUM(AG$13:AG17)*AS17/1000</f>
        <v>0</v>
      </c>
      <c r="BF17">
        <f>SUM(AH$13:AH17)*AT17/1000</f>
        <v>0</v>
      </c>
      <c r="BG17">
        <f>SUM(AI$13:AI17)*AU17/1000</f>
        <v>0</v>
      </c>
      <c r="BH17">
        <f>SUM(AJ$13:AJ17)*AV17/1000</f>
        <v>0</v>
      </c>
      <c r="BI17">
        <f>SUM(AK$13:AK17)*AW17/1000</f>
        <v>0</v>
      </c>
      <c r="BJ17">
        <f t="shared" si="10"/>
        <v>0</v>
      </c>
      <c r="BL17">
        <f t="shared" si="7"/>
        <v>2022</v>
      </c>
      <c r="BM17" s="131">
        <f>IFERROR(VLOOKUP($BL17,'Table 3 TransCost D2 '!$B$10:$E$34,4,FALSE),0)</f>
        <v>49.71</v>
      </c>
      <c r="BN17" s="273">
        <f t="shared" si="8"/>
        <v>0</v>
      </c>
    </row>
    <row r="18" spans="2:66">
      <c r="B18" s="16">
        <f t="shared" si="4"/>
        <v>2023</v>
      </c>
      <c r="C18" s="10">
        <f t="shared" si="0"/>
        <v>0</v>
      </c>
      <c r="D18" s="62"/>
      <c r="E18" s="10">
        <f t="shared" ca="1" si="5"/>
        <v>20.017215140398964</v>
      </c>
      <c r="F18" s="51"/>
      <c r="G18" s="15">
        <f t="shared" ca="1" si="9"/>
        <v>20.017215140398964</v>
      </c>
      <c r="H18" s="50"/>
      <c r="I18" s="273"/>
      <c r="J18" s="273"/>
      <c r="M18" s="179"/>
      <c r="O18">
        <f t="shared" si="1"/>
        <v>2023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B18">
        <f t="shared" si="6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2"/>
        <v>0</v>
      </c>
      <c r="AK18">
        <f t="shared" si="2"/>
        <v>0</v>
      </c>
      <c r="AN18">
        <f>VLOOKUP($O18,'Table 3 WY Wind 2021'!$B$10:$J$36,9,FALSE)</f>
        <v>106.87</v>
      </c>
      <c r="AO18">
        <f>VLOOKUP($O18,'Table 3 DJ Wind 2031'!$B$10:$J$36,9,FALSE)</f>
        <v>190.14</v>
      </c>
      <c r="AP18">
        <f>VLOOKUP($O18,'Table 3 ID Wind 2036'!$B$10:$J$36,9,FALSE)</f>
        <v>193.37</v>
      </c>
      <c r="AQ18">
        <f>VLOOKUP($O18,'Table 3 30 MW Geoth 2029'!$B$10:$J$36,9,FALSE)</f>
        <v>714.22</v>
      </c>
      <c r="AR18">
        <f>VLOOKUP($O18,'Table 3 200 MW (UT N) 2029)'!$B$11:$H$41,7,FALSE)</f>
        <v>121.7</v>
      </c>
      <c r="AS18">
        <f>VLOOKUP($O18,'Table 3 436MW (West M) 2030'!$B$11:$I$41,7,FALSE)</f>
        <v>181.09</v>
      </c>
      <c r="AT18">
        <f>VLOOKUP($O18,'Table 3 477 MW (Wyo) 2033'!$B$11:$I$41,7,FALSE)</f>
        <v>185.38</v>
      </c>
      <c r="AU18">
        <f>VLOOKUP($O18,'Table 3 200 MW (Wyo) 2033'!$B$11:$I$41,7,FALSE)</f>
        <v>159.88999999999999</v>
      </c>
      <c r="AV18">
        <f>VLOOKUP($O18,'Table 3 Yakima Solar 2028'!$B$10:$K$36,9,FALSE)</f>
        <v>173.1</v>
      </c>
      <c r="AW18">
        <f>VLOOKUP($O18,'Table 3 UT Solar 2031'!$B$10:$K$36,9,FALSE)</f>
        <v>179.44</v>
      </c>
      <c r="AZ18">
        <f>SUM(AB$13:AB18)*AN18/1000</f>
        <v>0</v>
      </c>
      <c r="BA18">
        <f>SUM(AC$13:AC18)*AO18/1000</f>
        <v>0</v>
      </c>
      <c r="BB18">
        <f>SUM(AD$13:AD18)*AP18/1000</f>
        <v>0</v>
      </c>
      <c r="BC18">
        <f>SUM(AE$13:AE18)*AQ18/1000</f>
        <v>0</v>
      </c>
      <c r="BD18">
        <f>SUM(AF$13:AF18)*AR18/1000</f>
        <v>0</v>
      </c>
      <c r="BE18">
        <f>SUM(AG$13:AG18)*AS18/1000</f>
        <v>0</v>
      </c>
      <c r="BF18">
        <f>SUM(AH$13:AH18)*AT18/1000</f>
        <v>0</v>
      </c>
      <c r="BG18">
        <f>SUM(AI$13:AI18)*AU18/1000</f>
        <v>0</v>
      </c>
      <c r="BH18">
        <f>SUM(AJ$13:AJ18)*AV18/1000</f>
        <v>0</v>
      </c>
      <c r="BI18">
        <f>SUM(AK$13:AK18)*AW18/1000</f>
        <v>0</v>
      </c>
      <c r="BJ18">
        <f t="shared" si="10"/>
        <v>0</v>
      </c>
      <c r="BL18">
        <f t="shared" si="7"/>
        <v>2023</v>
      </c>
      <c r="BM18" s="131">
        <f>IFERROR(VLOOKUP($BL18,'Table 3 TransCost D2 '!$B$10:$E$34,4,FALSE),0)</f>
        <v>50.85</v>
      </c>
      <c r="BN18" s="273">
        <f t="shared" si="8"/>
        <v>0</v>
      </c>
    </row>
    <row r="19" spans="2:66">
      <c r="B19" s="16">
        <f t="shared" si="4"/>
        <v>2024</v>
      </c>
      <c r="C19" s="10">
        <f t="shared" si="0"/>
        <v>0</v>
      </c>
      <c r="D19" s="62"/>
      <c r="E19" s="10">
        <f t="shared" ca="1" si="5"/>
        <v>22.389368523755614</v>
      </c>
      <c r="F19" s="51"/>
      <c r="G19" s="15">
        <f t="shared" ca="1" si="9"/>
        <v>22.389368523755614</v>
      </c>
      <c r="H19" s="50"/>
      <c r="I19" s="273"/>
      <c r="J19" s="273"/>
      <c r="M19" s="179"/>
      <c r="O19">
        <f t="shared" si="1"/>
        <v>2024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B19">
        <f t="shared" si="6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2"/>
        <v>0</v>
      </c>
      <c r="AK19">
        <f t="shared" si="2"/>
        <v>0</v>
      </c>
      <c r="AN19">
        <f>VLOOKUP($O19,'Table 3 WY Wind 2021'!$B$10:$J$36,9,FALSE)</f>
        <v>109.33</v>
      </c>
      <c r="AO19">
        <f>VLOOKUP($O19,'Table 3 DJ Wind 2031'!$B$10:$J$36,9,FALSE)</f>
        <v>194.53</v>
      </c>
      <c r="AP19">
        <f>VLOOKUP($O19,'Table 3 ID Wind 2036'!$B$10:$J$36,9,FALSE)</f>
        <v>197.82</v>
      </c>
      <c r="AQ19">
        <f>VLOOKUP($O19,'Table 3 30 MW Geoth 2029'!$B$10:$J$36,9,FALSE)</f>
        <v>730.66</v>
      </c>
      <c r="AR19">
        <f>VLOOKUP($O19,'Table 3 200 MW (UT N) 2029)'!$B$11:$H$41,7,FALSE)</f>
        <v>124.49</v>
      </c>
      <c r="AS19">
        <f>VLOOKUP($O19,'Table 3 436MW (West M) 2030'!$B$11:$I$41,7,FALSE)</f>
        <v>185.23</v>
      </c>
      <c r="AT19">
        <f>VLOOKUP($O19,'Table 3 477 MW (Wyo) 2033'!$B$11:$I$41,7,FALSE)</f>
        <v>189.65</v>
      </c>
      <c r="AU19">
        <f>VLOOKUP($O19,'Table 3 200 MW (Wyo) 2033'!$B$11:$I$41,7,FALSE)</f>
        <v>163.57</v>
      </c>
      <c r="AV19">
        <f>VLOOKUP($O19,'Table 3 Yakima Solar 2028'!$B$10:$K$36,9,FALSE)</f>
        <v>177.08</v>
      </c>
      <c r="AW19">
        <f>VLOOKUP($O19,'Table 3 UT Solar 2031'!$B$10:$K$36,9,FALSE)</f>
        <v>183.56</v>
      </c>
      <c r="AZ19">
        <f>SUM(AB$13:AB19)*AN19/1000</f>
        <v>0</v>
      </c>
      <c r="BA19">
        <f>SUM(AC$13:AC19)*AO19/1000</f>
        <v>0</v>
      </c>
      <c r="BB19">
        <f>SUM(AD$13:AD19)*AP19/1000</f>
        <v>0</v>
      </c>
      <c r="BC19">
        <f>SUM(AE$13:AE19)*AQ19/1000</f>
        <v>0</v>
      </c>
      <c r="BD19">
        <f>SUM(AF$13:AF19)*AR19/1000</f>
        <v>0</v>
      </c>
      <c r="BE19">
        <f>SUM(AG$13:AG19)*AS19/1000</f>
        <v>0</v>
      </c>
      <c r="BF19">
        <f>SUM(AH$13:AH19)*AT19/1000</f>
        <v>0</v>
      </c>
      <c r="BG19">
        <f>SUM(AI$13:AI19)*AU19/1000</f>
        <v>0</v>
      </c>
      <c r="BH19">
        <f>SUM(AJ$13:AJ19)*AV19/1000</f>
        <v>0</v>
      </c>
      <c r="BI19">
        <f>SUM(AK$13:AK19)*AW19/1000</f>
        <v>0</v>
      </c>
      <c r="BJ19">
        <f t="shared" si="10"/>
        <v>0</v>
      </c>
      <c r="BL19">
        <f t="shared" si="7"/>
        <v>2024</v>
      </c>
      <c r="BM19" s="131">
        <f>IFERROR(VLOOKUP($BL19,'Table 3 TransCost D2 '!$B$10:$E$34,4,FALSE),0)</f>
        <v>52.02</v>
      </c>
      <c r="BN19" s="273">
        <f t="shared" si="8"/>
        <v>0</v>
      </c>
    </row>
    <row r="20" spans="2:66">
      <c r="B20" s="16">
        <f t="shared" si="4"/>
        <v>2025</v>
      </c>
      <c r="C20" s="10">
        <f t="shared" si="0"/>
        <v>0</v>
      </c>
      <c r="D20" s="62"/>
      <c r="E20" s="10">
        <f t="shared" ca="1" si="5"/>
        <v>25.489860483672597</v>
      </c>
      <c r="F20" s="51"/>
      <c r="G20" s="15">
        <f t="shared" ca="1" si="9"/>
        <v>25.489860483672597</v>
      </c>
      <c r="H20" s="50"/>
      <c r="I20" s="273"/>
      <c r="J20" s="273"/>
      <c r="M20" s="179"/>
      <c r="O20">
        <f t="shared" si="1"/>
        <v>2025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B20">
        <f t="shared" si="6"/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2"/>
        <v>0</v>
      </c>
      <c r="AK20">
        <f t="shared" si="2"/>
        <v>0</v>
      </c>
      <c r="AN20">
        <f>VLOOKUP($O20,'Table 3 WY Wind 2021'!$B$10:$J$36,9,FALSE)</f>
        <v>111.85</v>
      </c>
      <c r="AO20">
        <f>VLOOKUP($O20,'Table 3 DJ Wind 2031'!$B$10:$J$36,9,FALSE)</f>
        <v>199</v>
      </c>
      <c r="AP20">
        <f>VLOOKUP($O20,'Table 3 ID Wind 2036'!$B$10:$J$36,9,FALSE)</f>
        <v>202.37</v>
      </c>
      <c r="AQ20">
        <f>VLOOKUP($O20,'Table 3 30 MW Geoth 2029'!$B$10:$J$36,9,FALSE)</f>
        <v>747.5</v>
      </c>
      <c r="AR20">
        <f>VLOOKUP($O20,'Table 3 200 MW (UT N) 2029)'!$B$11:$H$41,7,FALSE)</f>
        <v>127.35</v>
      </c>
      <c r="AS20">
        <f>VLOOKUP($O20,'Table 3 436MW (West M) 2030'!$B$11:$I$41,7,FALSE)</f>
        <v>189.52</v>
      </c>
      <c r="AT20">
        <f>VLOOKUP($O20,'Table 3 477 MW (Wyo) 2033'!$B$11:$I$41,7,FALSE)</f>
        <v>194</v>
      </c>
      <c r="AU20">
        <f>VLOOKUP($O20,'Table 3 200 MW (Wyo) 2033'!$B$11:$I$41,7,FALSE)</f>
        <v>167.33</v>
      </c>
      <c r="AV20">
        <f>VLOOKUP($O20,'Table 3 Yakima Solar 2028'!$B$10:$K$36,9,FALSE)</f>
        <v>181.15</v>
      </c>
      <c r="AW20">
        <f>VLOOKUP($O20,'Table 3 UT Solar 2031'!$B$10:$K$36,9,FALSE)</f>
        <v>187.77</v>
      </c>
      <c r="AZ20">
        <f>SUM(AB$13:AB20)*AN20/1000</f>
        <v>0</v>
      </c>
      <c r="BA20">
        <f>SUM(AC$13:AC20)*AO20/1000</f>
        <v>0</v>
      </c>
      <c r="BB20">
        <f>SUM(AD$13:AD20)*AP20/1000</f>
        <v>0</v>
      </c>
      <c r="BC20">
        <f>SUM(AE$13:AE20)*AQ20/1000</f>
        <v>0</v>
      </c>
      <c r="BD20">
        <f>SUM(AF$13:AF20)*AR20/1000</f>
        <v>0</v>
      </c>
      <c r="BE20">
        <f>SUM(AG$13:AG20)*AS20/1000</f>
        <v>0</v>
      </c>
      <c r="BF20">
        <f>SUM(AH$13:AH20)*AT20/1000</f>
        <v>0</v>
      </c>
      <c r="BG20">
        <f>SUM(AI$13:AI20)*AU20/1000</f>
        <v>0</v>
      </c>
      <c r="BH20">
        <f>SUM(AJ$13:AJ20)*AV20/1000</f>
        <v>0</v>
      </c>
      <c r="BI20">
        <f>SUM(AK$13:AK20)*AW20/1000</f>
        <v>0</v>
      </c>
      <c r="BJ20">
        <f t="shared" si="10"/>
        <v>0</v>
      </c>
      <c r="BL20">
        <f t="shared" si="7"/>
        <v>2025</v>
      </c>
      <c r="BM20" s="131">
        <f>IFERROR(VLOOKUP($BL20,'Table 3 TransCost D2 '!$B$10:$E$34,4,FALSE),0)</f>
        <v>53.22</v>
      </c>
      <c r="BN20" s="273">
        <f t="shared" si="8"/>
        <v>0</v>
      </c>
    </row>
    <row r="21" spans="2:66">
      <c r="B21" s="16">
        <f t="shared" si="4"/>
        <v>2026</v>
      </c>
      <c r="C21" s="10">
        <f t="shared" si="0"/>
        <v>0</v>
      </c>
      <c r="D21" s="62"/>
      <c r="E21" s="10">
        <f t="shared" ca="1" si="5"/>
        <v>25.696584595204072</v>
      </c>
      <c r="F21" s="51"/>
      <c r="G21" s="15">
        <f t="shared" ca="1" si="9"/>
        <v>25.696584595204072</v>
      </c>
      <c r="H21" s="50"/>
      <c r="I21" s="273"/>
      <c r="J21" s="273"/>
      <c r="M21" s="179"/>
      <c r="O21">
        <f t="shared" si="1"/>
        <v>2026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AB21">
        <f t="shared" si="6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J21">
        <f t="shared" si="2"/>
        <v>0</v>
      </c>
      <c r="AK21">
        <f t="shared" si="2"/>
        <v>0</v>
      </c>
      <c r="AN21">
        <f>VLOOKUP($O21,'Table 3 WY Wind 2021'!$B$10:$J$36,9,FALSE)</f>
        <v>114.42</v>
      </c>
      <c r="AO21">
        <f>VLOOKUP($O21,'Table 3 DJ Wind 2031'!$B$10:$J$36,9,FALSE)</f>
        <v>203.59</v>
      </c>
      <c r="AP21">
        <f>VLOOKUP($O21,'Table 3 ID Wind 2036'!$B$10:$J$36,9,FALSE)</f>
        <v>207.03</v>
      </c>
      <c r="AQ21">
        <f>VLOOKUP($O21,'Table 3 30 MW Geoth 2029'!$B$10:$J$36,9,FALSE)</f>
        <v>764.66</v>
      </c>
      <c r="AR21">
        <f>VLOOKUP($O21,'Table 3 200 MW (UT N) 2029)'!$B$11:$H$41,7,FALSE)</f>
        <v>130.27000000000001</v>
      </c>
      <c r="AS21">
        <f>VLOOKUP($O21,'Table 3 436MW (West M) 2030'!$B$11:$I$41,7,FALSE)</f>
        <v>193.9</v>
      </c>
      <c r="AT21">
        <f>VLOOKUP($O21,'Table 3 477 MW (Wyo) 2033'!$B$11:$I$41,7,FALSE)</f>
        <v>198.45</v>
      </c>
      <c r="AU21">
        <f>VLOOKUP($O21,'Table 3 200 MW (Wyo) 2033'!$B$11:$I$41,7,FALSE)</f>
        <v>171.18</v>
      </c>
      <c r="AV21">
        <f>VLOOKUP($O21,'Table 3 Yakima Solar 2028'!$B$10:$K$36,9,FALSE)</f>
        <v>185.33</v>
      </c>
      <c r="AW21">
        <f>VLOOKUP($O21,'Table 3 UT Solar 2031'!$B$10:$K$36,9,FALSE)</f>
        <v>192.08</v>
      </c>
      <c r="AZ21">
        <f>SUM(AB$13:AB21)*AN21/1000</f>
        <v>0</v>
      </c>
      <c r="BA21">
        <f>SUM(AC$13:AC21)*AO21/1000</f>
        <v>0</v>
      </c>
      <c r="BB21">
        <f>SUM(AD$13:AD21)*AP21/1000</f>
        <v>0</v>
      </c>
      <c r="BC21">
        <f>SUM(AE$13:AE21)*AQ21/1000</f>
        <v>0</v>
      </c>
      <c r="BD21">
        <f>SUM(AF$13:AF21)*AR21/1000</f>
        <v>0</v>
      </c>
      <c r="BE21">
        <f>SUM(AG$13:AG21)*AS21/1000</f>
        <v>0</v>
      </c>
      <c r="BF21">
        <f>SUM(AH$13:AH21)*AT21/1000</f>
        <v>0</v>
      </c>
      <c r="BG21">
        <f>SUM(AI$13:AI21)*AU21/1000</f>
        <v>0</v>
      </c>
      <c r="BH21">
        <f>SUM(AJ$13:AJ21)*AV21/1000</f>
        <v>0</v>
      </c>
      <c r="BI21">
        <f>SUM(AK$13:AK21)*AW21/1000</f>
        <v>0</v>
      </c>
      <c r="BJ21">
        <f t="shared" si="10"/>
        <v>0</v>
      </c>
      <c r="BL21">
        <f t="shared" si="7"/>
        <v>2026</v>
      </c>
      <c r="BM21" s="131">
        <f>IFERROR(VLOOKUP($BL21,'Table 3 TransCost D2 '!$B$10:$E$34,4,FALSE),0)</f>
        <v>54.44</v>
      </c>
      <c r="BN21" s="273">
        <f t="shared" si="8"/>
        <v>0</v>
      </c>
    </row>
    <row r="22" spans="2:66">
      <c r="B22" s="16">
        <f t="shared" si="4"/>
        <v>2027</v>
      </c>
      <c r="C22" s="10">
        <f t="shared" si="0"/>
        <v>0</v>
      </c>
      <c r="D22" s="62"/>
      <c r="E22" s="10">
        <f t="shared" ca="1" si="5"/>
        <v>26.611859374009423</v>
      </c>
      <c r="F22" s="51"/>
      <c r="G22" s="15">
        <f t="shared" ca="1" si="9"/>
        <v>26.611859374009423</v>
      </c>
      <c r="H22" s="50"/>
      <c r="I22" s="273"/>
      <c r="J22" s="273"/>
      <c r="M22" s="179"/>
      <c r="O22">
        <f t="shared" si="1"/>
        <v>2027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B22">
        <f t="shared" si="6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si="2"/>
        <v>0</v>
      </c>
      <c r="AJ22">
        <f t="shared" si="2"/>
        <v>0</v>
      </c>
      <c r="AK22">
        <f t="shared" si="2"/>
        <v>0</v>
      </c>
      <c r="AN22">
        <f>VLOOKUP($O22,'Table 3 WY Wind 2021'!$B$10:$J$36,9,FALSE)</f>
        <v>117.07</v>
      </c>
      <c r="AO22">
        <f>VLOOKUP($O22,'Table 3 DJ Wind 2031'!$B$10:$J$36,9,FALSE)</f>
        <v>208.27</v>
      </c>
      <c r="AP22">
        <f>VLOOKUP($O22,'Table 3 ID Wind 2036'!$B$10:$J$36,9,FALSE)</f>
        <v>211.79</v>
      </c>
      <c r="AQ22">
        <f>VLOOKUP($O22,'Table 3 30 MW Geoth 2029'!$B$10:$J$36,9,FALSE)</f>
        <v>782.21</v>
      </c>
      <c r="AR22">
        <f>VLOOKUP($O22,'Table 3 200 MW (UT N) 2029)'!$B$11:$H$41,7,FALSE)</f>
        <v>133.28</v>
      </c>
      <c r="AS22">
        <f>VLOOKUP($O22,'Table 3 436MW (West M) 2030'!$B$11:$I$41,7,FALSE)</f>
        <v>198.37</v>
      </c>
      <c r="AT22">
        <f>VLOOKUP($O22,'Table 3 477 MW (Wyo) 2033'!$B$11:$I$41,7,FALSE)</f>
        <v>202.99</v>
      </c>
      <c r="AU22">
        <f>VLOOKUP($O22,'Table 3 200 MW (Wyo) 2033'!$B$11:$I$41,7,FALSE)</f>
        <v>175.13</v>
      </c>
      <c r="AV22">
        <f>VLOOKUP($O22,'Table 3 Yakima Solar 2028'!$B$10:$K$36,9,FALSE)</f>
        <v>189.58</v>
      </c>
      <c r="AW22">
        <f>VLOOKUP($O22,'Table 3 UT Solar 2031'!$B$10:$K$36,9,FALSE)</f>
        <v>196.5</v>
      </c>
      <c r="AZ22">
        <f>SUM(AB$13:AB22)*AN22/1000</f>
        <v>0</v>
      </c>
      <c r="BA22">
        <f>SUM(AC$13:AC22)*AO22/1000</f>
        <v>0</v>
      </c>
      <c r="BB22">
        <f>SUM(AD$13:AD22)*AP22/1000</f>
        <v>0</v>
      </c>
      <c r="BC22">
        <f>SUM(AE$13:AE22)*AQ22/1000</f>
        <v>0</v>
      </c>
      <c r="BD22">
        <f>SUM(AF$13:AF22)*AR22/1000</f>
        <v>0</v>
      </c>
      <c r="BE22">
        <f>SUM(AG$13:AG22)*AS22/1000</f>
        <v>0</v>
      </c>
      <c r="BF22">
        <f>SUM(AH$13:AH22)*AT22/1000</f>
        <v>0</v>
      </c>
      <c r="BG22">
        <f>SUM(AI$13:AI22)*AU22/1000</f>
        <v>0</v>
      </c>
      <c r="BH22">
        <f>SUM(AJ$13:AJ22)*AV22/1000</f>
        <v>0</v>
      </c>
      <c r="BI22">
        <f>SUM(AK$13:AK22)*AW22/1000</f>
        <v>0</v>
      </c>
      <c r="BJ22">
        <f t="shared" si="10"/>
        <v>0</v>
      </c>
      <c r="BL22">
        <f t="shared" si="7"/>
        <v>2027</v>
      </c>
      <c r="BM22" s="131">
        <f>IFERROR(VLOOKUP($BL22,'Table 3 TransCost D2 '!$B$10:$E$34,4,FALSE),0)</f>
        <v>55.69</v>
      </c>
      <c r="BN22" s="273">
        <f t="shared" si="8"/>
        <v>0</v>
      </c>
    </row>
    <row r="23" spans="2:66">
      <c r="B23" s="16">
        <f t="shared" si="4"/>
        <v>2028</v>
      </c>
      <c r="C23" s="10">
        <f t="shared" si="0"/>
        <v>0</v>
      </c>
      <c r="D23" s="62"/>
      <c r="E23" s="10">
        <f t="shared" ca="1" si="5"/>
        <v>29.553824798112419</v>
      </c>
      <c r="F23" s="51"/>
      <c r="G23" s="15">
        <f t="shared" ca="1" si="9"/>
        <v>29.553824798112419</v>
      </c>
      <c r="H23" s="50"/>
      <c r="I23" s="273"/>
      <c r="J23" s="273"/>
      <c r="M23" s="179"/>
      <c r="O23">
        <f t="shared" si="1"/>
        <v>2028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AB23">
        <f t="shared" si="6"/>
        <v>0</v>
      </c>
      <c r="AC23">
        <f t="shared" si="2"/>
        <v>0</v>
      </c>
      <c r="AD23">
        <f t="shared" si="2"/>
        <v>0</v>
      </c>
      <c r="AE23">
        <f t="shared" si="2"/>
        <v>0</v>
      </c>
      <c r="AF23">
        <f t="shared" si="2"/>
        <v>0</v>
      </c>
      <c r="AG23">
        <f t="shared" si="2"/>
        <v>0</v>
      </c>
      <c r="AH23">
        <f t="shared" si="2"/>
        <v>0</v>
      </c>
      <c r="AI23">
        <f t="shared" si="2"/>
        <v>0</v>
      </c>
      <c r="AJ23">
        <f t="shared" si="2"/>
        <v>0</v>
      </c>
      <c r="AK23">
        <f t="shared" si="2"/>
        <v>0</v>
      </c>
      <c r="AN23">
        <f>VLOOKUP($O23,'Table 3 WY Wind 2021'!$B$10:$J$36,9,FALSE)</f>
        <v>119.77</v>
      </c>
      <c r="AO23">
        <f>VLOOKUP($O23,'Table 3 DJ Wind 2031'!$B$10:$J$36,9,FALSE)</f>
        <v>213.07</v>
      </c>
      <c r="AP23">
        <f>VLOOKUP($O23,'Table 3 ID Wind 2036'!$B$10:$J$36,9,FALSE)</f>
        <v>216.67</v>
      </c>
      <c r="AQ23">
        <f>VLOOKUP($O23,'Table 3 30 MW Geoth 2029'!$B$10:$J$36,9,FALSE)</f>
        <v>800.24</v>
      </c>
      <c r="AR23">
        <f>VLOOKUP($O23,'Table 3 200 MW (UT N) 2029)'!$B$11:$H$41,7,FALSE)</f>
        <v>136.33000000000001</v>
      </c>
      <c r="AS23">
        <f>VLOOKUP($O23,'Table 3 436MW (West M) 2030'!$B$11:$I$41,7,FALSE)</f>
        <v>202.94</v>
      </c>
      <c r="AT23">
        <f>VLOOKUP($O23,'Table 3 477 MW (Wyo) 2033'!$B$11:$I$41,7,FALSE)</f>
        <v>207.69</v>
      </c>
      <c r="AU23">
        <f>VLOOKUP($O23,'Table 3 200 MW (Wyo) 2033'!$B$11:$I$41,7,FALSE)</f>
        <v>179.15</v>
      </c>
      <c r="AV23">
        <f>VLOOKUP($O23,'Table 3 Yakima Solar 2028'!$B$10:$K$36,9,FALSE)</f>
        <v>193.94</v>
      </c>
      <c r="AW23">
        <f>VLOOKUP($O23,'Table 3 UT Solar 2031'!$B$10:$K$36,9,FALSE)</f>
        <v>201.02</v>
      </c>
      <c r="AZ23">
        <f>SUM(AB$13:AB23)*AN23/1000</f>
        <v>0</v>
      </c>
      <c r="BA23">
        <f>SUM(AC$13:AC23)*AO23/1000</f>
        <v>0</v>
      </c>
      <c r="BB23">
        <f>SUM(AD$13:AD23)*AP23/1000</f>
        <v>0</v>
      </c>
      <c r="BC23">
        <f>SUM(AE$13:AE23)*AQ23/1000</f>
        <v>0</v>
      </c>
      <c r="BD23">
        <f>SUM(AF$13:AF23)*AR23/1000</f>
        <v>0</v>
      </c>
      <c r="BE23">
        <f>SUM(AG$13:AG23)*AS23/1000</f>
        <v>0</v>
      </c>
      <c r="BF23">
        <f>SUM(AH$13:AH23)*AT23/1000</f>
        <v>0</v>
      </c>
      <c r="BG23">
        <f>SUM(AI$13:AI23)*AU23/1000</f>
        <v>0</v>
      </c>
      <c r="BH23">
        <f>SUM(AJ$13:AJ23)*AV23/1000</f>
        <v>0</v>
      </c>
      <c r="BI23">
        <f>SUM(AK$13:AK23)*AW23/1000</f>
        <v>0</v>
      </c>
      <c r="BJ23">
        <f t="shared" si="10"/>
        <v>0</v>
      </c>
      <c r="BL23">
        <f t="shared" si="7"/>
        <v>2028</v>
      </c>
      <c r="BM23" s="131">
        <f>IFERROR(VLOOKUP($BL23,'Table 3 TransCost D2 '!$B$10:$E$34,4,FALSE),0)</f>
        <v>56.97</v>
      </c>
      <c r="BN23" s="273">
        <f t="shared" si="8"/>
        <v>0</v>
      </c>
    </row>
    <row r="24" spans="2:66">
      <c r="B24" s="16">
        <f t="shared" si="4"/>
        <v>2029</v>
      </c>
      <c r="C24" s="10">
        <f t="shared" si="0"/>
        <v>0</v>
      </c>
      <c r="D24" s="62"/>
      <c r="E24" s="10">
        <f t="shared" ca="1" si="5"/>
        <v>32.508635489325002</v>
      </c>
      <c r="F24" s="51"/>
      <c r="G24" s="15">
        <f t="shared" ca="1" si="9"/>
        <v>32.508635489325002</v>
      </c>
      <c r="H24" s="50"/>
      <c r="I24" s="273"/>
      <c r="J24" s="273"/>
      <c r="M24" s="179"/>
      <c r="O24">
        <f t="shared" si="1"/>
        <v>2029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AB24">
        <f t="shared" si="6"/>
        <v>0</v>
      </c>
      <c r="AC24">
        <f t="shared" si="2"/>
        <v>0</v>
      </c>
      <c r="AD24">
        <f t="shared" si="2"/>
        <v>0</v>
      </c>
      <c r="AE24">
        <f t="shared" si="2"/>
        <v>0</v>
      </c>
      <c r="AF24">
        <f t="shared" si="2"/>
        <v>0</v>
      </c>
      <c r="AG24">
        <f t="shared" si="2"/>
        <v>0</v>
      </c>
      <c r="AH24">
        <f t="shared" si="2"/>
        <v>0</v>
      </c>
      <c r="AI24">
        <f t="shared" si="2"/>
        <v>0</v>
      </c>
      <c r="AJ24">
        <f t="shared" si="2"/>
        <v>0</v>
      </c>
      <c r="AK24">
        <f t="shared" si="2"/>
        <v>0</v>
      </c>
      <c r="AN24">
        <f>VLOOKUP($O24,'Table 3 WY Wind 2021'!$B$10:$J$36,9,FALSE)</f>
        <v>122.54</v>
      </c>
      <c r="AO24">
        <f>VLOOKUP($O24,'Table 3 DJ Wind 2031'!$B$10:$J$36,9,FALSE)</f>
        <v>217.97</v>
      </c>
      <c r="AP24">
        <f>VLOOKUP($O24,'Table 3 ID Wind 2036'!$B$10:$J$36,9,FALSE)</f>
        <v>221.65</v>
      </c>
      <c r="AQ24">
        <f>VLOOKUP($O24,'Table 3 30 MW Geoth 2029'!$B$10:$J$36,9,FALSE)</f>
        <v>818.66</v>
      </c>
      <c r="AR24">
        <f>VLOOKUP($O24,'Table 3 200 MW (UT N) 2029)'!$B$11:$H$41,7,FALSE)</f>
        <v>139.47999999999999</v>
      </c>
      <c r="AS24">
        <f>VLOOKUP($O24,'Table 3 436MW (West M) 2030'!$B$11:$I$41,7,FALSE)</f>
        <v>207.61</v>
      </c>
      <c r="AT24">
        <f>VLOOKUP($O24,'Table 3 477 MW (Wyo) 2033'!$B$11:$I$41,7,FALSE)</f>
        <v>212.5</v>
      </c>
      <c r="AU24">
        <f>VLOOKUP($O24,'Table 3 200 MW (Wyo) 2033'!$B$11:$I$41,7,FALSE)</f>
        <v>183.29</v>
      </c>
      <c r="AV24">
        <f>VLOOKUP($O24,'Table 3 Yakima Solar 2028'!$B$10:$K$36,9,FALSE)</f>
        <v>198.39</v>
      </c>
      <c r="AW24">
        <f>VLOOKUP($O24,'Table 3 UT Solar 2031'!$B$10:$K$36,9,FALSE)</f>
        <v>205.65</v>
      </c>
      <c r="AZ24">
        <f>SUM(AB$13:AB24)*AN24/1000</f>
        <v>0</v>
      </c>
      <c r="BA24">
        <f>SUM(AC$13:AC24)*AO24/1000</f>
        <v>0</v>
      </c>
      <c r="BB24">
        <f>SUM(AD$13:AD24)*AP24/1000</f>
        <v>0</v>
      </c>
      <c r="BC24">
        <f>SUM(AE$13:AE24)*AQ24/1000</f>
        <v>0</v>
      </c>
      <c r="BD24">
        <f>SUM(AF$13:AF24)*AR24/1000</f>
        <v>0</v>
      </c>
      <c r="BE24">
        <f>SUM(AG$13:AG24)*AS24/1000</f>
        <v>0</v>
      </c>
      <c r="BF24">
        <f>SUM(AH$13:AH24)*AT24/1000</f>
        <v>0</v>
      </c>
      <c r="BG24">
        <f>SUM(AI$13:AI24)*AU24/1000</f>
        <v>0</v>
      </c>
      <c r="BH24">
        <f>SUM(AJ$13:AJ24)*AV24/1000</f>
        <v>0</v>
      </c>
      <c r="BI24">
        <f>SUM(AK$13:AK24)*AW24/1000</f>
        <v>0</v>
      </c>
      <c r="BJ24">
        <f t="shared" si="10"/>
        <v>0</v>
      </c>
      <c r="BL24">
        <f t="shared" si="7"/>
        <v>2029</v>
      </c>
      <c r="BM24" s="131">
        <f>IFERROR(VLOOKUP($BL24,'Table 3 TransCost D2 '!$B$10:$E$34,4,FALSE),0)</f>
        <v>58.28</v>
      </c>
      <c r="BN24" s="273">
        <f t="shared" si="8"/>
        <v>0</v>
      </c>
    </row>
    <row r="25" spans="2:66">
      <c r="B25" s="16">
        <f t="shared" si="4"/>
        <v>2030</v>
      </c>
      <c r="C25" s="10">
        <f t="shared" si="0"/>
        <v>0</v>
      </c>
      <c r="D25" s="62"/>
      <c r="E25" s="10">
        <f t="shared" ca="1" si="5"/>
        <v>35.740782708733668</v>
      </c>
      <c r="F25" s="51"/>
      <c r="G25" s="15">
        <f t="shared" ca="1" si="9"/>
        <v>35.740782708733668</v>
      </c>
      <c r="H25" s="50"/>
      <c r="I25" s="273"/>
      <c r="J25" s="273"/>
      <c r="M25" s="179"/>
      <c r="O25">
        <f t="shared" si="1"/>
        <v>2030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B25">
        <f t="shared" si="6"/>
        <v>0</v>
      </c>
      <c r="AC25">
        <f t="shared" si="2"/>
        <v>0</v>
      </c>
      <c r="AD25">
        <f t="shared" si="2"/>
        <v>0</v>
      </c>
      <c r="AE25">
        <f t="shared" si="2"/>
        <v>0</v>
      </c>
      <c r="AF25">
        <f t="shared" si="2"/>
        <v>0</v>
      </c>
      <c r="AG25">
        <f t="shared" si="2"/>
        <v>0</v>
      </c>
      <c r="AH25">
        <f t="shared" si="2"/>
        <v>0</v>
      </c>
      <c r="AI25">
        <f t="shared" si="2"/>
        <v>0</v>
      </c>
      <c r="AJ25">
        <f t="shared" si="2"/>
        <v>0</v>
      </c>
      <c r="AK25">
        <f t="shared" si="2"/>
        <v>0</v>
      </c>
      <c r="AN25">
        <f>VLOOKUP($O25,'Table 3 WY Wind 2021'!$B$10:$J$36,9,FALSE)</f>
        <v>125.35</v>
      </c>
      <c r="AO25">
        <f>VLOOKUP($O25,'Table 3 DJ Wind 2031'!$B$10:$J$36,9,FALSE)</f>
        <v>222.99</v>
      </c>
      <c r="AP25">
        <f>VLOOKUP($O25,'Table 3 ID Wind 2036'!$B$10:$J$36,9,FALSE)</f>
        <v>226.75</v>
      </c>
      <c r="AQ25">
        <f>VLOOKUP($O25,'Table 3 30 MW Geoth 2029'!$B$10:$J$36,9,FALSE)</f>
        <v>837.47</v>
      </c>
      <c r="AR25">
        <f>VLOOKUP($O25,'Table 3 200 MW (UT N) 2029)'!$B$11:$H$41,7,FALSE)</f>
        <v>142.66999999999999</v>
      </c>
      <c r="AS25">
        <f>VLOOKUP($O25,'Table 3 436MW (West M) 2030'!$B$11:$I$41,7,FALSE)</f>
        <v>212.38</v>
      </c>
      <c r="AT25">
        <f>VLOOKUP($O25,'Table 3 477 MW (Wyo) 2033'!$B$11:$I$41,7,FALSE)</f>
        <v>217.4</v>
      </c>
      <c r="AU25">
        <f>VLOOKUP($O25,'Table 3 200 MW (Wyo) 2033'!$B$11:$I$41,7,FALSE)</f>
        <v>187.5</v>
      </c>
      <c r="AV25">
        <f>VLOOKUP($O25,'Table 3 Yakima Solar 2028'!$B$10:$K$36,9,FALSE)</f>
        <v>202.96</v>
      </c>
      <c r="AW25">
        <f>VLOOKUP($O25,'Table 3 UT Solar 2031'!$B$10:$K$36,9,FALSE)</f>
        <v>210.38</v>
      </c>
      <c r="AZ25">
        <f>SUM(AB$13:AB25)*AN25/1000</f>
        <v>0</v>
      </c>
      <c r="BA25">
        <f>SUM(AC$13:AC25)*AO25/1000</f>
        <v>0</v>
      </c>
      <c r="BB25">
        <f>SUM(AD$13:AD25)*AP25/1000</f>
        <v>0</v>
      </c>
      <c r="BC25">
        <f>SUM(AE$13:AE25)*AQ25/1000</f>
        <v>0</v>
      </c>
      <c r="BD25">
        <f>SUM(AF$13:AF25)*AR25/1000</f>
        <v>0</v>
      </c>
      <c r="BE25">
        <f>SUM(AG$13:AG25)*AS25/1000</f>
        <v>0</v>
      </c>
      <c r="BF25">
        <f>SUM(AH$13:AH25)*AT25/1000</f>
        <v>0</v>
      </c>
      <c r="BG25">
        <f>SUM(AI$13:AI25)*AU25/1000</f>
        <v>0</v>
      </c>
      <c r="BH25">
        <f>SUM(AJ$13:AJ25)*AV25/1000</f>
        <v>0</v>
      </c>
      <c r="BI25">
        <f>SUM(AK$13:AK25)*AW25/1000</f>
        <v>0</v>
      </c>
      <c r="BJ25">
        <f t="shared" si="10"/>
        <v>0</v>
      </c>
      <c r="BL25">
        <f t="shared" si="7"/>
        <v>2030</v>
      </c>
      <c r="BM25" s="131">
        <f>IFERROR(VLOOKUP($BL25,'Table 3 TransCost D2 '!$B$10:$E$34,4,FALSE),0)</f>
        <v>59.62</v>
      </c>
      <c r="BN25" s="273">
        <f t="shared" si="8"/>
        <v>0</v>
      </c>
    </row>
    <row r="26" spans="2:66">
      <c r="B26" s="16">
        <f t="shared" si="4"/>
        <v>2031</v>
      </c>
      <c r="C26" s="10">
        <f t="shared" si="0"/>
        <v>0</v>
      </c>
      <c r="D26" s="62"/>
      <c r="E26" s="10">
        <f t="shared" ca="1" si="5"/>
        <v>37.461325922649237</v>
      </c>
      <c r="F26" s="51"/>
      <c r="G26" s="15">
        <f t="shared" ca="1" si="9"/>
        <v>37.461325922649237</v>
      </c>
      <c r="H26" s="50"/>
      <c r="I26" s="273"/>
      <c r="J26" s="273"/>
      <c r="M26" s="179"/>
      <c r="O26">
        <f t="shared" si="1"/>
        <v>2031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B26">
        <f t="shared" si="6"/>
        <v>0</v>
      </c>
      <c r="AC26">
        <f t="shared" si="2"/>
        <v>0</v>
      </c>
      <c r="AD26">
        <f t="shared" si="2"/>
        <v>0</v>
      </c>
      <c r="AE26">
        <f t="shared" si="2"/>
        <v>0</v>
      </c>
      <c r="AF26">
        <f t="shared" si="2"/>
        <v>0</v>
      </c>
      <c r="AG26">
        <f t="shared" si="2"/>
        <v>0</v>
      </c>
      <c r="AH26">
        <f t="shared" si="2"/>
        <v>0</v>
      </c>
      <c r="AI26">
        <f t="shared" si="2"/>
        <v>0</v>
      </c>
      <c r="AJ26">
        <f t="shared" si="2"/>
        <v>0</v>
      </c>
      <c r="AK26">
        <f t="shared" si="2"/>
        <v>0</v>
      </c>
      <c r="AN26">
        <f>VLOOKUP($O26,'Table 3 WY Wind 2021'!$B$10:$J$36,9,FALSE)</f>
        <v>128.22</v>
      </c>
      <c r="AO26">
        <f>VLOOKUP($O26,'Table 3 DJ Wind 2031'!$B$10:$J$36,9,FALSE)</f>
        <v>228.12</v>
      </c>
      <c r="AP26">
        <f>VLOOKUP($O26,'Table 3 ID Wind 2036'!$B$10:$J$36,9,FALSE)</f>
        <v>231.96</v>
      </c>
      <c r="AQ26">
        <f>VLOOKUP($O26,'Table 3 30 MW Geoth 2029'!$B$10:$J$36,9,FALSE)</f>
        <v>856.76</v>
      </c>
      <c r="AR26">
        <f>VLOOKUP($O26,'Table 3 200 MW (UT N) 2029)'!$B$11:$H$41,7,FALSE)</f>
        <v>145.97</v>
      </c>
      <c r="AS26">
        <f>VLOOKUP($O26,'Table 3 436MW (West M) 2030'!$B$11:$I$41,7,FALSE)</f>
        <v>217.25</v>
      </c>
      <c r="AT26">
        <f>VLOOKUP($O26,'Table 3 477 MW (Wyo) 2033'!$B$11:$I$41,7,FALSE)</f>
        <v>222.41</v>
      </c>
      <c r="AU26">
        <f>VLOOKUP($O26,'Table 3 200 MW (Wyo) 2033'!$B$11:$I$41,7,FALSE)</f>
        <v>191.83</v>
      </c>
      <c r="AV26">
        <f>VLOOKUP($O26,'Table 3 Yakima Solar 2028'!$B$10:$K$36,9,FALSE)</f>
        <v>207.64</v>
      </c>
      <c r="AW26">
        <f>VLOOKUP($O26,'Table 3 UT Solar 2031'!$B$10:$K$36,9,FALSE)</f>
        <v>215.21</v>
      </c>
      <c r="AZ26">
        <f>SUM(AB$13:AB26)*AN26/1000</f>
        <v>0</v>
      </c>
      <c r="BA26">
        <f>SUM(AC$13:AC26)*AO26/1000</f>
        <v>0</v>
      </c>
      <c r="BB26">
        <f>SUM(AD$13:AD26)*AP26/1000</f>
        <v>0</v>
      </c>
      <c r="BC26">
        <f>SUM(AE$13:AE26)*AQ26/1000</f>
        <v>0</v>
      </c>
      <c r="BD26">
        <f>SUM(AF$13:AF26)*AR26/1000</f>
        <v>0</v>
      </c>
      <c r="BE26">
        <f>SUM(AG$13:AG26)*AS26/1000</f>
        <v>0</v>
      </c>
      <c r="BF26">
        <f>SUM(AH$13:AH26)*AT26/1000</f>
        <v>0</v>
      </c>
      <c r="BG26">
        <f>SUM(AI$13:AI26)*AU26/1000</f>
        <v>0</v>
      </c>
      <c r="BH26">
        <f>SUM(AJ$13:AJ26)*AV26/1000</f>
        <v>0</v>
      </c>
      <c r="BI26">
        <f>SUM(AK$13:AK26)*AW26/1000</f>
        <v>0</v>
      </c>
      <c r="BJ26">
        <f t="shared" si="10"/>
        <v>0</v>
      </c>
      <c r="BL26">
        <f t="shared" si="7"/>
        <v>2031</v>
      </c>
      <c r="BM26" s="131">
        <f>IFERROR(VLOOKUP($BL26,'Table 3 TransCost D2 '!$B$10:$E$34,4,FALSE),0)</f>
        <v>60.99</v>
      </c>
      <c r="BN26" s="273">
        <f t="shared" si="8"/>
        <v>0</v>
      </c>
    </row>
    <row r="27" spans="2:66">
      <c r="B27" s="16">
        <f t="shared" si="4"/>
        <v>2032</v>
      </c>
      <c r="C27" s="10">
        <f t="shared" si="0"/>
        <v>0</v>
      </c>
      <c r="D27" s="62"/>
      <c r="E27" s="10">
        <f t="shared" ca="1" si="5"/>
        <v>39.215930815619281</v>
      </c>
      <c r="F27" s="51"/>
      <c r="G27" s="15">
        <f t="shared" ca="1" si="9"/>
        <v>39.215930815619281</v>
      </c>
      <c r="H27" s="50"/>
      <c r="I27" s="273"/>
      <c r="J27" s="273"/>
      <c r="M27" s="179"/>
      <c r="O27">
        <f t="shared" si="1"/>
        <v>2032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B27">
        <f t="shared" si="6"/>
        <v>0</v>
      </c>
      <c r="AC27">
        <f t="shared" si="2"/>
        <v>0</v>
      </c>
      <c r="AD27">
        <f t="shared" si="2"/>
        <v>0</v>
      </c>
      <c r="AE27">
        <f t="shared" si="2"/>
        <v>0</v>
      </c>
      <c r="AF27">
        <f t="shared" si="2"/>
        <v>0</v>
      </c>
      <c r="AG27">
        <f t="shared" si="2"/>
        <v>0</v>
      </c>
      <c r="AH27">
        <f t="shared" si="2"/>
        <v>0</v>
      </c>
      <c r="AI27">
        <f t="shared" si="2"/>
        <v>0</v>
      </c>
      <c r="AJ27">
        <f t="shared" si="2"/>
        <v>0</v>
      </c>
      <c r="AK27">
        <f t="shared" si="2"/>
        <v>0</v>
      </c>
      <c r="AN27">
        <f>VLOOKUP($O27,'Table 3 WY Wind 2021'!$B$10:$J$36,9,FALSE)</f>
        <v>131.04</v>
      </c>
      <c r="AO27">
        <f>VLOOKUP($O27,'Table 3 DJ Wind 2031'!$B$10:$J$36,9,FALSE)</f>
        <v>233.13</v>
      </c>
      <c r="AP27">
        <f>VLOOKUP($O27,'Table 3 ID Wind 2036'!$B$10:$J$36,9,FALSE)</f>
        <v>237.07</v>
      </c>
      <c r="AQ27">
        <f>VLOOKUP($O27,'Table 3 30 MW Geoth 2029'!$B$10:$J$36,9,FALSE)</f>
        <v>875.58</v>
      </c>
      <c r="AR27">
        <f>VLOOKUP($O27,'Table 3 200 MW (UT N) 2029)'!$B$11:$H$41,7,FALSE)</f>
        <v>149.16999999999999</v>
      </c>
      <c r="AS27">
        <f>VLOOKUP($O27,'Table 3 436MW (West M) 2030'!$B$11:$I$41,7,FALSE)</f>
        <v>222.02</v>
      </c>
      <c r="AT27">
        <f>VLOOKUP($O27,'Table 3 477 MW (Wyo) 2033'!$B$11:$I$41,7,FALSE)</f>
        <v>227.31</v>
      </c>
      <c r="AU27">
        <f>VLOOKUP($O27,'Table 3 200 MW (Wyo) 2033'!$B$11:$I$41,7,FALSE)</f>
        <v>196.04</v>
      </c>
      <c r="AV27">
        <f>VLOOKUP($O27,'Table 3 Yakima Solar 2028'!$B$10:$K$36,9,FALSE)</f>
        <v>212.21</v>
      </c>
      <c r="AW27">
        <f>VLOOKUP($O27,'Table 3 UT Solar 2031'!$B$10:$K$36,9,FALSE)</f>
        <v>219.93</v>
      </c>
      <c r="AZ27">
        <f>SUM(AB$13:AB27)*AN27/1000</f>
        <v>0</v>
      </c>
      <c r="BA27">
        <f>SUM(AC$13:AC27)*AO27/1000</f>
        <v>0</v>
      </c>
      <c r="BB27">
        <f>SUM(AD$13:AD27)*AP27/1000</f>
        <v>0</v>
      </c>
      <c r="BC27">
        <f>SUM(AE$13:AE27)*AQ27/1000</f>
        <v>0</v>
      </c>
      <c r="BD27">
        <f>SUM(AF$13:AF27)*AR27/1000</f>
        <v>0</v>
      </c>
      <c r="BE27">
        <f>SUM(AG$13:AG27)*AS27/1000</f>
        <v>0</v>
      </c>
      <c r="BF27">
        <f>SUM(AH$13:AH27)*AT27/1000</f>
        <v>0</v>
      </c>
      <c r="BG27">
        <f>SUM(AI$13:AI27)*AU27/1000</f>
        <v>0</v>
      </c>
      <c r="BH27">
        <f>SUM(AJ$13:AJ27)*AV27/1000</f>
        <v>0</v>
      </c>
      <c r="BI27">
        <f>SUM(AK$13:AK27)*AW27/1000</f>
        <v>0</v>
      </c>
      <c r="BJ27">
        <f t="shared" si="10"/>
        <v>0</v>
      </c>
      <c r="BL27">
        <f t="shared" si="7"/>
        <v>2032</v>
      </c>
      <c r="BM27" s="131">
        <f>IFERROR(VLOOKUP($BL27,'Table 3 TransCost D2 '!$B$10:$E$34,4,FALSE),0)</f>
        <v>62.330000000000005</v>
      </c>
      <c r="BN27" s="273">
        <f t="shared" si="8"/>
        <v>0</v>
      </c>
    </row>
    <row r="28" spans="2:66">
      <c r="B28" s="16">
        <f t="shared" si="4"/>
        <v>2033</v>
      </c>
      <c r="C28" s="10">
        <f t="shared" si="0"/>
        <v>0</v>
      </c>
      <c r="D28" s="62"/>
      <c r="E28" s="10">
        <f t="shared" ca="1" si="5"/>
        <v>43.943221953485825</v>
      </c>
      <c r="F28" s="51"/>
      <c r="G28" s="15">
        <f t="shared" ca="1" si="9"/>
        <v>43.943221953485825</v>
      </c>
      <c r="H28" s="50"/>
      <c r="I28" s="273"/>
      <c r="J28" s="273"/>
      <c r="M28" s="179"/>
      <c r="O28">
        <f t="shared" si="1"/>
        <v>2033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B28">
        <f t="shared" si="6"/>
        <v>0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0</v>
      </c>
      <c r="AG28">
        <f t="shared" si="2"/>
        <v>0</v>
      </c>
      <c r="AH28">
        <f t="shared" si="2"/>
        <v>0</v>
      </c>
      <c r="AI28">
        <f t="shared" si="2"/>
        <v>0</v>
      </c>
      <c r="AJ28">
        <f t="shared" si="2"/>
        <v>0</v>
      </c>
      <c r="AK28">
        <f t="shared" si="2"/>
        <v>0</v>
      </c>
      <c r="AN28">
        <f>VLOOKUP($O28,'Table 3 WY Wind 2021'!$B$10:$J$36,9,FALSE)</f>
        <v>133.91</v>
      </c>
      <c r="AO28">
        <f>VLOOKUP($O28,'Table 3 DJ Wind 2031'!$B$10:$J$36,9,FALSE)</f>
        <v>238.26</v>
      </c>
      <c r="AP28">
        <f>VLOOKUP($O28,'Table 3 ID Wind 2036'!$B$10:$J$36,9,FALSE)</f>
        <v>242.28</v>
      </c>
      <c r="AQ28">
        <f>VLOOKUP($O28,'Table 3 30 MW Geoth 2029'!$B$10:$J$36,9,FALSE)</f>
        <v>894.87</v>
      </c>
      <c r="AR28">
        <f>VLOOKUP($O28,'Table 3 200 MW (UT N) 2029)'!$B$11:$H$41,7,FALSE)</f>
        <v>152.47</v>
      </c>
      <c r="AS28">
        <f>VLOOKUP($O28,'Table 3 436MW (West M) 2030'!$B$11:$I$41,7,FALSE)</f>
        <v>226.89</v>
      </c>
      <c r="AT28">
        <f>VLOOKUP($O28,'Table 3 477 MW (Wyo) 2033'!$B$11:$I$41,7,FALSE)</f>
        <v>232.32</v>
      </c>
      <c r="AU28">
        <f>VLOOKUP($O28,'Table 3 200 MW (Wyo) 2033'!$B$11:$I$41,7,FALSE)</f>
        <v>200.37</v>
      </c>
      <c r="AV28">
        <f>VLOOKUP($O28,'Table 3 Yakima Solar 2028'!$B$10:$K$36,9,FALSE)</f>
        <v>216.89</v>
      </c>
      <c r="AW28">
        <f>VLOOKUP($O28,'Table 3 UT Solar 2031'!$B$10:$K$36,9,FALSE)</f>
        <v>224.76</v>
      </c>
      <c r="AZ28">
        <f>SUM(AB$13:AB28)*AN28/1000</f>
        <v>0</v>
      </c>
      <c r="BA28">
        <f>SUM(AC$13:AC28)*AO28/1000</f>
        <v>0</v>
      </c>
      <c r="BB28">
        <f>SUM(AD$13:AD28)*AP28/1000</f>
        <v>0</v>
      </c>
      <c r="BC28">
        <f>SUM(AE$13:AE28)*AQ28/1000</f>
        <v>0</v>
      </c>
      <c r="BD28">
        <f>SUM(AF$13:AF28)*AR28/1000</f>
        <v>0</v>
      </c>
      <c r="BE28">
        <f>SUM(AG$13:AG28)*AS28/1000</f>
        <v>0</v>
      </c>
      <c r="BF28">
        <f>SUM(AH$13:AH28)*AT28/1000</f>
        <v>0</v>
      </c>
      <c r="BG28">
        <f>SUM(AI$13:AI28)*AU28/1000</f>
        <v>0</v>
      </c>
      <c r="BH28">
        <f>SUM(AJ$13:AJ28)*AV28/1000</f>
        <v>0</v>
      </c>
      <c r="BI28">
        <f>SUM(AK$13:AK28)*AW28/1000</f>
        <v>0</v>
      </c>
      <c r="BJ28">
        <f t="shared" si="10"/>
        <v>0</v>
      </c>
      <c r="BL28">
        <f t="shared" si="7"/>
        <v>2033</v>
      </c>
      <c r="BM28" s="131">
        <f>IFERROR(VLOOKUP($BL28,'Table 3 TransCost D2 '!$B$10:$E$34,4,FALSE),0)</f>
        <v>63.70000000000001</v>
      </c>
      <c r="BN28" s="273">
        <f t="shared" si="8"/>
        <v>0</v>
      </c>
    </row>
    <row r="29" spans="2:66">
      <c r="B29" s="16">
        <f t="shared" si="4"/>
        <v>2034</v>
      </c>
      <c r="C29" s="10">
        <f t="shared" si="0"/>
        <v>0</v>
      </c>
      <c r="D29" s="62"/>
      <c r="E29" s="10">
        <f t="shared" ca="1" si="5"/>
        <v>46.101487651934733</v>
      </c>
      <c r="F29" s="51"/>
      <c r="G29" s="15">
        <f t="shared" ca="1" si="9"/>
        <v>46.101487651934733</v>
      </c>
      <c r="H29" s="50"/>
      <c r="I29" s="273"/>
      <c r="J29" s="273"/>
      <c r="M29" s="179"/>
      <c r="O29">
        <f t="shared" si="1"/>
        <v>2034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B29">
        <f t="shared" si="6"/>
        <v>0</v>
      </c>
      <c r="AC29">
        <f t="shared" si="2"/>
        <v>0</v>
      </c>
      <c r="AD29">
        <f t="shared" si="2"/>
        <v>0</v>
      </c>
      <c r="AE29">
        <f t="shared" si="2"/>
        <v>0</v>
      </c>
      <c r="AF29">
        <f t="shared" si="2"/>
        <v>0</v>
      </c>
      <c r="AG29">
        <f t="shared" si="2"/>
        <v>0</v>
      </c>
      <c r="AH29">
        <f t="shared" si="2"/>
        <v>0</v>
      </c>
      <c r="AI29">
        <f t="shared" si="2"/>
        <v>0</v>
      </c>
      <c r="AJ29">
        <f t="shared" si="2"/>
        <v>0</v>
      </c>
      <c r="AK29">
        <f t="shared" si="2"/>
        <v>0</v>
      </c>
      <c r="AN29">
        <f>VLOOKUP($O29,'Table 3 WY Wind 2021'!$B$10:$J$36,9,FALSE)</f>
        <v>136.96</v>
      </c>
      <c r="AO29">
        <f>VLOOKUP($O29,'Table 3 DJ Wind 2031'!$B$10:$J$36,9,FALSE)</f>
        <v>243.72</v>
      </c>
      <c r="AP29">
        <f>VLOOKUP($O29,'Table 3 ID Wind 2036'!$B$10:$J$36,9,FALSE)</f>
        <v>247.85</v>
      </c>
      <c r="AQ29">
        <f>VLOOKUP($O29,'Table 3 30 MW Geoth 2029'!$B$10:$J$36,9,FALSE)</f>
        <v>915.42</v>
      </c>
      <c r="AR29">
        <f>VLOOKUP($O29,'Table 3 200 MW (UT N) 2029)'!$B$11:$H$41,7,FALSE)</f>
        <v>155.96</v>
      </c>
      <c r="AS29">
        <f>VLOOKUP($O29,'Table 3 436MW (West M) 2030'!$B$11:$I$41,7,FALSE)</f>
        <v>232.12</v>
      </c>
      <c r="AT29">
        <f>VLOOKUP($O29,'Table 3 477 MW (Wyo) 2033'!$B$11:$I$41,7,FALSE)</f>
        <v>237.63</v>
      </c>
      <c r="AU29">
        <f>VLOOKUP($O29,'Table 3 200 MW (Wyo) 2033'!$B$11:$I$41,7,FALSE)</f>
        <v>204.96</v>
      </c>
      <c r="AV29">
        <f>VLOOKUP($O29,'Table 3 Yakima Solar 2028'!$B$10:$K$36,9,FALSE)</f>
        <v>221.88</v>
      </c>
      <c r="AW29">
        <f>VLOOKUP($O29,'Table 3 UT Solar 2031'!$B$10:$K$36,9,FALSE)</f>
        <v>229.93</v>
      </c>
      <c r="AZ29">
        <f>SUM(AB$13:AB29)*AN29/1000</f>
        <v>0</v>
      </c>
      <c r="BA29">
        <f>SUM(AC$13:AC29)*AO29/1000</f>
        <v>0</v>
      </c>
      <c r="BB29">
        <f>SUM(AD$13:AD29)*AP29/1000</f>
        <v>0</v>
      </c>
      <c r="BC29">
        <f>SUM(AE$13:AE29)*AQ29/1000</f>
        <v>0</v>
      </c>
      <c r="BD29">
        <f>SUM(AF$13:AF29)*AR29/1000</f>
        <v>0</v>
      </c>
      <c r="BE29">
        <f>SUM(AG$13:AG29)*AS29/1000</f>
        <v>0</v>
      </c>
      <c r="BF29">
        <f>SUM(AH$13:AH29)*AT29/1000</f>
        <v>0</v>
      </c>
      <c r="BG29">
        <f>SUM(AI$13:AI29)*AU29/1000</f>
        <v>0</v>
      </c>
      <c r="BH29">
        <f>SUM(AJ$13:AJ29)*AV29/1000</f>
        <v>0</v>
      </c>
      <c r="BI29">
        <f>SUM(AK$13:AK29)*AW29/1000</f>
        <v>0</v>
      </c>
      <c r="BJ29">
        <f t="shared" si="10"/>
        <v>0</v>
      </c>
      <c r="BL29">
        <f t="shared" si="7"/>
        <v>2034</v>
      </c>
      <c r="BM29" s="131">
        <f>IFERROR(VLOOKUP($BL29,'Table 3 TransCost D2 '!$B$10:$E$34,4,FALSE),0)</f>
        <v>65.17</v>
      </c>
      <c r="BN29" s="273">
        <f t="shared" si="8"/>
        <v>0</v>
      </c>
    </row>
    <row r="30" spans="2:66">
      <c r="B30" s="16">
        <f t="shared" si="4"/>
        <v>2035</v>
      </c>
      <c r="C30" s="10">
        <f t="shared" si="0"/>
        <v>0</v>
      </c>
      <c r="D30" s="62"/>
      <c r="E30" s="10">
        <f t="shared" ca="1" si="5"/>
        <v>49.535743602204477</v>
      </c>
      <c r="F30" s="51"/>
      <c r="G30" s="15">
        <f t="shared" ca="1" si="9"/>
        <v>49.535743602204477</v>
      </c>
      <c r="H30" s="50"/>
      <c r="I30" s="273"/>
      <c r="J30" s="273"/>
      <c r="M30" s="179"/>
      <c r="O30">
        <f t="shared" si="1"/>
        <v>2035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B30">
        <f t="shared" si="6"/>
        <v>0</v>
      </c>
      <c r="AC30">
        <f t="shared" si="2"/>
        <v>0</v>
      </c>
      <c r="AD30">
        <f t="shared" si="2"/>
        <v>0</v>
      </c>
      <c r="AE30">
        <f t="shared" si="2"/>
        <v>0</v>
      </c>
      <c r="AF30">
        <f t="shared" si="2"/>
        <v>0</v>
      </c>
      <c r="AG30">
        <f t="shared" si="2"/>
        <v>0</v>
      </c>
      <c r="AH30">
        <f t="shared" si="2"/>
        <v>0</v>
      </c>
      <c r="AI30">
        <f t="shared" si="2"/>
        <v>0</v>
      </c>
      <c r="AJ30">
        <f t="shared" si="2"/>
        <v>0</v>
      </c>
      <c r="AK30">
        <f t="shared" si="2"/>
        <v>0</v>
      </c>
      <c r="AN30">
        <f>VLOOKUP($O30,'Table 3 WY Wind 2021'!$B$10:$J$36,9,FALSE)</f>
        <v>140.1</v>
      </c>
      <c r="AO30">
        <f>VLOOKUP($O30,'Table 3 DJ Wind 2031'!$B$10:$J$36,9,FALSE)</f>
        <v>249.32</v>
      </c>
      <c r="AP30">
        <f>VLOOKUP($O30,'Table 3 ID Wind 2036'!$B$10:$J$36,9,FALSE)</f>
        <v>253.55</v>
      </c>
      <c r="AQ30">
        <f>VLOOKUP($O30,'Table 3 30 MW Geoth 2029'!$B$10:$J$36,9,FALSE)</f>
        <v>936.45</v>
      </c>
      <c r="AR30">
        <f>VLOOKUP($O30,'Table 3 200 MW (UT N) 2029)'!$B$11:$H$41,7,FALSE)</f>
        <v>159.55000000000001</v>
      </c>
      <c r="AS30">
        <f>VLOOKUP($O30,'Table 3 436MW (West M) 2030'!$B$11:$I$41,7,FALSE)</f>
        <v>237.47</v>
      </c>
      <c r="AT30">
        <f>VLOOKUP($O30,'Table 3 477 MW (Wyo) 2033'!$B$11:$I$41,7,FALSE)</f>
        <v>243.13</v>
      </c>
      <c r="AU30">
        <f>VLOOKUP($O30,'Table 3 200 MW (Wyo) 2033'!$B$11:$I$41,7,FALSE)</f>
        <v>209.68</v>
      </c>
      <c r="AV30">
        <f>VLOOKUP($O30,'Table 3 Yakima Solar 2028'!$B$10:$K$36,9,FALSE)</f>
        <v>226.98</v>
      </c>
      <c r="AW30">
        <f>VLOOKUP($O30,'Table 3 UT Solar 2031'!$B$10:$K$36,9,FALSE)</f>
        <v>235.24</v>
      </c>
      <c r="AZ30">
        <f>SUM(AB$13:AB30)*AN30/1000</f>
        <v>0</v>
      </c>
      <c r="BA30">
        <f>SUM(AC$13:AC30)*AO30/1000</f>
        <v>0</v>
      </c>
      <c r="BB30">
        <f>SUM(AD$13:AD30)*AP30/1000</f>
        <v>0</v>
      </c>
      <c r="BC30">
        <f>SUM(AE$13:AE30)*AQ30/1000</f>
        <v>0</v>
      </c>
      <c r="BD30">
        <f>SUM(AF$13:AF30)*AR30/1000</f>
        <v>0</v>
      </c>
      <c r="BE30">
        <f>SUM(AG$13:AG30)*AS30/1000</f>
        <v>0</v>
      </c>
      <c r="BF30">
        <f>SUM(AH$13:AH30)*AT30/1000</f>
        <v>0</v>
      </c>
      <c r="BG30">
        <f>SUM(AI$13:AI30)*AU30/1000</f>
        <v>0</v>
      </c>
      <c r="BH30">
        <f>SUM(AJ$13:AJ30)*AV30/1000</f>
        <v>0</v>
      </c>
      <c r="BI30">
        <f>SUM(AK$13:AK30)*AW30/1000</f>
        <v>0</v>
      </c>
      <c r="BJ30">
        <f t="shared" si="10"/>
        <v>0</v>
      </c>
      <c r="BL30">
        <f t="shared" si="7"/>
        <v>2035</v>
      </c>
      <c r="BM30" s="131">
        <f>IFERROR(VLOOKUP($BL30,'Table 3 TransCost D2 '!$B$10:$E$34,4,FALSE),0)</f>
        <v>66.67</v>
      </c>
      <c r="BN30" s="273">
        <f t="shared" si="8"/>
        <v>0</v>
      </c>
    </row>
    <row r="31" spans="2:66">
      <c r="B31" s="16">
        <f t="shared" si="4"/>
        <v>2036</v>
      </c>
      <c r="C31" s="10">
        <f t="shared" si="0"/>
        <v>0</v>
      </c>
      <c r="D31" s="62"/>
      <c r="E31" s="10">
        <f t="shared" ca="1" si="5"/>
        <v>53.273779734585951</v>
      </c>
      <c r="F31" s="51"/>
      <c r="G31" s="15">
        <f t="shared" ca="1" si="9"/>
        <v>53.273779734585951</v>
      </c>
      <c r="H31" s="50"/>
      <c r="I31" s="273"/>
      <c r="J31" s="273"/>
      <c r="M31" s="179"/>
      <c r="O31">
        <f t="shared" si="1"/>
        <v>2036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B31">
        <f t="shared" si="6"/>
        <v>0</v>
      </c>
      <c r="AC31">
        <f t="shared" si="2"/>
        <v>0</v>
      </c>
      <c r="AD31">
        <f t="shared" si="2"/>
        <v>0</v>
      </c>
      <c r="AE31">
        <f t="shared" si="2"/>
        <v>0</v>
      </c>
      <c r="AF31">
        <f t="shared" si="2"/>
        <v>0</v>
      </c>
      <c r="AG31">
        <f t="shared" si="2"/>
        <v>0</v>
      </c>
      <c r="AH31">
        <f t="shared" si="2"/>
        <v>0</v>
      </c>
      <c r="AI31">
        <f t="shared" si="2"/>
        <v>0</v>
      </c>
      <c r="AJ31">
        <f t="shared" si="2"/>
        <v>0</v>
      </c>
      <c r="AK31">
        <f t="shared" si="2"/>
        <v>0</v>
      </c>
      <c r="AN31">
        <f>VLOOKUP($O31,'Table 3 WY Wind 2021'!$B$10:$J$36,9,FALSE)</f>
        <v>143.29</v>
      </c>
      <c r="AO31">
        <f>VLOOKUP($O31,'Table 3 DJ Wind 2031'!$B$10:$J$36,9,FALSE)</f>
        <v>255.03</v>
      </c>
      <c r="AP31">
        <f>VLOOKUP($O31,'Table 3 ID Wind 2036'!$B$10:$J$36,9,FALSE)</f>
        <v>259.38</v>
      </c>
      <c r="AQ31">
        <f>VLOOKUP($O31,'Table 3 30 MW Geoth 2029'!$B$10:$J$36,9,FALSE)</f>
        <v>957.96</v>
      </c>
      <c r="AR31">
        <f>VLOOKUP($O31,'Table 3 200 MW (UT N) 2029)'!$B$11:$H$41,7,FALSE)</f>
        <v>163.22999999999999</v>
      </c>
      <c r="AS31">
        <f>VLOOKUP($O31,'Table 3 436MW (West M) 2030'!$B$11:$I$41,7,FALSE)</f>
        <v>242.92</v>
      </c>
      <c r="AT31">
        <f>VLOOKUP($O31,'Table 3 477 MW (Wyo) 2033'!$B$11:$I$41,7,FALSE)</f>
        <v>248.73</v>
      </c>
      <c r="AU31">
        <f>VLOOKUP($O31,'Table 3 200 MW (Wyo) 2033'!$B$11:$I$41,7,FALSE)</f>
        <v>214.52</v>
      </c>
      <c r="AV31">
        <f>VLOOKUP($O31,'Table 3 Yakima Solar 2028'!$B$10:$K$36,9,FALSE)</f>
        <v>232.21</v>
      </c>
      <c r="AW31">
        <f>VLOOKUP($O31,'Table 3 UT Solar 2031'!$B$10:$K$36,9,FALSE)</f>
        <v>240.63</v>
      </c>
      <c r="AZ31">
        <f>SUM(AB$13:AB31)*AN31/1000</f>
        <v>0</v>
      </c>
      <c r="BA31">
        <f>SUM(AC$13:AC31)*AO31/1000</f>
        <v>0</v>
      </c>
      <c r="BB31">
        <f>SUM(AD$13:AD31)*AP31/1000</f>
        <v>0</v>
      </c>
      <c r="BC31">
        <f>SUM(AE$13:AE31)*AQ31/1000</f>
        <v>0</v>
      </c>
      <c r="BD31">
        <f>SUM(AF$13:AF31)*AR31/1000</f>
        <v>0</v>
      </c>
      <c r="BE31">
        <f>SUM(AG$13:AG31)*AS31/1000</f>
        <v>0</v>
      </c>
      <c r="BF31">
        <f>SUM(AH$13:AH31)*AT31/1000</f>
        <v>0</v>
      </c>
      <c r="BG31">
        <f>SUM(AI$13:AI31)*AU31/1000</f>
        <v>0</v>
      </c>
      <c r="BH31">
        <f>SUM(AJ$13:AJ31)*AV31/1000</f>
        <v>0</v>
      </c>
      <c r="BI31">
        <f>SUM(AK$13:AK31)*AW31/1000</f>
        <v>0</v>
      </c>
      <c r="BJ31">
        <f t="shared" si="10"/>
        <v>0</v>
      </c>
      <c r="BL31">
        <f t="shared" si="7"/>
        <v>2036</v>
      </c>
      <c r="BM31" s="131">
        <f>IFERROR(VLOOKUP($BL31,'Table 3 TransCost D2 '!$B$10:$E$34,4,FALSE),0)</f>
        <v>68.2</v>
      </c>
      <c r="BN31" s="273">
        <f t="shared" si="8"/>
        <v>0</v>
      </c>
    </row>
    <row r="32" spans="2:66">
      <c r="B32" s="16">
        <f t="shared" si="4"/>
        <v>2037</v>
      </c>
      <c r="C32" s="10">
        <f t="shared" si="0"/>
        <v>0</v>
      </c>
      <c r="D32" s="62"/>
      <c r="E32" s="10">
        <f t="shared" ca="1" si="5"/>
        <v>54.463658584088826</v>
      </c>
      <c r="F32" s="51"/>
      <c r="G32" s="15">
        <f t="shared" ca="1" si="9"/>
        <v>54.463658584088826</v>
      </c>
      <c r="H32" s="50"/>
      <c r="I32" s="273"/>
      <c r="J32" s="273"/>
      <c r="M32" s="179"/>
      <c r="O32">
        <f t="shared" si="1"/>
        <v>2037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B32">
        <f t="shared" si="6"/>
        <v>0</v>
      </c>
      <c r="AC32">
        <f t="shared" si="2"/>
        <v>0</v>
      </c>
      <c r="AD32">
        <f t="shared" si="2"/>
        <v>0</v>
      </c>
      <c r="AE32">
        <f t="shared" si="2"/>
        <v>0</v>
      </c>
      <c r="AF32">
        <f t="shared" si="2"/>
        <v>0</v>
      </c>
      <c r="AG32">
        <f t="shared" si="2"/>
        <v>0</v>
      </c>
      <c r="AH32">
        <f t="shared" si="2"/>
        <v>0</v>
      </c>
      <c r="AI32">
        <f t="shared" si="2"/>
        <v>0</v>
      </c>
      <c r="AJ32">
        <f t="shared" si="2"/>
        <v>0</v>
      </c>
      <c r="AK32">
        <f t="shared" si="2"/>
        <v>0</v>
      </c>
      <c r="AN32">
        <f>VLOOKUP($O32,'Table 3 WY Wind 2021'!$B$10:$J$36,9,FALSE)</f>
        <v>146.44</v>
      </c>
      <c r="AO32">
        <f>VLOOKUP($O32,'Table 3 DJ Wind 2031'!$B$10:$J$36,9,FALSE)</f>
        <v>260.63</v>
      </c>
      <c r="AP32">
        <f>VLOOKUP($O32,'Table 3 ID Wind 2036'!$B$10:$J$36,9,FALSE)</f>
        <v>265.08</v>
      </c>
      <c r="AQ32">
        <f>VLOOKUP($O32,'Table 3 30 MW Geoth 2029'!$B$10:$J$36,9,FALSE)</f>
        <v>979.07</v>
      </c>
      <c r="AR32">
        <f>VLOOKUP($O32,'Table 3 200 MW (UT N) 2029)'!$B$11:$H$41,7,FALSE)</f>
        <v>166.82</v>
      </c>
      <c r="AS32">
        <f>VLOOKUP($O32,'Table 3 436MW (West M) 2030'!$B$11:$I$41,7,FALSE)</f>
        <v>248.27</v>
      </c>
      <c r="AT32">
        <f>VLOOKUP($O32,'Table 3 477 MW (Wyo) 2033'!$B$11:$I$41,7,FALSE)</f>
        <v>254.22</v>
      </c>
      <c r="AU32">
        <f>VLOOKUP($O32,'Table 3 200 MW (Wyo) 2033'!$B$11:$I$41,7,FALSE)</f>
        <v>219.24</v>
      </c>
      <c r="AV32">
        <f>VLOOKUP($O32,'Table 3 Yakima Solar 2028'!$B$10:$K$36,9,FALSE)</f>
        <v>237.33</v>
      </c>
      <c r="AW32">
        <f>VLOOKUP($O32,'Table 3 UT Solar 2031'!$B$10:$K$36,9,FALSE)</f>
        <v>245.94</v>
      </c>
      <c r="AZ32">
        <f>SUM(AB$13:AB32)*AN32/1000</f>
        <v>0</v>
      </c>
      <c r="BA32">
        <f>SUM(AC$13:AC32)*AO32/1000</f>
        <v>0</v>
      </c>
      <c r="BB32">
        <f>SUM(AD$13:AD32)*AP32/1000</f>
        <v>0</v>
      </c>
      <c r="BC32">
        <f>SUM(AE$13:AE32)*AQ32/1000</f>
        <v>0</v>
      </c>
      <c r="BD32">
        <f>SUM(AF$13:AF32)*AR32/1000</f>
        <v>0</v>
      </c>
      <c r="BE32">
        <f>SUM(AG$13:AG32)*AS32/1000</f>
        <v>0</v>
      </c>
      <c r="BF32">
        <f>SUM(AH$13:AH32)*AT32/1000</f>
        <v>0</v>
      </c>
      <c r="BG32">
        <f>SUM(AI$13:AI32)*AU32/1000</f>
        <v>0</v>
      </c>
      <c r="BH32">
        <f>SUM(AJ$13:AJ32)*AV32/1000</f>
        <v>0</v>
      </c>
      <c r="BI32">
        <f>SUM(AK$13:AK32)*AW32/1000</f>
        <v>0</v>
      </c>
      <c r="BJ32" s="265">
        <f t="shared" si="10"/>
        <v>0</v>
      </c>
      <c r="BL32">
        <f t="shared" si="7"/>
        <v>2037</v>
      </c>
      <c r="BM32" s="131">
        <f>IFERROR(VLOOKUP($BL32,'Table 3 TransCost D2 '!$B$10:$E$34,4,FALSE),0)</f>
        <v>69.7</v>
      </c>
      <c r="BN32" s="273">
        <f t="shared" si="8"/>
        <v>0</v>
      </c>
    </row>
    <row r="33" spans="1:67" hidden="1">
      <c r="B33" s="16">
        <f t="shared" si="4"/>
        <v>2038</v>
      </c>
      <c r="C33" s="10">
        <f t="shared" si="0"/>
        <v>0</v>
      </c>
      <c r="D33" s="62"/>
      <c r="E33" s="10" t="e">
        <f t="shared" ref="E33" ca="1" si="1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51"/>
      <c r="G33" s="15" t="e">
        <f t="shared" ref="G33" ca="1" si="12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50"/>
      <c r="I33" s="273"/>
      <c r="J33" s="273"/>
      <c r="M33" s="179"/>
      <c r="O33">
        <f t="shared" ref="O33" si="13">B33</f>
        <v>2038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B33">
        <f t="shared" ref="AB33" si="14">P33/P$5</f>
        <v>0</v>
      </c>
      <c r="AC33">
        <f t="shared" ref="AC33" si="15">Q33/Q$5</f>
        <v>0</v>
      </c>
      <c r="AD33">
        <f t="shared" ref="AD33" si="16">R33/R$5</f>
        <v>0</v>
      </c>
      <c r="AE33">
        <f t="shared" ref="AE33" si="17">S33/S$5</f>
        <v>0</v>
      </c>
      <c r="AF33">
        <f t="shared" ref="AF33" si="18">T33/T$5</f>
        <v>0</v>
      </c>
      <c r="AG33">
        <f t="shared" ref="AG33" si="19">U33/U$5</f>
        <v>0</v>
      </c>
      <c r="AH33">
        <f t="shared" ref="AH33" si="20">V33/V$5</f>
        <v>0</v>
      </c>
      <c r="AI33">
        <f t="shared" ref="AI33" si="21">W33/W$5</f>
        <v>0</v>
      </c>
      <c r="AJ33">
        <f t="shared" ref="AJ33" si="22">X33/X$5</f>
        <v>0</v>
      </c>
      <c r="AK33">
        <f t="shared" ref="AK33" si="23">Y33/Y$5</f>
        <v>0</v>
      </c>
      <c r="AN33">
        <f>VLOOKUP($O33,'Table 3 WY Wind 2021'!$B$10:$J$36,9,FALSE)</f>
        <v>149.63999999999999</v>
      </c>
      <c r="AO33">
        <f>VLOOKUP($O33,'Table 3 DJ Wind 2031'!$B$10:$J$36,9,FALSE)</f>
        <v>266.33999999999997</v>
      </c>
      <c r="AP33">
        <f>VLOOKUP($O33,'Table 3 ID Wind 2036'!$B$10:$J$36,9,FALSE)</f>
        <v>270.91000000000003</v>
      </c>
      <c r="AQ33">
        <f>VLOOKUP($O33,'Table 3 30 MW Geoth 2029'!$B$10:$J$36,9,FALSE)</f>
        <v>1000.57</v>
      </c>
      <c r="AR33">
        <f>VLOOKUP($O33,'Table 3 200 MW (UT N) 2029)'!$B$11:$H$41,7,FALSE)</f>
        <v>170.5</v>
      </c>
      <c r="AS33">
        <f>VLOOKUP($O33,'Table 3 436MW (West M) 2030'!$B$11:$I$41,7,FALSE)</f>
        <v>253.72</v>
      </c>
      <c r="AT33">
        <f>VLOOKUP($O33,'Table 3 477 MW (Wyo) 2033'!$B$11:$I$41,7,FALSE)</f>
        <v>259.82</v>
      </c>
      <c r="AU33">
        <f>VLOOKUP($O33,'Table 3 200 MW (Wyo) 2033'!$B$11:$I$41,7,FALSE)</f>
        <v>224.08</v>
      </c>
      <c r="AV33">
        <f>VLOOKUP($O33,'Table 3 Yakima Solar 2028'!$B$10:$K$36,9,FALSE)</f>
        <v>242.56</v>
      </c>
      <c r="AW33">
        <f>VLOOKUP($O33,'Table 3 UT Solar 2031'!$B$10:$K$36,9,FALSE)</f>
        <v>251.34</v>
      </c>
      <c r="AZ33">
        <f>SUM(AB$13:AB33)*AN33/1000</f>
        <v>0</v>
      </c>
      <c r="BA33">
        <f>SUM(AC$13:AC33)*AO33/1000</f>
        <v>0</v>
      </c>
      <c r="BB33">
        <f>SUM(AD$13:AD33)*AP33/1000</f>
        <v>0</v>
      </c>
      <c r="BC33">
        <f>SUM(AE$13:AE33)*AQ33/1000</f>
        <v>0</v>
      </c>
      <c r="BD33">
        <f>SUM(AF$13:AF33)*AR33/1000</f>
        <v>0</v>
      </c>
      <c r="BE33">
        <f>SUM(AG$13:AG33)*AS33/1000</f>
        <v>0</v>
      </c>
      <c r="BF33">
        <f>SUM(AH$13:AH33)*AT33/1000</f>
        <v>0</v>
      </c>
      <c r="BG33">
        <f>SUM(AI$13:AI33)*AU33/1000</f>
        <v>0</v>
      </c>
      <c r="BH33">
        <f>SUM(AJ$13:AJ33)*AV33/1000</f>
        <v>0</v>
      </c>
      <c r="BI33">
        <f>SUM(AK$13:AK33)*AW33/1000</f>
        <v>0</v>
      </c>
      <c r="BJ33" s="265">
        <f t="shared" ref="BJ33" si="24">SUM(AZ33:BI33)</f>
        <v>0</v>
      </c>
      <c r="BL33">
        <f t="shared" ref="BL33" si="25">O33</f>
        <v>2038</v>
      </c>
      <c r="BM33" s="131">
        <f>IFERROR(VLOOKUP($BL33,'Table 3 TransCost D2 '!$B$10:$E$34,4,FALSE),0)</f>
        <v>71.23</v>
      </c>
      <c r="BN33" s="273">
        <f t="shared" si="8"/>
        <v>0</v>
      </c>
    </row>
    <row r="34" spans="1:67">
      <c r="B34" s="257"/>
      <c r="C34" s="10"/>
      <c r="D34" s="62"/>
      <c r="E34" s="10"/>
      <c r="F34" s="51"/>
      <c r="G34" s="10"/>
      <c r="H34" s="50"/>
      <c r="I34" s="66"/>
      <c r="M34" s="179"/>
      <c r="BJ34" s="265"/>
      <c r="BN34" s="131"/>
      <c r="BO34" s="273"/>
    </row>
    <row r="35" spans="1:67">
      <c r="B35" s="257"/>
      <c r="C35" s="10"/>
      <c r="D35" s="62"/>
      <c r="E35" s="10"/>
      <c r="F35" s="51"/>
      <c r="G35" s="10"/>
      <c r="H35" s="50"/>
      <c r="I35" s="66"/>
      <c r="M35" s="179"/>
    </row>
    <row r="36" spans="1:67" ht="12" customHeight="1">
      <c r="B36" s="257"/>
      <c r="C36" s="10"/>
      <c r="D36" s="62"/>
      <c r="E36" s="10"/>
      <c r="F36" s="51"/>
      <c r="G36" s="10"/>
      <c r="H36" s="50"/>
      <c r="I36" s="66"/>
      <c r="M36" s="179"/>
    </row>
    <row r="37" spans="1:67">
      <c r="A37" s="378" t="str">
        <f>'Table 5'!$A$9</f>
        <v>15 Year Starting 2018</v>
      </c>
      <c r="B37" s="378"/>
      <c r="D37" s="10"/>
      <c r="F37" s="51"/>
      <c r="H37" s="50"/>
      <c r="I37"/>
    </row>
    <row r="38" spans="1:67">
      <c r="A38" s="295"/>
      <c r="B38" s="72" t="str">
        <f>"15 year Levelized Prices (Nominal) @ "&amp;TEXT(I39,"0.00%")&amp;" Discount Rate (1) (3) "</f>
        <v xml:space="preserve">15 year Levelized Prices (Nominal) @ 6.57% Discount Rate (1) (3) </v>
      </c>
      <c r="E38" s="6"/>
      <c r="I38" s="66" t="s">
        <v>98</v>
      </c>
      <c r="P38" s="259"/>
    </row>
    <row r="39" spans="1:67">
      <c r="B39" s="64" t="s">
        <v>8</v>
      </c>
      <c r="C39" s="10">
        <f ca="1">'Table 5'!$D$9*(Study_CF*8.76)/'Table 5'!$F$9</f>
        <v>0</v>
      </c>
      <c r="D39" s="10"/>
      <c r="H39" s="50"/>
      <c r="I39" s="166">
        <v>6.5699999999999995E-2</v>
      </c>
    </row>
    <row r="40" spans="1:67">
      <c r="B40" s="65" t="s">
        <v>39</v>
      </c>
      <c r="E40" s="10">
        <f ca="1">'Table 5'!$C$9/'Table 5'!$F$9</f>
        <v>23.963287734479817</v>
      </c>
      <c r="G40" s="297">
        <f ca="1">'Table 5'!$G$9</f>
        <v>23.963287734479817</v>
      </c>
      <c r="H40" s="50"/>
    </row>
    <row r="41" spans="1:67" ht="21" customHeight="1">
      <c r="A41" s="379" t="str">
        <f>'Table 5'!A7</f>
        <v>15 Year Starting 2019</v>
      </c>
      <c r="B41" s="379"/>
      <c r="E41" s="10"/>
      <c r="G41" s="165"/>
      <c r="H41" s="50"/>
    </row>
    <row r="42" spans="1:67">
      <c r="B42" s="72" t="str">
        <f>"15 year Levelized Prices (Nominal) @ "&amp;TEXT(I43,"0.00%")&amp;" Discount Rate (1) (3) "</f>
        <v xml:space="preserve">15 year Levelized Prices (Nominal) @ 0.00% Discount Rate (1) (3) </v>
      </c>
      <c r="E42" s="6"/>
      <c r="H42" s="50"/>
      <c r="I42"/>
      <c r="M42" s="179"/>
    </row>
    <row r="43" spans="1:67">
      <c r="B43" s="64" t="s">
        <v>8</v>
      </c>
      <c r="C43" s="10">
        <f ca="1">'Table 5'!$D$7*(Study_CF*8.76)/'Table 5'!$F$7</f>
        <v>0</v>
      </c>
      <c r="D43" s="10"/>
      <c r="H43" s="50"/>
      <c r="I43"/>
    </row>
    <row r="44" spans="1:67">
      <c r="B44" s="65" t="s">
        <v>39</v>
      </c>
      <c r="E44" s="10">
        <f ca="1">'Table 5'!$C$7/'Table 5'!$F$7</f>
        <v>25.273607367100869</v>
      </c>
      <c r="G44" s="297">
        <f ca="1">'Table 5'!$G$7</f>
        <v>25.273607367100869</v>
      </c>
      <c r="H44" s="50"/>
      <c r="I44"/>
      <c r="Q44" s="273"/>
    </row>
    <row r="45" spans="1:67" hidden="1">
      <c r="B45" s="72"/>
      <c r="E45" s="6"/>
      <c r="H45" s="50"/>
    </row>
    <row r="46" spans="1:67" hidden="1">
      <c r="B46" s="64"/>
      <c r="C46" s="10"/>
      <c r="D46" s="10"/>
      <c r="H46" s="50"/>
    </row>
    <row r="47" spans="1:67" hidden="1">
      <c r="B47" s="65"/>
      <c r="E47" s="10"/>
      <c r="G47" s="165"/>
      <c r="H47" s="50"/>
    </row>
    <row r="48" spans="1:67" hidden="1">
      <c r="B48" s="64"/>
      <c r="C48" s="10"/>
      <c r="D48" s="10"/>
      <c r="H48" s="50"/>
    </row>
    <row r="49" spans="1:9" hidden="1">
      <c r="B49" s="72"/>
      <c r="E49" s="6"/>
      <c r="H49" s="50"/>
    </row>
    <row r="50" spans="1:9" hidden="1">
      <c r="B50" s="64"/>
      <c r="C50" s="10"/>
      <c r="D50" s="10"/>
      <c r="H50" s="50"/>
    </row>
    <row r="51" spans="1:9">
      <c r="A51" s="379" t="str">
        <f>'Table 5'!A10</f>
        <v>20 Year Starting 2019</v>
      </c>
      <c r="B51" s="379"/>
      <c r="E51" s="10"/>
      <c r="G51" s="165"/>
      <c r="H51" s="50"/>
    </row>
    <row r="52" spans="1:9">
      <c r="B52" s="72" t="str">
        <f>"15 year Levelized Prices (Nominal) @ "&amp;TEXT(I53,"0.00%")&amp;" Discount Rate (1) (3) "</f>
        <v xml:space="preserve">15 year Levelized Prices (Nominal) @ 0.00% Discount Rate (1) (3) </v>
      </c>
      <c r="E52" s="6"/>
      <c r="H52" s="50"/>
    </row>
    <row r="53" spans="1:9">
      <c r="B53" s="64" t="s">
        <v>8</v>
      </c>
      <c r="C53" s="10">
        <f ca="1">'Table 5'!$D$10*(Study_CF*8.76)/'Table 5'!$F$10</f>
        <v>0</v>
      </c>
      <c r="D53" s="10"/>
      <c r="H53" s="50"/>
    </row>
    <row r="54" spans="1:9">
      <c r="B54" s="65" t="s">
        <v>39</v>
      </c>
      <c r="E54" s="10">
        <f ca="1">'Table 5'!$C$10/'Table 5'!$F$10</f>
        <v>29.08284230887174</v>
      </c>
      <c r="G54" s="297">
        <f ca="1">'Table 5'!$G$10</f>
        <v>29.08284230887174</v>
      </c>
      <c r="H54" s="50"/>
    </row>
    <row r="55" spans="1:9">
      <c r="B55" s="4" t="s">
        <v>19</v>
      </c>
      <c r="E55" s="52"/>
      <c r="G55" s="52"/>
      <c r="H55" s="50"/>
      <c r="I55" s="165"/>
    </row>
    <row r="56" spans="1:9">
      <c r="B56" s="67" t="str">
        <f>"(1)   "&amp;I38</f>
        <v>(1)   Discount Rate - 2017 IRP</v>
      </c>
      <c r="E56" s="50"/>
      <c r="F56" s="52"/>
      <c r="G56" s="50"/>
      <c r="H56" s="50"/>
      <c r="I56" s="165"/>
    </row>
    <row r="57" spans="1:9">
      <c r="B57" s="4" t="s">
        <v>25</v>
      </c>
      <c r="F57" s="52"/>
      <c r="H57" s="50"/>
      <c r="I57" s="165"/>
    </row>
    <row r="58" spans="1:9">
      <c r="G58" s="6"/>
    </row>
    <row r="59" spans="1:9">
      <c r="B59" s="4" t="str">
        <f>IF(Study_Cap_Adj&gt;0,"(4)  The capacity payment is derived from:","")</f>
        <v/>
      </c>
    </row>
    <row r="60" spans="1:9" hidden="1">
      <c r="B60" s="150" t="str">
        <f>IF(AND(Study_Cap_Adj&gt;0,_30_Geo_West&lt;&gt;0),"       2028 - "&amp;'Table 3 477 MW (Wyo) 2033'!$B$12&amp;"   ("&amp;TEXT(_30_Geo_West," 0.0%")&amp;")","")</f>
        <v/>
      </c>
    </row>
    <row r="61" spans="1:9" ht="12.75" customHeight="1">
      <c r="B61" s="150"/>
    </row>
    <row r="62" spans="1:9" ht="12.75" customHeight="1">
      <c r="A62" s="4" t="b">
        <f>SUM(P13:Y33)&gt;0</f>
        <v>0</v>
      </c>
      <c r="B62" s="150"/>
    </row>
    <row r="63" spans="1:9">
      <c r="A63" s="4" t="b">
        <f>IF(SUM(P13:P33)&gt;0,1,IF(SUM(Q13:Q33)&gt;0,2,IF(SUM(R13:R33)&gt;0,3,IF(SUM(S13:S33)&gt;0,4,IF(SUM(T13:T33)&gt;0,5,IF(SUM(U13:U33)&gt;0,6,IF(SUM(V13:V33)&gt;0,7,IF(SUM(W13:W33)&gt;0,8,IF(SUM(X13:X33)&gt;0,9,IF(SUM(Y13:Y33)&gt;0,10))))))))))</f>
        <v>0</v>
      </c>
      <c r="B63" s="11"/>
      <c r="C63" s="8"/>
      <c r="D63" s="8"/>
      <c r="E63" s="8"/>
      <c r="G63" s="8"/>
    </row>
    <row r="64" spans="1:9">
      <c r="B64"/>
      <c r="I64" t="s">
        <v>86</v>
      </c>
    </row>
    <row r="65" spans="1:13" s="70" customFormat="1">
      <c r="A65" s="71"/>
      <c r="B65" s="11"/>
      <c r="C65" s="71"/>
      <c r="D65" s="71"/>
      <c r="E65" s="71"/>
      <c r="F65" s="71"/>
      <c r="G65" s="71"/>
      <c r="I65" t="str">
        <f ca="1">"       Avoided Costs calculated annually are  "&amp;TEXT(PMT(Discount_Rate,COUNT($G$13:$G$27),-NPV(Discount_Rate,$G$13:$G$27)),"$0.00")&amp;"/MWH"</f>
        <v xml:space="preserve">       Avoided Costs calculated annually are  $23.98/MWH</v>
      </c>
      <c r="J65"/>
      <c r="K65"/>
      <c r="L65"/>
      <c r="M65"/>
    </row>
    <row r="66" spans="1:13" s="70" customFormat="1">
      <c r="A66" s="71"/>
      <c r="B66" s="11"/>
      <c r="C66" s="71"/>
      <c r="D66" s="71"/>
      <c r="E66" s="71"/>
      <c r="F66" s="71"/>
      <c r="G66" s="71"/>
      <c r="I66" s="11" t="str">
        <f ca="1">"       Avoided Costs calculated monthly are  "&amp;TEXT($G$40,"$0.00")&amp;"/MWH"</f>
        <v xml:space="preserve">       Avoided Costs calculated monthly are  $23.96/MWH</v>
      </c>
      <c r="J66"/>
      <c r="K66"/>
    </row>
    <row r="67" spans="1:13">
      <c r="A67"/>
      <c r="B67" s="68"/>
      <c r="I67" s="70"/>
      <c r="L67" s="70"/>
      <c r="M67" s="70"/>
    </row>
    <row r="68" spans="1:13">
      <c r="A68"/>
      <c r="F68" s="8"/>
    </row>
    <row r="71" spans="1:13">
      <c r="A71"/>
      <c r="J71" s="70"/>
      <c r="K71" s="70"/>
    </row>
    <row r="72" spans="1:13">
      <c r="A72"/>
      <c r="J72" s="70"/>
      <c r="K72" s="70"/>
    </row>
  </sheetData>
  <mergeCells count="3">
    <mergeCell ref="A37:B37"/>
    <mergeCell ref="A41:B41"/>
    <mergeCell ref="A51:B51"/>
  </mergeCells>
  <phoneticPr fontId="7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F16" sqref="F16"/>
    </sheetView>
  </sheetViews>
  <sheetFormatPr defaultColWidth="9.33203125" defaultRowHeight="12.75"/>
  <cols>
    <col min="1" max="1" width="2.83203125" style="4" customWidth="1"/>
    <col min="2" max="2" width="7" style="4" customWidth="1"/>
    <col min="3" max="12" width="10.1640625" style="4" customWidth="1"/>
    <col min="13" max="13" width="10.1640625" style="6" customWidth="1"/>
    <col min="14" max="15" width="10.1640625" style="4" customWidth="1"/>
    <col min="16" max="16" width="1.6640625" style="4" customWidth="1"/>
    <col min="17" max="16384" width="9.33203125" style="4"/>
  </cols>
  <sheetData>
    <row r="1" spans="2:16" s="339" customFormat="1" ht="15.75" hidden="1">
      <c r="B1" s="1" t="s">
        <v>52</v>
      </c>
      <c r="C1" s="1"/>
      <c r="D1" s="1"/>
      <c r="E1" s="1"/>
      <c r="F1" s="1"/>
      <c r="G1" s="336"/>
      <c r="H1" s="1"/>
      <c r="I1" s="1"/>
      <c r="J1" s="1"/>
      <c r="K1" s="1"/>
      <c r="L1" s="337"/>
      <c r="M1" s="338"/>
      <c r="N1" s="338"/>
      <c r="O1" s="338"/>
      <c r="P1" s="338"/>
    </row>
    <row r="2" spans="2:16" s="339" customFormat="1" ht="5.25" customHeight="1">
      <c r="B2" s="1"/>
      <c r="C2" s="1"/>
      <c r="D2" s="1"/>
      <c r="E2" s="1"/>
      <c r="F2" s="1"/>
      <c r="G2" s="336"/>
      <c r="H2" s="1"/>
      <c r="I2" s="1"/>
      <c r="J2" s="1"/>
      <c r="K2" s="1"/>
      <c r="L2" s="337"/>
      <c r="M2" s="338"/>
      <c r="N2" s="338"/>
      <c r="O2" s="338"/>
      <c r="P2" s="338"/>
    </row>
    <row r="3" spans="2:16" s="339" customFormat="1" ht="15.75">
      <c r="B3" s="1" t="s">
        <v>188</v>
      </c>
      <c r="C3" s="1"/>
      <c r="D3" s="1"/>
      <c r="E3" s="1"/>
      <c r="F3" s="1"/>
      <c r="G3" s="336"/>
      <c r="H3" s="1"/>
      <c r="I3" s="1"/>
      <c r="J3" s="1"/>
      <c r="K3" s="1"/>
      <c r="L3" s="337"/>
      <c r="M3" s="338"/>
      <c r="N3" s="338"/>
      <c r="O3" s="338"/>
      <c r="P3" s="338"/>
    </row>
    <row r="4" spans="2:16" s="341" customFormat="1" ht="15">
      <c r="B4" s="5" t="s">
        <v>189</v>
      </c>
      <c r="C4" s="5"/>
      <c r="D4" s="5"/>
      <c r="E4" s="5"/>
      <c r="F4" s="5"/>
      <c r="G4" s="5"/>
      <c r="H4" s="5"/>
      <c r="I4" s="5"/>
      <c r="J4" s="5"/>
      <c r="K4" s="5"/>
      <c r="L4" s="5"/>
      <c r="M4" s="340"/>
      <c r="N4" s="340"/>
      <c r="O4" s="340"/>
      <c r="P4" s="340"/>
    </row>
    <row r="5" spans="2:16" s="341" customFormat="1" ht="15">
      <c r="B5" s="5" t="s">
        <v>207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s="341" customFormat="1" ht="15" hidden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340"/>
      <c r="N6" s="340"/>
      <c r="O6" s="340"/>
      <c r="P6" s="340"/>
    </row>
    <row r="7" spans="2:16">
      <c r="D7" s="342"/>
      <c r="E7" s="342"/>
      <c r="F7" s="342"/>
      <c r="G7" s="343"/>
      <c r="H7" s="343"/>
      <c r="I7" s="343"/>
      <c r="J7" s="343"/>
      <c r="K7" s="343"/>
      <c r="L7" s="343"/>
      <c r="M7" s="344"/>
    </row>
    <row r="8" spans="2:16">
      <c r="B8" s="345" t="s">
        <v>0</v>
      </c>
      <c r="C8" s="345"/>
      <c r="D8" s="346" t="s">
        <v>190</v>
      </c>
      <c r="E8" s="347"/>
      <c r="F8" s="347"/>
      <c r="G8" s="346"/>
      <c r="H8" s="346"/>
      <c r="I8" s="348" t="s">
        <v>191</v>
      </c>
      <c r="J8" s="349"/>
      <c r="K8" s="349"/>
      <c r="L8" s="350"/>
      <c r="M8" s="351" t="s">
        <v>190</v>
      </c>
      <c r="N8" s="352"/>
      <c r="O8" s="353"/>
    </row>
    <row r="9" spans="2:16">
      <c r="B9" s="354"/>
      <c r="C9" s="354" t="s">
        <v>192</v>
      </c>
      <c r="D9" s="355" t="s">
        <v>193</v>
      </c>
      <c r="E9" s="356" t="s">
        <v>194</v>
      </c>
      <c r="F9" s="356" t="s">
        <v>195</v>
      </c>
      <c r="G9" s="356" t="s">
        <v>196</v>
      </c>
      <c r="H9" s="357" t="s">
        <v>197</v>
      </c>
      <c r="I9" s="266" t="s">
        <v>198</v>
      </c>
      <c r="J9" s="266" t="s">
        <v>199</v>
      </c>
      <c r="K9" s="266" t="s">
        <v>200</v>
      </c>
      <c r="L9" s="266" t="s">
        <v>201</v>
      </c>
      <c r="M9" s="355" t="s">
        <v>202</v>
      </c>
      <c r="N9" s="356" t="s">
        <v>203</v>
      </c>
      <c r="O9" s="357" t="s">
        <v>204</v>
      </c>
    </row>
    <row r="10" spans="2:16" ht="12.75" customHeight="1">
      <c r="B10" s="300"/>
      <c r="C10" s="300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6"/>
    </row>
    <row r="11" spans="2:16" ht="12.75" customHeight="1">
      <c r="B11" s="359" t="s">
        <v>205</v>
      </c>
      <c r="C11" s="359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6"/>
    </row>
    <row r="12" spans="2:16" ht="12.75" hidden="1" customHeight="1">
      <c r="B12" s="360">
        <v>2017</v>
      </c>
      <c r="C12" s="361"/>
      <c r="D12" s="9"/>
      <c r="E12" s="9"/>
      <c r="F12" s="9"/>
      <c r="G12" s="9"/>
      <c r="H12" s="14"/>
      <c r="I12" s="362">
        <v>20.080940588655103</v>
      </c>
      <c r="J12" s="363">
        <v>18.993669713992386</v>
      </c>
      <c r="K12" s="363">
        <v>17.519798788632595</v>
      </c>
      <c r="L12" s="364">
        <v>16.423414139941432</v>
      </c>
      <c r="M12" s="362">
        <v>16.659445564644404</v>
      </c>
      <c r="N12" s="363">
        <v>16.223317492327173</v>
      </c>
      <c r="O12" s="364">
        <v>25.83779417052865</v>
      </c>
    </row>
    <row r="13" spans="2:16" ht="12.75" customHeight="1">
      <c r="B13" s="16">
        <v>2018</v>
      </c>
      <c r="C13" s="365">
        <v>19.377099803641634</v>
      </c>
      <c r="D13" s="366">
        <v>20.080940588655103</v>
      </c>
      <c r="E13" s="366">
        <v>18.993669713992386</v>
      </c>
      <c r="F13" s="366">
        <v>17.519798788632595</v>
      </c>
      <c r="G13" s="366">
        <v>16.423414139941432</v>
      </c>
      <c r="H13" s="367">
        <v>16.659445564644404</v>
      </c>
      <c r="I13" s="368">
        <v>16.223317492327173</v>
      </c>
      <c r="J13" s="366">
        <v>25.83779417052865</v>
      </c>
      <c r="K13" s="366">
        <v>23.589623366767078</v>
      </c>
      <c r="L13" s="367">
        <v>19.357053024955338</v>
      </c>
      <c r="M13" s="368">
        <v>17.746151864917209</v>
      </c>
      <c r="N13" s="366">
        <v>18.357101594381813</v>
      </c>
      <c r="O13" s="367">
        <v>21.469216261959147</v>
      </c>
    </row>
    <row r="14" spans="2:16" ht="12.75" customHeight="1">
      <c r="B14" s="16">
        <f>B13+1</f>
        <v>2019</v>
      </c>
      <c r="C14" s="365">
        <v>19.036048414178858</v>
      </c>
      <c r="D14" s="366">
        <v>21.712353790933612</v>
      </c>
      <c r="E14" s="366">
        <v>20.051593133049341</v>
      </c>
      <c r="F14" s="366">
        <v>18.16509627131822</v>
      </c>
      <c r="G14" s="366">
        <v>16.106455382749779</v>
      </c>
      <c r="H14" s="367">
        <v>16.45835206209977</v>
      </c>
      <c r="I14" s="368">
        <v>16.507499281576791</v>
      </c>
      <c r="J14" s="366">
        <v>22.628914762554121</v>
      </c>
      <c r="K14" s="366">
        <v>22.300789454248058</v>
      </c>
      <c r="L14" s="367">
        <v>18.826119689665784</v>
      </c>
      <c r="M14" s="368">
        <v>17.839821754609911</v>
      </c>
      <c r="N14" s="366">
        <v>18.700196590970446</v>
      </c>
      <c r="O14" s="367">
        <v>19.039992391366386</v>
      </c>
    </row>
    <row r="15" spans="2:16" ht="12.75" customHeight="1">
      <c r="B15" s="16">
        <f t="shared" ref="B15:B32" si="0">B14+1</f>
        <v>2020</v>
      </c>
      <c r="C15" s="365">
        <v>16.158892978998761</v>
      </c>
      <c r="D15" s="366">
        <v>17.930907476967192</v>
      </c>
      <c r="E15" s="366">
        <v>19.657017070122009</v>
      </c>
      <c r="F15" s="366">
        <v>15.287028078821351</v>
      </c>
      <c r="G15" s="366">
        <v>13.238479547003418</v>
      </c>
      <c r="H15" s="367">
        <v>13.379903010876495</v>
      </c>
      <c r="I15" s="368">
        <v>14.018581070663055</v>
      </c>
      <c r="J15" s="366">
        <v>15.869672421023372</v>
      </c>
      <c r="K15" s="366">
        <v>16.91169750668594</v>
      </c>
      <c r="L15" s="367">
        <v>15.471424129788149</v>
      </c>
      <c r="M15" s="368">
        <v>16.644239770615641</v>
      </c>
      <c r="N15" s="366">
        <v>16.148463749334315</v>
      </c>
      <c r="O15" s="367">
        <v>19.389225295533361</v>
      </c>
    </row>
    <row r="16" spans="2:16" ht="12.75" customHeight="1">
      <c r="B16" s="16">
        <f t="shared" si="0"/>
        <v>2021</v>
      </c>
      <c r="C16" s="365">
        <v>17.956914986286503</v>
      </c>
      <c r="D16" s="366">
        <v>18.523104225380898</v>
      </c>
      <c r="E16" s="366">
        <v>18.553716228208934</v>
      </c>
      <c r="F16" s="366">
        <v>19.522037113324551</v>
      </c>
      <c r="G16" s="366">
        <v>15.531906413563034</v>
      </c>
      <c r="H16" s="367">
        <v>15.584229399053678</v>
      </c>
      <c r="I16" s="368">
        <v>15.563153872107174</v>
      </c>
      <c r="J16" s="366">
        <v>17.159819978918552</v>
      </c>
      <c r="K16" s="366">
        <v>19.448789671294339</v>
      </c>
      <c r="L16" s="367">
        <v>19.318171204622907</v>
      </c>
      <c r="M16" s="368">
        <v>18.470084298078316</v>
      </c>
      <c r="N16" s="366">
        <v>17.674813958330237</v>
      </c>
      <c r="O16" s="367">
        <v>20.070275705753531</v>
      </c>
    </row>
    <row r="17" spans="2:15" ht="12.75" customHeight="1">
      <c r="B17" s="16">
        <f t="shared" si="0"/>
        <v>2022</v>
      </c>
      <c r="C17" s="365">
        <v>19.77383395869342</v>
      </c>
      <c r="D17" s="366">
        <v>21.628543811936137</v>
      </c>
      <c r="E17" s="366">
        <v>20.804471135305381</v>
      </c>
      <c r="F17" s="366">
        <v>19.818753395662192</v>
      </c>
      <c r="G17" s="366">
        <v>17.816398497532589</v>
      </c>
      <c r="H17" s="367">
        <v>16.727428718173499</v>
      </c>
      <c r="I17" s="368">
        <v>16.377777475777989</v>
      </c>
      <c r="J17" s="366">
        <v>19.310206332505881</v>
      </c>
      <c r="K17" s="366">
        <v>21.409098582506029</v>
      </c>
      <c r="L17" s="367">
        <v>22.321197988700391</v>
      </c>
      <c r="M17" s="368">
        <v>20.412092632187704</v>
      </c>
      <c r="N17" s="366">
        <v>20.455166291221246</v>
      </c>
      <c r="O17" s="367">
        <v>20.236069931460051</v>
      </c>
    </row>
    <row r="18" spans="2:15" ht="12.75" customHeight="1">
      <c r="B18" s="16">
        <f t="shared" si="0"/>
        <v>2023</v>
      </c>
      <c r="C18" s="365">
        <v>20.017215140398683</v>
      </c>
      <c r="D18" s="366">
        <v>19.323114247845368</v>
      </c>
      <c r="E18" s="366">
        <v>20.69996800197638</v>
      </c>
      <c r="F18" s="366">
        <v>20.358810108470756</v>
      </c>
      <c r="G18" s="366">
        <v>18.235994103959232</v>
      </c>
      <c r="H18" s="367">
        <v>17.206363114261979</v>
      </c>
      <c r="I18" s="368">
        <v>16.512306237620319</v>
      </c>
      <c r="J18" s="366">
        <v>20.458218642073501</v>
      </c>
      <c r="K18" s="366">
        <v>22.779925590914726</v>
      </c>
      <c r="L18" s="367">
        <v>23.465366506147035</v>
      </c>
      <c r="M18" s="368">
        <v>20.925419281587796</v>
      </c>
      <c r="N18" s="366">
        <v>19.732685909045287</v>
      </c>
      <c r="O18" s="367">
        <v>20.506014804753189</v>
      </c>
    </row>
    <row r="19" spans="2:15" ht="12.75" customHeight="1">
      <c r="B19" s="16">
        <f t="shared" si="0"/>
        <v>2024</v>
      </c>
      <c r="C19" s="365">
        <v>22.389368523755515</v>
      </c>
      <c r="D19" s="366">
        <v>20.029418295221301</v>
      </c>
      <c r="E19" s="366">
        <v>23.216435449070186</v>
      </c>
      <c r="F19" s="366">
        <v>23.203903380276461</v>
      </c>
      <c r="G19" s="366">
        <v>20.755158583373806</v>
      </c>
      <c r="H19" s="367">
        <v>20.112774571834354</v>
      </c>
      <c r="I19" s="368">
        <v>20.087499679247635</v>
      </c>
      <c r="J19" s="366">
        <v>22.091524773592965</v>
      </c>
      <c r="K19" s="366">
        <v>24.758242285953319</v>
      </c>
      <c r="L19" s="367">
        <v>25.532215360527236</v>
      </c>
      <c r="M19" s="368">
        <v>22.828933075305066</v>
      </c>
      <c r="N19" s="366">
        <v>22.108068823027455</v>
      </c>
      <c r="O19" s="367">
        <v>23.966944852856368</v>
      </c>
    </row>
    <row r="20" spans="2:15" ht="12.75" customHeight="1">
      <c r="B20" s="16">
        <f t="shared" si="0"/>
        <v>2025</v>
      </c>
      <c r="C20" s="365">
        <v>25.489860483672455</v>
      </c>
      <c r="D20" s="366">
        <v>24.050762813810227</v>
      </c>
      <c r="E20" s="366">
        <v>24.566089494025245</v>
      </c>
      <c r="F20" s="366">
        <v>24.409236686922736</v>
      </c>
      <c r="G20" s="366">
        <v>25.49425208182409</v>
      </c>
      <c r="H20" s="367">
        <v>21.540896434075115</v>
      </c>
      <c r="I20" s="368">
        <v>23.362641485288155</v>
      </c>
      <c r="J20" s="366">
        <v>26.724080647956072</v>
      </c>
      <c r="K20" s="366">
        <v>27.173635578388318</v>
      </c>
      <c r="L20" s="367">
        <v>28.426205989223678</v>
      </c>
      <c r="M20" s="368">
        <v>26.19077301189553</v>
      </c>
      <c r="N20" s="366">
        <v>26.820050140347064</v>
      </c>
      <c r="O20" s="367">
        <v>27.09945611105849</v>
      </c>
    </row>
    <row r="21" spans="2:15" ht="12.75" customHeight="1">
      <c r="B21" s="16">
        <f t="shared" si="0"/>
        <v>2026</v>
      </c>
      <c r="C21" s="365">
        <v>25.696584595203912</v>
      </c>
      <c r="D21" s="366">
        <v>26.45952479518493</v>
      </c>
      <c r="E21" s="366">
        <v>25.51636719546967</v>
      </c>
      <c r="F21" s="366">
        <v>24.959359527158018</v>
      </c>
      <c r="G21" s="366">
        <v>25.935635406768643</v>
      </c>
      <c r="H21" s="367">
        <v>21.672027813477335</v>
      </c>
      <c r="I21" s="368">
        <v>23.769077583531441</v>
      </c>
      <c r="J21" s="366">
        <v>24.405282433269278</v>
      </c>
      <c r="K21" s="366">
        <v>27.782425253066851</v>
      </c>
      <c r="L21" s="367">
        <v>28.279476633143972</v>
      </c>
      <c r="M21" s="368">
        <v>26.621562313077092</v>
      </c>
      <c r="N21" s="366">
        <v>24.752996738475133</v>
      </c>
      <c r="O21" s="367">
        <v>28.186253507307139</v>
      </c>
    </row>
    <row r="22" spans="2:15" ht="12.75" customHeight="1">
      <c r="B22" s="16">
        <f t="shared" si="0"/>
        <v>2027</v>
      </c>
      <c r="C22" s="365">
        <v>26.611859374009182</v>
      </c>
      <c r="D22" s="366">
        <v>26.76082016257104</v>
      </c>
      <c r="E22" s="366">
        <v>25.572036682806271</v>
      </c>
      <c r="F22" s="366">
        <v>25.447701919225388</v>
      </c>
      <c r="G22" s="366">
        <v>25.442146646336354</v>
      </c>
      <c r="H22" s="367">
        <v>23.183536114062992</v>
      </c>
      <c r="I22" s="368">
        <v>26.175712421398146</v>
      </c>
      <c r="J22" s="366">
        <v>25.625796321152716</v>
      </c>
      <c r="K22" s="366">
        <v>28.927078723013025</v>
      </c>
      <c r="L22" s="367">
        <v>29.648746794874665</v>
      </c>
      <c r="M22" s="368">
        <v>26.811232480908416</v>
      </c>
      <c r="N22" s="366">
        <v>26.420566619562802</v>
      </c>
      <c r="O22" s="367">
        <v>29.266301050992386</v>
      </c>
    </row>
    <row r="23" spans="2:15" ht="12.75" customHeight="1">
      <c r="B23" s="16">
        <f t="shared" si="0"/>
        <v>2028</v>
      </c>
      <c r="C23" s="365">
        <v>29.553824798111862</v>
      </c>
      <c r="D23" s="366">
        <v>30.185558341253152</v>
      </c>
      <c r="E23" s="366">
        <v>30.33457919341777</v>
      </c>
      <c r="F23" s="366">
        <v>28.305068999066346</v>
      </c>
      <c r="G23" s="366">
        <v>27.152875245079837</v>
      </c>
      <c r="H23" s="367">
        <v>26.417932603311247</v>
      </c>
      <c r="I23" s="368">
        <v>28.47507148844111</v>
      </c>
      <c r="J23" s="366">
        <v>27.843952053265998</v>
      </c>
      <c r="K23" s="366">
        <v>34.206887012131979</v>
      </c>
      <c r="L23" s="367">
        <v>32.484241665414736</v>
      </c>
      <c r="M23" s="368">
        <v>29.382873889658267</v>
      </c>
      <c r="N23" s="366">
        <v>30.148143931863451</v>
      </c>
      <c r="O23" s="367">
        <v>29.760537087637402</v>
      </c>
    </row>
    <row r="24" spans="2:15" ht="12.75" customHeight="1">
      <c r="B24" s="16">
        <f t="shared" si="0"/>
        <v>2029</v>
      </c>
      <c r="C24" s="365">
        <v>32.508635489325222</v>
      </c>
      <c r="D24" s="366">
        <v>31.372542050453038</v>
      </c>
      <c r="E24" s="366">
        <v>31.077487015754443</v>
      </c>
      <c r="F24" s="366">
        <v>29.908384892184717</v>
      </c>
      <c r="G24" s="366">
        <v>31.186262536594047</v>
      </c>
      <c r="H24" s="367">
        <v>28.496894716220723</v>
      </c>
      <c r="I24" s="368">
        <v>30.396231896613841</v>
      </c>
      <c r="J24" s="366">
        <v>33.333230920822594</v>
      </c>
      <c r="K24" s="366">
        <v>38.8849318317937</v>
      </c>
      <c r="L24" s="367">
        <v>37.221259726019078</v>
      </c>
      <c r="M24" s="368">
        <v>33.393857082578478</v>
      </c>
      <c r="N24" s="366">
        <v>31.103174150871489</v>
      </c>
      <c r="O24" s="367">
        <v>33.586754243351535</v>
      </c>
    </row>
    <row r="25" spans="2:15" ht="12.75" customHeight="1">
      <c r="B25" s="16">
        <f t="shared" si="0"/>
        <v>2030</v>
      </c>
      <c r="C25" s="365">
        <v>35.740782708733626</v>
      </c>
      <c r="D25" s="366">
        <v>35.609721327519338</v>
      </c>
      <c r="E25" s="366">
        <v>35.271241268011053</v>
      </c>
      <c r="F25" s="366">
        <v>33.265166554106123</v>
      </c>
      <c r="G25" s="366">
        <v>31.274620716182721</v>
      </c>
      <c r="H25" s="367">
        <v>31.090626406575836</v>
      </c>
      <c r="I25" s="368">
        <v>32.099180988166843</v>
      </c>
      <c r="J25" s="366">
        <v>37.721449051322836</v>
      </c>
      <c r="K25" s="366">
        <v>42.128218445573935</v>
      </c>
      <c r="L25" s="367">
        <v>41.781592177653238</v>
      </c>
      <c r="M25" s="368">
        <v>37.384804013368637</v>
      </c>
      <c r="N25" s="366">
        <v>33.533487710284156</v>
      </c>
      <c r="O25" s="367">
        <v>37.545965343948446</v>
      </c>
    </row>
    <row r="26" spans="2:15" ht="12.75" customHeight="1">
      <c r="B26" s="16">
        <f t="shared" si="0"/>
        <v>2031</v>
      </c>
      <c r="C26" s="365">
        <v>37.461325922649522</v>
      </c>
      <c r="D26" s="366">
        <v>37.128218964386463</v>
      </c>
      <c r="E26" s="366">
        <v>36.958233243916759</v>
      </c>
      <c r="F26" s="366">
        <v>34.678703372021175</v>
      </c>
      <c r="G26" s="366">
        <v>33.646722717142474</v>
      </c>
      <c r="H26" s="367">
        <v>32.10400617388062</v>
      </c>
      <c r="I26" s="368">
        <v>34.499967174352285</v>
      </c>
      <c r="J26" s="366">
        <v>40.015396441826994</v>
      </c>
      <c r="K26" s="366">
        <v>43.488790302641178</v>
      </c>
      <c r="L26" s="367">
        <v>43.806027533912093</v>
      </c>
      <c r="M26" s="368">
        <v>37.393289348532093</v>
      </c>
      <c r="N26" s="366">
        <v>35.410328673804607</v>
      </c>
      <c r="O26" s="367">
        <v>40.277467911581141</v>
      </c>
    </row>
    <row r="27" spans="2:15" ht="12.75" customHeight="1">
      <c r="B27" s="16">
        <f t="shared" si="0"/>
        <v>2032</v>
      </c>
      <c r="C27" s="365">
        <v>39.215930815619195</v>
      </c>
      <c r="D27" s="366">
        <v>39.970185761385082</v>
      </c>
      <c r="E27" s="366">
        <v>38.331242177554323</v>
      </c>
      <c r="F27" s="366">
        <v>36.138736887364772</v>
      </c>
      <c r="G27" s="366">
        <v>36.030282197387194</v>
      </c>
      <c r="H27" s="367">
        <v>33.710062807122604</v>
      </c>
      <c r="I27" s="368">
        <v>36.483414155761984</v>
      </c>
      <c r="J27" s="366">
        <v>41.754170085051477</v>
      </c>
      <c r="K27" s="366">
        <v>44.842795882840122</v>
      </c>
      <c r="L27" s="367">
        <v>45.73749570818849</v>
      </c>
      <c r="M27" s="368">
        <v>38.901551798317797</v>
      </c>
      <c r="N27" s="366">
        <v>37.388156585547272</v>
      </c>
      <c r="O27" s="367">
        <v>41.20650309924175</v>
      </c>
    </row>
    <row r="28" spans="2:15" ht="12.75" customHeight="1">
      <c r="B28" s="16">
        <f t="shared" si="0"/>
        <v>2033</v>
      </c>
      <c r="C28" s="365">
        <v>43.943221953486102</v>
      </c>
      <c r="D28" s="366">
        <v>42.07719629178699</v>
      </c>
      <c r="E28" s="366">
        <v>42.774361726514869</v>
      </c>
      <c r="F28" s="366">
        <v>37.470682296910894</v>
      </c>
      <c r="G28" s="366">
        <v>38.520924378371028</v>
      </c>
      <c r="H28" s="367">
        <v>36.559114610090859</v>
      </c>
      <c r="I28" s="368">
        <v>40.31398209944124</v>
      </c>
      <c r="J28" s="366">
        <v>59.561659223095269</v>
      </c>
      <c r="K28" s="366">
        <v>48.96890230675114</v>
      </c>
      <c r="L28" s="367">
        <v>48.788993793031551</v>
      </c>
      <c r="M28" s="368">
        <v>42.787830605021881</v>
      </c>
      <c r="N28" s="366">
        <v>41.691485772728917</v>
      </c>
      <c r="O28" s="367">
        <v>47.482108323527697</v>
      </c>
    </row>
    <row r="29" spans="2:15" ht="12.75" customHeight="1">
      <c r="B29" s="16">
        <f t="shared" si="0"/>
        <v>2034</v>
      </c>
      <c r="C29" s="365">
        <v>46.101487651934008</v>
      </c>
      <c r="D29" s="366">
        <v>44.691004949005098</v>
      </c>
      <c r="E29" s="366">
        <v>43.300465527703821</v>
      </c>
      <c r="F29" s="366">
        <v>39.255438324478249</v>
      </c>
      <c r="G29" s="366">
        <v>39.542053760427471</v>
      </c>
      <c r="H29" s="367">
        <v>38.288052606518079</v>
      </c>
      <c r="I29" s="368">
        <v>41.854610251245738</v>
      </c>
      <c r="J29" s="366">
        <v>62.941110730696181</v>
      </c>
      <c r="K29" s="366">
        <v>51.883223296292854</v>
      </c>
      <c r="L29" s="367">
        <v>49.525039417786047</v>
      </c>
      <c r="M29" s="368">
        <v>44.872908330213924</v>
      </c>
      <c r="N29" s="366">
        <v>44.009808397072497</v>
      </c>
      <c r="O29" s="367">
        <v>52.477442517134868</v>
      </c>
    </row>
    <row r="30" spans="2:15" ht="12.75" customHeight="1">
      <c r="B30" s="16">
        <f t="shared" si="0"/>
        <v>2035</v>
      </c>
      <c r="C30" s="365">
        <v>49.53574360220464</v>
      </c>
      <c r="D30" s="366">
        <v>48.894266174923082</v>
      </c>
      <c r="E30" s="366">
        <v>46.907779899700763</v>
      </c>
      <c r="F30" s="366">
        <v>42.434042349779141</v>
      </c>
      <c r="G30" s="366">
        <v>40.751489319511101</v>
      </c>
      <c r="H30" s="367">
        <v>39.178588437508608</v>
      </c>
      <c r="I30" s="368">
        <v>40.58624368222808</v>
      </c>
      <c r="J30" s="366">
        <v>69.645233967007243</v>
      </c>
      <c r="K30" s="366">
        <v>61.772003040327952</v>
      </c>
      <c r="L30" s="367">
        <v>53.124804563086016</v>
      </c>
      <c r="M30" s="368">
        <v>47.272548574915156</v>
      </c>
      <c r="N30" s="366">
        <v>47.44484378214463</v>
      </c>
      <c r="O30" s="367">
        <v>55.639031558891006</v>
      </c>
    </row>
    <row r="31" spans="2:15" ht="12.75" customHeight="1">
      <c r="B31" s="16">
        <f t="shared" si="0"/>
        <v>2036</v>
      </c>
      <c r="C31" s="365">
        <v>53.27377973458627</v>
      </c>
      <c r="D31" s="366">
        <v>49.787492067412082</v>
      </c>
      <c r="E31" s="366">
        <v>46.896745683882003</v>
      </c>
      <c r="F31" s="366">
        <v>41.314680236177416</v>
      </c>
      <c r="G31" s="366">
        <v>40.259720479195416</v>
      </c>
      <c r="H31" s="367">
        <v>41.932600025849617</v>
      </c>
      <c r="I31" s="368">
        <v>46.335246766982415</v>
      </c>
      <c r="J31" s="366">
        <v>70.445445409319603</v>
      </c>
      <c r="K31" s="366">
        <v>71.393093123812889</v>
      </c>
      <c r="L31" s="367">
        <v>64.44304636320696</v>
      </c>
      <c r="M31" s="368">
        <v>54.496828121829552</v>
      </c>
      <c r="N31" s="366">
        <v>52.437523109643095</v>
      </c>
      <c r="O31" s="367">
        <v>58.821204772213171</v>
      </c>
    </row>
    <row r="32" spans="2:15" ht="12.75" customHeight="1">
      <c r="B32" s="369">
        <f t="shared" si="0"/>
        <v>2037</v>
      </c>
      <c r="C32" s="370">
        <v>0</v>
      </c>
      <c r="D32" s="371">
        <v>0</v>
      </c>
      <c r="E32" s="371">
        <v>0</v>
      </c>
      <c r="F32" s="371">
        <v>0</v>
      </c>
      <c r="G32" s="371">
        <v>0</v>
      </c>
      <c r="H32" s="372">
        <v>0</v>
      </c>
      <c r="I32" s="373">
        <v>0</v>
      </c>
      <c r="J32" s="371">
        <v>0</v>
      </c>
      <c r="K32" s="371">
        <v>0</v>
      </c>
      <c r="L32" s="372">
        <v>0</v>
      </c>
      <c r="M32" s="373">
        <v>0</v>
      </c>
      <c r="N32" s="371">
        <v>0</v>
      </c>
      <c r="O32" s="372">
        <v>0</v>
      </c>
    </row>
    <row r="33" spans="2:16" ht="12.75" customHeight="1">
      <c r="D33" s="11"/>
      <c r="E33" s="11"/>
      <c r="F33" s="11"/>
      <c r="M33" s="374"/>
    </row>
    <row r="34" spans="2:16">
      <c r="B34" s="375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</row>
    <row r="38" spans="2:16" hidden="1">
      <c r="C38" s="377"/>
      <c r="D38" s="4">
        <v>31</v>
      </c>
      <c r="E38" s="4">
        <v>28</v>
      </c>
      <c r="F38" s="4">
        <v>31</v>
      </c>
      <c r="G38" s="4">
        <v>30</v>
      </c>
      <c r="H38" s="4">
        <v>31</v>
      </c>
      <c r="I38" s="4">
        <v>30</v>
      </c>
      <c r="J38" s="4">
        <v>31</v>
      </c>
      <c r="K38" s="4">
        <v>31</v>
      </c>
      <c r="L38" s="4">
        <v>30</v>
      </c>
      <c r="M38" s="4">
        <v>31</v>
      </c>
      <c r="N38" s="4">
        <v>30</v>
      </c>
      <c r="O38" s="4">
        <v>31</v>
      </c>
    </row>
    <row r="39" spans="2:16">
      <c r="C39" s="377"/>
    </row>
    <row r="40" spans="2:16">
      <c r="C40" s="377"/>
    </row>
    <row r="41" spans="2:16">
      <c r="C41" s="377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view="pageBreakPreview" zoomScale="80" zoomScaleNormal="100" zoomScaleSheetLayoutView="80" workbookViewId="0">
      <selection activeCell="S12" sqref="S12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6.332031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3.83203125" style="188" customWidth="1"/>
    <col min="9" max="10" width="12.5" style="188" customWidth="1"/>
    <col min="11" max="11" width="11.6640625" style="188" customWidth="1"/>
    <col min="12" max="12" width="9.33203125" style="188"/>
    <col min="13" max="13" width="6.1640625" style="188" customWidth="1"/>
    <col min="14" max="14" width="7.83203125" style="243" customWidth="1"/>
    <col min="15" max="16384" width="9.33203125" style="188"/>
  </cols>
  <sheetData>
    <row r="1" spans="2:16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6" ht="15.75">
      <c r="B2" s="186" t="s">
        <v>163</v>
      </c>
      <c r="C2" s="187"/>
      <c r="D2" s="187"/>
      <c r="E2" s="187"/>
      <c r="F2" s="187"/>
      <c r="G2" s="187"/>
      <c r="H2" s="187"/>
      <c r="I2" s="187"/>
      <c r="J2" s="187"/>
    </row>
    <row r="3" spans="2:16" ht="15.75">
      <c r="B3" s="186"/>
      <c r="C3" s="187"/>
      <c r="D3" s="187"/>
      <c r="E3" s="187"/>
      <c r="F3" s="187"/>
      <c r="G3" s="187"/>
      <c r="H3" s="187"/>
      <c r="I3" s="187"/>
      <c r="J3" s="187"/>
    </row>
    <row r="4" spans="2:16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6" ht="51.75" customHeight="1">
      <c r="B5" s="191" t="s">
        <v>0</v>
      </c>
      <c r="C5" s="192" t="s">
        <v>171</v>
      </c>
      <c r="D5" s="192" t="s">
        <v>164</v>
      </c>
      <c r="E5" s="19" t="s">
        <v>73</v>
      </c>
      <c r="H5" s="243"/>
      <c r="N5" s="188"/>
    </row>
    <row r="6" spans="2:16" ht="24" customHeight="1">
      <c r="B6" s="193"/>
      <c r="C6" s="195" t="s">
        <v>9</v>
      </c>
      <c r="D6" s="194" t="s">
        <v>165</v>
      </c>
      <c r="E6" s="23" t="s">
        <v>9</v>
      </c>
      <c r="H6" s="243"/>
      <c r="N6" s="188"/>
    </row>
    <row r="7" spans="2:16">
      <c r="C7" s="196" t="s">
        <v>2</v>
      </c>
      <c r="D7" s="196" t="s">
        <v>4</v>
      </c>
      <c r="E7" s="196" t="s">
        <v>29</v>
      </c>
      <c r="H7" s="243"/>
      <c r="N7" s="188"/>
    </row>
    <row r="8" spans="2:16" ht="6" customHeight="1">
      <c r="H8" s="243"/>
      <c r="N8" s="188"/>
    </row>
    <row r="9" spans="2:16" ht="15.75">
      <c r="B9" s="60" t="str">
        <f>B2</f>
        <v>2017 IRP Aeolus-Bridger/Anticline Transmission</v>
      </c>
      <c r="D9" s="190"/>
      <c r="E9" s="190"/>
      <c r="N9" s="188"/>
    </row>
    <row r="10" spans="2:16">
      <c r="B10" s="210">
        <v>2020</v>
      </c>
      <c r="C10" s="199">
        <f>ROUND(C11/(1+$D44),2)</f>
        <v>47.36</v>
      </c>
      <c r="D10" s="210">
        <v>2</v>
      </c>
      <c r="E10" s="201">
        <f t="shared" ref="E10:E32" si="0">SUM(C10:C10)*D10/12</f>
        <v>7.8933333333333335</v>
      </c>
      <c r="F10" s="190"/>
      <c r="G10" s="230"/>
      <c r="M10" s="244"/>
      <c r="N10" s="207"/>
      <c r="O10" s="208"/>
      <c r="P10" s="209"/>
    </row>
    <row r="11" spans="2:16">
      <c r="B11" s="210">
        <f t="shared" ref="B11:B32" si="1">B10+1</f>
        <v>2021</v>
      </c>
      <c r="C11" s="199">
        <f>D36</f>
        <v>48.5910167356733</v>
      </c>
      <c r="D11" s="210">
        <v>12</v>
      </c>
      <c r="E11" s="201">
        <f t="shared" si="0"/>
        <v>48.5910167356733</v>
      </c>
      <c r="F11" s="190"/>
      <c r="G11" s="230"/>
      <c r="M11" s="244"/>
      <c r="N11" s="284"/>
      <c r="O11" s="284"/>
      <c r="P11" s="209"/>
    </row>
    <row r="12" spans="2:16">
      <c r="B12" s="210">
        <f t="shared" si="1"/>
        <v>2022</v>
      </c>
      <c r="C12" s="199">
        <f>ROUND(C11*(1+$D46),2)</f>
        <v>49.71</v>
      </c>
      <c r="D12" s="210">
        <v>12</v>
      </c>
      <c r="E12" s="201">
        <f t="shared" si="0"/>
        <v>49.71</v>
      </c>
      <c r="F12" s="190"/>
      <c r="H12" s="244"/>
      <c r="J12" s="285"/>
      <c r="N12" s="188"/>
    </row>
    <row r="13" spans="2:16">
      <c r="B13" s="210">
        <f t="shared" si="1"/>
        <v>2023</v>
      </c>
      <c r="C13" s="199">
        <f>ROUND(C12*(1+$D47),2)</f>
        <v>50.85</v>
      </c>
      <c r="D13" s="210">
        <v>12</v>
      </c>
      <c r="E13" s="201">
        <f t="shared" si="0"/>
        <v>50.85</v>
      </c>
      <c r="F13" s="190"/>
      <c r="H13" s="244"/>
      <c r="I13" s="207"/>
      <c r="J13" s="285"/>
      <c r="N13" s="188"/>
    </row>
    <row r="14" spans="2:16">
      <c r="B14" s="210">
        <f t="shared" si="1"/>
        <v>2024</v>
      </c>
      <c r="C14" s="199">
        <f>ROUND(C13*(1+$D48),2)</f>
        <v>52.02</v>
      </c>
      <c r="D14" s="210">
        <v>12</v>
      </c>
      <c r="E14" s="201">
        <f t="shared" si="0"/>
        <v>52.02</v>
      </c>
      <c r="F14" s="190"/>
      <c r="H14" s="244"/>
      <c r="K14" s="286"/>
      <c r="N14" s="188"/>
    </row>
    <row r="15" spans="2:16">
      <c r="B15" s="210">
        <f t="shared" si="1"/>
        <v>2025</v>
      </c>
      <c r="C15" s="199">
        <f>ROUND(C14*(1+$D49),2)</f>
        <v>53.22</v>
      </c>
      <c r="D15" s="210">
        <v>12</v>
      </c>
      <c r="E15" s="201">
        <f t="shared" si="0"/>
        <v>53.22</v>
      </c>
      <c r="F15" s="190"/>
      <c r="H15" s="244"/>
      <c r="N15" s="188"/>
    </row>
    <row r="16" spans="2:16">
      <c r="B16" s="210">
        <f t="shared" si="1"/>
        <v>2026</v>
      </c>
      <c r="C16" s="199">
        <f t="shared" ref="C16:C24" si="2">ROUND(C15*(1+$G41),2)</f>
        <v>54.44</v>
      </c>
      <c r="D16" s="210">
        <v>12</v>
      </c>
      <c r="E16" s="201">
        <f t="shared" si="0"/>
        <v>54.44</v>
      </c>
      <c r="F16" s="190"/>
      <c r="H16" s="244"/>
      <c r="J16" s="241"/>
      <c r="N16" s="188"/>
    </row>
    <row r="17" spans="2:14">
      <c r="B17" s="210">
        <f t="shared" si="1"/>
        <v>2027</v>
      </c>
      <c r="C17" s="199">
        <f t="shared" si="2"/>
        <v>55.69</v>
      </c>
      <c r="D17" s="210">
        <v>12</v>
      </c>
      <c r="E17" s="201">
        <f t="shared" si="0"/>
        <v>55.69</v>
      </c>
      <c r="F17" s="190"/>
      <c r="H17" s="244"/>
      <c r="N17" s="188"/>
    </row>
    <row r="18" spans="2:14">
      <c r="B18" s="210">
        <f t="shared" si="1"/>
        <v>2028</v>
      </c>
      <c r="C18" s="199">
        <f t="shared" si="2"/>
        <v>56.97</v>
      </c>
      <c r="D18" s="210">
        <v>12</v>
      </c>
      <c r="E18" s="201">
        <f t="shared" si="0"/>
        <v>56.97</v>
      </c>
      <c r="F18" s="190"/>
      <c r="H18" s="244"/>
      <c r="N18" s="188"/>
    </row>
    <row r="19" spans="2:14">
      <c r="B19" s="210">
        <f t="shared" si="1"/>
        <v>2029</v>
      </c>
      <c r="C19" s="199">
        <f t="shared" si="2"/>
        <v>58.28</v>
      </c>
      <c r="D19" s="210">
        <v>12</v>
      </c>
      <c r="E19" s="201">
        <f t="shared" si="0"/>
        <v>58.28</v>
      </c>
      <c r="F19" s="190"/>
      <c r="H19" s="244"/>
      <c r="N19" s="188"/>
    </row>
    <row r="20" spans="2:14">
      <c r="B20" s="210">
        <f t="shared" si="1"/>
        <v>2030</v>
      </c>
      <c r="C20" s="212">
        <f t="shared" si="2"/>
        <v>59.62</v>
      </c>
      <c r="D20" s="210">
        <v>12</v>
      </c>
      <c r="E20" s="201">
        <f t="shared" si="0"/>
        <v>59.62</v>
      </c>
      <c r="F20" s="190"/>
      <c r="H20" s="244"/>
      <c r="N20" s="188"/>
    </row>
    <row r="21" spans="2:14">
      <c r="B21" s="210">
        <f t="shared" si="1"/>
        <v>2031</v>
      </c>
      <c r="C21" s="212">
        <f t="shared" si="2"/>
        <v>60.99</v>
      </c>
      <c r="D21" s="210">
        <v>12</v>
      </c>
      <c r="E21" s="201">
        <f t="shared" si="0"/>
        <v>60.99</v>
      </c>
      <c r="F21" s="190"/>
      <c r="H21" s="244"/>
      <c r="N21" s="188"/>
    </row>
    <row r="22" spans="2:14">
      <c r="B22" s="210">
        <f t="shared" si="1"/>
        <v>2032</v>
      </c>
      <c r="C22" s="199">
        <f t="shared" si="2"/>
        <v>62.33</v>
      </c>
      <c r="D22" s="210">
        <v>12</v>
      </c>
      <c r="E22" s="201">
        <f t="shared" si="0"/>
        <v>62.330000000000005</v>
      </c>
      <c r="F22" s="190"/>
      <c r="H22" s="244"/>
      <c r="N22" s="188"/>
    </row>
    <row r="23" spans="2:14">
      <c r="B23" s="210">
        <f t="shared" si="1"/>
        <v>2033</v>
      </c>
      <c r="C23" s="199">
        <f t="shared" si="2"/>
        <v>63.7</v>
      </c>
      <c r="D23" s="210">
        <v>12</v>
      </c>
      <c r="E23" s="201">
        <f t="shared" si="0"/>
        <v>63.70000000000001</v>
      </c>
      <c r="F23" s="190"/>
      <c r="H23" s="244"/>
      <c r="N23" s="188"/>
    </row>
    <row r="24" spans="2:14">
      <c r="B24" s="210">
        <f t="shared" si="1"/>
        <v>2034</v>
      </c>
      <c r="C24" s="199">
        <f t="shared" si="2"/>
        <v>65.17</v>
      </c>
      <c r="D24" s="210">
        <v>12</v>
      </c>
      <c r="E24" s="201">
        <f t="shared" si="0"/>
        <v>65.17</v>
      </c>
      <c r="F24" s="190"/>
      <c r="H24" s="244"/>
      <c r="N24" s="188"/>
    </row>
    <row r="25" spans="2:14">
      <c r="B25" s="210">
        <f t="shared" si="1"/>
        <v>2035</v>
      </c>
      <c r="C25" s="199">
        <f t="shared" ref="C25:C32" si="3">ROUND(C24*(1+$K41),2)</f>
        <v>66.67</v>
      </c>
      <c r="D25" s="210">
        <v>12</v>
      </c>
      <c r="E25" s="201">
        <f t="shared" si="0"/>
        <v>66.67</v>
      </c>
      <c r="F25" s="190"/>
      <c r="H25" s="244"/>
      <c r="N25" s="188"/>
    </row>
    <row r="26" spans="2:14">
      <c r="B26" s="210">
        <f t="shared" si="1"/>
        <v>2036</v>
      </c>
      <c r="C26" s="199">
        <f t="shared" si="3"/>
        <v>68.2</v>
      </c>
      <c r="D26" s="210">
        <v>12</v>
      </c>
      <c r="E26" s="201">
        <f t="shared" si="0"/>
        <v>68.2</v>
      </c>
      <c r="F26" s="190"/>
      <c r="H26" s="244"/>
      <c r="N26" s="188"/>
    </row>
    <row r="27" spans="2:14">
      <c r="B27" s="210">
        <f t="shared" si="1"/>
        <v>2037</v>
      </c>
      <c r="C27" s="199">
        <f t="shared" si="3"/>
        <v>69.7</v>
      </c>
      <c r="D27" s="210">
        <v>12</v>
      </c>
      <c r="E27" s="201">
        <f t="shared" si="0"/>
        <v>69.7</v>
      </c>
      <c r="F27" s="190"/>
      <c r="H27" s="244"/>
      <c r="N27" s="188"/>
    </row>
    <row r="28" spans="2:14">
      <c r="B28" s="210">
        <f t="shared" si="1"/>
        <v>2038</v>
      </c>
      <c r="C28" s="199">
        <f t="shared" si="3"/>
        <v>71.23</v>
      </c>
      <c r="D28" s="210">
        <v>12</v>
      </c>
      <c r="E28" s="201">
        <f t="shared" si="0"/>
        <v>71.23</v>
      </c>
      <c r="F28" s="190"/>
      <c r="H28" s="244"/>
      <c r="N28" s="188"/>
    </row>
    <row r="29" spans="2:14">
      <c r="B29" s="210">
        <f t="shared" si="1"/>
        <v>2039</v>
      </c>
      <c r="C29" s="199">
        <f t="shared" si="3"/>
        <v>72.8</v>
      </c>
      <c r="D29" s="210">
        <v>12</v>
      </c>
      <c r="E29" s="201">
        <f t="shared" si="0"/>
        <v>72.8</v>
      </c>
      <c r="F29" s="190"/>
      <c r="H29" s="244"/>
      <c r="N29" s="188"/>
    </row>
    <row r="30" spans="2:14">
      <c r="B30" s="210">
        <f t="shared" si="1"/>
        <v>2040</v>
      </c>
      <c r="C30" s="199">
        <f t="shared" si="3"/>
        <v>74.400000000000006</v>
      </c>
      <c r="D30" s="210">
        <v>12</v>
      </c>
      <c r="E30" s="201">
        <f t="shared" si="0"/>
        <v>74.400000000000006</v>
      </c>
      <c r="F30" s="190"/>
      <c r="H30" s="244"/>
      <c r="N30" s="188"/>
    </row>
    <row r="31" spans="2:14">
      <c r="B31" s="210">
        <f t="shared" si="1"/>
        <v>2041</v>
      </c>
      <c r="C31" s="199">
        <f t="shared" si="3"/>
        <v>76.040000000000006</v>
      </c>
      <c r="D31" s="210">
        <v>12</v>
      </c>
      <c r="E31" s="201">
        <f t="shared" si="0"/>
        <v>76.040000000000006</v>
      </c>
      <c r="F31" s="190"/>
      <c r="H31" s="244"/>
      <c r="N31" s="188"/>
    </row>
    <row r="32" spans="2:14">
      <c r="B32" s="210">
        <f t="shared" si="1"/>
        <v>2042</v>
      </c>
      <c r="C32" s="199">
        <f t="shared" si="3"/>
        <v>77.709999999999994</v>
      </c>
      <c r="D32" s="210">
        <v>12</v>
      </c>
      <c r="E32" s="201">
        <f t="shared" si="0"/>
        <v>77.709999999999994</v>
      </c>
      <c r="F32" s="190"/>
      <c r="G32" s="230"/>
      <c r="H32" s="244"/>
      <c r="N32" s="188"/>
    </row>
    <row r="33" spans="2:14">
      <c r="B33" s="210"/>
      <c r="C33" s="203"/>
      <c r="D33" s="199"/>
      <c r="E33" s="199"/>
      <c r="F33" s="200"/>
      <c r="G33" s="199"/>
      <c r="H33" s="199"/>
      <c r="I33" s="201"/>
      <c r="J33" s="201"/>
      <c r="K33" s="213"/>
    </row>
    <row r="34" spans="2:14">
      <c r="B34" s="197"/>
      <c r="C34" s="203"/>
      <c r="D34" s="199"/>
      <c r="E34" s="199"/>
      <c r="F34" s="200"/>
      <c r="G34" s="199"/>
      <c r="H34" s="199"/>
      <c r="I34" s="201"/>
      <c r="J34" s="201"/>
      <c r="K34" s="213"/>
    </row>
    <row r="35" spans="2:14" ht="15">
      <c r="C35" s="287" t="s">
        <v>166</v>
      </c>
      <c r="D35" s="288">
        <v>750</v>
      </c>
      <c r="E35" s="199"/>
      <c r="F35" s="200"/>
      <c r="G35" s="199"/>
      <c r="H35" s="199"/>
      <c r="I35" s="201"/>
      <c r="J35" s="201"/>
      <c r="K35" s="213"/>
    </row>
    <row r="36" spans="2:14" ht="37.5" customHeight="1">
      <c r="B36" s="380" t="s">
        <v>170</v>
      </c>
      <c r="C36" s="381"/>
      <c r="D36" s="298">
        <v>48.5910167356733</v>
      </c>
      <c r="E36" s="199"/>
      <c r="F36" s="200"/>
      <c r="G36" s="199"/>
      <c r="H36" s="199"/>
      <c r="I36" s="201"/>
      <c r="J36" s="201"/>
      <c r="K36" s="213"/>
    </row>
    <row r="39" spans="2:14" ht="13.5" thickBot="1">
      <c r="D39" s="231"/>
    </row>
    <row r="40" spans="2:14" ht="13.5" thickBot="1">
      <c r="C40" s="54" t="str">
        <f>"Company Official Inflation Forecast Dated "&amp;TEXT('Table 4'!$G$5,"mmmm dd, yyyy")</f>
        <v>Company Official Inflation Forecast Dated December 29, 2017</v>
      </c>
      <c r="D40" s="218"/>
      <c r="E40" s="218"/>
      <c r="F40" s="218"/>
      <c r="G40" s="218"/>
      <c r="H40" s="218"/>
      <c r="I40" s="218"/>
      <c r="J40" s="218"/>
      <c r="K40" s="220"/>
    </row>
    <row r="41" spans="2:14">
      <c r="C41" s="129">
        <v>2017</v>
      </c>
      <c r="D41" s="57">
        <v>0.02</v>
      </c>
      <c r="E41" s="104"/>
      <c r="F41" s="129">
        <f>C49+1</f>
        <v>2026</v>
      </c>
      <c r="G41" s="57">
        <v>2.3E-2</v>
      </c>
      <c r="H41" s="104"/>
      <c r="I41" s="129">
        <f>F49+1</f>
        <v>2035</v>
      </c>
      <c r="J41" s="129"/>
      <c r="K41" s="57">
        <v>2.3E-2</v>
      </c>
    </row>
    <row r="42" spans="2:14">
      <c r="C42" s="129">
        <f t="shared" ref="C42:C49" si="4">C41+1</f>
        <v>2018</v>
      </c>
      <c r="D42" s="57">
        <v>1.9E-2</v>
      </c>
      <c r="E42" s="104"/>
      <c r="F42" s="129">
        <f t="shared" ref="F42:F49" si="5">F41+1</f>
        <v>2027</v>
      </c>
      <c r="G42" s="57">
        <v>2.3E-2</v>
      </c>
      <c r="H42" s="104"/>
      <c r="I42" s="129">
        <f t="shared" ref="I42:I49" si="6">I41+1</f>
        <v>2036</v>
      </c>
      <c r="J42" s="129"/>
      <c r="K42" s="57">
        <v>2.3E-2</v>
      </c>
    </row>
    <row r="43" spans="2:14">
      <c r="C43" s="129">
        <f t="shared" si="4"/>
        <v>2019</v>
      </c>
      <c r="D43" s="57">
        <v>2.1999999999999999E-2</v>
      </c>
      <c r="E43" s="104"/>
      <c r="F43" s="129">
        <f t="shared" si="5"/>
        <v>2028</v>
      </c>
      <c r="G43" s="57">
        <v>2.3E-2</v>
      </c>
      <c r="H43" s="104"/>
      <c r="I43" s="129">
        <f t="shared" si="6"/>
        <v>2037</v>
      </c>
      <c r="J43" s="129"/>
      <c r="K43" s="57">
        <v>2.1999999999999999E-2</v>
      </c>
    </row>
    <row r="44" spans="2:14">
      <c r="C44" s="129">
        <f t="shared" si="4"/>
        <v>2020</v>
      </c>
      <c r="D44" s="57">
        <v>2.5999999999999999E-2</v>
      </c>
      <c r="E44" s="104"/>
      <c r="F44" s="129">
        <f t="shared" si="5"/>
        <v>2029</v>
      </c>
      <c r="G44" s="57">
        <v>2.3E-2</v>
      </c>
      <c r="H44" s="104"/>
      <c r="I44" s="129">
        <f t="shared" si="6"/>
        <v>2038</v>
      </c>
      <c r="J44" s="129"/>
      <c r="K44" s="57">
        <v>2.1999999999999999E-2</v>
      </c>
    </row>
    <row r="45" spans="2:14">
      <c r="C45" s="129">
        <f t="shared" si="4"/>
        <v>2021</v>
      </c>
      <c r="D45" s="57">
        <v>2.4E-2</v>
      </c>
      <c r="E45" s="104"/>
      <c r="F45" s="129">
        <f t="shared" si="5"/>
        <v>2030</v>
      </c>
      <c r="G45" s="57">
        <v>2.3E-2</v>
      </c>
      <c r="H45" s="104"/>
      <c r="I45" s="129">
        <f t="shared" si="6"/>
        <v>2039</v>
      </c>
      <c r="J45" s="129"/>
      <c r="K45" s="57">
        <v>2.1999999999999999E-2</v>
      </c>
    </row>
    <row r="46" spans="2:14">
      <c r="C46" s="129">
        <f t="shared" si="4"/>
        <v>2022</v>
      </c>
      <c r="D46" s="57">
        <v>2.3E-2</v>
      </c>
      <c r="E46" s="104"/>
      <c r="F46" s="129">
        <f t="shared" si="5"/>
        <v>2031</v>
      </c>
      <c r="G46" s="57">
        <v>2.3E-2</v>
      </c>
      <c r="H46" s="104"/>
      <c r="I46" s="129">
        <f t="shared" si="6"/>
        <v>2040</v>
      </c>
      <c r="J46" s="129"/>
      <c r="K46" s="57">
        <v>2.1999999999999999E-2</v>
      </c>
    </row>
    <row r="47" spans="2:14" s="190" customFormat="1">
      <c r="C47" s="129">
        <f t="shared" si="4"/>
        <v>2023</v>
      </c>
      <c r="D47" s="57">
        <v>2.3E-2</v>
      </c>
      <c r="E47" s="106"/>
      <c r="F47" s="129">
        <f t="shared" si="5"/>
        <v>2032</v>
      </c>
      <c r="G47" s="57">
        <v>2.1999999999999999E-2</v>
      </c>
      <c r="H47" s="106"/>
      <c r="I47" s="129">
        <f t="shared" si="6"/>
        <v>2041</v>
      </c>
      <c r="J47" s="129"/>
      <c r="K47" s="57">
        <v>2.1999999999999999E-2</v>
      </c>
      <c r="N47" s="246"/>
    </row>
    <row r="48" spans="2:14" s="190" customFormat="1">
      <c r="C48" s="129">
        <f t="shared" si="4"/>
        <v>2024</v>
      </c>
      <c r="D48" s="57">
        <v>2.3E-2</v>
      </c>
      <c r="E48" s="106"/>
      <c r="F48" s="129">
        <f t="shared" si="5"/>
        <v>2033</v>
      </c>
      <c r="G48" s="57">
        <v>2.1999999999999999E-2</v>
      </c>
      <c r="H48" s="106"/>
      <c r="I48" s="129">
        <f t="shared" si="6"/>
        <v>2042</v>
      </c>
      <c r="J48" s="129"/>
      <c r="K48" s="57">
        <v>2.1999999999999999E-2</v>
      </c>
      <c r="N48" s="246"/>
    </row>
    <row r="49" spans="3:14" s="190" customFormat="1">
      <c r="C49" s="129">
        <f t="shared" si="4"/>
        <v>2025</v>
      </c>
      <c r="D49" s="57">
        <v>2.3E-2</v>
      </c>
      <c r="E49" s="106"/>
      <c r="F49" s="129">
        <f t="shared" si="5"/>
        <v>2034</v>
      </c>
      <c r="G49" s="57">
        <v>2.3E-2</v>
      </c>
      <c r="H49" s="106"/>
      <c r="I49" s="129">
        <f t="shared" si="6"/>
        <v>2043</v>
      </c>
      <c r="J49" s="129"/>
      <c r="K49" s="57">
        <v>2.3E-2</v>
      </c>
      <c r="N49" s="246"/>
    </row>
    <row r="50" spans="3:14" s="190" customFormat="1">
      <c r="N50" s="246"/>
    </row>
    <row r="51" spans="3:14" s="190" customFormat="1">
      <c r="N51" s="246"/>
    </row>
    <row r="68" spans="3:4">
      <c r="C68" s="227"/>
      <c r="D68" s="231"/>
    </row>
    <row r="69" spans="3:4">
      <c r="C69" s="227"/>
      <c r="D69" s="231"/>
    </row>
    <row r="70" spans="3:4">
      <c r="C70" s="227"/>
      <c r="D70" s="231"/>
    </row>
    <row r="71" spans="3:4">
      <c r="C71" s="227"/>
      <c r="D71" s="231"/>
    </row>
    <row r="72" spans="3:4">
      <c r="C72" s="227"/>
      <c r="D72" s="231"/>
    </row>
    <row r="73" spans="3:4">
      <c r="C73" s="227"/>
      <c r="D73" s="231"/>
    </row>
    <row r="74" spans="3:4">
      <c r="C74" s="227"/>
      <c r="D74" s="231"/>
    </row>
    <row r="75" spans="3:4">
      <c r="C75" s="227"/>
      <c r="D75" s="231"/>
    </row>
    <row r="76" spans="3:4">
      <c r="C76" s="227"/>
      <c r="D76" s="231"/>
    </row>
    <row r="77" spans="3:4">
      <c r="C77" s="227"/>
      <c r="D77" s="231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zoomScale="60" zoomScaleNormal="100" workbookViewId="0">
      <pane ySplit="10" topLeftCell="A31" activePane="bottomLeft" state="frozen"/>
      <selection activeCell="C14" sqref="C14"/>
      <selection pane="bottomLeft" activeCell="A45" sqref="A45"/>
    </sheetView>
  </sheetViews>
  <sheetFormatPr defaultColWidth="9.33203125" defaultRowHeight="12.75"/>
  <cols>
    <col min="1" max="1" width="9.33203125" style="4"/>
    <col min="2" max="2" width="15" style="4" customWidth="1"/>
    <col min="3" max="3" width="27" style="4" customWidth="1"/>
    <col min="4" max="4" width="19.5" style="4" customWidth="1"/>
    <col min="5" max="5" width="17" style="4" customWidth="1"/>
    <col min="6" max="6" width="9.33203125" style="4"/>
    <col min="7" max="7" width="15" style="63" hidden="1" customWidth="1"/>
    <col min="8" max="8" width="16.6640625" style="37" hidden="1" customWidth="1"/>
    <col min="9" max="10" width="0" style="4" hidden="1" customWidth="1"/>
    <col min="11" max="11" width="9.33203125" style="150" hidden="1" customWidth="1"/>
    <col min="12" max="12" width="10.33203125" style="150" hidden="1" customWidth="1"/>
    <col min="13" max="13" width="13.83203125" style="150" hidden="1" customWidth="1"/>
    <col min="14" max="14" width="12.83203125" style="4" hidden="1" customWidth="1"/>
    <col min="15" max="15" width="13.33203125" style="4" hidden="1" customWidth="1"/>
    <col min="16" max="16" width="0" style="4" hidden="1" customWidth="1"/>
    <col min="17" max="16384" width="9.33203125" style="4"/>
  </cols>
  <sheetData>
    <row r="1" spans="2:15" ht="15.75" hidden="1">
      <c r="B1" s="1" t="s">
        <v>52</v>
      </c>
      <c r="C1" s="1"/>
      <c r="G1" s="34"/>
    </row>
    <row r="2" spans="2:15" ht="5.25" customHeight="1">
      <c r="B2" s="1"/>
      <c r="C2" s="1"/>
      <c r="G2" s="34"/>
    </row>
    <row r="3" spans="2:15" ht="15.75">
      <c r="B3" s="1" t="s">
        <v>84</v>
      </c>
      <c r="C3" s="1"/>
      <c r="G3" s="34"/>
    </row>
    <row r="4" spans="2:15" ht="15.75">
      <c r="B4" s="1" t="s">
        <v>38</v>
      </c>
      <c r="C4" s="1"/>
      <c r="G4" s="151" t="s">
        <v>37</v>
      </c>
    </row>
    <row r="5" spans="2:15" ht="15.75">
      <c r="B5" s="1" t="str">
        <f ca="1">'Table 1'!$B$5</f>
        <v>Utah 2017.Q4 - 100.0 MW and 85.0% CF</v>
      </c>
      <c r="C5" s="1"/>
      <c r="G5" s="152">
        <v>43098</v>
      </c>
    </row>
    <row r="6" spans="2:15">
      <c r="B6" s="12"/>
      <c r="C6" s="12"/>
      <c r="G6" s="34"/>
    </row>
    <row r="7" spans="2:15" ht="14.25">
      <c r="B7" s="25"/>
      <c r="C7" s="33" t="s">
        <v>32</v>
      </c>
      <c r="G7" s="34"/>
    </row>
    <row r="8" spans="2:15">
      <c r="B8" s="26"/>
      <c r="C8" s="18" t="s">
        <v>33</v>
      </c>
      <c r="D8" s="18" t="s">
        <v>33</v>
      </c>
      <c r="E8" s="18" t="s">
        <v>33</v>
      </c>
      <c r="G8" s="34"/>
    </row>
    <row r="9" spans="2:15">
      <c r="B9" s="26" t="s">
        <v>0</v>
      </c>
      <c r="C9" s="26" t="str">
        <f>M16</f>
        <v>IRP - Utah Greenfield</v>
      </c>
      <c r="D9" s="26" t="str">
        <f>N15</f>
        <v>IRP West Side</v>
      </c>
      <c r="E9" s="26" t="str">
        <f>O16</f>
        <v>IRP - Wyo NE</v>
      </c>
      <c r="G9" s="34"/>
    </row>
    <row r="10" spans="2:15">
      <c r="B10" s="27"/>
      <c r="C10" s="28" t="s">
        <v>26</v>
      </c>
      <c r="D10" s="28" t="s">
        <v>26</v>
      </c>
      <c r="E10" s="28" t="s">
        <v>26</v>
      </c>
      <c r="G10" s="153"/>
      <c r="H10" s="154"/>
    </row>
    <row r="11" spans="2:15" hidden="1">
      <c r="C11" s="13"/>
      <c r="G11" s="153"/>
      <c r="H11" s="154"/>
    </row>
    <row r="12" spans="2:15" hidden="1">
      <c r="C12" s="29"/>
      <c r="G12" s="153"/>
      <c r="H12" s="154"/>
    </row>
    <row r="13" spans="2:15" ht="6" customHeight="1">
      <c r="G13" s="155"/>
      <c r="H13" s="156"/>
    </row>
    <row r="14" spans="2:15">
      <c r="B14" s="30">
        <v>2016</v>
      </c>
      <c r="C14" s="31">
        <f>ROUND(SUMIF($K$17:$K$340,$B14,$H$17:$H$340)/COUNTIF($K$17:$K$340,$B14),2)</f>
        <v>2.3199999999999998</v>
      </c>
      <c r="D14" s="31">
        <f>ROUND(SUMIF($K$17:$K$340,$B14,$I$17:$I$340)/COUNTIF($K$17:$K$340,$B14),2)</f>
        <v>2.2999999999999998</v>
      </c>
      <c r="E14" s="31">
        <f>ROUND(SUMIF($K$17:$K$340,$B14,$J$17:$J$340)/COUNTIF($K$17:$K$340,$B14),2)</f>
        <v>2.35</v>
      </c>
      <c r="G14" s="157"/>
      <c r="H14" s="38"/>
    </row>
    <row r="15" spans="2:15" ht="13.5" thickBot="1">
      <c r="B15" s="30">
        <f t="shared" ref="B15:B40" si="0">B14+1</f>
        <v>2017</v>
      </c>
      <c r="C15" s="31">
        <f t="shared" ref="C15:C39" si="1">ROUND(SUMIF($K$17:$K$340,$B15,$H$17:$H$340)/COUNTIF($K$17:$K$340,$B15),2)</f>
        <v>2.71</v>
      </c>
      <c r="D15" s="31">
        <f t="shared" ref="D15:D40" si="2">ROUND(SUMIF($K$17:$K$340,$B15,$I$17:$I$340)/COUNTIF($K$17:$K$340,$B15),2)</f>
        <v>2.72</v>
      </c>
      <c r="E15" s="31">
        <f t="shared" ref="E15:E40" si="3">ROUND(SUMIF($K$17:$K$340,$B15,$J$17:$J$340)/COUNTIF($K$17:$K$340,$B15),2)</f>
        <v>2.76</v>
      </c>
      <c r="G15" s="35"/>
      <c r="H15" s="39" t="s">
        <v>99</v>
      </c>
      <c r="I15" s="4" t="s">
        <v>100</v>
      </c>
      <c r="J15" s="4" t="s">
        <v>102</v>
      </c>
      <c r="N15" s="4" t="s">
        <v>100</v>
      </c>
    </row>
    <row r="16" spans="2:15" ht="13.5" thickBot="1">
      <c r="B16" s="30">
        <f t="shared" si="0"/>
        <v>2018</v>
      </c>
      <c r="C16" s="31">
        <f t="shared" si="1"/>
        <v>2.4300000000000002</v>
      </c>
      <c r="D16" s="31">
        <f t="shared" si="2"/>
        <v>2.11</v>
      </c>
      <c r="E16" s="31">
        <f t="shared" si="3"/>
        <v>2.4</v>
      </c>
      <c r="G16" s="35" t="s">
        <v>36</v>
      </c>
      <c r="H16" s="39" t="s">
        <v>33</v>
      </c>
      <c r="I16" s="39" t="s">
        <v>33</v>
      </c>
      <c r="J16" s="39" t="s">
        <v>33</v>
      </c>
      <c r="K16" s="158" t="s">
        <v>0</v>
      </c>
      <c r="M16" s="159" t="str">
        <f>IF(_30_Geo_West&gt;0,"IRP - Wyo NE",IF(_436_CCCT_WestMain&gt;0,"West Side","IRP - Utah Greenfield"))</f>
        <v>IRP - Utah Greenfield</v>
      </c>
      <c r="N16" s="159" t="s">
        <v>101</v>
      </c>
      <c r="O16" s="159" t="s">
        <v>102</v>
      </c>
    </row>
    <row r="17" spans="2:15" ht="13.5" thickBot="1">
      <c r="B17" s="30">
        <f t="shared" si="0"/>
        <v>2019</v>
      </c>
      <c r="C17" s="31">
        <f t="shared" si="1"/>
        <v>2.4</v>
      </c>
      <c r="D17" s="31">
        <f t="shared" si="2"/>
        <v>2.11</v>
      </c>
      <c r="E17" s="31">
        <f t="shared" si="3"/>
        <v>2.38</v>
      </c>
      <c r="G17" s="36">
        <v>42370</v>
      </c>
      <c r="H17" s="40">
        <v>2.2763825364431489</v>
      </c>
      <c r="I17" s="40">
        <v>2.3748742653912789</v>
      </c>
      <c r="J17" s="40">
        <v>2.2757987901986261</v>
      </c>
      <c r="K17" s="160">
        <f t="shared" ref="K17:K64" si="4">YEAR(G17)</f>
        <v>2016</v>
      </c>
      <c r="M17" s="161">
        <v>47</v>
      </c>
      <c r="N17" s="161">
        <v>43</v>
      </c>
      <c r="O17" s="161">
        <v>46</v>
      </c>
    </row>
    <row r="18" spans="2:15">
      <c r="B18" s="30">
        <f t="shared" si="0"/>
        <v>2020</v>
      </c>
      <c r="C18" s="31">
        <f t="shared" si="1"/>
        <v>2.4</v>
      </c>
      <c r="D18" s="31">
        <f t="shared" si="2"/>
        <v>2.15</v>
      </c>
      <c r="E18" s="31">
        <f t="shared" si="3"/>
        <v>2.39</v>
      </c>
      <c r="G18" s="36">
        <v>42401</v>
      </c>
      <c r="H18" s="40">
        <v>1.8452064945978397</v>
      </c>
      <c r="I18" s="40">
        <v>1.7746276302006363</v>
      </c>
      <c r="J18" s="40">
        <v>1.8289735727586562</v>
      </c>
      <c r="K18" s="160">
        <f t="shared" si="4"/>
        <v>2016</v>
      </c>
    </row>
    <row r="19" spans="2:15">
      <c r="B19" s="30">
        <f t="shared" si="0"/>
        <v>2021</v>
      </c>
      <c r="C19" s="31">
        <f t="shared" si="1"/>
        <v>2.4300000000000002</v>
      </c>
      <c r="D19" s="31">
        <f t="shared" si="2"/>
        <v>2.27</v>
      </c>
      <c r="E19" s="31">
        <f t="shared" si="3"/>
        <v>2.4</v>
      </c>
      <c r="G19" s="36">
        <v>42430</v>
      </c>
      <c r="H19" s="40">
        <v>1.5253593249607535</v>
      </c>
      <c r="I19" s="40">
        <v>1.4851256469456469</v>
      </c>
      <c r="J19" s="40">
        <v>1.5765269848510393</v>
      </c>
      <c r="K19" s="160">
        <f t="shared" si="4"/>
        <v>2016</v>
      </c>
    </row>
    <row r="20" spans="2:15">
      <c r="B20" s="30">
        <f t="shared" si="0"/>
        <v>2022</v>
      </c>
      <c r="C20" s="31">
        <f t="shared" si="1"/>
        <v>2.48</v>
      </c>
      <c r="D20" s="31">
        <f t="shared" si="2"/>
        <v>2.34</v>
      </c>
      <c r="E20" s="31">
        <f t="shared" si="3"/>
        <v>2.46</v>
      </c>
      <c r="G20" s="36">
        <v>42461</v>
      </c>
      <c r="H20" s="40">
        <v>1.6910448299319725</v>
      </c>
      <c r="I20" s="40">
        <v>1.4973848492599942</v>
      </c>
      <c r="J20" s="40">
        <v>1.7513146360624383</v>
      </c>
      <c r="K20" s="160">
        <f t="shared" si="4"/>
        <v>2016</v>
      </c>
    </row>
    <row r="21" spans="2:15">
      <c r="B21" s="30">
        <f t="shared" si="0"/>
        <v>2023</v>
      </c>
      <c r="C21" s="31">
        <f t="shared" si="1"/>
        <v>2.52</v>
      </c>
      <c r="D21" s="31">
        <f t="shared" si="2"/>
        <v>2.4300000000000002</v>
      </c>
      <c r="E21" s="31">
        <f t="shared" si="3"/>
        <v>2.5299999999999998</v>
      </c>
      <c r="G21" s="36">
        <v>42491</v>
      </c>
      <c r="H21" s="40">
        <v>1.7310108163265305</v>
      </c>
      <c r="I21" s="40">
        <v>1.5718715629148743</v>
      </c>
      <c r="J21" s="40">
        <v>1.8004724578470166</v>
      </c>
      <c r="K21" s="160">
        <f t="shared" si="4"/>
        <v>2016</v>
      </c>
    </row>
    <row r="22" spans="2:15">
      <c r="B22" s="30">
        <f t="shared" si="0"/>
        <v>2024</v>
      </c>
      <c r="C22" s="31">
        <f t="shared" si="1"/>
        <v>3.14</v>
      </c>
      <c r="D22" s="31">
        <f t="shared" si="2"/>
        <v>3.09</v>
      </c>
      <c r="E22" s="31">
        <f t="shared" si="3"/>
        <v>3.16</v>
      </c>
      <c r="G22" s="36">
        <v>42522</v>
      </c>
      <c r="H22" s="40">
        <v>2.3388150491307629</v>
      </c>
      <c r="I22" s="40">
        <v>2.1751230113991165</v>
      </c>
      <c r="J22" s="40">
        <v>2.3647654677733372</v>
      </c>
      <c r="K22" s="160">
        <f t="shared" si="4"/>
        <v>2016</v>
      </c>
    </row>
    <row r="23" spans="2:15">
      <c r="B23" s="30">
        <f t="shared" si="0"/>
        <v>2025</v>
      </c>
      <c r="C23" s="31">
        <f t="shared" si="1"/>
        <v>3.82</v>
      </c>
      <c r="D23" s="31">
        <f t="shared" si="2"/>
        <v>3.79</v>
      </c>
      <c r="E23" s="31">
        <f t="shared" si="3"/>
        <v>3.84</v>
      </c>
      <c r="G23" s="36">
        <v>42552</v>
      </c>
      <c r="H23" s="40">
        <v>2.58101081632653</v>
      </c>
      <c r="I23" s="40">
        <v>2.5037871798230165</v>
      </c>
      <c r="J23" s="40">
        <v>2.6063456138089238</v>
      </c>
      <c r="K23" s="160">
        <f t="shared" si="4"/>
        <v>2016</v>
      </c>
    </row>
    <row r="24" spans="2:15">
      <c r="B24" s="30">
        <f t="shared" si="0"/>
        <v>2026</v>
      </c>
      <c r="C24" s="31">
        <f t="shared" si="1"/>
        <v>3.88</v>
      </c>
      <c r="D24" s="31">
        <f t="shared" si="2"/>
        <v>3.85</v>
      </c>
      <c r="E24" s="31">
        <f t="shared" si="3"/>
        <v>3.9</v>
      </c>
      <c r="G24" s="36">
        <v>42583</v>
      </c>
      <c r="H24" s="40">
        <v>2.6353985714285706</v>
      </c>
      <c r="I24" s="40">
        <v>2.6477537958754924</v>
      </c>
      <c r="J24" s="40">
        <v>2.6355990076984344</v>
      </c>
      <c r="K24" s="160">
        <f t="shared" si="4"/>
        <v>2016</v>
      </c>
    </row>
    <row r="25" spans="2:15">
      <c r="B25" s="30">
        <f t="shared" si="0"/>
        <v>2027</v>
      </c>
      <c r="C25" s="31">
        <f t="shared" si="1"/>
        <v>4.0199999999999996</v>
      </c>
      <c r="D25" s="31">
        <f t="shared" si="2"/>
        <v>3.99</v>
      </c>
      <c r="E25" s="31">
        <f t="shared" si="3"/>
        <v>4.04</v>
      </c>
      <c r="G25" s="36">
        <v>42614</v>
      </c>
      <c r="H25" s="40">
        <v>2.7123373469387757</v>
      </c>
      <c r="I25" s="40">
        <v>2.7714741535603351</v>
      </c>
      <c r="J25" s="40">
        <v>2.7681537930798932</v>
      </c>
      <c r="K25" s="160">
        <f t="shared" si="4"/>
        <v>2016</v>
      </c>
    </row>
    <row r="26" spans="2:15">
      <c r="B26" s="30">
        <f t="shared" si="0"/>
        <v>2028</v>
      </c>
      <c r="C26" s="31">
        <f t="shared" si="1"/>
        <v>4.21</v>
      </c>
      <c r="D26" s="31">
        <f t="shared" si="2"/>
        <v>4.17</v>
      </c>
      <c r="E26" s="31">
        <f t="shared" si="3"/>
        <v>4.24</v>
      </c>
      <c r="G26" s="36">
        <v>42644</v>
      </c>
      <c r="H26" s="40">
        <v>2.6862698430141281</v>
      </c>
      <c r="I26" s="40">
        <v>2.6942040298820258</v>
      </c>
      <c r="J26" s="40">
        <v>2.7499682086675996</v>
      </c>
      <c r="K26" s="160">
        <f t="shared" si="4"/>
        <v>2016</v>
      </c>
    </row>
    <row r="27" spans="2:15">
      <c r="B27" s="30">
        <f t="shared" si="0"/>
        <v>2029</v>
      </c>
      <c r="C27" s="31">
        <f t="shared" si="1"/>
        <v>4.51</v>
      </c>
      <c r="D27" s="31">
        <f t="shared" si="2"/>
        <v>4.47</v>
      </c>
      <c r="E27" s="31">
        <f t="shared" si="3"/>
        <v>4.54</v>
      </c>
      <c r="G27" s="36">
        <v>42675</v>
      </c>
      <c r="H27" s="40">
        <v>2.269616258503401</v>
      </c>
      <c r="I27" s="40">
        <v>2.2676824839611038</v>
      </c>
      <c r="J27" s="40">
        <v>2.3066994090924613</v>
      </c>
      <c r="K27" s="160">
        <f t="shared" si="4"/>
        <v>2016</v>
      </c>
    </row>
    <row r="28" spans="2:15">
      <c r="B28" s="30">
        <f t="shared" si="0"/>
        <v>2030</v>
      </c>
      <c r="C28" s="31">
        <f t="shared" si="1"/>
        <v>4.82</v>
      </c>
      <c r="D28" s="31">
        <f t="shared" si="2"/>
        <v>4.7699999999999996</v>
      </c>
      <c r="E28" s="31">
        <f t="shared" si="3"/>
        <v>4.8499999999999996</v>
      </c>
      <c r="G28" s="36">
        <v>42705</v>
      </c>
      <c r="H28" s="40">
        <v>3.5123636800526663</v>
      </c>
      <c r="I28" s="40">
        <v>3.8167860057158185</v>
      </c>
      <c r="J28" s="40">
        <v>3.5518748027461844</v>
      </c>
      <c r="K28" s="160">
        <f t="shared" si="4"/>
        <v>2016</v>
      </c>
    </row>
    <row r="29" spans="2:15">
      <c r="B29" s="30">
        <f t="shared" si="0"/>
        <v>2031</v>
      </c>
      <c r="C29" s="31">
        <f t="shared" si="1"/>
        <v>5.08</v>
      </c>
      <c r="D29" s="31">
        <f t="shared" si="2"/>
        <v>5.03</v>
      </c>
      <c r="E29" s="31">
        <f t="shared" si="3"/>
        <v>5.1100000000000003</v>
      </c>
      <c r="G29" s="36">
        <v>42736</v>
      </c>
      <c r="H29" s="40">
        <v>3.2524393877551017</v>
      </c>
      <c r="I29" s="40">
        <v>3.3561960050231532</v>
      </c>
      <c r="J29" s="40">
        <v>3.2801653137385181</v>
      </c>
      <c r="K29" s="160">
        <f t="shared" si="4"/>
        <v>2017</v>
      </c>
    </row>
    <row r="30" spans="2:15">
      <c r="B30" s="30">
        <f t="shared" si="0"/>
        <v>2032</v>
      </c>
      <c r="C30" s="31">
        <f t="shared" si="1"/>
        <v>5.25</v>
      </c>
      <c r="D30" s="31">
        <f t="shared" si="2"/>
        <v>5.2</v>
      </c>
      <c r="E30" s="31">
        <f t="shared" si="3"/>
        <v>5.28</v>
      </c>
      <c r="G30" s="36">
        <v>42767</v>
      </c>
      <c r="H30" s="40">
        <v>2.6306099416909614</v>
      </c>
      <c r="I30" s="40">
        <v>2.6504924458347814</v>
      </c>
      <c r="J30" s="40">
        <v>2.6686241769502144</v>
      </c>
      <c r="K30" s="160">
        <f t="shared" si="4"/>
        <v>2017</v>
      </c>
    </row>
    <row r="31" spans="2:15">
      <c r="B31" s="30">
        <f t="shared" si="0"/>
        <v>2033</v>
      </c>
      <c r="C31" s="31">
        <f t="shared" si="1"/>
        <v>5.5</v>
      </c>
      <c r="D31" s="31">
        <f t="shared" si="2"/>
        <v>5.44</v>
      </c>
      <c r="E31" s="31">
        <f t="shared" si="3"/>
        <v>5.53</v>
      </c>
      <c r="G31" s="36">
        <v>42795</v>
      </c>
      <c r="H31" s="40">
        <v>2.5701319486504275</v>
      </c>
      <c r="I31" s="40">
        <v>2.5253807890537106</v>
      </c>
      <c r="J31" s="40">
        <v>2.6203938538123621</v>
      </c>
      <c r="K31" s="160">
        <f t="shared" si="4"/>
        <v>2017</v>
      </c>
    </row>
    <row r="32" spans="2:15">
      <c r="B32" s="30">
        <f t="shared" si="0"/>
        <v>2034</v>
      </c>
      <c r="C32" s="31">
        <f t="shared" si="1"/>
        <v>5.78</v>
      </c>
      <c r="D32" s="31">
        <f t="shared" si="2"/>
        <v>5.73</v>
      </c>
      <c r="E32" s="31">
        <f t="shared" si="3"/>
        <v>5.81</v>
      </c>
      <c r="G32" s="36">
        <v>42826</v>
      </c>
      <c r="H32" s="40">
        <v>2.7337319047619042</v>
      </c>
      <c r="I32" s="40">
        <v>2.7006025141930237</v>
      </c>
      <c r="J32" s="40">
        <v>2.8173391604331051</v>
      </c>
      <c r="K32" s="160">
        <f t="shared" si="4"/>
        <v>2017</v>
      </c>
    </row>
    <row r="33" spans="2:11">
      <c r="B33" s="30">
        <f t="shared" si="0"/>
        <v>2035</v>
      </c>
      <c r="C33" s="31">
        <f t="shared" si="1"/>
        <v>6</v>
      </c>
      <c r="D33" s="31">
        <f t="shared" si="2"/>
        <v>5.93</v>
      </c>
      <c r="E33" s="31">
        <f t="shared" si="3"/>
        <v>6.03</v>
      </c>
      <c r="G33" s="36">
        <v>42856</v>
      </c>
      <c r="H33" s="40">
        <v>2.793469670836076</v>
      </c>
      <c r="I33" s="40">
        <v>2.7443261884205832</v>
      </c>
      <c r="J33" s="40">
        <v>2.8496280759861037</v>
      </c>
      <c r="K33" s="160">
        <f t="shared" si="4"/>
        <v>2017</v>
      </c>
    </row>
    <row r="34" spans="2:11">
      <c r="B34" s="30">
        <f t="shared" si="0"/>
        <v>2036</v>
      </c>
      <c r="C34" s="31">
        <f t="shared" si="1"/>
        <v>6.37</v>
      </c>
      <c r="D34" s="31">
        <f t="shared" si="2"/>
        <v>6.3</v>
      </c>
      <c r="E34" s="31">
        <f t="shared" si="3"/>
        <v>6.4</v>
      </c>
      <c r="G34" s="36">
        <v>42887</v>
      </c>
      <c r="H34" s="40">
        <v>2.8754985714285715</v>
      </c>
      <c r="I34" s="40">
        <v>2.8528564316455696</v>
      </c>
      <c r="J34" s="40">
        <v>2.9027304231990985</v>
      </c>
      <c r="K34" s="160">
        <f t="shared" si="4"/>
        <v>2017</v>
      </c>
    </row>
    <row r="35" spans="2:11">
      <c r="B35" s="30">
        <f t="shared" si="0"/>
        <v>2037</v>
      </c>
      <c r="C35" s="31">
        <f t="shared" si="1"/>
        <v>6.55</v>
      </c>
      <c r="D35" s="31">
        <f t="shared" si="2"/>
        <v>6.47</v>
      </c>
      <c r="E35" s="31">
        <f t="shared" si="3"/>
        <v>6.58</v>
      </c>
      <c r="G35" s="36">
        <v>42917</v>
      </c>
      <c r="H35" s="40">
        <v>2.6189359863945567</v>
      </c>
      <c r="I35" s="40">
        <v>2.5466376239436985</v>
      </c>
      <c r="J35" s="40">
        <v>2.6888170462996945</v>
      </c>
      <c r="K35" s="160">
        <f t="shared" si="4"/>
        <v>2017</v>
      </c>
    </row>
    <row r="36" spans="2:11">
      <c r="B36" s="30">
        <f t="shared" si="0"/>
        <v>2038</v>
      </c>
      <c r="C36" s="31">
        <f t="shared" si="1"/>
        <v>6.83</v>
      </c>
      <c r="D36" s="31">
        <f t="shared" si="2"/>
        <v>6.75</v>
      </c>
      <c r="E36" s="31">
        <f t="shared" si="3"/>
        <v>6.87</v>
      </c>
      <c r="G36" s="36">
        <v>42948</v>
      </c>
      <c r="H36" s="40">
        <v>2.6204058600583098</v>
      </c>
      <c r="I36" s="40">
        <v>2.6257784553802681</v>
      </c>
      <c r="J36" s="40">
        <v>2.6400613898171748</v>
      </c>
      <c r="K36" s="160">
        <f t="shared" si="4"/>
        <v>2017</v>
      </c>
    </row>
    <row r="37" spans="2:11">
      <c r="B37" s="30">
        <f t="shared" si="0"/>
        <v>2039</v>
      </c>
      <c r="C37" s="31">
        <f t="shared" si="1"/>
        <v>6.99</v>
      </c>
      <c r="D37" s="31">
        <f t="shared" si="2"/>
        <v>6.9</v>
      </c>
      <c r="E37" s="31">
        <f t="shared" si="3"/>
        <v>7.03</v>
      </c>
      <c r="G37" s="36">
        <v>42979</v>
      </c>
      <c r="H37" s="40">
        <v>2.6225484658691061</v>
      </c>
      <c r="I37" s="40">
        <v>2.6345373614490408</v>
      </c>
      <c r="J37" s="40">
        <v>2.6856658332479428</v>
      </c>
      <c r="K37" s="160">
        <f t="shared" si="4"/>
        <v>2017</v>
      </c>
    </row>
    <row r="38" spans="2:11">
      <c r="B38" s="30">
        <f t="shared" si="0"/>
        <v>2040</v>
      </c>
      <c r="C38" s="31">
        <f t="shared" si="1"/>
        <v>7.17</v>
      </c>
      <c r="D38" s="31">
        <f t="shared" si="2"/>
        <v>7.08</v>
      </c>
      <c r="E38" s="31">
        <f t="shared" si="3"/>
        <v>7.21</v>
      </c>
      <c r="G38" s="36">
        <v>43009</v>
      </c>
      <c r="H38" s="40">
        <v>2.5740380272108854</v>
      </c>
      <c r="I38" s="40">
        <v>2.6107351568427379</v>
      </c>
      <c r="J38" s="40">
        <v>2.6111385427512732</v>
      </c>
      <c r="K38" s="160">
        <f t="shared" si="4"/>
        <v>2017</v>
      </c>
    </row>
    <row r="39" spans="2:11">
      <c r="B39" s="30">
        <f t="shared" si="0"/>
        <v>2041</v>
      </c>
      <c r="C39" s="31">
        <f t="shared" si="1"/>
        <v>7.33</v>
      </c>
      <c r="D39" s="31">
        <f t="shared" si="2"/>
        <v>7.24</v>
      </c>
      <c r="E39" s="31">
        <f t="shared" si="3"/>
        <v>7.37</v>
      </c>
      <c r="G39" s="36">
        <v>43040</v>
      </c>
      <c r="H39" s="40">
        <v>2.7398543537414972</v>
      </c>
      <c r="I39" s="40">
        <v>2.739633333333332</v>
      </c>
      <c r="J39" s="40">
        <v>2.7824995252245799</v>
      </c>
      <c r="K39" s="160">
        <f t="shared" si="4"/>
        <v>2017</v>
      </c>
    </row>
    <row r="40" spans="2:11">
      <c r="B40" s="30">
        <f t="shared" si="0"/>
        <v>2042</v>
      </c>
      <c r="C40" s="31">
        <f>ROUND(SUMIF($K$17:$K$340,$B40,$H$17:$H$340)/COUNTIF($K$17:$K$340,$B40),2)</f>
        <v>5.01</v>
      </c>
      <c r="D40" s="31">
        <f t="shared" si="2"/>
        <v>4.95</v>
      </c>
      <c r="E40" s="31">
        <f t="shared" si="3"/>
        <v>5.03</v>
      </c>
      <c r="G40" s="36">
        <v>43070</v>
      </c>
      <c r="H40" s="40">
        <v>2.5383676300197497</v>
      </c>
      <c r="I40" s="40">
        <v>2.6872597624466938</v>
      </c>
      <c r="J40" s="40">
        <v>2.5594079648562609</v>
      </c>
      <c r="K40" s="160">
        <f t="shared" si="4"/>
        <v>2017</v>
      </c>
    </row>
    <row r="41" spans="2:11">
      <c r="B41" s="30"/>
      <c r="C41" s="31"/>
      <c r="G41" s="36">
        <v>43101</v>
      </c>
      <c r="H41" s="40">
        <v>2.7080516326530608</v>
      </c>
      <c r="I41" s="40">
        <v>2.4846657745336573</v>
      </c>
      <c r="J41" s="40">
        <v>2.6757604467670868</v>
      </c>
      <c r="K41" s="160">
        <f t="shared" si="4"/>
        <v>2018</v>
      </c>
    </row>
    <row r="42" spans="2:11">
      <c r="B42" s="30"/>
      <c r="C42" s="31"/>
      <c r="G42" s="36">
        <v>43132</v>
      </c>
      <c r="H42" s="40">
        <v>2.7570312244897957</v>
      </c>
      <c r="I42" s="40">
        <v>2.4471556366585561</v>
      </c>
      <c r="J42" s="40">
        <v>2.7172606004713598</v>
      </c>
      <c r="K42" s="160">
        <f t="shared" si="4"/>
        <v>2018</v>
      </c>
    </row>
    <row r="43" spans="2:11">
      <c r="G43" s="36">
        <v>43160</v>
      </c>
      <c r="H43" s="40">
        <v>2.5151944897959182</v>
      </c>
      <c r="I43" s="40">
        <v>2.2170258718572584</v>
      </c>
      <c r="J43" s="40">
        <v>2.510272179526591</v>
      </c>
      <c r="K43" s="160">
        <f t="shared" si="4"/>
        <v>2018</v>
      </c>
    </row>
    <row r="44" spans="2:11">
      <c r="B44" s="162" t="str">
        <f>"Official Forward Price Curve Forecast dated   "&amp;TEXT(G5,"MMM dd, YYYY")</f>
        <v>Official Forward Price Curve Forecast dated   Dec 29, 2017</v>
      </c>
      <c r="G44" s="36">
        <v>43191</v>
      </c>
      <c r="H44" s="40">
        <v>2.2274393877551018</v>
      </c>
      <c r="I44" s="40">
        <v>1.8652416058394161</v>
      </c>
      <c r="J44" s="40">
        <v>2.2110611947945484</v>
      </c>
      <c r="K44" s="160">
        <f t="shared" si="4"/>
        <v>2018</v>
      </c>
    </row>
    <row r="45" spans="2:11">
      <c r="G45" s="36">
        <v>43221</v>
      </c>
      <c r="H45" s="40">
        <v>2.1657046938775508</v>
      </c>
      <c r="I45" s="40">
        <v>1.7849496350364964</v>
      </c>
      <c r="J45" s="40">
        <v>2.1567523516753764</v>
      </c>
      <c r="K45" s="160">
        <f t="shared" si="4"/>
        <v>2018</v>
      </c>
    </row>
    <row r="46" spans="2:11">
      <c r="G46" s="36">
        <v>43252</v>
      </c>
      <c r="H46" s="40">
        <v>2.2595822448979592</v>
      </c>
      <c r="I46" s="40">
        <v>1.8832870235198702</v>
      </c>
      <c r="J46" s="40">
        <v>2.2407773542371148</v>
      </c>
      <c r="K46" s="160">
        <f t="shared" si="4"/>
        <v>2018</v>
      </c>
    </row>
    <row r="47" spans="2:11">
      <c r="G47" s="36">
        <v>43282</v>
      </c>
      <c r="H47" s="40">
        <v>2.3116230612244895</v>
      </c>
      <c r="I47" s="40">
        <v>1.9500956204379563</v>
      </c>
      <c r="J47" s="40">
        <v>2.2751046418690439</v>
      </c>
      <c r="K47" s="160">
        <f t="shared" si="4"/>
        <v>2018</v>
      </c>
    </row>
    <row r="48" spans="2:11">
      <c r="G48" s="36">
        <v>43313</v>
      </c>
      <c r="H48" s="40">
        <v>2.3376434693877548</v>
      </c>
      <c r="I48" s="40">
        <v>1.9899374695863747</v>
      </c>
      <c r="J48" s="40">
        <v>2.3012343682754381</v>
      </c>
      <c r="K48" s="160">
        <f t="shared" si="4"/>
        <v>2018</v>
      </c>
    </row>
    <row r="49" spans="7:13">
      <c r="G49" s="36">
        <v>43344</v>
      </c>
      <c r="H49" s="40">
        <v>2.3192761224489797</v>
      </c>
      <c r="I49" s="40">
        <v>1.9779747769667477</v>
      </c>
      <c r="J49" s="40">
        <v>2.2904750691669227</v>
      </c>
      <c r="K49" s="160">
        <f t="shared" si="4"/>
        <v>2018</v>
      </c>
      <c r="L49" s="4"/>
      <c r="M49" s="4"/>
    </row>
    <row r="50" spans="7:13">
      <c r="G50" s="36">
        <v>43374</v>
      </c>
      <c r="H50" s="40">
        <v>2.2815210204081633</v>
      </c>
      <c r="I50" s="40">
        <v>2.0621191403081913</v>
      </c>
      <c r="J50" s="40">
        <v>2.2756169894456399</v>
      </c>
      <c r="K50" s="160">
        <f t="shared" si="4"/>
        <v>2018</v>
      </c>
      <c r="L50" s="4"/>
      <c r="M50" s="4"/>
    </row>
    <row r="51" spans="7:13">
      <c r="G51" s="36">
        <v>43405</v>
      </c>
      <c r="H51" s="40">
        <v>2.4881536734693874</v>
      </c>
      <c r="I51" s="40">
        <v>2.2573746147607463</v>
      </c>
      <c r="J51" s="40">
        <v>2.4216360487754893</v>
      </c>
      <c r="K51" s="160">
        <f t="shared" si="4"/>
        <v>2018</v>
      </c>
      <c r="L51" s="4"/>
      <c r="M51" s="4"/>
    </row>
    <row r="52" spans="7:13">
      <c r="G52" s="36">
        <v>43435</v>
      </c>
      <c r="H52" s="40">
        <v>2.7917251020408163</v>
      </c>
      <c r="I52" s="40">
        <v>2.4169447688564478</v>
      </c>
      <c r="J52" s="40">
        <v>2.7290445947330668</v>
      </c>
      <c r="K52" s="160">
        <f t="shared" si="4"/>
        <v>2018</v>
      </c>
      <c r="L52" s="4"/>
      <c r="M52" s="4"/>
    </row>
    <row r="53" spans="7:13">
      <c r="G53" s="36">
        <v>43466</v>
      </c>
      <c r="H53" s="40">
        <v>2.8646842857142856</v>
      </c>
      <c r="I53" s="40">
        <v>2.4501969991889698</v>
      </c>
      <c r="J53" s="40">
        <v>2.8304894148990676</v>
      </c>
      <c r="K53" s="160">
        <f t="shared" si="4"/>
        <v>2019</v>
      </c>
      <c r="L53" s="4"/>
      <c r="M53" s="4"/>
    </row>
    <row r="54" spans="7:13">
      <c r="G54" s="36">
        <v>43497</v>
      </c>
      <c r="H54" s="40">
        <v>2.8136638775510203</v>
      </c>
      <c r="I54" s="40">
        <v>2.4425935928629356</v>
      </c>
      <c r="J54" s="40">
        <v>2.7920633466543703</v>
      </c>
      <c r="K54" s="160">
        <f t="shared" si="4"/>
        <v>2019</v>
      </c>
      <c r="L54" s="4"/>
      <c r="M54" s="4"/>
    </row>
    <row r="55" spans="7:13">
      <c r="G55" s="36">
        <v>43525</v>
      </c>
      <c r="H55" s="40">
        <v>2.6024393877551018</v>
      </c>
      <c r="I55" s="40">
        <v>2.3150591240875911</v>
      </c>
      <c r="J55" s="40">
        <v>2.5722662362947024</v>
      </c>
      <c r="K55" s="160">
        <f t="shared" si="4"/>
        <v>2019</v>
      </c>
      <c r="L55" s="4"/>
      <c r="M55" s="4"/>
    </row>
    <row r="56" spans="7:13">
      <c r="G56" s="36">
        <v>43556</v>
      </c>
      <c r="H56" s="40">
        <v>2.112133265306122</v>
      </c>
      <c r="I56" s="40">
        <v>1.9230274939172751</v>
      </c>
      <c r="J56" s="40">
        <v>2.1029558561328008</v>
      </c>
      <c r="K56" s="160">
        <f t="shared" si="4"/>
        <v>2019</v>
      </c>
      <c r="L56" s="4"/>
      <c r="M56" s="4"/>
    </row>
    <row r="57" spans="7:13">
      <c r="G57" s="36">
        <v>43586</v>
      </c>
      <c r="H57" s="40">
        <v>2.1044802040816326</v>
      </c>
      <c r="I57" s="40">
        <v>1.8812594484995944</v>
      </c>
      <c r="J57" s="40">
        <v>2.0875854288349216</v>
      </c>
      <c r="K57" s="160">
        <f t="shared" si="4"/>
        <v>2019</v>
      </c>
      <c r="L57" s="4"/>
      <c r="M57" s="4"/>
    </row>
    <row r="58" spans="7:13">
      <c r="G58" s="36">
        <v>43617</v>
      </c>
      <c r="H58" s="40">
        <v>2.1243781632653058</v>
      </c>
      <c r="I58" s="40">
        <v>1.9086317112733171</v>
      </c>
      <c r="J58" s="40">
        <v>2.1101287222051437</v>
      </c>
      <c r="K58" s="160">
        <f t="shared" si="4"/>
        <v>2019</v>
      </c>
      <c r="L58" s="4"/>
      <c r="M58" s="4"/>
    </row>
    <row r="59" spans="7:13">
      <c r="G59" s="36">
        <v>43647</v>
      </c>
      <c r="H59" s="40">
        <v>2.2840720408163264</v>
      </c>
      <c r="I59" s="40">
        <v>1.9696617193836172</v>
      </c>
      <c r="J59" s="40">
        <v>2.2730552515626603</v>
      </c>
      <c r="K59" s="160">
        <f t="shared" si="4"/>
        <v>2019</v>
      </c>
      <c r="L59" s="4"/>
      <c r="M59" s="4"/>
    </row>
    <row r="60" spans="7:13">
      <c r="G60" s="36">
        <v>43678</v>
      </c>
      <c r="H60" s="40">
        <v>2.2850924489795919</v>
      </c>
      <c r="I60" s="40">
        <v>1.9478652879156531</v>
      </c>
      <c r="J60" s="40">
        <v>2.2740799467158519</v>
      </c>
      <c r="K60" s="160">
        <f t="shared" si="4"/>
        <v>2019</v>
      </c>
      <c r="L60" s="4"/>
      <c r="M60" s="4"/>
    </row>
    <row r="61" spans="7:13">
      <c r="G61" s="36">
        <v>43709</v>
      </c>
      <c r="H61" s="40">
        <v>2.2503985714285712</v>
      </c>
      <c r="I61" s="40">
        <v>1.9564824817518249</v>
      </c>
      <c r="J61" s="40">
        <v>2.2494872630392457</v>
      </c>
      <c r="K61" s="160">
        <f t="shared" si="4"/>
        <v>2019</v>
      </c>
      <c r="L61" s="4"/>
      <c r="M61" s="4"/>
    </row>
    <row r="62" spans="7:13">
      <c r="G62" s="36">
        <v>43739</v>
      </c>
      <c r="H62" s="40">
        <v>2.2274393877551018</v>
      </c>
      <c r="I62" s="40">
        <v>1.9463446066504462</v>
      </c>
      <c r="J62" s="40">
        <v>2.2315550978583869</v>
      </c>
      <c r="K62" s="160">
        <f t="shared" si="4"/>
        <v>2019</v>
      </c>
      <c r="L62" s="4"/>
      <c r="M62" s="4"/>
    </row>
    <row r="63" spans="7:13">
      <c r="G63" s="36">
        <v>43770</v>
      </c>
      <c r="H63" s="40">
        <v>2.4371332653061222</v>
      </c>
      <c r="I63" s="40">
        <v>2.2053673154906726</v>
      </c>
      <c r="J63" s="40">
        <v>2.3985804078286712</v>
      </c>
      <c r="K63" s="160">
        <f t="shared" si="4"/>
        <v>2019</v>
      </c>
      <c r="L63" s="4"/>
      <c r="M63" s="4"/>
    </row>
    <row r="64" spans="7:13">
      <c r="G64" s="36">
        <v>43800</v>
      </c>
      <c r="H64" s="40">
        <v>2.6590720408163264</v>
      </c>
      <c r="I64" s="40">
        <v>2.3472975669099756</v>
      </c>
      <c r="J64" s="40">
        <v>2.6265750794138745</v>
      </c>
      <c r="K64" s="160">
        <f t="shared" si="4"/>
        <v>2019</v>
      </c>
      <c r="L64" s="4"/>
      <c r="M64" s="4"/>
    </row>
    <row r="65" spans="7:13">
      <c r="G65" s="36">
        <v>43831</v>
      </c>
      <c r="H65" s="40">
        <v>2.7544802040816325</v>
      </c>
      <c r="I65" s="40">
        <v>2.4155254663422543</v>
      </c>
      <c r="J65" s="40">
        <v>2.7684953581309562</v>
      </c>
      <c r="K65" s="160">
        <f t="shared" ref="K65:K112" si="5">YEAR(G65)</f>
        <v>2020</v>
      </c>
      <c r="L65" s="4"/>
      <c r="M65" s="4"/>
    </row>
    <row r="66" spans="7:13">
      <c r="G66" s="36">
        <v>43862</v>
      </c>
      <c r="H66" s="40">
        <v>2.7223373469387755</v>
      </c>
      <c r="I66" s="40">
        <v>2.4037655312246549</v>
      </c>
      <c r="J66" s="40">
        <v>2.7643965775181885</v>
      </c>
      <c r="K66" s="160">
        <f t="shared" si="5"/>
        <v>2020</v>
      </c>
      <c r="L66" s="4"/>
      <c r="M66" s="4"/>
    </row>
    <row r="67" spans="7:13">
      <c r="G67" s="36">
        <v>43891</v>
      </c>
      <c r="H67" s="40">
        <v>2.6335618367346938</v>
      </c>
      <c r="I67" s="40">
        <v>2.3650388483373881</v>
      </c>
      <c r="J67" s="40">
        <v>2.6060811763500356</v>
      </c>
      <c r="K67" s="160">
        <f t="shared" si="5"/>
        <v>2020</v>
      </c>
      <c r="L67" s="4"/>
      <c r="M67" s="4"/>
    </row>
    <row r="68" spans="7:13">
      <c r="G68" s="36">
        <v>43922</v>
      </c>
      <c r="H68" s="40">
        <v>2.194786326530612</v>
      </c>
      <c r="I68" s="40">
        <v>1.9303267639902677</v>
      </c>
      <c r="J68" s="40">
        <v>2.1219127164668512</v>
      </c>
      <c r="K68" s="160">
        <f t="shared" si="5"/>
        <v>2020</v>
      </c>
      <c r="L68" s="4"/>
      <c r="M68" s="4"/>
    </row>
    <row r="69" spans="7:13">
      <c r="G69" s="36">
        <v>43952</v>
      </c>
      <c r="H69" s="40">
        <v>2.111112857142857</v>
      </c>
      <c r="I69" s="40">
        <v>1.9017379562043795</v>
      </c>
      <c r="J69" s="40">
        <v>2.1121781125115278</v>
      </c>
      <c r="K69" s="160">
        <f t="shared" si="5"/>
        <v>2020</v>
      </c>
      <c r="L69" s="4"/>
      <c r="M69" s="4"/>
    </row>
    <row r="70" spans="7:13">
      <c r="G70" s="36">
        <v>43983</v>
      </c>
      <c r="H70" s="40">
        <v>2.1345822448979592</v>
      </c>
      <c r="I70" s="40">
        <v>1.9351929440389293</v>
      </c>
      <c r="J70" s="40">
        <v>2.1357461010349423</v>
      </c>
      <c r="K70" s="160">
        <f t="shared" si="5"/>
        <v>2020</v>
      </c>
      <c r="L70" s="4"/>
      <c r="M70" s="4"/>
    </row>
    <row r="71" spans="7:13">
      <c r="G71" s="36">
        <v>44013</v>
      </c>
      <c r="H71" s="40">
        <v>2.2248883673469386</v>
      </c>
      <c r="I71" s="40">
        <v>1.9818271695052716</v>
      </c>
      <c r="J71" s="40">
        <v>2.2264316220924276</v>
      </c>
      <c r="K71" s="160">
        <f t="shared" si="5"/>
        <v>2020</v>
      </c>
      <c r="L71" s="4"/>
      <c r="M71" s="4"/>
    </row>
    <row r="72" spans="7:13">
      <c r="G72" s="36">
        <v>44044</v>
      </c>
      <c r="H72" s="40">
        <v>2.2401944897959183</v>
      </c>
      <c r="I72" s="40">
        <v>2.0071718572587187</v>
      </c>
      <c r="J72" s="40">
        <v>2.2418020493903064</v>
      </c>
      <c r="K72" s="160">
        <f t="shared" si="5"/>
        <v>2020</v>
      </c>
      <c r="L72" s="4"/>
      <c r="M72" s="4"/>
    </row>
    <row r="73" spans="7:13">
      <c r="G73" s="36">
        <v>44075</v>
      </c>
      <c r="H73" s="40">
        <v>2.2305006122448976</v>
      </c>
      <c r="I73" s="40">
        <v>2.0242034874290349</v>
      </c>
      <c r="J73" s="40">
        <v>2.2320674454349834</v>
      </c>
      <c r="K73" s="160">
        <f t="shared" si="5"/>
        <v>2020</v>
      </c>
      <c r="L73" s="4"/>
      <c r="M73" s="4"/>
    </row>
    <row r="74" spans="7:13">
      <c r="G74" s="36">
        <v>44105</v>
      </c>
      <c r="H74" s="40">
        <v>2.3070312244897959</v>
      </c>
      <c r="I74" s="40">
        <v>2.0494467964314675</v>
      </c>
      <c r="J74" s="40">
        <v>2.308919581924378</v>
      </c>
      <c r="K74" s="160">
        <f t="shared" si="5"/>
        <v>2020</v>
      </c>
      <c r="L74" s="4"/>
      <c r="M74" s="4"/>
    </row>
    <row r="75" spans="7:13">
      <c r="G75" s="36">
        <v>44136</v>
      </c>
      <c r="H75" s="40">
        <v>2.4917251020408164</v>
      </c>
      <c r="I75" s="40">
        <v>2.3496292781832926</v>
      </c>
      <c r="J75" s="40">
        <v>2.4585250742903986</v>
      </c>
      <c r="K75" s="160">
        <f t="shared" si="5"/>
        <v>2020</v>
      </c>
      <c r="L75" s="4"/>
      <c r="M75" s="4"/>
    </row>
    <row r="76" spans="7:13">
      <c r="G76" s="36">
        <v>44166</v>
      </c>
      <c r="H76" s="40">
        <v>2.6998883673469387</v>
      </c>
      <c r="I76" s="40">
        <v>2.4841588807785886</v>
      </c>
      <c r="J76" s="40">
        <v>2.6701246234245311</v>
      </c>
      <c r="K76" s="160">
        <f t="shared" si="5"/>
        <v>2020</v>
      </c>
      <c r="L76" s="4"/>
      <c r="M76" s="4"/>
    </row>
    <row r="77" spans="7:13">
      <c r="G77" s="36">
        <v>44197</v>
      </c>
      <c r="H77" s="40">
        <v>2.815194489795918</v>
      </c>
      <c r="I77" s="40">
        <v>2.5669853203568529</v>
      </c>
      <c r="J77" s="40">
        <v>2.7859151757352185</v>
      </c>
      <c r="K77" s="160">
        <f t="shared" si="5"/>
        <v>2021</v>
      </c>
      <c r="L77" s="4"/>
      <c r="M77" s="4"/>
    </row>
    <row r="78" spans="7:13">
      <c r="G78" s="36">
        <v>44228</v>
      </c>
      <c r="H78" s="40">
        <v>2.8157046938775507</v>
      </c>
      <c r="I78" s="40">
        <v>2.5814824817518245</v>
      </c>
      <c r="J78" s="40">
        <v>2.8017979506096937</v>
      </c>
      <c r="K78" s="160">
        <f t="shared" si="5"/>
        <v>2021</v>
      </c>
      <c r="L78" s="4"/>
      <c r="M78" s="4"/>
    </row>
    <row r="79" spans="7:13">
      <c r="G79" s="36">
        <v>44256</v>
      </c>
      <c r="H79" s="40">
        <v>2.7340720408163266</v>
      </c>
      <c r="I79" s="40">
        <v>2.5105173560421732</v>
      </c>
      <c r="J79" s="40">
        <v>2.7172606004713598</v>
      </c>
      <c r="K79" s="160">
        <f t="shared" si="5"/>
        <v>2021</v>
      </c>
      <c r="L79" s="4"/>
      <c r="M79" s="4"/>
    </row>
    <row r="80" spans="7:13">
      <c r="G80" s="36">
        <v>44287</v>
      </c>
      <c r="H80" s="40">
        <v>2.2264189795918363</v>
      </c>
      <c r="I80" s="40">
        <v>2.0505619626926195</v>
      </c>
      <c r="J80" s="40">
        <v>2.2049130238753971</v>
      </c>
      <c r="K80" s="160">
        <f t="shared" si="5"/>
        <v>2021</v>
      </c>
      <c r="L80" s="4"/>
      <c r="M80" s="4"/>
    </row>
    <row r="81" spans="7:13">
      <c r="G81" s="36">
        <v>44317</v>
      </c>
      <c r="H81" s="40">
        <v>2.1279495918367348</v>
      </c>
      <c r="I81" s="40">
        <v>2.0173097323600975</v>
      </c>
      <c r="J81" s="40">
        <v>2.106029941592376</v>
      </c>
      <c r="K81" s="160">
        <f t="shared" si="5"/>
        <v>2021</v>
      </c>
      <c r="L81" s="4"/>
      <c r="M81" s="4"/>
    </row>
    <row r="82" spans="7:13">
      <c r="G82" s="36">
        <v>44348</v>
      </c>
      <c r="H82" s="40">
        <v>2.1651944897959181</v>
      </c>
      <c r="I82" s="40">
        <v>2.04924403892944</v>
      </c>
      <c r="J82" s="40">
        <v>2.1434313146838817</v>
      </c>
      <c r="K82" s="160">
        <f t="shared" si="5"/>
        <v>2021</v>
      </c>
      <c r="L82" s="4"/>
      <c r="M82" s="4"/>
    </row>
    <row r="83" spans="7:13">
      <c r="G83" s="36">
        <v>44378</v>
      </c>
      <c r="H83" s="40">
        <v>2.2350924489795916</v>
      </c>
      <c r="I83" s="40">
        <v>2.0882748580697483</v>
      </c>
      <c r="J83" s="40">
        <v>2.2136229326775281</v>
      </c>
      <c r="K83" s="160">
        <f t="shared" si="5"/>
        <v>2021</v>
      </c>
      <c r="L83" s="4"/>
      <c r="M83" s="4"/>
    </row>
    <row r="84" spans="7:13">
      <c r="G84" s="36">
        <v>44409</v>
      </c>
      <c r="H84" s="40">
        <v>2.2503985714285712</v>
      </c>
      <c r="I84" s="40">
        <v>2.1123016220600164</v>
      </c>
      <c r="J84" s="40">
        <v>2.2289933599754073</v>
      </c>
      <c r="K84" s="160">
        <f t="shared" si="5"/>
        <v>2021</v>
      </c>
      <c r="L84" s="4"/>
      <c r="M84" s="4"/>
    </row>
    <row r="85" spans="7:13">
      <c r="G85" s="36">
        <v>44440</v>
      </c>
      <c r="H85" s="40">
        <v>2.2631536734693878</v>
      </c>
      <c r="I85" s="40">
        <v>2.1351118410381185</v>
      </c>
      <c r="J85" s="40">
        <v>2.2418020493903064</v>
      </c>
      <c r="K85" s="160">
        <f t="shared" si="5"/>
        <v>2021</v>
      </c>
      <c r="L85" s="4"/>
      <c r="M85" s="4"/>
    </row>
    <row r="86" spans="7:13">
      <c r="G86" s="36">
        <v>44470</v>
      </c>
      <c r="H86" s="40">
        <v>2.3044802040816328</v>
      </c>
      <c r="I86" s="40">
        <v>2.1521434712084346</v>
      </c>
      <c r="J86" s="40">
        <v>2.2833022030945793</v>
      </c>
      <c r="K86" s="160">
        <f t="shared" si="5"/>
        <v>2021</v>
      </c>
      <c r="L86" s="4"/>
      <c r="M86" s="4"/>
    </row>
    <row r="87" spans="7:13">
      <c r="G87" s="36">
        <v>44501</v>
      </c>
      <c r="H87" s="40">
        <v>2.5095822448979588</v>
      </c>
      <c r="I87" s="40">
        <v>2.3851118410381185</v>
      </c>
      <c r="J87" s="40">
        <v>2.4636485500563583</v>
      </c>
      <c r="K87" s="160">
        <f t="shared" si="5"/>
        <v>2021</v>
      </c>
      <c r="L87" s="4"/>
      <c r="M87" s="4"/>
    </row>
    <row r="88" spans="7:13">
      <c r="G88" s="36">
        <v>44531</v>
      </c>
      <c r="H88" s="40">
        <v>2.7070312244897958</v>
      </c>
      <c r="I88" s="40">
        <v>2.5318068937550686</v>
      </c>
      <c r="J88" s="40">
        <v>2.6670505379649558</v>
      </c>
      <c r="K88" s="160">
        <f t="shared" si="5"/>
        <v>2021</v>
      </c>
      <c r="L88" s="4"/>
      <c r="M88" s="4"/>
    </row>
    <row r="89" spans="7:13">
      <c r="G89" s="36">
        <v>44562</v>
      </c>
      <c r="H89" s="40">
        <v>2.8182557142857143</v>
      </c>
      <c r="I89" s="40">
        <v>2.6118961070559608</v>
      </c>
      <c r="J89" s="40">
        <v>2.7761805717798955</v>
      </c>
      <c r="K89" s="160">
        <f t="shared" si="5"/>
        <v>2022</v>
      </c>
      <c r="L89" s="4"/>
      <c r="M89" s="4"/>
    </row>
    <row r="90" spans="7:13">
      <c r="G90" s="36">
        <v>44593</v>
      </c>
      <c r="H90" s="40">
        <v>2.8131536734693876</v>
      </c>
      <c r="I90" s="40">
        <v>2.6030761557177611</v>
      </c>
      <c r="J90" s="40">
        <v>2.7889892611947946</v>
      </c>
      <c r="K90" s="160">
        <f t="shared" si="5"/>
        <v>2022</v>
      </c>
      <c r="L90" s="4"/>
      <c r="M90" s="4"/>
    </row>
    <row r="91" spans="7:13">
      <c r="G91" s="36">
        <v>44621</v>
      </c>
      <c r="H91" s="40">
        <v>2.726929183673469</v>
      </c>
      <c r="I91" s="40">
        <v>2.5503592051905919</v>
      </c>
      <c r="J91" s="40">
        <v>2.6972790449841173</v>
      </c>
      <c r="K91" s="160">
        <f t="shared" si="5"/>
        <v>2022</v>
      </c>
      <c r="L91" s="4"/>
      <c r="M91" s="4"/>
    </row>
    <row r="92" spans="7:13">
      <c r="G92" s="36">
        <v>44652</v>
      </c>
      <c r="H92" s="40">
        <v>2.2958067346938775</v>
      </c>
      <c r="I92" s="40">
        <v>2.1371394160583939</v>
      </c>
      <c r="J92" s="40">
        <v>2.2848392458243674</v>
      </c>
      <c r="K92" s="160">
        <f t="shared" si="5"/>
        <v>2022</v>
      </c>
      <c r="L92" s="4"/>
      <c r="M92" s="4"/>
    </row>
    <row r="93" spans="7:13">
      <c r="G93" s="36">
        <v>44682</v>
      </c>
      <c r="H93" s="40">
        <v>2.1998883673469387</v>
      </c>
      <c r="I93" s="40">
        <v>2.1103754257907541</v>
      </c>
      <c r="J93" s="40">
        <v>2.1962031150732657</v>
      </c>
      <c r="K93" s="160">
        <f t="shared" si="5"/>
        <v>2022</v>
      </c>
      <c r="L93" s="4"/>
      <c r="M93" s="4"/>
    </row>
    <row r="94" spans="7:13">
      <c r="G94" s="36">
        <v>44713</v>
      </c>
      <c r="H94" s="40">
        <v>2.2305006122448976</v>
      </c>
      <c r="I94" s="40">
        <v>2.1369366585563663</v>
      </c>
      <c r="J94" s="40">
        <v>2.2192587560200838</v>
      </c>
      <c r="K94" s="160">
        <f t="shared" si="5"/>
        <v>2022</v>
      </c>
      <c r="L94" s="4"/>
      <c r="M94" s="4"/>
    </row>
    <row r="95" spans="7:13">
      <c r="G95" s="36">
        <v>44743</v>
      </c>
      <c r="H95" s="40">
        <v>2.2937659183673471</v>
      </c>
      <c r="I95" s="40">
        <v>2.1833681265206808</v>
      </c>
      <c r="J95" s="40">
        <v>2.2904750691669227</v>
      </c>
      <c r="K95" s="160">
        <f t="shared" si="5"/>
        <v>2022</v>
      </c>
      <c r="L95" s="4"/>
      <c r="M95" s="4"/>
    </row>
    <row r="96" spans="7:13">
      <c r="G96" s="36">
        <v>44774</v>
      </c>
      <c r="H96" s="40">
        <v>2.3141740816326526</v>
      </c>
      <c r="I96" s="40">
        <v>2.2087128142741279</v>
      </c>
      <c r="J96" s="40">
        <v>2.3109689722307616</v>
      </c>
      <c r="K96" s="160">
        <f t="shared" si="5"/>
        <v>2022</v>
      </c>
      <c r="L96" s="4"/>
      <c r="M96" s="4"/>
    </row>
    <row r="97" spans="7:13">
      <c r="G97" s="36">
        <v>44805</v>
      </c>
      <c r="H97" s="40">
        <v>2.3192761224489797</v>
      </c>
      <c r="I97" s="40">
        <v>2.2239196269261958</v>
      </c>
      <c r="J97" s="40">
        <v>2.3084072343477815</v>
      </c>
      <c r="K97" s="160">
        <f t="shared" si="5"/>
        <v>2022</v>
      </c>
      <c r="L97" s="4"/>
      <c r="M97" s="4"/>
    </row>
    <row r="98" spans="7:13">
      <c r="G98" s="36">
        <v>44835</v>
      </c>
      <c r="H98" s="40">
        <v>2.3662148979591833</v>
      </c>
      <c r="I98" s="40">
        <v>2.2489601784266013</v>
      </c>
      <c r="J98" s="40">
        <v>2.3632284250435496</v>
      </c>
      <c r="K98" s="160">
        <f t="shared" si="5"/>
        <v>2022</v>
      </c>
      <c r="L98" s="4"/>
      <c r="M98" s="4"/>
    </row>
    <row r="99" spans="7:13">
      <c r="G99" s="36">
        <v>44866</v>
      </c>
      <c r="H99" s="40">
        <v>2.5901944897959184</v>
      </c>
      <c r="I99" s="40">
        <v>2.4702699918896998</v>
      </c>
      <c r="J99" s="40">
        <v>2.5471612050415002</v>
      </c>
      <c r="K99" s="160">
        <f t="shared" si="5"/>
        <v>2022</v>
      </c>
      <c r="L99" s="4"/>
      <c r="M99" s="4"/>
    </row>
    <row r="100" spans="7:13">
      <c r="G100" s="36">
        <v>44896</v>
      </c>
      <c r="H100" s="40">
        <v>2.7743781632653057</v>
      </c>
      <c r="I100" s="40">
        <v>2.6203105433901048</v>
      </c>
      <c r="J100" s="40">
        <v>2.7372421559586022</v>
      </c>
      <c r="K100" s="160">
        <f t="shared" si="5"/>
        <v>2022</v>
      </c>
      <c r="L100" s="4"/>
      <c r="M100" s="4"/>
    </row>
    <row r="101" spans="7:13">
      <c r="G101" s="36">
        <v>44927</v>
      </c>
      <c r="H101" s="40">
        <v>2.8764189795918367</v>
      </c>
      <c r="I101" s="40">
        <v>2.7279747769667475</v>
      </c>
      <c r="J101" s="40">
        <v>2.8371499333948154</v>
      </c>
      <c r="K101" s="160">
        <f t="shared" si="5"/>
        <v>2023</v>
      </c>
      <c r="L101" s="4"/>
      <c r="M101" s="4"/>
    </row>
    <row r="102" spans="7:13">
      <c r="G102" s="36">
        <v>44958</v>
      </c>
      <c r="H102" s="40">
        <v>2.8764189795918367</v>
      </c>
      <c r="I102" s="40">
        <v>2.7051645579886454</v>
      </c>
      <c r="J102" s="40">
        <v>2.8525203606926941</v>
      </c>
      <c r="K102" s="160">
        <f t="shared" si="5"/>
        <v>2023</v>
      </c>
      <c r="L102" s="4"/>
      <c r="M102" s="4"/>
    </row>
    <row r="103" spans="7:13">
      <c r="G103" s="36">
        <v>44986</v>
      </c>
      <c r="H103" s="40">
        <v>2.7927455102040817</v>
      </c>
      <c r="I103" s="40">
        <v>2.6676544201135437</v>
      </c>
      <c r="J103" s="40">
        <v>2.7659336202479761</v>
      </c>
      <c r="K103" s="160">
        <f t="shared" si="5"/>
        <v>2023</v>
      </c>
      <c r="L103" s="4"/>
      <c r="M103" s="4"/>
    </row>
    <row r="104" spans="7:13">
      <c r="G104" s="36">
        <v>45017</v>
      </c>
      <c r="H104" s="40">
        <v>2.3238679591836733</v>
      </c>
      <c r="I104" s="40">
        <v>2.2334492295214923</v>
      </c>
      <c r="J104" s="40">
        <v>2.3514444307818425</v>
      </c>
      <c r="K104" s="160">
        <f t="shared" si="5"/>
        <v>2023</v>
      </c>
      <c r="L104" s="4"/>
      <c r="M104" s="4"/>
    </row>
    <row r="105" spans="7:13">
      <c r="G105" s="36">
        <v>45047</v>
      </c>
      <c r="H105" s="40">
        <v>2.2320312244897957</v>
      </c>
      <c r="I105" s="40">
        <v>2.2030356042173556</v>
      </c>
      <c r="J105" s="40">
        <v>2.2643453427605285</v>
      </c>
      <c r="K105" s="160">
        <f t="shared" si="5"/>
        <v>2023</v>
      </c>
      <c r="L105" s="4"/>
      <c r="M105" s="4"/>
    </row>
    <row r="106" spans="7:13">
      <c r="G106" s="36">
        <v>45078</v>
      </c>
      <c r="H106" s="40">
        <v>2.2677455102040818</v>
      </c>
      <c r="I106" s="40">
        <v>2.2322326845093263</v>
      </c>
      <c r="J106" s="40">
        <v>2.2950861973562868</v>
      </c>
      <c r="K106" s="160">
        <f t="shared" si="5"/>
        <v>2023</v>
      </c>
      <c r="L106" s="4"/>
      <c r="M106" s="4"/>
    </row>
    <row r="107" spans="7:13">
      <c r="G107" s="36">
        <v>45108</v>
      </c>
      <c r="H107" s="40">
        <v>2.3029495918367346</v>
      </c>
      <c r="I107" s="40">
        <v>2.2760283049472827</v>
      </c>
      <c r="J107" s="40">
        <v>2.3355616559073678</v>
      </c>
      <c r="K107" s="160">
        <f t="shared" si="5"/>
        <v>2023</v>
      </c>
      <c r="L107" s="4"/>
      <c r="M107" s="4"/>
    </row>
    <row r="108" spans="7:13">
      <c r="G108" s="36">
        <v>45139</v>
      </c>
      <c r="H108" s="40">
        <v>2.3264189795918364</v>
      </c>
      <c r="I108" s="40">
        <v>2.3045157339821571</v>
      </c>
      <c r="J108" s="40">
        <v>2.3591296444307819</v>
      </c>
      <c r="K108" s="160">
        <f t="shared" si="5"/>
        <v>2023</v>
      </c>
      <c r="L108" s="4"/>
      <c r="M108" s="4"/>
    </row>
    <row r="109" spans="7:13">
      <c r="G109" s="36">
        <v>45170</v>
      </c>
      <c r="H109" s="40">
        <v>2.3396842857142857</v>
      </c>
      <c r="I109" s="40">
        <v>2.3251969991889698</v>
      </c>
      <c r="J109" s="40">
        <v>2.3673272056563173</v>
      </c>
      <c r="K109" s="160">
        <f t="shared" si="5"/>
        <v>2023</v>
      </c>
      <c r="L109" s="4"/>
      <c r="M109" s="4"/>
    </row>
    <row r="110" spans="7:13">
      <c r="G110" s="36">
        <v>45200</v>
      </c>
      <c r="H110" s="40">
        <v>2.3937659183673468</v>
      </c>
      <c r="I110" s="40">
        <v>2.3498320356853202</v>
      </c>
      <c r="J110" s="40">
        <v>2.4267595245414491</v>
      </c>
      <c r="K110" s="160">
        <f t="shared" si="5"/>
        <v>2023</v>
      </c>
      <c r="L110" s="4"/>
      <c r="M110" s="4"/>
    </row>
    <row r="111" spans="7:13">
      <c r="G111" s="36">
        <v>45231</v>
      </c>
      <c r="H111" s="40">
        <v>2.6585618367346937</v>
      </c>
      <c r="I111" s="40">
        <v>2.5115311435523111</v>
      </c>
      <c r="J111" s="40">
        <v>2.6721740137309151</v>
      </c>
      <c r="K111" s="160">
        <f t="shared" si="5"/>
        <v>2023</v>
      </c>
      <c r="L111" s="4"/>
      <c r="M111" s="4"/>
    </row>
    <row r="112" spans="7:13">
      <c r="G112" s="36">
        <v>45261</v>
      </c>
      <c r="H112" s="40">
        <v>2.8401944897959184</v>
      </c>
      <c r="I112" s="40">
        <v>2.6615716950527166</v>
      </c>
      <c r="J112" s="40">
        <v>2.8571314888820574</v>
      </c>
      <c r="K112" s="160">
        <f t="shared" si="5"/>
        <v>2023</v>
      </c>
      <c r="L112" s="4"/>
      <c r="M112" s="4"/>
    </row>
    <row r="113" spans="7:13">
      <c r="G113" s="36">
        <v>45292</v>
      </c>
      <c r="H113" s="40">
        <v>2.8494802040816327</v>
      </c>
      <c r="I113" s="40">
        <v>2.7938709651257096</v>
      </c>
      <c r="J113" s="40">
        <v>2.8832612152884516</v>
      </c>
      <c r="K113" s="160">
        <f t="shared" ref="K113:K159" si="6">YEAR(G113)</f>
        <v>2024</v>
      </c>
      <c r="L113" s="4"/>
      <c r="M113" s="4"/>
    </row>
    <row r="114" spans="7:13">
      <c r="G114" s="36">
        <v>45323</v>
      </c>
      <c r="H114" s="40">
        <v>3.5318271428571428</v>
      </c>
      <c r="I114" s="40">
        <v>3.4538466342254659</v>
      </c>
      <c r="J114" s="40">
        <v>3.5106820575878674</v>
      </c>
      <c r="K114" s="160">
        <f t="shared" si="6"/>
        <v>2024</v>
      </c>
      <c r="L114" s="4"/>
      <c r="M114" s="4"/>
    </row>
    <row r="115" spans="7:13">
      <c r="G115" s="36">
        <v>45352</v>
      </c>
      <c r="H115" s="40">
        <v>3.3849904081632651</v>
      </c>
      <c r="I115" s="40">
        <v>3.3307728304947282</v>
      </c>
      <c r="J115" s="40">
        <v>3.3606666871605699</v>
      </c>
      <c r="K115" s="160">
        <f t="shared" si="6"/>
        <v>2024</v>
      </c>
      <c r="L115" s="4"/>
      <c r="M115" s="4"/>
    </row>
    <row r="116" spans="7:13">
      <c r="G116" s="36">
        <v>45383</v>
      </c>
      <c r="H116" s="40">
        <v>2.9931536734693873</v>
      </c>
      <c r="I116" s="40">
        <v>2.9572935117599348</v>
      </c>
      <c r="J116" s="40">
        <v>3.0235419817604261</v>
      </c>
      <c r="K116" s="160">
        <f t="shared" si="6"/>
        <v>2024</v>
      </c>
      <c r="L116" s="4"/>
      <c r="M116" s="4"/>
    </row>
    <row r="117" spans="7:13">
      <c r="G117" s="36">
        <v>45413</v>
      </c>
      <c r="H117" s="40">
        <v>2.9275414285714283</v>
      </c>
      <c r="I117" s="40">
        <v>2.9225206001622057</v>
      </c>
      <c r="J117" s="40">
        <v>2.9627775591761449</v>
      </c>
      <c r="K117" s="160">
        <f t="shared" si="6"/>
        <v>2024</v>
      </c>
      <c r="L117" s="4"/>
      <c r="M117" s="4"/>
    </row>
    <row r="118" spans="7:13">
      <c r="G118" s="36">
        <v>45444</v>
      </c>
      <c r="H118" s="40">
        <v>2.9519291836734691</v>
      </c>
      <c r="I118" s="40">
        <v>2.9371191403081909</v>
      </c>
      <c r="J118" s="40">
        <v>2.9821442975714723</v>
      </c>
      <c r="K118" s="160">
        <f t="shared" si="6"/>
        <v>2024</v>
      </c>
      <c r="L118" s="4"/>
      <c r="M118" s="4"/>
    </row>
    <row r="119" spans="7:13">
      <c r="G119" s="36">
        <v>45474</v>
      </c>
      <c r="H119" s="40">
        <v>3.0285618367346938</v>
      </c>
      <c r="I119" s="40">
        <v>2.9720948094079476</v>
      </c>
      <c r="J119" s="40">
        <v>3.0642223793421457</v>
      </c>
      <c r="K119" s="160">
        <f t="shared" si="6"/>
        <v>2024</v>
      </c>
      <c r="L119" s="4"/>
      <c r="M119" s="4"/>
    </row>
    <row r="120" spans="7:13">
      <c r="G120" s="36">
        <v>45505</v>
      </c>
      <c r="H120" s="40">
        <v>3.059990408163265</v>
      </c>
      <c r="I120" s="40">
        <v>2.986287834549878</v>
      </c>
      <c r="J120" s="40">
        <v>3.095782990060457</v>
      </c>
      <c r="K120" s="160">
        <f t="shared" si="6"/>
        <v>2024</v>
      </c>
      <c r="L120" s="4"/>
      <c r="M120" s="4"/>
    </row>
    <row r="121" spans="7:13">
      <c r="G121" s="36">
        <v>45536</v>
      </c>
      <c r="H121" s="40">
        <v>3.0731536734693878</v>
      </c>
      <c r="I121" s="40">
        <v>3.0292724249797236</v>
      </c>
      <c r="J121" s="40">
        <v>3.1038780817706733</v>
      </c>
      <c r="K121" s="160">
        <f t="shared" si="6"/>
        <v>2024</v>
      </c>
      <c r="L121" s="4"/>
      <c r="M121" s="4"/>
    </row>
    <row r="122" spans="7:13">
      <c r="G122" s="36">
        <v>45566</v>
      </c>
      <c r="H122" s="40">
        <v>3.1001944897959182</v>
      </c>
      <c r="I122" s="40">
        <v>3.0415392538523922</v>
      </c>
      <c r="J122" s="40">
        <v>3.1361559790962188</v>
      </c>
      <c r="K122" s="160">
        <f t="shared" si="6"/>
        <v>2024</v>
      </c>
      <c r="L122" s="4"/>
      <c r="M122" s="4"/>
    </row>
    <row r="123" spans="7:13">
      <c r="G123" s="36">
        <v>45597</v>
      </c>
      <c r="H123" s="40">
        <v>3.2982557142857143</v>
      </c>
      <c r="I123" s="40">
        <v>3.2332464720194642</v>
      </c>
      <c r="J123" s="40">
        <v>3.3145554052669333</v>
      </c>
      <c r="K123" s="160">
        <f t="shared" si="6"/>
        <v>2024</v>
      </c>
      <c r="L123" s="4"/>
      <c r="M123" s="4"/>
    </row>
    <row r="124" spans="7:13">
      <c r="G124" s="36">
        <v>45627</v>
      </c>
      <c r="H124" s="40">
        <v>3.4809087755102039</v>
      </c>
      <c r="I124" s="40">
        <v>3.399507623682076</v>
      </c>
      <c r="J124" s="40">
        <v>3.5005375755712675</v>
      </c>
      <c r="K124" s="160">
        <f t="shared" si="6"/>
        <v>2024</v>
      </c>
      <c r="L124" s="4"/>
      <c r="M124" s="4"/>
    </row>
    <row r="125" spans="7:13">
      <c r="G125" s="36">
        <v>45658</v>
      </c>
      <c r="H125" s="40">
        <v>3.4928475510204078</v>
      </c>
      <c r="I125" s="40">
        <v>3.4728044606650443</v>
      </c>
      <c r="J125" s="40">
        <v>3.5292290398606414</v>
      </c>
      <c r="K125" s="160">
        <f t="shared" si="6"/>
        <v>2025</v>
      </c>
      <c r="L125" s="4"/>
      <c r="M125" s="4"/>
    </row>
    <row r="126" spans="7:13">
      <c r="G126" s="36">
        <v>45689</v>
      </c>
      <c r="H126" s="40">
        <v>4.1871332653061222</v>
      </c>
      <c r="I126" s="40">
        <v>4.2025287104622864</v>
      </c>
      <c r="J126" s="40">
        <v>4.1687412849677221</v>
      </c>
      <c r="K126" s="160">
        <f t="shared" si="6"/>
        <v>2025</v>
      </c>
      <c r="L126" s="4"/>
      <c r="M126" s="4"/>
    </row>
    <row r="127" spans="7:13">
      <c r="G127" s="36">
        <v>45717</v>
      </c>
      <c r="H127" s="40">
        <v>3.977235306122449</v>
      </c>
      <c r="I127" s="40">
        <v>3.9939926196269258</v>
      </c>
      <c r="J127" s="40">
        <v>3.9553997540731634</v>
      </c>
      <c r="K127" s="160">
        <f t="shared" si="6"/>
        <v>2025</v>
      </c>
      <c r="L127" s="4"/>
      <c r="M127" s="4"/>
    </row>
    <row r="128" spans="7:13">
      <c r="G128" s="36">
        <v>45748</v>
      </c>
      <c r="H128" s="40">
        <v>3.6623373469387754</v>
      </c>
      <c r="I128" s="40">
        <v>3.6811377939983778</v>
      </c>
      <c r="J128" s="40">
        <v>3.695537063223691</v>
      </c>
      <c r="K128" s="160">
        <f t="shared" si="6"/>
        <v>2025</v>
      </c>
      <c r="L128" s="4"/>
      <c r="M128" s="4"/>
    </row>
    <row r="129" spans="7:13">
      <c r="G129" s="36">
        <v>45778</v>
      </c>
      <c r="H129" s="40">
        <v>3.6229495918367349</v>
      </c>
      <c r="I129" s="40">
        <v>3.6420055961070554</v>
      </c>
      <c r="J129" s="40">
        <v>3.6611073060764423</v>
      </c>
      <c r="K129" s="160">
        <f t="shared" si="6"/>
        <v>2025</v>
      </c>
      <c r="L129" s="4"/>
      <c r="M129" s="4"/>
    </row>
    <row r="130" spans="7:13">
      <c r="G130" s="36">
        <v>45809</v>
      </c>
      <c r="H130" s="40">
        <v>3.6361128571428569</v>
      </c>
      <c r="I130" s="40">
        <v>3.6420055961070554</v>
      </c>
      <c r="J130" s="40">
        <v>3.6692023977866586</v>
      </c>
      <c r="K130" s="160">
        <f t="shared" si="6"/>
        <v>2025</v>
      </c>
      <c r="L130" s="4"/>
      <c r="M130" s="4"/>
    </row>
    <row r="131" spans="7:13">
      <c r="G131" s="36">
        <v>45839</v>
      </c>
      <c r="H131" s="40">
        <v>3.7541740816326525</v>
      </c>
      <c r="I131" s="40">
        <v>3.6680599351175989</v>
      </c>
      <c r="J131" s="40">
        <v>3.7928831027769241</v>
      </c>
      <c r="K131" s="160">
        <f t="shared" si="6"/>
        <v>2025</v>
      </c>
      <c r="L131" s="4"/>
      <c r="M131" s="4"/>
    </row>
    <row r="132" spans="7:13">
      <c r="G132" s="36">
        <v>45870</v>
      </c>
      <c r="H132" s="40">
        <v>3.7935618367346939</v>
      </c>
      <c r="I132" s="40">
        <v>3.6680599351175989</v>
      </c>
      <c r="J132" s="40">
        <v>3.8324363356901321</v>
      </c>
      <c r="K132" s="160">
        <f t="shared" si="6"/>
        <v>2025</v>
      </c>
      <c r="L132" s="4"/>
      <c r="M132" s="4"/>
    </row>
    <row r="133" spans="7:13">
      <c r="G133" s="36">
        <v>45901</v>
      </c>
      <c r="H133" s="40">
        <v>3.8066230612244896</v>
      </c>
      <c r="I133" s="40">
        <v>3.7332464720194647</v>
      </c>
      <c r="J133" s="40">
        <v>3.8404289578850292</v>
      </c>
      <c r="K133" s="160">
        <f t="shared" si="6"/>
        <v>2025</v>
      </c>
      <c r="L133" s="4"/>
      <c r="M133" s="4"/>
    </row>
    <row r="134" spans="7:13">
      <c r="G134" s="36">
        <v>45931</v>
      </c>
      <c r="H134" s="40">
        <v>3.8066230612244896</v>
      </c>
      <c r="I134" s="40">
        <v>3.7332464720194647</v>
      </c>
      <c r="J134" s="40">
        <v>3.845552433650989</v>
      </c>
      <c r="K134" s="160">
        <f t="shared" si="6"/>
        <v>2025</v>
      </c>
      <c r="L134" s="4"/>
      <c r="M134" s="4"/>
    </row>
    <row r="135" spans="7:13">
      <c r="G135" s="36">
        <v>45962</v>
      </c>
      <c r="H135" s="40">
        <v>3.9378475510204081</v>
      </c>
      <c r="I135" s="40">
        <v>3.9548604217356038</v>
      </c>
      <c r="J135" s="40">
        <v>3.9568343272876318</v>
      </c>
      <c r="K135" s="160">
        <f t="shared" si="6"/>
        <v>2025</v>
      </c>
      <c r="L135" s="4"/>
      <c r="M135" s="4"/>
    </row>
    <row r="136" spans="7:13">
      <c r="G136" s="36">
        <v>45992</v>
      </c>
      <c r="H136" s="40">
        <v>4.1215210204081627</v>
      </c>
      <c r="I136" s="40">
        <v>4.1373421735604214</v>
      </c>
      <c r="J136" s="40">
        <v>4.1438411927451586</v>
      </c>
      <c r="K136" s="160">
        <f t="shared" si="6"/>
        <v>2025</v>
      </c>
      <c r="L136" s="4"/>
      <c r="M136" s="4"/>
    </row>
    <row r="137" spans="7:13">
      <c r="G137" s="36">
        <v>46023</v>
      </c>
      <c r="H137" s="40">
        <v>4.1361128571428569</v>
      </c>
      <c r="I137" s="40">
        <v>4.151839334955393</v>
      </c>
      <c r="J137" s="40">
        <v>4.1751968644328317</v>
      </c>
      <c r="K137" s="160">
        <f t="shared" ref="K137:K148" si="7">YEAR(G137)</f>
        <v>2026</v>
      </c>
      <c r="L137" s="4"/>
      <c r="M137" s="4"/>
    </row>
    <row r="138" spans="7:13">
      <c r="G138" s="36">
        <v>46054</v>
      </c>
      <c r="H138" s="40">
        <v>4.1494802040816321</v>
      </c>
      <c r="I138" s="40">
        <v>4.1651199513381991</v>
      </c>
      <c r="J138" s="40">
        <v>4.1309300338149404</v>
      </c>
      <c r="K138" s="160">
        <f t="shared" si="7"/>
        <v>2026</v>
      </c>
      <c r="L138" s="4"/>
      <c r="M138" s="4"/>
    </row>
    <row r="139" spans="7:13">
      <c r="G139" s="36">
        <v>46082</v>
      </c>
      <c r="H139" s="40">
        <v>3.9481536734693874</v>
      </c>
      <c r="I139" s="40">
        <v>3.9650996755879966</v>
      </c>
      <c r="J139" s="40">
        <v>3.9261959422071935</v>
      </c>
      <c r="K139" s="160">
        <f t="shared" si="7"/>
        <v>2026</v>
      </c>
      <c r="L139" s="4"/>
      <c r="M139" s="4"/>
    </row>
    <row r="140" spans="7:13">
      <c r="G140" s="36">
        <v>46113</v>
      </c>
      <c r="H140" s="40">
        <v>3.6796842857142855</v>
      </c>
      <c r="I140" s="40">
        <v>3.6717095701540954</v>
      </c>
      <c r="J140" s="40">
        <v>3.7129568808279538</v>
      </c>
      <c r="K140" s="160">
        <f t="shared" si="7"/>
        <v>2026</v>
      </c>
      <c r="L140" s="4"/>
      <c r="M140" s="4"/>
    </row>
    <row r="141" spans="7:13">
      <c r="G141" s="36">
        <v>46143</v>
      </c>
      <c r="H141" s="40">
        <v>3.6394802040816328</v>
      </c>
      <c r="I141" s="40">
        <v>3.6317663422546631</v>
      </c>
      <c r="J141" s="40">
        <v>3.6777073675581518</v>
      </c>
      <c r="K141" s="160">
        <f t="shared" si="7"/>
        <v>2026</v>
      </c>
      <c r="L141" s="4"/>
      <c r="M141" s="4"/>
    </row>
    <row r="142" spans="7:13">
      <c r="G142" s="36">
        <v>46174</v>
      </c>
      <c r="H142" s="40">
        <v>3.6663169387755103</v>
      </c>
      <c r="I142" s="40">
        <v>3.6584289537712893</v>
      </c>
      <c r="J142" s="40">
        <v>3.6995333743211396</v>
      </c>
      <c r="K142" s="160">
        <f t="shared" si="7"/>
        <v>2026</v>
      </c>
      <c r="L142" s="4"/>
      <c r="M142" s="4"/>
    </row>
    <row r="143" spans="7:13">
      <c r="G143" s="36">
        <v>46204</v>
      </c>
      <c r="H143" s="40">
        <v>3.7871332653061223</v>
      </c>
      <c r="I143" s="40">
        <v>3.6717095701540954</v>
      </c>
      <c r="J143" s="40">
        <v>3.825980756225023</v>
      </c>
      <c r="K143" s="160">
        <f t="shared" si="7"/>
        <v>2026</v>
      </c>
      <c r="L143" s="4"/>
      <c r="M143" s="4"/>
    </row>
    <row r="144" spans="7:13">
      <c r="G144" s="36">
        <v>46235</v>
      </c>
      <c r="H144" s="40">
        <v>3.8139699999999999</v>
      </c>
      <c r="I144" s="40">
        <v>3.685091565287915</v>
      </c>
      <c r="J144" s="40">
        <v>3.8529302387539706</v>
      </c>
      <c r="K144" s="160">
        <f t="shared" si="7"/>
        <v>2026</v>
      </c>
      <c r="L144" s="4"/>
      <c r="M144" s="4"/>
    </row>
    <row r="145" spans="7:13">
      <c r="G145" s="36">
        <v>46266</v>
      </c>
      <c r="H145" s="40">
        <v>3.8005006122448979</v>
      </c>
      <c r="I145" s="40">
        <v>3.7117541768045412</v>
      </c>
      <c r="J145" s="40">
        <v>3.8342807869658779</v>
      </c>
      <c r="K145" s="160">
        <f t="shared" si="7"/>
        <v>2026</v>
      </c>
      <c r="L145" s="4"/>
      <c r="M145" s="4"/>
    </row>
    <row r="146" spans="7:13">
      <c r="G146" s="36">
        <v>46296</v>
      </c>
      <c r="H146" s="40">
        <v>3.8005006122448979</v>
      </c>
      <c r="I146" s="40">
        <v>3.7117541768045412</v>
      </c>
      <c r="J146" s="40">
        <v>3.8394042627318377</v>
      </c>
      <c r="K146" s="160">
        <f t="shared" si="7"/>
        <v>2026</v>
      </c>
      <c r="L146" s="4"/>
      <c r="M146" s="4"/>
    </row>
    <row r="147" spans="7:13">
      <c r="G147" s="36">
        <v>46327</v>
      </c>
      <c r="H147" s="40">
        <v>3.9481536734693874</v>
      </c>
      <c r="I147" s="40">
        <v>3.9650996755879966</v>
      </c>
      <c r="J147" s="40">
        <v>3.9671837483348704</v>
      </c>
      <c r="K147" s="160">
        <f t="shared" si="7"/>
        <v>2026</v>
      </c>
      <c r="L147" s="4"/>
      <c r="M147" s="4"/>
    </row>
    <row r="148" spans="7:13">
      <c r="G148" s="36">
        <v>46357</v>
      </c>
      <c r="H148" s="40">
        <v>4.1494802040816321</v>
      </c>
      <c r="I148" s="40">
        <v>4.1785019464720188</v>
      </c>
      <c r="J148" s="40">
        <v>4.1719178399426164</v>
      </c>
      <c r="K148" s="160">
        <f t="shared" si="7"/>
        <v>2026</v>
      </c>
      <c r="L148" s="4"/>
      <c r="M148" s="4"/>
    </row>
    <row r="149" spans="7:13">
      <c r="G149" s="36">
        <v>46388</v>
      </c>
      <c r="H149" s="40">
        <v>4.1765210204081633</v>
      </c>
      <c r="I149" s="40">
        <v>4.1919853203568529</v>
      </c>
      <c r="J149" s="40">
        <v>4.2158772620145513</v>
      </c>
      <c r="K149" s="160">
        <f t="shared" si="6"/>
        <v>2027</v>
      </c>
      <c r="L149" s="4"/>
      <c r="M149" s="4"/>
    </row>
    <row r="150" spans="7:13">
      <c r="G150" s="36">
        <v>46419</v>
      </c>
      <c r="H150" s="40">
        <v>4.1765210204081633</v>
      </c>
      <c r="I150" s="40">
        <v>4.2056714517437142</v>
      </c>
      <c r="J150" s="40">
        <v>4.1580844553745262</v>
      </c>
      <c r="K150" s="160">
        <f t="shared" si="6"/>
        <v>2027</v>
      </c>
      <c r="L150" s="4"/>
      <c r="M150" s="4"/>
    </row>
    <row r="151" spans="7:13">
      <c r="G151" s="36">
        <v>46447</v>
      </c>
      <c r="H151" s="40">
        <v>4.0118271428571433</v>
      </c>
      <c r="I151" s="40">
        <v>4.0283600162206001</v>
      </c>
      <c r="J151" s="40">
        <v>3.9901369197663699</v>
      </c>
      <c r="K151" s="160">
        <f t="shared" si="6"/>
        <v>2027</v>
      </c>
      <c r="L151" s="4"/>
      <c r="M151" s="4"/>
    </row>
    <row r="152" spans="7:13">
      <c r="G152" s="36">
        <v>46478</v>
      </c>
      <c r="H152" s="40">
        <v>3.750908775510204</v>
      </c>
      <c r="I152" s="40">
        <v>3.7418636658556363</v>
      </c>
      <c r="J152" s="40">
        <v>3.7844806025207505</v>
      </c>
      <c r="K152" s="160">
        <f t="shared" si="6"/>
        <v>2027</v>
      </c>
      <c r="L152" s="4"/>
      <c r="M152" s="4"/>
    </row>
    <row r="153" spans="7:13">
      <c r="G153" s="36">
        <v>46508</v>
      </c>
      <c r="H153" s="40">
        <v>3.7234597959183668</v>
      </c>
      <c r="I153" s="40">
        <v>3.7281775344687751</v>
      </c>
      <c r="J153" s="40">
        <v>3.762039778665847</v>
      </c>
      <c r="K153" s="160">
        <f t="shared" si="6"/>
        <v>2027</v>
      </c>
      <c r="L153" s="4"/>
      <c r="M153" s="4"/>
    </row>
    <row r="154" spans="7:13">
      <c r="G154" s="36">
        <v>46539</v>
      </c>
      <c r="H154" s="40">
        <v>3.7371332653061224</v>
      </c>
      <c r="I154" s="40">
        <v>3.7418636658556363</v>
      </c>
      <c r="J154" s="40">
        <v>3.7706472179526593</v>
      </c>
      <c r="K154" s="160">
        <f t="shared" si="6"/>
        <v>2027</v>
      </c>
      <c r="L154" s="4"/>
      <c r="M154" s="4"/>
    </row>
    <row r="155" spans="7:13">
      <c r="G155" s="36">
        <v>46569</v>
      </c>
      <c r="H155" s="40">
        <v>3.9431536734693875</v>
      </c>
      <c r="I155" s="40">
        <v>3.8236763179237632</v>
      </c>
      <c r="J155" s="40">
        <v>3.9826566451480687</v>
      </c>
      <c r="K155" s="160">
        <f t="shared" si="6"/>
        <v>2027</v>
      </c>
      <c r="L155" s="4"/>
      <c r="M155" s="4"/>
    </row>
    <row r="156" spans="7:13">
      <c r="G156" s="36">
        <v>46600</v>
      </c>
      <c r="H156" s="40">
        <v>3.9568271428571431</v>
      </c>
      <c r="I156" s="40">
        <v>3.8236763179237632</v>
      </c>
      <c r="J156" s="40">
        <v>3.9963875602008403</v>
      </c>
      <c r="K156" s="160">
        <f t="shared" si="6"/>
        <v>2027</v>
      </c>
      <c r="L156" s="4"/>
      <c r="M156" s="4"/>
    </row>
    <row r="157" spans="7:13">
      <c r="G157" s="36">
        <v>46631</v>
      </c>
      <c r="H157" s="40">
        <v>3.9842761224489793</v>
      </c>
      <c r="I157" s="40">
        <v>3.9054889699918891</v>
      </c>
      <c r="J157" s="40">
        <v>4.0188283840557437</v>
      </c>
      <c r="K157" s="160">
        <f t="shared" si="6"/>
        <v>2027</v>
      </c>
      <c r="L157" s="4"/>
      <c r="M157" s="4"/>
    </row>
    <row r="158" spans="7:13">
      <c r="G158" s="36">
        <v>46661</v>
      </c>
      <c r="H158" s="40">
        <v>4.0118271428571433</v>
      </c>
      <c r="I158" s="40">
        <v>3.9464459854014593</v>
      </c>
      <c r="J158" s="40">
        <v>4.0516186289578853</v>
      </c>
      <c r="K158" s="160">
        <f t="shared" si="6"/>
        <v>2027</v>
      </c>
      <c r="L158" s="4"/>
      <c r="M158" s="4"/>
    </row>
    <row r="159" spans="7:13">
      <c r="G159" s="36">
        <v>46692</v>
      </c>
      <c r="H159" s="40">
        <v>4.2589699999999997</v>
      </c>
      <c r="I159" s="40">
        <v>4.2738993511759933</v>
      </c>
      <c r="J159" s="40">
        <v>4.2793058919971303</v>
      </c>
      <c r="K159" s="160">
        <f t="shared" si="6"/>
        <v>2027</v>
      </c>
      <c r="L159" s="4"/>
      <c r="M159" s="4"/>
    </row>
    <row r="160" spans="7:13">
      <c r="G160" s="36">
        <v>46722</v>
      </c>
      <c r="H160" s="40">
        <v>4.4511128571428573</v>
      </c>
      <c r="I160" s="40">
        <v>4.4921678021086775</v>
      </c>
      <c r="J160" s="40">
        <v>4.4748177272261502</v>
      </c>
      <c r="K160" s="160">
        <f t="shared" ref="K160:K223" si="8">YEAR(G160)</f>
        <v>2027</v>
      </c>
      <c r="L160" s="4"/>
      <c r="M160" s="4"/>
    </row>
    <row r="161" spans="7:13">
      <c r="G161" s="36">
        <v>46753</v>
      </c>
      <c r="H161" s="40">
        <v>4.5397863265306126</v>
      </c>
      <c r="I161" s="40">
        <v>4.5528936739659365</v>
      </c>
      <c r="J161" s="40">
        <v>4.5805662670355574</v>
      </c>
      <c r="K161" s="160">
        <f t="shared" si="8"/>
        <v>2028</v>
      </c>
      <c r="L161" s="4"/>
      <c r="M161" s="4"/>
    </row>
    <row r="162" spans="7:13">
      <c r="G162" s="36">
        <v>46784</v>
      </c>
      <c r="H162" s="40">
        <v>4.4976434693877554</v>
      </c>
      <c r="I162" s="40">
        <v>4.5110242497972424</v>
      </c>
      <c r="J162" s="40">
        <v>4.4805560200840251</v>
      </c>
      <c r="K162" s="160">
        <f t="shared" si="8"/>
        <v>2028</v>
      </c>
      <c r="L162" s="4"/>
      <c r="M162" s="4"/>
    </row>
    <row r="163" spans="7:13">
      <c r="G163" s="36">
        <v>46813</v>
      </c>
      <c r="H163" s="40">
        <v>4.3149904081632657</v>
      </c>
      <c r="I163" s="40">
        <v>4.3295562854825622</v>
      </c>
      <c r="J163" s="40">
        <v>4.2945738497796908</v>
      </c>
      <c r="K163" s="160">
        <f t="shared" si="8"/>
        <v>2028</v>
      </c>
      <c r="L163" s="4"/>
      <c r="M163" s="4"/>
    </row>
    <row r="164" spans="7:13">
      <c r="G164" s="36">
        <v>46844</v>
      </c>
      <c r="H164" s="40">
        <v>3.9638679591836734</v>
      </c>
      <c r="I164" s="40">
        <v>3.9527314679643144</v>
      </c>
      <c r="J164" s="40">
        <v>3.9983344809919052</v>
      </c>
      <c r="K164" s="160">
        <f t="shared" si="8"/>
        <v>2028</v>
      </c>
      <c r="L164" s="4"/>
      <c r="M164" s="4"/>
    </row>
    <row r="165" spans="7:13">
      <c r="G165" s="36">
        <v>46874</v>
      </c>
      <c r="H165" s="40">
        <v>3.9217251020408161</v>
      </c>
      <c r="I165" s="40">
        <v>3.896973154906731</v>
      </c>
      <c r="J165" s="40">
        <v>3.9611380469310382</v>
      </c>
      <c r="K165" s="160">
        <f t="shared" si="8"/>
        <v>2028</v>
      </c>
      <c r="L165" s="4"/>
      <c r="M165" s="4"/>
    </row>
    <row r="166" spans="7:13">
      <c r="G166" s="36">
        <v>46905</v>
      </c>
      <c r="H166" s="40">
        <v>3.9357046938775508</v>
      </c>
      <c r="I166" s="40">
        <v>3.9248523114355227</v>
      </c>
      <c r="J166" s="40">
        <v>3.9700528947638078</v>
      </c>
      <c r="K166" s="160">
        <f t="shared" si="8"/>
        <v>2028</v>
      </c>
      <c r="L166" s="4"/>
      <c r="M166" s="4"/>
    </row>
    <row r="167" spans="7:13">
      <c r="G167" s="36">
        <v>46935</v>
      </c>
      <c r="H167" s="40">
        <v>4.1042761224489794</v>
      </c>
      <c r="I167" s="40">
        <v>3.9667217356042168</v>
      </c>
      <c r="J167" s="40">
        <v>4.1444560098370733</v>
      </c>
      <c r="K167" s="160">
        <f t="shared" si="8"/>
        <v>2028</v>
      </c>
      <c r="L167" s="4"/>
      <c r="M167" s="4"/>
    </row>
    <row r="168" spans="7:13">
      <c r="G168" s="36">
        <v>46966</v>
      </c>
      <c r="H168" s="40">
        <v>4.1042761224489794</v>
      </c>
      <c r="I168" s="40">
        <v>3.9667217356042168</v>
      </c>
      <c r="J168" s="40">
        <v>4.1444560098370733</v>
      </c>
      <c r="K168" s="160">
        <f t="shared" si="8"/>
        <v>2028</v>
      </c>
      <c r="L168" s="4"/>
      <c r="M168" s="4"/>
    </row>
    <row r="169" spans="7:13">
      <c r="G169" s="36">
        <v>46997</v>
      </c>
      <c r="H169" s="40">
        <v>4.0902965306122443</v>
      </c>
      <c r="I169" s="40">
        <v>3.994600892133009</v>
      </c>
      <c r="J169" s="40">
        <v>4.1252942104723846</v>
      </c>
      <c r="K169" s="160">
        <f t="shared" si="8"/>
        <v>2028</v>
      </c>
      <c r="L169" s="4"/>
      <c r="M169" s="4"/>
    </row>
    <row r="170" spans="7:13">
      <c r="G170" s="36">
        <v>47027</v>
      </c>
      <c r="H170" s="40">
        <v>4.1183577551020409</v>
      </c>
      <c r="I170" s="40">
        <v>4.0225814274128142</v>
      </c>
      <c r="J170" s="40">
        <v>4.1585968029511218</v>
      </c>
      <c r="K170" s="160">
        <f t="shared" si="8"/>
        <v>2028</v>
      </c>
      <c r="L170" s="4"/>
      <c r="M170" s="4"/>
    </row>
    <row r="171" spans="7:13">
      <c r="G171" s="36">
        <v>47058</v>
      </c>
      <c r="H171" s="40">
        <v>4.3430516326530615</v>
      </c>
      <c r="I171" s="40">
        <v>4.3574354420113535</v>
      </c>
      <c r="J171" s="40">
        <v>4.3637407726201465</v>
      </c>
      <c r="K171" s="160">
        <f t="shared" si="8"/>
        <v>2028</v>
      </c>
      <c r="L171" s="4"/>
      <c r="M171" s="4"/>
    </row>
    <row r="172" spans="7:13">
      <c r="G172" s="36">
        <v>47088</v>
      </c>
      <c r="H172" s="40">
        <v>4.581929183673469</v>
      </c>
      <c r="I172" s="40">
        <v>4.6086519870235199</v>
      </c>
      <c r="J172" s="40">
        <v>4.6061836458653556</v>
      </c>
      <c r="K172" s="160">
        <f t="shared" si="8"/>
        <v>2028</v>
      </c>
      <c r="L172" s="4"/>
      <c r="M172" s="4"/>
    </row>
    <row r="173" spans="7:13">
      <c r="G173" s="36">
        <v>47119</v>
      </c>
      <c r="H173" s="40">
        <v>4.7019291836734691</v>
      </c>
      <c r="I173" s="40">
        <v>4.7282789132197882</v>
      </c>
      <c r="J173" s="40">
        <v>4.743390326877754</v>
      </c>
      <c r="K173" s="160">
        <f t="shared" si="8"/>
        <v>2029</v>
      </c>
      <c r="L173" s="4"/>
      <c r="M173" s="4"/>
    </row>
    <row r="174" spans="7:13">
      <c r="G174" s="36">
        <v>47150</v>
      </c>
      <c r="H174" s="40">
        <v>4.6443781632653058</v>
      </c>
      <c r="I174" s="40">
        <v>4.6568068937550686</v>
      </c>
      <c r="J174" s="40">
        <v>4.6279071831130238</v>
      </c>
      <c r="K174" s="160">
        <f t="shared" si="8"/>
        <v>2029</v>
      </c>
      <c r="L174" s="4"/>
      <c r="M174" s="4"/>
    </row>
    <row r="175" spans="7:13">
      <c r="G175" s="36">
        <v>47178</v>
      </c>
      <c r="H175" s="40">
        <v>4.5150924489795914</v>
      </c>
      <c r="I175" s="40">
        <v>4.5283600162206001</v>
      </c>
      <c r="J175" s="40">
        <v>4.4955165693206274</v>
      </c>
      <c r="K175" s="160">
        <f t="shared" si="8"/>
        <v>2029</v>
      </c>
      <c r="L175" s="4"/>
      <c r="M175" s="4"/>
    </row>
    <row r="176" spans="7:13">
      <c r="G176" s="36">
        <v>47209</v>
      </c>
      <c r="H176" s="40">
        <v>4.2420312244897955</v>
      </c>
      <c r="I176" s="40">
        <v>4.2142886455798862</v>
      </c>
      <c r="J176" s="40">
        <v>4.2776663797520236</v>
      </c>
      <c r="K176" s="160">
        <f t="shared" si="8"/>
        <v>2029</v>
      </c>
      <c r="L176" s="4"/>
      <c r="M176" s="4"/>
    </row>
    <row r="177" spans="7:13">
      <c r="G177" s="36">
        <v>47239</v>
      </c>
      <c r="H177" s="40">
        <v>4.2133577551020416</v>
      </c>
      <c r="I177" s="40">
        <v>4.1999942416869418</v>
      </c>
      <c r="J177" s="40">
        <v>4.2539959217132912</v>
      </c>
      <c r="K177" s="160">
        <f t="shared" si="8"/>
        <v>2029</v>
      </c>
      <c r="L177" s="4"/>
      <c r="M177" s="4"/>
    </row>
    <row r="178" spans="7:13">
      <c r="G178" s="36">
        <v>47270</v>
      </c>
      <c r="H178" s="40">
        <v>4.2564189795918361</v>
      </c>
      <c r="I178" s="40">
        <v>4.2285830494728307</v>
      </c>
      <c r="J178" s="40">
        <v>4.2921145814120303</v>
      </c>
      <c r="K178" s="160">
        <f t="shared" si="8"/>
        <v>2029</v>
      </c>
      <c r="L178" s="4"/>
      <c r="M178" s="4"/>
    </row>
    <row r="179" spans="7:13">
      <c r="G179" s="36">
        <v>47300</v>
      </c>
      <c r="H179" s="40">
        <v>4.4576434693877554</v>
      </c>
      <c r="I179" s="40">
        <v>4.3142480940794812</v>
      </c>
      <c r="J179" s="40">
        <v>4.4993079413874373</v>
      </c>
      <c r="K179" s="160">
        <f t="shared" si="8"/>
        <v>2029</v>
      </c>
      <c r="L179" s="4"/>
      <c r="M179" s="4"/>
    </row>
    <row r="180" spans="7:13">
      <c r="G180" s="36">
        <v>47331</v>
      </c>
      <c r="H180" s="40">
        <v>4.472031224489796</v>
      </c>
      <c r="I180" s="40">
        <v>4.3427355231143547</v>
      </c>
      <c r="J180" s="40">
        <v>4.513756143047444</v>
      </c>
      <c r="K180" s="160">
        <f t="shared" si="8"/>
        <v>2029</v>
      </c>
      <c r="L180" s="4"/>
      <c r="M180" s="4"/>
    </row>
    <row r="181" spans="7:13">
      <c r="G181" s="36">
        <v>47362</v>
      </c>
      <c r="H181" s="40">
        <v>4.4432557142857148</v>
      </c>
      <c r="I181" s="40">
        <v>4.3142480940794812</v>
      </c>
      <c r="J181" s="40">
        <v>4.4797362639614722</v>
      </c>
      <c r="K181" s="160">
        <f t="shared" si="8"/>
        <v>2029</v>
      </c>
      <c r="L181" s="4"/>
      <c r="M181" s="4"/>
    </row>
    <row r="182" spans="7:13">
      <c r="G182" s="36">
        <v>47392</v>
      </c>
      <c r="H182" s="40">
        <v>4.4863169387755093</v>
      </c>
      <c r="I182" s="40">
        <v>4.3713243309002427</v>
      </c>
      <c r="J182" s="40">
        <v>4.5281018751921307</v>
      </c>
      <c r="K182" s="160">
        <f t="shared" si="8"/>
        <v>2029</v>
      </c>
      <c r="L182" s="4"/>
      <c r="M182" s="4"/>
    </row>
    <row r="183" spans="7:13">
      <c r="G183" s="36">
        <v>47423</v>
      </c>
      <c r="H183" s="40">
        <v>4.7019291836734691</v>
      </c>
      <c r="I183" s="40">
        <v>4.7567663422546627</v>
      </c>
      <c r="J183" s="40">
        <v>4.7241260579977462</v>
      </c>
      <c r="K183" s="160">
        <f t="shared" si="8"/>
        <v>2029</v>
      </c>
      <c r="L183" s="4"/>
      <c r="M183" s="4"/>
    </row>
    <row r="184" spans="7:13">
      <c r="G184" s="36">
        <v>47453</v>
      </c>
      <c r="H184" s="40">
        <v>4.9892761224489801</v>
      </c>
      <c r="I184" s="40">
        <v>5.0137614760746141</v>
      </c>
      <c r="J184" s="40">
        <v>5.015241951019572</v>
      </c>
      <c r="K184" s="160">
        <f t="shared" si="8"/>
        <v>2029</v>
      </c>
      <c r="L184" s="4"/>
      <c r="M184" s="4"/>
    </row>
    <row r="185" spans="7:13">
      <c r="G185" s="36">
        <v>47484</v>
      </c>
      <c r="H185" s="40">
        <v>5.0748883673469392</v>
      </c>
      <c r="I185" s="40">
        <v>5.0845238442822378</v>
      </c>
      <c r="J185" s="40">
        <v>5.1180188748847222</v>
      </c>
      <c r="K185" s="160">
        <f t="shared" si="8"/>
        <v>2030</v>
      </c>
      <c r="L185" s="4"/>
      <c r="M185" s="4"/>
    </row>
    <row r="186" spans="7:13">
      <c r="G186" s="36">
        <v>47515</v>
      </c>
      <c r="H186" s="40">
        <v>5.0455006122448971</v>
      </c>
      <c r="I186" s="40">
        <v>5.0553267639902675</v>
      </c>
      <c r="J186" s="40">
        <v>5.0307148478327708</v>
      </c>
      <c r="K186" s="160">
        <f t="shared" si="8"/>
        <v>2030</v>
      </c>
      <c r="L186" s="4"/>
      <c r="M186" s="4"/>
    </row>
    <row r="187" spans="7:13">
      <c r="G187" s="36">
        <v>47543</v>
      </c>
      <c r="H187" s="40">
        <v>4.8837659183673461</v>
      </c>
      <c r="I187" s="40">
        <v>4.8946414436334145</v>
      </c>
      <c r="J187" s="40">
        <v>4.8657389281688701</v>
      </c>
      <c r="K187" s="160">
        <f t="shared" si="8"/>
        <v>2030</v>
      </c>
      <c r="L187" s="4"/>
      <c r="M187" s="4"/>
    </row>
    <row r="188" spans="7:13">
      <c r="G188" s="36">
        <v>47574</v>
      </c>
      <c r="H188" s="40">
        <v>4.5310108163265301</v>
      </c>
      <c r="I188" s="40">
        <v>4.5003794809407944</v>
      </c>
      <c r="J188" s="40">
        <v>4.5678600471359774</v>
      </c>
      <c r="K188" s="160">
        <f t="shared" si="8"/>
        <v>2030</v>
      </c>
      <c r="L188" s="4"/>
      <c r="M188" s="4"/>
    </row>
    <row r="189" spans="7:13">
      <c r="G189" s="36">
        <v>47604</v>
      </c>
      <c r="H189" s="40">
        <v>4.4869291836734693</v>
      </c>
      <c r="I189" s="40">
        <v>4.4565838605028381</v>
      </c>
      <c r="J189" s="40">
        <v>4.5287166922840454</v>
      </c>
      <c r="K189" s="160">
        <f t="shared" si="8"/>
        <v>2030</v>
      </c>
      <c r="L189" s="4"/>
      <c r="M189" s="4"/>
    </row>
    <row r="190" spans="7:13">
      <c r="G190" s="36">
        <v>47635</v>
      </c>
      <c r="H190" s="40">
        <v>4.5310108163265301</v>
      </c>
      <c r="I190" s="40">
        <v>4.4857809407948093</v>
      </c>
      <c r="J190" s="40">
        <v>4.5678600471359774</v>
      </c>
      <c r="K190" s="160">
        <f t="shared" si="8"/>
        <v>2030</v>
      </c>
      <c r="L190" s="4"/>
      <c r="M190" s="4"/>
    </row>
    <row r="191" spans="7:13">
      <c r="G191" s="36">
        <v>47665</v>
      </c>
      <c r="H191" s="40">
        <v>4.7221332653061223</v>
      </c>
      <c r="I191" s="40">
        <v>4.5879707218167072</v>
      </c>
      <c r="J191" s="40">
        <v>4.7649089250947849</v>
      </c>
      <c r="K191" s="160">
        <f t="shared" si="8"/>
        <v>2030</v>
      </c>
      <c r="L191" s="4"/>
      <c r="M191" s="4"/>
    </row>
    <row r="192" spans="7:13">
      <c r="G192" s="36">
        <v>47696</v>
      </c>
      <c r="H192" s="40">
        <v>4.7662148979591832</v>
      </c>
      <c r="I192" s="40">
        <v>4.6171678021086784</v>
      </c>
      <c r="J192" s="40">
        <v>4.8091757557126753</v>
      </c>
      <c r="K192" s="160">
        <f t="shared" si="8"/>
        <v>2030</v>
      </c>
      <c r="L192" s="4"/>
      <c r="M192" s="4"/>
    </row>
    <row r="193" spans="7:13">
      <c r="G193" s="36">
        <v>47727</v>
      </c>
      <c r="H193" s="40">
        <v>4.7368271428571429</v>
      </c>
      <c r="I193" s="40">
        <v>4.6171678021086784</v>
      </c>
      <c r="J193" s="40">
        <v>4.7745410595347888</v>
      </c>
      <c r="K193" s="160">
        <f t="shared" si="8"/>
        <v>2030</v>
      </c>
      <c r="L193" s="4"/>
      <c r="M193" s="4"/>
    </row>
    <row r="194" spans="7:13">
      <c r="G194" s="36">
        <v>47757</v>
      </c>
      <c r="H194" s="40">
        <v>4.7809087755102038</v>
      </c>
      <c r="I194" s="40">
        <v>4.6609634225466339</v>
      </c>
      <c r="J194" s="40">
        <v>4.8239313659186394</v>
      </c>
      <c r="K194" s="160">
        <f t="shared" si="8"/>
        <v>2030</v>
      </c>
      <c r="L194" s="4"/>
      <c r="M194" s="4"/>
    </row>
    <row r="195" spans="7:13">
      <c r="G195" s="36">
        <v>47788</v>
      </c>
      <c r="H195" s="40">
        <v>5.0014189795918362</v>
      </c>
      <c r="I195" s="40">
        <v>5.0261296836982963</v>
      </c>
      <c r="J195" s="40">
        <v>5.0248740854595768</v>
      </c>
      <c r="K195" s="160">
        <f t="shared" si="8"/>
        <v>2030</v>
      </c>
      <c r="L195" s="4"/>
      <c r="M195" s="4"/>
    </row>
    <row r="196" spans="7:13">
      <c r="G196" s="36">
        <v>47818</v>
      </c>
      <c r="H196" s="40">
        <v>5.2513169387755108</v>
      </c>
      <c r="I196" s="40">
        <v>5.2598077047850769</v>
      </c>
      <c r="J196" s="40">
        <v>5.2783836663592583</v>
      </c>
      <c r="K196" s="160">
        <f t="shared" si="8"/>
        <v>2030</v>
      </c>
      <c r="L196" s="4"/>
      <c r="M196" s="4"/>
    </row>
    <row r="197" spans="7:13">
      <c r="G197" s="36">
        <v>47849</v>
      </c>
      <c r="H197" s="40">
        <v>5.3422353061224488</v>
      </c>
      <c r="I197" s="40">
        <v>5.3501361719383613</v>
      </c>
      <c r="J197" s="40">
        <v>5.3864890050210068</v>
      </c>
      <c r="K197" s="160">
        <f t="shared" si="8"/>
        <v>2031</v>
      </c>
      <c r="L197" s="4"/>
      <c r="M197" s="4"/>
    </row>
    <row r="198" spans="7:13">
      <c r="G198" s="36">
        <v>47880</v>
      </c>
      <c r="H198" s="40">
        <v>5.3122353061224485</v>
      </c>
      <c r="I198" s="40">
        <v>5.3501361719383613</v>
      </c>
      <c r="J198" s="40">
        <v>5.2985701608771398</v>
      </c>
      <c r="K198" s="160">
        <f t="shared" si="8"/>
        <v>2031</v>
      </c>
      <c r="L198" s="4"/>
      <c r="M198" s="4"/>
    </row>
    <row r="199" spans="7:13">
      <c r="G199" s="36">
        <v>47908</v>
      </c>
      <c r="H199" s="40">
        <v>5.1016230612244904</v>
      </c>
      <c r="I199" s="40">
        <v>5.11108507704785</v>
      </c>
      <c r="J199" s="40">
        <v>5.0845113433753459</v>
      </c>
      <c r="K199" s="160">
        <f t="shared" si="8"/>
        <v>2031</v>
      </c>
      <c r="L199" s="4"/>
      <c r="M199" s="4"/>
    </row>
    <row r="200" spans="7:13">
      <c r="G200" s="36">
        <v>47939</v>
      </c>
      <c r="H200" s="40">
        <v>4.755806734693877</v>
      </c>
      <c r="I200" s="40">
        <v>4.70769902676399</v>
      </c>
      <c r="J200" s="40">
        <v>4.7936003893841583</v>
      </c>
      <c r="K200" s="160">
        <f t="shared" si="8"/>
        <v>2031</v>
      </c>
      <c r="L200" s="4"/>
      <c r="M200" s="4"/>
    </row>
    <row r="201" spans="7:13">
      <c r="G201" s="36">
        <v>47969</v>
      </c>
      <c r="H201" s="40">
        <v>4.7107046938775508</v>
      </c>
      <c r="I201" s="40">
        <v>4.6628896188158961</v>
      </c>
      <c r="J201" s="40">
        <v>4.7534323393790352</v>
      </c>
      <c r="K201" s="160">
        <f t="shared" si="8"/>
        <v>2031</v>
      </c>
      <c r="L201" s="4"/>
      <c r="M201" s="4"/>
    </row>
    <row r="202" spans="7:13">
      <c r="G202" s="36">
        <v>48000</v>
      </c>
      <c r="H202" s="40">
        <v>4.755806734693877</v>
      </c>
      <c r="I202" s="40">
        <v>4.70769902676399</v>
      </c>
      <c r="J202" s="40">
        <v>4.7936003893841583</v>
      </c>
      <c r="K202" s="160">
        <f t="shared" si="8"/>
        <v>2031</v>
      </c>
      <c r="L202" s="4"/>
      <c r="M202" s="4"/>
    </row>
    <row r="203" spans="7:13">
      <c r="G203" s="36">
        <v>48030</v>
      </c>
      <c r="H203" s="40">
        <v>5.0565210204081632</v>
      </c>
      <c r="I203" s="40">
        <v>4.9169447688564478</v>
      </c>
      <c r="J203" s="40">
        <v>5.1007015267957785</v>
      </c>
      <c r="K203" s="160">
        <f t="shared" si="8"/>
        <v>2031</v>
      </c>
      <c r="L203" s="4"/>
      <c r="M203" s="4"/>
    </row>
    <row r="204" spans="7:13">
      <c r="G204" s="36">
        <v>48061</v>
      </c>
      <c r="H204" s="40">
        <v>5.146827142857143</v>
      </c>
      <c r="I204" s="40">
        <v>5.0065635847526355</v>
      </c>
      <c r="J204" s="40">
        <v>5.1913870478532642</v>
      </c>
      <c r="K204" s="160">
        <f t="shared" si="8"/>
        <v>2031</v>
      </c>
      <c r="L204" s="4"/>
      <c r="M204" s="4"/>
    </row>
    <row r="205" spans="7:13">
      <c r="G205" s="36">
        <v>48092</v>
      </c>
      <c r="H205" s="40">
        <v>4.9964189795918363</v>
      </c>
      <c r="I205" s="40">
        <v>4.8571313057583128</v>
      </c>
      <c r="J205" s="40">
        <v>5.0352235065068145</v>
      </c>
      <c r="K205" s="160">
        <f t="shared" si="8"/>
        <v>2031</v>
      </c>
      <c r="L205" s="4"/>
      <c r="M205" s="4"/>
    </row>
    <row r="206" spans="7:13">
      <c r="G206" s="36">
        <v>48122</v>
      </c>
      <c r="H206" s="40">
        <v>5.0265210204081638</v>
      </c>
      <c r="I206" s="40">
        <v>4.8870380373073798</v>
      </c>
      <c r="J206" s="40">
        <v>5.0705754892919366</v>
      </c>
      <c r="K206" s="160">
        <f t="shared" si="8"/>
        <v>2031</v>
      </c>
      <c r="L206" s="4"/>
      <c r="M206" s="4"/>
    </row>
    <row r="207" spans="7:13">
      <c r="G207" s="36">
        <v>48153</v>
      </c>
      <c r="H207" s="40">
        <v>5.2219291836734696</v>
      </c>
      <c r="I207" s="40">
        <v>5.245614679643146</v>
      </c>
      <c r="J207" s="40">
        <v>5.2463107080643514</v>
      </c>
      <c r="K207" s="160">
        <f t="shared" si="8"/>
        <v>2031</v>
      </c>
      <c r="L207" s="4"/>
      <c r="M207" s="4"/>
    </row>
    <row r="208" spans="7:13">
      <c r="G208" s="36">
        <v>48183</v>
      </c>
      <c r="H208" s="40">
        <v>5.4776434693877549</v>
      </c>
      <c r="I208" s="40">
        <v>5.5294751824817512</v>
      </c>
      <c r="J208" s="40">
        <v>5.5056610513372277</v>
      </c>
      <c r="K208" s="160">
        <f t="shared" si="8"/>
        <v>2031</v>
      </c>
      <c r="L208" s="4"/>
      <c r="M208" s="4"/>
    </row>
    <row r="209" spans="7:13">
      <c r="G209" s="36">
        <v>48214</v>
      </c>
      <c r="H209" s="40">
        <v>5.5522353061224488</v>
      </c>
      <c r="I209" s="40">
        <v>5.5893900243308998</v>
      </c>
      <c r="J209" s="40">
        <v>5.5973712675479055</v>
      </c>
      <c r="K209" s="160">
        <f t="shared" si="8"/>
        <v>2032</v>
      </c>
      <c r="L209" s="4"/>
      <c r="M209" s="4"/>
    </row>
    <row r="210" spans="7:13">
      <c r="G210" s="36">
        <v>48245</v>
      </c>
      <c r="H210" s="40">
        <v>5.5522353061224488</v>
      </c>
      <c r="I210" s="40">
        <v>5.5740818329278179</v>
      </c>
      <c r="J210" s="40">
        <v>5.5395784609078804</v>
      </c>
      <c r="K210" s="160">
        <f t="shared" si="8"/>
        <v>2032</v>
      </c>
      <c r="L210" s="4"/>
      <c r="M210" s="4"/>
    </row>
    <row r="211" spans="7:13">
      <c r="G211" s="36">
        <v>48274</v>
      </c>
      <c r="H211" s="40">
        <v>5.2910108163265308</v>
      </c>
      <c r="I211" s="40">
        <v>5.3145522303325219</v>
      </c>
      <c r="J211" s="40">
        <v>5.2746947638077675</v>
      </c>
      <c r="K211" s="160">
        <f t="shared" si="8"/>
        <v>2032</v>
      </c>
      <c r="L211" s="4"/>
      <c r="M211" s="4"/>
    </row>
    <row r="212" spans="7:13">
      <c r="G212" s="36">
        <v>48305</v>
      </c>
      <c r="H212" s="40">
        <v>4.8914189795918368</v>
      </c>
      <c r="I212" s="40">
        <v>4.8411134630981341</v>
      </c>
      <c r="J212" s="40">
        <v>4.9297823752433656</v>
      </c>
      <c r="K212" s="160">
        <f t="shared" si="8"/>
        <v>2032</v>
      </c>
      <c r="L212" s="4"/>
      <c r="M212" s="4"/>
    </row>
    <row r="213" spans="7:13">
      <c r="G213" s="36">
        <v>48335</v>
      </c>
      <c r="H213" s="40">
        <v>4.8452965306122451</v>
      </c>
      <c r="I213" s="40">
        <v>4.7953916463909163</v>
      </c>
      <c r="J213" s="40">
        <v>4.8885896300850504</v>
      </c>
      <c r="K213" s="160">
        <f t="shared" si="8"/>
        <v>2032</v>
      </c>
      <c r="L213" s="4"/>
      <c r="M213" s="4"/>
    </row>
    <row r="214" spans="7:13">
      <c r="G214" s="36">
        <v>48366</v>
      </c>
      <c r="H214" s="40">
        <v>4.9221332653061225</v>
      </c>
      <c r="I214" s="40">
        <v>4.8717298459042988</v>
      </c>
      <c r="J214" s="40">
        <v>4.9606256993544422</v>
      </c>
      <c r="K214" s="160">
        <f t="shared" si="8"/>
        <v>2032</v>
      </c>
      <c r="L214" s="4"/>
      <c r="M214" s="4"/>
    </row>
    <row r="215" spans="7:13">
      <c r="G215" s="36">
        <v>48396</v>
      </c>
      <c r="H215" s="40">
        <v>5.2294802040816331</v>
      </c>
      <c r="I215" s="40">
        <v>5.0854362530413626</v>
      </c>
      <c r="J215" s="40">
        <v>5.2743873552618101</v>
      </c>
      <c r="K215" s="160">
        <f t="shared" si="8"/>
        <v>2032</v>
      </c>
      <c r="L215" s="4"/>
      <c r="M215" s="4"/>
    </row>
    <row r="216" spans="7:13">
      <c r="G216" s="36">
        <v>48427</v>
      </c>
      <c r="H216" s="40">
        <v>5.2756026530612239</v>
      </c>
      <c r="I216" s="40">
        <v>5.1312594484995939</v>
      </c>
      <c r="J216" s="40">
        <v>5.3207035761860846</v>
      </c>
      <c r="K216" s="160">
        <f t="shared" si="8"/>
        <v>2032</v>
      </c>
      <c r="L216" s="4"/>
      <c r="M216" s="4"/>
    </row>
    <row r="217" spans="7:13">
      <c r="G217" s="36">
        <v>48458</v>
      </c>
      <c r="H217" s="40">
        <v>5.1680516326530617</v>
      </c>
      <c r="I217" s="40">
        <v>5.024406244931062</v>
      </c>
      <c r="J217" s="40">
        <v>5.2075772312736968</v>
      </c>
      <c r="K217" s="160">
        <f t="shared" si="8"/>
        <v>2032</v>
      </c>
      <c r="L217" s="4"/>
      <c r="M217" s="4"/>
    </row>
    <row r="218" spans="7:13">
      <c r="G218" s="36">
        <v>48488</v>
      </c>
      <c r="H218" s="40">
        <v>5.1987659183673474</v>
      </c>
      <c r="I218" s="40">
        <v>5.0549212489862123</v>
      </c>
      <c r="J218" s="40">
        <v>5.2435440311507335</v>
      </c>
      <c r="K218" s="160">
        <f t="shared" si="8"/>
        <v>2032</v>
      </c>
      <c r="L218" s="4"/>
      <c r="M218" s="4"/>
    </row>
    <row r="219" spans="7:13">
      <c r="G219" s="36">
        <v>48519</v>
      </c>
      <c r="H219" s="40">
        <v>5.4139699999999999</v>
      </c>
      <c r="I219" s="40">
        <v>5.4366122465531221</v>
      </c>
      <c r="J219" s="40">
        <v>5.4391583358950717</v>
      </c>
      <c r="K219" s="160">
        <f t="shared" si="8"/>
        <v>2032</v>
      </c>
      <c r="L219" s="4"/>
      <c r="M219" s="4"/>
    </row>
    <row r="220" spans="7:13">
      <c r="G220" s="36">
        <v>48549</v>
      </c>
      <c r="H220" s="40">
        <v>5.7060108163265308</v>
      </c>
      <c r="I220" s="40">
        <v>5.726758231954582</v>
      </c>
      <c r="J220" s="40">
        <v>5.7349878266215804</v>
      </c>
      <c r="K220" s="160">
        <f t="shared" si="8"/>
        <v>2032</v>
      </c>
      <c r="L220" s="4"/>
      <c r="M220" s="4"/>
    </row>
    <row r="221" spans="7:13">
      <c r="G221" s="36">
        <v>48580</v>
      </c>
      <c r="H221" s="40">
        <v>5.768867959183674</v>
      </c>
      <c r="I221" s="40">
        <v>5.7740007299270069</v>
      </c>
      <c r="J221" s="40">
        <v>5.8149140485705511</v>
      </c>
      <c r="K221" s="160">
        <f t="shared" si="8"/>
        <v>2033</v>
      </c>
      <c r="L221" s="4"/>
      <c r="M221" s="4"/>
    </row>
    <row r="222" spans="7:13">
      <c r="G222" s="36">
        <v>48611</v>
      </c>
      <c r="H222" s="40">
        <v>5.768867959183674</v>
      </c>
      <c r="I222" s="40">
        <v>5.7896130575831295</v>
      </c>
      <c r="J222" s="40">
        <v>5.757121241930526</v>
      </c>
      <c r="K222" s="160">
        <f t="shared" si="8"/>
        <v>2033</v>
      </c>
      <c r="L222" s="4"/>
      <c r="M222" s="4"/>
    </row>
    <row r="223" spans="7:13">
      <c r="G223" s="36">
        <v>48639</v>
      </c>
      <c r="H223" s="40">
        <v>5.5176434693877559</v>
      </c>
      <c r="I223" s="40">
        <v>5.524406244931062</v>
      </c>
      <c r="J223" s="40">
        <v>5.5022795573316943</v>
      </c>
      <c r="K223" s="160">
        <f t="shared" si="8"/>
        <v>2033</v>
      </c>
      <c r="L223" s="4"/>
      <c r="M223" s="4"/>
    </row>
    <row r="224" spans="7:13">
      <c r="G224" s="36">
        <v>48670</v>
      </c>
      <c r="H224" s="40">
        <v>5.1877455102040813</v>
      </c>
      <c r="I224" s="40">
        <v>5.1341994322789937</v>
      </c>
      <c r="J224" s="40">
        <v>5.2273538477303001</v>
      </c>
      <c r="K224" s="160">
        <f t="shared" ref="K224:K311" si="9">YEAR(G224)</f>
        <v>2033</v>
      </c>
      <c r="L224" s="4"/>
      <c r="M224" s="4"/>
    </row>
    <row r="225" spans="7:13">
      <c r="G225" s="36">
        <v>48700</v>
      </c>
      <c r="H225" s="40">
        <v>5.109174081632653</v>
      </c>
      <c r="I225" s="40">
        <v>5.0562391727493914</v>
      </c>
      <c r="J225" s="40">
        <v>5.1535757967004816</v>
      </c>
      <c r="K225" s="160">
        <f t="shared" si="9"/>
        <v>2033</v>
      </c>
      <c r="L225" s="4"/>
      <c r="M225" s="4"/>
    </row>
    <row r="226" spans="7:13">
      <c r="G226" s="36">
        <v>48731</v>
      </c>
      <c r="H226" s="40">
        <v>5.1720312244897961</v>
      </c>
      <c r="I226" s="40">
        <v>5.1029747769667475</v>
      </c>
      <c r="J226" s="40">
        <v>5.2115735423711449</v>
      </c>
      <c r="K226" s="160">
        <f t="shared" si="9"/>
        <v>2033</v>
      </c>
      <c r="L226" s="4"/>
      <c r="M226" s="4"/>
    </row>
    <row r="227" spans="7:13">
      <c r="G227" s="36">
        <v>48761</v>
      </c>
      <c r="H227" s="40">
        <v>5.5176434693877559</v>
      </c>
      <c r="I227" s="40">
        <v>5.3682829683698294</v>
      </c>
      <c r="J227" s="40">
        <v>5.5637612665232101</v>
      </c>
      <c r="K227" s="160">
        <f t="shared" si="9"/>
        <v>2033</v>
      </c>
      <c r="L227" s="4"/>
      <c r="M227" s="4"/>
    </row>
    <row r="228" spans="7:13">
      <c r="G228" s="36">
        <v>48792</v>
      </c>
      <c r="H228" s="40">
        <v>5.5646842857142849</v>
      </c>
      <c r="I228" s="40">
        <v>5.4151199513381991</v>
      </c>
      <c r="J228" s="40">
        <v>5.6109997130853575</v>
      </c>
      <c r="K228" s="160">
        <f t="shared" si="9"/>
        <v>2033</v>
      </c>
      <c r="L228" s="4"/>
      <c r="M228" s="4"/>
    </row>
    <row r="229" spans="7:13">
      <c r="G229" s="36">
        <v>48823</v>
      </c>
      <c r="H229" s="40">
        <v>5.3762148979591835</v>
      </c>
      <c r="I229" s="40">
        <v>5.227873398215733</v>
      </c>
      <c r="J229" s="40">
        <v>5.4166150425248496</v>
      </c>
      <c r="K229" s="160">
        <f t="shared" si="9"/>
        <v>2033</v>
      </c>
      <c r="L229" s="4"/>
      <c r="M229" s="4"/>
    </row>
    <row r="230" spans="7:13">
      <c r="G230" s="36">
        <v>48853</v>
      </c>
      <c r="H230" s="40">
        <v>5.4076434693877555</v>
      </c>
      <c r="I230" s="40">
        <v>5.2590980535279801</v>
      </c>
      <c r="J230" s="40">
        <v>5.4532991290091202</v>
      </c>
      <c r="K230" s="160">
        <f t="shared" si="9"/>
        <v>2033</v>
      </c>
      <c r="L230" s="4"/>
      <c r="M230" s="4"/>
    </row>
    <row r="231" spans="7:13">
      <c r="G231" s="36">
        <v>48884</v>
      </c>
      <c r="H231" s="40">
        <v>5.6118271428571429</v>
      </c>
      <c r="I231" s="40">
        <v>5.6179788321167878</v>
      </c>
      <c r="J231" s="40">
        <v>5.637846726098986</v>
      </c>
      <c r="K231" s="160">
        <f t="shared" si="9"/>
        <v>2033</v>
      </c>
      <c r="L231" s="4"/>
      <c r="M231" s="4"/>
    </row>
    <row r="232" spans="7:13">
      <c r="G232" s="36">
        <v>48914</v>
      </c>
      <c r="H232" s="40">
        <v>5.9731536734693877</v>
      </c>
      <c r="I232" s="40">
        <v>6.0080842660178426</v>
      </c>
      <c r="J232" s="40">
        <v>6.0032530177272267</v>
      </c>
      <c r="K232" s="160">
        <f t="shared" si="9"/>
        <v>2033</v>
      </c>
      <c r="L232" s="4"/>
      <c r="M232" s="4"/>
    </row>
    <row r="233" spans="7:13">
      <c r="G233" s="36">
        <v>48945</v>
      </c>
      <c r="H233" s="40">
        <v>6.0465210204081634</v>
      </c>
      <c r="I233" s="40">
        <v>6.0817866180048661</v>
      </c>
      <c r="J233" s="40">
        <v>6.0936311302387551</v>
      </c>
      <c r="K233" s="160">
        <f t="shared" si="9"/>
        <v>2034</v>
      </c>
      <c r="L233" s="4"/>
      <c r="M233" s="4"/>
    </row>
    <row r="234" spans="7:13">
      <c r="G234" s="36">
        <v>48976</v>
      </c>
      <c r="H234" s="40">
        <v>6.0465210204081634</v>
      </c>
      <c r="I234" s="40">
        <v>6.0817866180048661</v>
      </c>
      <c r="J234" s="40">
        <v>6.0359407931140492</v>
      </c>
      <c r="K234" s="160">
        <f t="shared" si="9"/>
        <v>2034</v>
      </c>
      <c r="L234" s="4"/>
      <c r="M234" s="4"/>
    </row>
    <row r="235" spans="7:13">
      <c r="G235" s="36">
        <v>49004</v>
      </c>
      <c r="H235" s="40">
        <v>5.8215210204081629</v>
      </c>
      <c r="I235" s="40">
        <v>5.8263121654501209</v>
      </c>
      <c r="J235" s="40">
        <v>5.8074337739522504</v>
      </c>
      <c r="K235" s="160">
        <f t="shared" si="9"/>
        <v>2034</v>
      </c>
      <c r="L235" s="4"/>
      <c r="M235" s="4"/>
    </row>
    <row r="236" spans="7:13">
      <c r="G236" s="36">
        <v>49035</v>
      </c>
      <c r="H236" s="40">
        <v>5.4840720408163266</v>
      </c>
      <c r="I236" s="40">
        <v>5.4112675587996755</v>
      </c>
      <c r="J236" s="40">
        <v>5.5249253202172355</v>
      </c>
      <c r="K236" s="160">
        <f t="shared" si="9"/>
        <v>2034</v>
      </c>
      <c r="L236" s="4"/>
      <c r="M236" s="4"/>
    </row>
    <row r="237" spans="7:13">
      <c r="G237" s="36">
        <v>49065</v>
      </c>
      <c r="H237" s="40">
        <v>5.3876434693877551</v>
      </c>
      <c r="I237" s="40">
        <v>5.33138110300081</v>
      </c>
      <c r="J237" s="40">
        <v>5.4332151040065577</v>
      </c>
      <c r="K237" s="160">
        <f t="shared" si="9"/>
        <v>2034</v>
      </c>
      <c r="L237" s="4"/>
      <c r="M237" s="4"/>
    </row>
    <row r="238" spans="7:13">
      <c r="G238" s="36">
        <v>49096</v>
      </c>
      <c r="H238" s="40">
        <v>5.4680516326530615</v>
      </c>
      <c r="I238" s="40">
        <v>5.4112675587996755</v>
      </c>
      <c r="J238" s="40">
        <v>5.5088376063121229</v>
      </c>
      <c r="K238" s="160">
        <f t="shared" si="9"/>
        <v>2034</v>
      </c>
      <c r="L238" s="4"/>
      <c r="M238" s="4"/>
    </row>
    <row r="239" spans="7:13">
      <c r="G239" s="36">
        <v>49126</v>
      </c>
      <c r="H239" s="40">
        <v>5.7733577551020403</v>
      </c>
      <c r="I239" s="40">
        <v>5.6187898621248982</v>
      </c>
      <c r="J239" s="40">
        <v>5.8205498719131059</v>
      </c>
      <c r="K239" s="160">
        <f t="shared" si="9"/>
        <v>2034</v>
      </c>
      <c r="L239" s="4"/>
      <c r="M239" s="4"/>
    </row>
    <row r="240" spans="7:13">
      <c r="G240" s="36">
        <v>49157</v>
      </c>
      <c r="H240" s="40">
        <v>5.837541428571428</v>
      </c>
      <c r="I240" s="40">
        <v>5.6985749391727492</v>
      </c>
      <c r="J240" s="40">
        <v>5.8850031970488779</v>
      </c>
      <c r="K240" s="160">
        <f t="shared" si="9"/>
        <v>2034</v>
      </c>
      <c r="L240" s="4"/>
      <c r="M240" s="4"/>
    </row>
    <row r="241" spans="7:13">
      <c r="G241" s="36">
        <v>49188</v>
      </c>
      <c r="H241" s="40">
        <v>5.6608067346938782</v>
      </c>
      <c r="I241" s="40">
        <v>5.5070704785077043</v>
      </c>
      <c r="J241" s="40">
        <v>5.7024025207500779</v>
      </c>
      <c r="K241" s="160">
        <f t="shared" si="9"/>
        <v>2034</v>
      </c>
      <c r="L241" s="4"/>
      <c r="M241" s="4"/>
    </row>
    <row r="242" spans="7:13">
      <c r="G242" s="36">
        <v>49218</v>
      </c>
      <c r="H242" s="40">
        <v>5.7090720408163262</v>
      </c>
      <c r="I242" s="40">
        <v>5.5708377128953765</v>
      </c>
      <c r="J242" s="40">
        <v>5.7559940772620148</v>
      </c>
      <c r="K242" s="160">
        <f t="shared" si="9"/>
        <v>2034</v>
      </c>
      <c r="L242" s="4"/>
      <c r="M242" s="4"/>
    </row>
    <row r="243" spans="7:13">
      <c r="G243" s="36">
        <v>49249</v>
      </c>
      <c r="H243" s="40">
        <v>5.9018271428571421</v>
      </c>
      <c r="I243" s="40">
        <v>5.9380315490673148</v>
      </c>
      <c r="J243" s="40">
        <v>5.9290650886361309</v>
      </c>
      <c r="K243" s="160">
        <f t="shared" si="9"/>
        <v>2034</v>
      </c>
      <c r="L243" s="4"/>
      <c r="M243" s="4"/>
    </row>
    <row r="244" spans="7:13">
      <c r="G244" s="36">
        <v>49279</v>
      </c>
      <c r="H244" s="40">
        <v>6.2392761224489792</v>
      </c>
      <c r="I244" s="40">
        <v>6.2893089213300888</v>
      </c>
      <c r="J244" s="40">
        <v>6.2704935136796802</v>
      </c>
      <c r="K244" s="160">
        <f t="shared" si="9"/>
        <v>2034</v>
      </c>
      <c r="L244" s="4"/>
      <c r="M244" s="4"/>
    </row>
    <row r="245" spans="7:13">
      <c r="G245" s="36">
        <v>49310</v>
      </c>
      <c r="H245" s="40">
        <v>6.3173373469387757</v>
      </c>
      <c r="I245" s="40">
        <v>6.3515554744525549</v>
      </c>
      <c r="J245" s="40">
        <v>6.3655852238958914</v>
      </c>
      <c r="K245" s="160">
        <f t="shared" si="9"/>
        <v>2035</v>
      </c>
      <c r="L245" s="4"/>
      <c r="M245" s="4"/>
    </row>
    <row r="246" spans="7:13">
      <c r="G246" s="36">
        <v>49341</v>
      </c>
      <c r="H246" s="40">
        <v>6.3337659183673471</v>
      </c>
      <c r="I246" s="40">
        <v>6.3678774533657743</v>
      </c>
      <c r="J246" s="40">
        <v>6.3243924787375754</v>
      </c>
      <c r="K246" s="160">
        <f t="shared" si="9"/>
        <v>2035</v>
      </c>
      <c r="L246" s="4"/>
      <c r="M246" s="4"/>
    </row>
    <row r="247" spans="7:13">
      <c r="G247" s="36">
        <v>49369</v>
      </c>
      <c r="H247" s="40">
        <v>6.0214189795918367</v>
      </c>
      <c r="I247" s="40">
        <v>6.0249131386861308</v>
      </c>
      <c r="J247" s="40">
        <v>6.0081715544625478</v>
      </c>
      <c r="K247" s="160">
        <f t="shared" si="9"/>
        <v>2035</v>
      </c>
      <c r="L247" s="4"/>
      <c r="M247" s="4"/>
    </row>
    <row r="248" spans="7:13">
      <c r="G248" s="36">
        <v>49400</v>
      </c>
      <c r="H248" s="40">
        <v>5.6926434693877557</v>
      </c>
      <c r="I248" s="40">
        <v>5.6166609083536088</v>
      </c>
      <c r="J248" s="40">
        <v>5.7343730095296657</v>
      </c>
      <c r="K248" s="160">
        <f t="shared" si="9"/>
        <v>2035</v>
      </c>
      <c r="L248" s="4"/>
      <c r="M248" s="4"/>
    </row>
    <row r="249" spans="7:13">
      <c r="G249" s="36">
        <v>49430</v>
      </c>
      <c r="H249" s="40">
        <v>5.6105006122448975</v>
      </c>
      <c r="I249" s="40">
        <v>5.5349496350364955</v>
      </c>
      <c r="J249" s="40">
        <v>5.6570085254636746</v>
      </c>
      <c r="K249" s="160">
        <f t="shared" si="9"/>
        <v>2035</v>
      </c>
      <c r="L249" s="4"/>
      <c r="M249" s="4"/>
    </row>
    <row r="250" spans="7:13">
      <c r="G250" s="36">
        <v>49461</v>
      </c>
      <c r="H250" s="40">
        <v>5.6597863265306119</v>
      </c>
      <c r="I250" s="40">
        <v>5.5840169505271691</v>
      </c>
      <c r="J250" s="40">
        <v>5.701377825596885</v>
      </c>
      <c r="K250" s="160">
        <f t="shared" si="9"/>
        <v>2035</v>
      </c>
      <c r="L250" s="4"/>
      <c r="M250" s="4"/>
    </row>
    <row r="251" spans="7:13">
      <c r="G251" s="36">
        <v>49491</v>
      </c>
      <c r="H251" s="40">
        <v>5.9885618367346938</v>
      </c>
      <c r="I251" s="40">
        <v>5.8289480129764799</v>
      </c>
      <c r="J251" s="40">
        <v>6.0366580797212839</v>
      </c>
      <c r="K251" s="160">
        <f t="shared" si="9"/>
        <v>2035</v>
      </c>
      <c r="L251" s="4"/>
      <c r="M251" s="4"/>
    </row>
    <row r="252" spans="7:13">
      <c r="G252" s="36">
        <v>49522</v>
      </c>
      <c r="H252" s="40">
        <v>6.0707046938775511</v>
      </c>
      <c r="I252" s="40">
        <v>5.9105579075425787</v>
      </c>
      <c r="J252" s="40">
        <v>6.1191460395532333</v>
      </c>
      <c r="K252" s="160">
        <f t="shared" si="9"/>
        <v>2035</v>
      </c>
      <c r="L252" s="4"/>
      <c r="M252" s="4"/>
    </row>
    <row r="253" spans="7:13">
      <c r="G253" s="36">
        <v>49553</v>
      </c>
      <c r="H253" s="40">
        <v>5.8570312244897957</v>
      </c>
      <c r="I253" s="40">
        <v>5.6982708029197076</v>
      </c>
      <c r="J253" s="40">
        <v>5.8994513987088846</v>
      </c>
      <c r="K253" s="160">
        <f t="shared" si="9"/>
        <v>2035</v>
      </c>
      <c r="L253" s="4"/>
      <c r="M253" s="4"/>
    </row>
    <row r="254" spans="7:13">
      <c r="G254" s="36">
        <v>49583</v>
      </c>
      <c r="H254" s="40">
        <v>5.9063169387755101</v>
      </c>
      <c r="I254" s="40">
        <v>5.7473381184103811</v>
      </c>
      <c r="J254" s="40">
        <v>5.9540676503740144</v>
      </c>
      <c r="K254" s="160">
        <f t="shared" si="9"/>
        <v>2035</v>
      </c>
      <c r="L254" s="4"/>
      <c r="M254" s="4"/>
    </row>
    <row r="255" spans="7:13">
      <c r="G255" s="36">
        <v>49614</v>
      </c>
      <c r="H255" s="40">
        <v>6.0871332653061225</v>
      </c>
      <c r="I255" s="40">
        <v>6.0902010543390102</v>
      </c>
      <c r="J255" s="40">
        <v>6.1151497284557852</v>
      </c>
      <c r="K255" s="160">
        <f t="shared" si="9"/>
        <v>2035</v>
      </c>
      <c r="L255" s="4"/>
      <c r="M255" s="4"/>
    </row>
    <row r="256" spans="7:13">
      <c r="G256" s="36">
        <v>49644</v>
      </c>
      <c r="H256" s="40">
        <v>6.3994802040816321</v>
      </c>
      <c r="I256" s="40">
        <v>6.4331653690186528</v>
      </c>
      <c r="J256" s="40">
        <v>6.4313706527308128</v>
      </c>
      <c r="K256" s="160">
        <f t="shared" si="9"/>
        <v>2035</v>
      </c>
      <c r="L256" s="4"/>
      <c r="M256" s="4"/>
    </row>
    <row r="257" spans="7:13">
      <c r="G257" s="36">
        <v>49675</v>
      </c>
      <c r="H257" s="40">
        <v>6.462847551020408</v>
      </c>
      <c r="I257" s="40">
        <v>6.4969326034063251</v>
      </c>
      <c r="J257" s="40">
        <v>6.511809222256379</v>
      </c>
      <c r="K257" s="160">
        <f t="shared" si="9"/>
        <v>2036</v>
      </c>
      <c r="L257" s="4"/>
      <c r="M257" s="4"/>
    </row>
    <row r="258" spans="7:13">
      <c r="G258" s="36">
        <v>49706</v>
      </c>
      <c r="H258" s="40">
        <v>6.4965210204081636</v>
      </c>
      <c r="I258" s="40">
        <v>6.4969326034063251</v>
      </c>
      <c r="J258" s="40">
        <v>6.4878313556716884</v>
      </c>
      <c r="K258" s="160">
        <f t="shared" si="9"/>
        <v>2036</v>
      </c>
      <c r="L258" s="4"/>
      <c r="M258" s="4"/>
    </row>
    <row r="259" spans="7:13">
      <c r="G259" s="36">
        <v>49735</v>
      </c>
      <c r="H259" s="40">
        <v>6.2611128571428569</v>
      </c>
      <c r="I259" s="40">
        <v>6.2463243309002427</v>
      </c>
      <c r="J259" s="40">
        <v>6.248872445947331</v>
      </c>
      <c r="K259" s="160">
        <f t="shared" si="9"/>
        <v>2036</v>
      </c>
      <c r="L259" s="4"/>
      <c r="M259" s="4"/>
    </row>
    <row r="260" spans="7:13">
      <c r="G260" s="36">
        <v>49766</v>
      </c>
      <c r="H260" s="40">
        <v>6.0256026530612248</v>
      </c>
      <c r="I260" s="40">
        <v>5.9622610705596104</v>
      </c>
      <c r="J260" s="40">
        <v>6.0687310380161907</v>
      </c>
      <c r="K260" s="160">
        <f t="shared" si="9"/>
        <v>2036</v>
      </c>
      <c r="L260" s="4"/>
      <c r="M260" s="4"/>
    </row>
    <row r="261" spans="7:13">
      <c r="G261" s="36">
        <v>49796</v>
      </c>
      <c r="H261" s="40">
        <v>5.9751944897959186</v>
      </c>
      <c r="I261" s="40">
        <v>5.9121799675587994</v>
      </c>
      <c r="J261" s="40">
        <v>6.0232345732144692</v>
      </c>
      <c r="K261" s="160">
        <f t="shared" si="9"/>
        <v>2036</v>
      </c>
      <c r="L261" s="4"/>
      <c r="M261" s="4"/>
    </row>
    <row r="262" spans="7:13">
      <c r="G262" s="36">
        <v>49827</v>
      </c>
      <c r="H262" s="40">
        <v>6.0592761224489795</v>
      </c>
      <c r="I262" s="40">
        <v>5.9957160583941604</v>
      </c>
      <c r="J262" s="40">
        <v>6.1025459780715234</v>
      </c>
      <c r="K262" s="160">
        <f t="shared" si="9"/>
        <v>2036</v>
      </c>
      <c r="L262" s="4"/>
      <c r="M262" s="4"/>
    </row>
    <row r="263" spans="7:13">
      <c r="G263" s="36">
        <v>49857</v>
      </c>
      <c r="H263" s="40">
        <v>6.4292761224489796</v>
      </c>
      <c r="I263" s="40">
        <v>6.2630518248175182</v>
      </c>
      <c r="J263" s="40">
        <v>6.4792239163848757</v>
      </c>
      <c r="K263" s="160">
        <f t="shared" si="9"/>
        <v>2036</v>
      </c>
      <c r="L263" s="4"/>
      <c r="M263" s="4"/>
    </row>
    <row r="264" spans="7:13">
      <c r="G264" s="36">
        <v>49888</v>
      </c>
      <c r="H264" s="40">
        <v>6.5133577551020405</v>
      </c>
      <c r="I264" s="40">
        <v>6.3465879156528784</v>
      </c>
      <c r="J264" s="40">
        <v>6.5636587970078901</v>
      </c>
      <c r="K264" s="160">
        <f t="shared" si="9"/>
        <v>2036</v>
      </c>
      <c r="L264" s="4"/>
      <c r="M264" s="4"/>
    </row>
    <row r="265" spans="7:13">
      <c r="G265" s="36">
        <v>49919</v>
      </c>
      <c r="H265" s="40">
        <v>6.2946842857142862</v>
      </c>
      <c r="I265" s="40">
        <v>6.1293332522303325</v>
      </c>
      <c r="J265" s="40">
        <v>6.3389431499129012</v>
      </c>
      <c r="K265" s="160">
        <f t="shared" si="9"/>
        <v>2036</v>
      </c>
      <c r="L265" s="4"/>
      <c r="M265" s="4"/>
    </row>
    <row r="266" spans="7:13">
      <c r="G266" s="36">
        <v>49949</v>
      </c>
      <c r="H266" s="40">
        <v>6.3283577551020409</v>
      </c>
      <c r="I266" s="40">
        <v>6.1627882400648817</v>
      </c>
      <c r="J266" s="40">
        <v>6.3778815657341941</v>
      </c>
      <c r="K266" s="160">
        <f t="shared" si="9"/>
        <v>2036</v>
      </c>
      <c r="L266" s="4"/>
      <c r="M266" s="4"/>
    </row>
    <row r="267" spans="7:13">
      <c r="G267" s="36">
        <v>49980</v>
      </c>
      <c r="H267" s="40">
        <v>6.5806026530612245</v>
      </c>
      <c r="I267" s="40">
        <v>6.5971961881589616</v>
      </c>
      <c r="J267" s="40">
        <v>6.6106923045394002</v>
      </c>
      <c r="K267" s="160">
        <f t="shared" si="9"/>
        <v>2036</v>
      </c>
      <c r="L267" s="4"/>
      <c r="M267" s="4"/>
    </row>
    <row r="268" spans="7:13">
      <c r="G268" s="36">
        <v>50010</v>
      </c>
      <c r="H268" s="40">
        <v>6.9673373469387752</v>
      </c>
      <c r="I268" s="40">
        <v>6.9646941605839414</v>
      </c>
      <c r="J268" s="40">
        <v>7.00161350548212</v>
      </c>
      <c r="K268" s="160">
        <f t="shared" si="9"/>
        <v>2036</v>
      </c>
      <c r="L268" s="4"/>
      <c r="M268" s="4"/>
    </row>
    <row r="269" spans="7:13">
      <c r="G269" s="36">
        <v>50041</v>
      </c>
      <c r="H269" s="40">
        <v>7.0006026530612244</v>
      </c>
      <c r="I269" s="40">
        <v>6.9977436334144354</v>
      </c>
      <c r="J269" s="40">
        <v>7.0517210984732044</v>
      </c>
      <c r="K269" s="160">
        <f t="shared" si="9"/>
        <v>2037</v>
      </c>
      <c r="L269" s="4"/>
      <c r="M269" s="4"/>
    </row>
    <row r="270" spans="7:13">
      <c r="G270" s="36">
        <v>50072</v>
      </c>
      <c r="H270" s="40">
        <v>7.0349904081632646</v>
      </c>
      <c r="I270" s="40">
        <v>7.0319082725060822</v>
      </c>
      <c r="J270" s="40">
        <v>7.0285629880110676</v>
      </c>
      <c r="K270" s="160">
        <f t="shared" si="9"/>
        <v>2037</v>
      </c>
      <c r="L270" s="4"/>
      <c r="M270" s="4"/>
    </row>
    <row r="271" spans="7:13">
      <c r="G271" s="36">
        <v>50100</v>
      </c>
      <c r="H271" s="40">
        <v>6.6396842857142859</v>
      </c>
      <c r="I271" s="40">
        <v>6.6391669910786693</v>
      </c>
      <c r="J271" s="40">
        <v>6.6290343477815359</v>
      </c>
      <c r="K271" s="160">
        <f t="shared" si="9"/>
        <v>2037</v>
      </c>
      <c r="L271" s="4"/>
      <c r="M271" s="4"/>
    </row>
    <row r="272" spans="7:13">
      <c r="G272" s="36">
        <v>50131</v>
      </c>
      <c r="H272" s="40">
        <v>6.2099904081632653</v>
      </c>
      <c r="I272" s="40">
        <v>6.1269001622060006</v>
      </c>
      <c r="J272" s="40">
        <v>6.2538934521979712</v>
      </c>
      <c r="K272" s="160">
        <f t="shared" si="9"/>
        <v>2037</v>
      </c>
      <c r="L272" s="4"/>
      <c r="M272" s="4"/>
    </row>
    <row r="273" spans="7:13">
      <c r="G273" s="36">
        <v>50161</v>
      </c>
      <c r="H273" s="40">
        <v>6.1240720408163263</v>
      </c>
      <c r="I273" s="40">
        <v>6.0415392538523918</v>
      </c>
      <c r="J273" s="40">
        <v>6.1727375960651711</v>
      </c>
      <c r="K273" s="160">
        <f t="shared" si="9"/>
        <v>2037</v>
      </c>
      <c r="L273" s="4"/>
      <c r="M273" s="4"/>
    </row>
    <row r="274" spans="7:13">
      <c r="G274" s="36">
        <v>50192</v>
      </c>
      <c r="H274" s="40">
        <v>6.1756026530612242</v>
      </c>
      <c r="I274" s="40">
        <v>6.0586722627737224</v>
      </c>
      <c r="J274" s="40">
        <v>6.2193612255354029</v>
      </c>
      <c r="K274" s="160">
        <f t="shared" si="9"/>
        <v>2037</v>
      </c>
      <c r="L274" s="4"/>
      <c r="M274" s="4"/>
    </row>
    <row r="275" spans="7:13">
      <c r="G275" s="36">
        <v>50222</v>
      </c>
      <c r="H275" s="40">
        <v>6.5193781632653067</v>
      </c>
      <c r="I275" s="40">
        <v>6.3489196269261958</v>
      </c>
      <c r="J275" s="40">
        <v>6.5697044984117232</v>
      </c>
      <c r="K275" s="160">
        <f t="shared" si="9"/>
        <v>2037</v>
      </c>
      <c r="L275" s="4"/>
      <c r="M275" s="4"/>
    </row>
    <row r="276" spans="7:13">
      <c r="G276" s="36">
        <v>50253</v>
      </c>
      <c r="H276" s="40">
        <v>6.6052965306122449</v>
      </c>
      <c r="I276" s="40">
        <v>6.4342805352798047</v>
      </c>
      <c r="J276" s="40">
        <v>6.6559838303104835</v>
      </c>
      <c r="K276" s="160">
        <f t="shared" si="9"/>
        <v>2037</v>
      </c>
      <c r="L276" s="4"/>
      <c r="M276" s="4"/>
    </row>
    <row r="277" spans="7:13">
      <c r="G277" s="36">
        <v>50284</v>
      </c>
      <c r="H277" s="40">
        <v>6.2959087755102043</v>
      </c>
      <c r="I277" s="40">
        <v>6.1269001622060006</v>
      </c>
      <c r="J277" s="40">
        <v>6.3401727840967315</v>
      </c>
      <c r="K277" s="160">
        <f t="shared" si="9"/>
        <v>2037</v>
      </c>
      <c r="L277" s="4"/>
      <c r="M277" s="4"/>
    </row>
    <row r="278" spans="7:13">
      <c r="G278" s="36">
        <v>50314</v>
      </c>
      <c r="H278" s="40">
        <v>6.3646842857142856</v>
      </c>
      <c r="I278" s="40">
        <v>6.1952294403892942</v>
      </c>
      <c r="J278" s="40">
        <v>6.4143607131878273</v>
      </c>
      <c r="K278" s="160">
        <f t="shared" si="9"/>
        <v>2037</v>
      </c>
      <c r="L278" s="4"/>
      <c r="M278" s="4"/>
    </row>
    <row r="279" spans="7:13">
      <c r="G279" s="36">
        <v>50345</v>
      </c>
      <c r="H279" s="40">
        <v>6.5709087755102038</v>
      </c>
      <c r="I279" s="40">
        <v>6.5538060827250604</v>
      </c>
      <c r="J279" s="40">
        <v>6.6009577005840772</v>
      </c>
      <c r="K279" s="160">
        <f t="shared" si="9"/>
        <v>2037</v>
      </c>
      <c r="L279" s="4"/>
      <c r="M279" s="4"/>
    </row>
    <row r="280" spans="7:13">
      <c r="G280" s="36">
        <v>50375</v>
      </c>
      <c r="H280" s="40">
        <v>7.0006026530612244</v>
      </c>
      <c r="I280" s="40">
        <v>7.0319082725060822</v>
      </c>
      <c r="J280" s="40">
        <v>7.0350185674761763</v>
      </c>
      <c r="K280" s="160">
        <f t="shared" si="9"/>
        <v>2037</v>
      </c>
      <c r="L280" s="4"/>
      <c r="M280" s="4"/>
    </row>
    <row r="281" spans="7:13">
      <c r="G281" s="36">
        <v>50406</v>
      </c>
      <c r="H281" s="40">
        <v>7.084582244897959</v>
      </c>
      <c r="I281" s="40">
        <v>7.0811783454987829</v>
      </c>
      <c r="J281" s="40">
        <v>7.1361559790962188</v>
      </c>
      <c r="K281" s="160">
        <f t="shared" ref="K281:K304" si="10">YEAR(G281)</f>
        <v>2038</v>
      </c>
      <c r="L281" s="4"/>
      <c r="M281" s="4"/>
    </row>
    <row r="282" spans="7:13">
      <c r="G282" s="36">
        <v>50437</v>
      </c>
      <c r="H282" s="40">
        <v>7.1021332653061222</v>
      </c>
      <c r="I282" s="40">
        <v>7.0811783454987829</v>
      </c>
      <c r="J282" s="40">
        <v>7.0959879290910957</v>
      </c>
      <c r="K282" s="160">
        <f t="shared" si="10"/>
        <v>2038</v>
      </c>
      <c r="L282" s="4"/>
      <c r="M282" s="4"/>
    </row>
    <row r="283" spans="7:13">
      <c r="G283" s="36">
        <v>50465</v>
      </c>
      <c r="H283" s="40">
        <v>6.7684597959183677</v>
      </c>
      <c r="I283" s="40">
        <v>6.7496698296836977</v>
      </c>
      <c r="J283" s="40">
        <v>6.7583508761143571</v>
      </c>
      <c r="K283" s="160">
        <f t="shared" si="10"/>
        <v>2038</v>
      </c>
      <c r="L283" s="4"/>
      <c r="M283" s="4"/>
    </row>
    <row r="284" spans="7:13">
      <c r="G284" s="36">
        <v>50496</v>
      </c>
      <c r="H284" s="40">
        <v>6.4522353061224491</v>
      </c>
      <c r="I284" s="40">
        <v>6.4006227899432275</v>
      </c>
      <c r="J284" s="40">
        <v>6.497156081565735</v>
      </c>
      <c r="K284" s="160">
        <f t="shared" si="10"/>
        <v>2038</v>
      </c>
      <c r="L284" s="4"/>
      <c r="M284" s="4"/>
    </row>
    <row r="285" spans="7:13">
      <c r="G285" s="36">
        <v>50526</v>
      </c>
      <c r="H285" s="40">
        <v>6.3995822448979585</v>
      </c>
      <c r="I285" s="40">
        <v>6.3133356853203564</v>
      </c>
      <c r="J285" s="40">
        <v>6.4494052874269912</v>
      </c>
      <c r="K285" s="160">
        <f t="shared" si="10"/>
        <v>2038</v>
      </c>
      <c r="L285" s="4"/>
      <c r="M285" s="4"/>
    </row>
    <row r="286" spans="7:13">
      <c r="G286" s="36">
        <v>50557</v>
      </c>
      <c r="H286" s="40">
        <v>6.4346842857142859</v>
      </c>
      <c r="I286" s="40">
        <v>6.3308742092457413</v>
      </c>
      <c r="J286" s="40">
        <v>6.4795313249308339</v>
      </c>
      <c r="K286" s="160">
        <f t="shared" si="10"/>
        <v>2038</v>
      </c>
      <c r="L286" s="4"/>
      <c r="M286" s="4"/>
    </row>
    <row r="287" spans="7:13">
      <c r="G287" s="36">
        <v>50587</v>
      </c>
      <c r="H287" s="40">
        <v>6.8914189795918368</v>
      </c>
      <c r="I287" s="40">
        <v>6.7146941605839414</v>
      </c>
      <c r="J287" s="40">
        <v>6.9433083512654985</v>
      </c>
      <c r="K287" s="160">
        <f t="shared" si="10"/>
        <v>2038</v>
      </c>
      <c r="L287" s="4"/>
      <c r="M287" s="4"/>
    </row>
    <row r="288" spans="7:13">
      <c r="G288" s="36">
        <v>50618</v>
      </c>
      <c r="H288" s="40">
        <v>6.9791740816326531</v>
      </c>
      <c r="I288" s="40">
        <v>6.8019812652068126</v>
      </c>
      <c r="J288" s="40">
        <v>7.0314321344400046</v>
      </c>
      <c r="K288" s="160">
        <f t="shared" si="10"/>
        <v>2038</v>
      </c>
      <c r="L288" s="4"/>
      <c r="M288" s="4"/>
    </row>
    <row r="289" spans="7:13">
      <c r="G289" s="36">
        <v>50649</v>
      </c>
      <c r="H289" s="40">
        <v>6.6806026530612241</v>
      </c>
      <c r="I289" s="40">
        <v>6.50534703974047</v>
      </c>
      <c r="J289" s="40">
        <v>6.7264828568500876</v>
      </c>
      <c r="K289" s="160">
        <f t="shared" si="10"/>
        <v>2038</v>
      </c>
      <c r="L289" s="4"/>
      <c r="M289" s="4"/>
    </row>
    <row r="290" spans="7:13">
      <c r="G290" s="36">
        <v>50679</v>
      </c>
      <c r="H290" s="40">
        <v>6.7333577551020412</v>
      </c>
      <c r="I290" s="40">
        <v>6.5750956204379554</v>
      </c>
      <c r="J290" s="40">
        <v>6.78458307203607</v>
      </c>
      <c r="K290" s="160">
        <f t="shared" si="10"/>
        <v>2038</v>
      </c>
      <c r="L290" s="4"/>
      <c r="M290" s="4"/>
    </row>
    <row r="291" spans="7:13">
      <c r="G291" s="36">
        <v>50710</v>
      </c>
      <c r="H291" s="40">
        <v>7.0143781632653059</v>
      </c>
      <c r="I291" s="40">
        <v>6.9764540957015404</v>
      </c>
      <c r="J291" s="40">
        <v>7.0462902141612878</v>
      </c>
      <c r="K291" s="160">
        <f t="shared" si="10"/>
        <v>2038</v>
      </c>
      <c r="L291" s="4"/>
      <c r="M291" s="4"/>
    </row>
    <row r="292" spans="7:13">
      <c r="G292" s="36">
        <v>50740</v>
      </c>
      <c r="H292" s="40">
        <v>7.4534597959183682</v>
      </c>
      <c r="I292" s="40">
        <v>7.4476625304136252</v>
      </c>
      <c r="J292" s="40">
        <v>7.4897782764627534</v>
      </c>
      <c r="K292" s="160">
        <f t="shared" si="10"/>
        <v>2038</v>
      </c>
      <c r="L292" s="4"/>
      <c r="M292" s="4"/>
    </row>
    <row r="293" spans="7:13">
      <c r="G293" s="36">
        <v>50771</v>
      </c>
      <c r="H293" s="40">
        <v>7.5099904081632651</v>
      </c>
      <c r="I293" s="40">
        <v>7.5395116788321168</v>
      </c>
      <c r="J293" s="40">
        <v>7.5632489189466137</v>
      </c>
      <c r="K293" s="160">
        <f t="shared" si="10"/>
        <v>2039</v>
      </c>
      <c r="L293" s="4"/>
      <c r="M293" s="4"/>
    </row>
    <row r="294" spans="7:13">
      <c r="G294" s="36">
        <v>50802</v>
      </c>
      <c r="H294" s="40">
        <v>7.5099904081632651</v>
      </c>
      <c r="I294" s="40">
        <v>7.5038263584752629</v>
      </c>
      <c r="J294" s="40">
        <v>7.5055585818219086</v>
      </c>
      <c r="K294" s="160">
        <f t="shared" si="10"/>
        <v>2039</v>
      </c>
      <c r="L294" s="4"/>
      <c r="M294" s="4"/>
    </row>
    <row r="295" spans="7:13">
      <c r="G295" s="36">
        <v>50830</v>
      </c>
      <c r="H295" s="40">
        <v>7.0791740816326527</v>
      </c>
      <c r="I295" s="40">
        <v>7.0044346309813461</v>
      </c>
      <c r="J295" s="40">
        <v>7.0703705502612983</v>
      </c>
      <c r="K295" s="160">
        <f t="shared" si="10"/>
        <v>2039</v>
      </c>
      <c r="L295" s="4"/>
      <c r="M295" s="4"/>
    </row>
    <row r="296" spans="7:13">
      <c r="G296" s="36">
        <v>50861</v>
      </c>
      <c r="H296" s="40">
        <v>6.612439387755102</v>
      </c>
      <c r="I296" s="40">
        <v>6.5050429034874284</v>
      </c>
      <c r="J296" s="40">
        <v>6.6580332206168675</v>
      </c>
      <c r="K296" s="160">
        <f t="shared" si="10"/>
        <v>2039</v>
      </c>
      <c r="L296" s="4"/>
      <c r="M296" s="4"/>
    </row>
    <row r="297" spans="7:13">
      <c r="G297" s="36">
        <v>50891</v>
      </c>
      <c r="H297" s="40">
        <v>6.5406026530612245</v>
      </c>
      <c r="I297" s="40">
        <v>6.469458961881589</v>
      </c>
      <c r="J297" s="40">
        <v>6.591018157598115</v>
      </c>
      <c r="K297" s="160">
        <f t="shared" si="10"/>
        <v>2039</v>
      </c>
      <c r="L297" s="4"/>
      <c r="M297" s="4"/>
    </row>
    <row r="298" spans="7:13">
      <c r="G298" s="36">
        <v>50922</v>
      </c>
      <c r="H298" s="40">
        <v>6.5765210204081628</v>
      </c>
      <c r="I298" s="40">
        <v>6.5050429034874284</v>
      </c>
      <c r="J298" s="40">
        <v>6.6219639512245108</v>
      </c>
      <c r="K298" s="160">
        <f t="shared" si="10"/>
        <v>2039</v>
      </c>
      <c r="L298" s="4"/>
      <c r="M298" s="4"/>
    </row>
    <row r="299" spans="7:13">
      <c r="G299" s="36">
        <v>50952</v>
      </c>
      <c r="H299" s="40">
        <v>6.9714189795918369</v>
      </c>
      <c r="I299" s="40">
        <v>6.7904240875912407</v>
      </c>
      <c r="J299" s="40">
        <v>7.0236444512757457</v>
      </c>
      <c r="K299" s="160">
        <f t="shared" si="10"/>
        <v>2039</v>
      </c>
      <c r="L299" s="4"/>
      <c r="M299" s="4"/>
    </row>
    <row r="300" spans="7:13">
      <c r="G300" s="36">
        <v>50983</v>
      </c>
      <c r="H300" s="40">
        <v>7.0252965306122448</v>
      </c>
      <c r="I300" s="40">
        <v>6.8439520681265202</v>
      </c>
      <c r="J300" s="40">
        <v>7.0777483553642799</v>
      </c>
      <c r="K300" s="160">
        <f t="shared" si="10"/>
        <v>2039</v>
      </c>
      <c r="L300" s="4"/>
      <c r="M300" s="4"/>
    </row>
    <row r="301" spans="7:13">
      <c r="G301" s="36">
        <v>51014</v>
      </c>
      <c r="H301" s="40">
        <v>6.7021332653061219</v>
      </c>
      <c r="I301" s="40">
        <v>6.5407282238442814</v>
      </c>
      <c r="J301" s="40">
        <v>6.7481039245824368</v>
      </c>
      <c r="K301" s="160">
        <f t="shared" si="10"/>
        <v>2039</v>
      </c>
      <c r="L301" s="4"/>
      <c r="M301" s="4"/>
    </row>
    <row r="302" spans="7:13">
      <c r="G302" s="36">
        <v>51044</v>
      </c>
      <c r="H302" s="40">
        <v>6.791929183673469</v>
      </c>
      <c r="I302" s="40">
        <v>6.6120988645579883</v>
      </c>
      <c r="J302" s="40">
        <v>6.8434005738292862</v>
      </c>
      <c r="K302" s="160">
        <f t="shared" si="10"/>
        <v>2039</v>
      </c>
      <c r="L302" s="4"/>
      <c r="M302" s="4"/>
    </row>
    <row r="303" spans="7:13">
      <c r="G303" s="36">
        <v>51075</v>
      </c>
      <c r="H303" s="40">
        <v>7.0073373469387752</v>
      </c>
      <c r="I303" s="40">
        <v>6.9687493106244922</v>
      </c>
      <c r="J303" s="40">
        <v>7.0392198176042635</v>
      </c>
      <c r="K303" s="160">
        <f t="shared" si="10"/>
        <v>2039</v>
      </c>
      <c r="L303" s="4"/>
      <c r="M303" s="4"/>
    </row>
    <row r="304" spans="7:13">
      <c r="G304" s="36">
        <v>51105</v>
      </c>
      <c r="H304" s="40">
        <v>7.5459087755102034</v>
      </c>
      <c r="I304" s="40">
        <v>7.5216690186536894</v>
      </c>
      <c r="J304" s="40">
        <v>7.5826156573419405</v>
      </c>
      <c r="K304" s="160">
        <f t="shared" si="10"/>
        <v>2039</v>
      </c>
      <c r="L304" s="4"/>
      <c r="M304" s="4"/>
    </row>
    <row r="305" spans="7:13">
      <c r="G305" s="36">
        <v>51136</v>
      </c>
      <c r="H305" s="40">
        <v>7.6020312244897958</v>
      </c>
      <c r="I305" s="40">
        <v>7.6317663422546627</v>
      </c>
      <c r="J305" s="40">
        <v>7.6557788912798452</v>
      </c>
      <c r="K305" s="160">
        <f t="shared" si="9"/>
        <v>2040</v>
      </c>
      <c r="L305" s="4"/>
      <c r="M305" s="4"/>
    </row>
    <row r="306" spans="7:13">
      <c r="G306" s="36">
        <v>51167</v>
      </c>
      <c r="H306" s="40">
        <v>7.6020312244897958</v>
      </c>
      <c r="I306" s="40">
        <v>7.5952699918896993</v>
      </c>
      <c r="J306" s="40">
        <v>7.5979860846398202</v>
      </c>
      <c r="K306" s="160">
        <f t="shared" si="9"/>
        <v>2040</v>
      </c>
      <c r="L306" s="4"/>
      <c r="M306" s="4"/>
    </row>
    <row r="307" spans="7:13">
      <c r="G307" s="36">
        <v>51196</v>
      </c>
      <c r="H307" s="40">
        <v>7.235092448979592</v>
      </c>
      <c r="I307" s="40">
        <v>7.1943170316301694</v>
      </c>
      <c r="J307" s="40">
        <v>7.2269439696690245</v>
      </c>
      <c r="K307" s="160">
        <f t="shared" si="9"/>
        <v>2040</v>
      </c>
      <c r="L307" s="4"/>
      <c r="M307" s="4"/>
    </row>
    <row r="308" spans="7:13">
      <c r="G308" s="36">
        <v>51227</v>
      </c>
      <c r="H308" s="40">
        <v>6.9048883673469392</v>
      </c>
      <c r="I308" s="40">
        <v>6.8297590429845902</v>
      </c>
      <c r="J308" s="40">
        <v>6.951710851521673</v>
      </c>
      <c r="K308" s="160">
        <f t="shared" si="9"/>
        <v>2040</v>
      </c>
      <c r="L308" s="4"/>
      <c r="M308" s="4"/>
    </row>
    <row r="309" spans="7:13">
      <c r="G309" s="36">
        <v>51257</v>
      </c>
      <c r="H309" s="40">
        <v>6.8131536734693876</v>
      </c>
      <c r="I309" s="40">
        <v>6.7386195458231954</v>
      </c>
      <c r="J309" s="40">
        <v>6.8647142330156781</v>
      </c>
      <c r="K309" s="160">
        <f t="shared" si="9"/>
        <v>2040</v>
      </c>
      <c r="L309" s="4"/>
      <c r="M309" s="4"/>
    </row>
    <row r="310" spans="7:13">
      <c r="G310" s="36">
        <v>51288</v>
      </c>
      <c r="H310" s="40">
        <v>6.8865210204081633</v>
      </c>
      <c r="I310" s="40">
        <v>6.7568677210056771</v>
      </c>
      <c r="J310" s="40">
        <v>6.9332663387642182</v>
      </c>
      <c r="K310" s="160">
        <f t="shared" si="9"/>
        <v>2040</v>
      </c>
      <c r="L310" s="4"/>
      <c r="M310" s="4"/>
    </row>
    <row r="311" spans="7:13">
      <c r="G311" s="36">
        <v>51318</v>
      </c>
      <c r="H311" s="40">
        <v>7.235092448979592</v>
      </c>
      <c r="I311" s="40">
        <v>7.0485343876723432</v>
      </c>
      <c r="J311" s="40">
        <v>7.2884256788605395</v>
      </c>
      <c r="K311" s="160">
        <f t="shared" si="9"/>
        <v>2040</v>
      </c>
      <c r="L311" s="4"/>
      <c r="M311" s="4"/>
    </row>
    <row r="312" spans="7:13">
      <c r="G312" s="36">
        <v>51349</v>
      </c>
      <c r="H312" s="40">
        <v>7.2534597959183671</v>
      </c>
      <c r="I312" s="40">
        <v>7.084929359286293</v>
      </c>
      <c r="J312" s="40">
        <v>7.3068701916179934</v>
      </c>
      <c r="K312" s="160">
        <f t="shared" ref="K312:K328" si="11">YEAR(G312)</f>
        <v>2040</v>
      </c>
      <c r="L312" s="4"/>
      <c r="M312" s="4"/>
    </row>
    <row r="313" spans="7:13">
      <c r="G313" s="36">
        <v>51380</v>
      </c>
      <c r="H313" s="40">
        <v>6.8865210204081633</v>
      </c>
      <c r="I313" s="40">
        <v>6.7022245742092448</v>
      </c>
      <c r="J313" s="40">
        <v>6.9332663387642182</v>
      </c>
      <c r="K313" s="160">
        <f t="shared" si="11"/>
        <v>2040</v>
      </c>
      <c r="L313" s="4"/>
      <c r="M313" s="4"/>
    </row>
    <row r="314" spans="7:13">
      <c r="G314" s="36">
        <v>51410</v>
      </c>
      <c r="H314" s="40">
        <v>6.9048883673469392</v>
      </c>
      <c r="I314" s="40">
        <v>6.7386195458231954</v>
      </c>
      <c r="J314" s="40">
        <v>6.9568343272876323</v>
      </c>
      <c r="K314" s="160">
        <f t="shared" si="11"/>
        <v>2040</v>
      </c>
      <c r="L314" s="4"/>
      <c r="M314" s="4"/>
    </row>
    <row r="315" spans="7:13">
      <c r="G315" s="36">
        <v>51441</v>
      </c>
      <c r="H315" s="40">
        <v>7.1984597959183674</v>
      </c>
      <c r="I315" s="40">
        <v>7.1031775344687746</v>
      </c>
      <c r="J315" s="40">
        <v>7.2311452197971109</v>
      </c>
      <c r="K315" s="160">
        <f t="shared" si="11"/>
        <v>2040</v>
      </c>
      <c r="L315" s="4"/>
      <c r="M315" s="4"/>
    </row>
    <row r="316" spans="7:13">
      <c r="G316" s="36">
        <v>51471</v>
      </c>
      <c r="H316" s="40">
        <v>7.5653985714285712</v>
      </c>
      <c r="I316" s="40">
        <v>7.5952699918896993</v>
      </c>
      <c r="J316" s="40">
        <v>7.6021873347679074</v>
      </c>
      <c r="K316" s="160">
        <f t="shared" si="11"/>
        <v>2040</v>
      </c>
      <c r="L316" s="4"/>
      <c r="M316" s="4"/>
    </row>
    <row r="317" spans="7:13">
      <c r="G317" s="36">
        <v>51502</v>
      </c>
      <c r="H317" s="40">
        <v>7.7695822448979586</v>
      </c>
      <c r="I317" s="40">
        <v>7.7989399026763984</v>
      </c>
      <c r="J317" s="40">
        <v>7.8239313659186394</v>
      </c>
      <c r="K317" s="160">
        <f t="shared" si="11"/>
        <v>2041</v>
      </c>
      <c r="L317" s="4"/>
      <c r="M317" s="4"/>
    </row>
    <row r="318" spans="7:13">
      <c r="G318" s="36">
        <v>51533</v>
      </c>
      <c r="H318" s="40">
        <v>7.7695822448979586</v>
      </c>
      <c r="I318" s="40">
        <v>7.7617339010543382</v>
      </c>
      <c r="J318" s="40">
        <v>7.7662410287939343</v>
      </c>
      <c r="K318" s="160">
        <f t="shared" si="11"/>
        <v>2041</v>
      </c>
      <c r="L318" s="4"/>
      <c r="M318" s="4"/>
    </row>
    <row r="319" spans="7:13">
      <c r="G319" s="36">
        <v>51561</v>
      </c>
      <c r="H319" s="40">
        <v>7.3945822448979595</v>
      </c>
      <c r="I319" s="40">
        <v>7.3518596107055956</v>
      </c>
      <c r="J319" s="40">
        <v>7.3871038221129224</v>
      </c>
      <c r="K319" s="160">
        <f t="shared" si="11"/>
        <v>2041</v>
      </c>
      <c r="L319" s="4"/>
      <c r="M319" s="4"/>
    </row>
    <row r="320" spans="7:13">
      <c r="G320" s="36">
        <v>51592</v>
      </c>
      <c r="H320" s="40">
        <v>7.0570312244897959</v>
      </c>
      <c r="I320" s="40">
        <v>6.9792927007299266</v>
      </c>
      <c r="J320" s="40">
        <v>7.1044928988625884</v>
      </c>
      <c r="K320" s="160">
        <f t="shared" si="11"/>
        <v>2041</v>
      </c>
      <c r="L320" s="4"/>
      <c r="M320" s="4"/>
    </row>
    <row r="321" spans="7:13">
      <c r="G321" s="36">
        <v>51622</v>
      </c>
      <c r="H321" s="40">
        <v>6.9633577551020407</v>
      </c>
      <c r="I321" s="40">
        <v>6.8862270072992695</v>
      </c>
      <c r="J321" s="40">
        <v>7.0155493595655294</v>
      </c>
      <c r="K321" s="160">
        <f t="shared" si="11"/>
        <v>2041</v>
      </c>
      <c r="L321" s="4"/>
      <c r="M321" s="4"/>
    </row>
    <row r="322" spans="7:13">
      <c r="G322" s="36">
        <v>51653</v>
      </c>
      <c r="H322" s="40">
        <v>7.0383577551020409</v>
      </c>
      <c r="I322" s="40">
        <v>6.9047793187347928</v>
      </c>
      <c r="J322" s="40">
        <v>7.0857409775591762</v>
      </c>
      <c r="K322" s="160">
        <f t="shared" si="11"/>
        <v>2041</v>
      </c>
      <c r="L322" s="4"/>
      <c r="M322" s="4"/>
    </row>
    <row r="323" spans="7:13">
      <c r="G323" s="36">
        <v>51683</v>
      </c>
      <c r="H323" s="40">
        <v>7.3945822448979595</v>
      </c>
      <c r="I323" s="40">
        <v>7.202832846715328</v>
      </c>
      <c r="J323" s="40">
        <v>7.4485855313044373</v>
      </c>
      <c r="K323" s="160">
        <f t="shared" si="11"/>
        <v>2041</v>
      </c>
      <c r="L323" s="4"/>
      <c r="M323" s="4"/>
    </row>
    <row r="324" spans="7:13">
      <c r="G324" s="36">
        <v>51714</v>
      </c>
      <c r="H324" s="40">
        <v>7.4133577551020409</v>
      </c>
      <c r="I324" s="40">
        <v>7.2401402270884017</v>
      </c>
      <c r="J324" s="40">
        <v>7.4674399221231695</v>
      </c>
      <c r="K324" s="160">
        <f t="shared" si="11"/>
        <v>2041</v>
      </c>
      <c r="L324" s="4"/>
      <c r="M324" s="4"/>
    </row>
    <row r="325" spans="7:13">
      <c r="G325" s="36">
        <v>51745</v>
      </c>
      <c r="H325" s="40">
        <v>7.0383577551020409</v>
      </c>
      <c r="I325" s="40">
        <v>6.8489196269261958</v>
      </c>
      <c r="J325" s="40">
        <v>7.0857409775591762</v>
      </c>
      <c r="K325" s="160">
        <f t="shared" si="11"/>
        <v>2041</v>
      </c>
      <c r="L325" s="4"/>
      <c r="M325" s="4"/>
    </row>
    <row r="326" spans="7:13">
      <c r="G326" s="36">
        <v>51775</v>
      </c>
      <c r="H326" s="40">
        <v>7.0570312244897959</v>
      </c>
      <c r="I326" s="40">
        <v>6.8862270072992695</v>
      </c>
      <c r="J326" s="40">
        <v>7.1096163746285486</v>
      </c>
      <c r="K326" s="160">
        <f t="shared" si="11"/>
        <v>2041</v>
      </c>
      <c r="L326" s="4"/>
      <c r="M326" s="4"/>
    </row>
    <row r="327" spans="7:13">
      <c r="G327" s="36">
        <v>51806</v>
      </c>
      <c r="H327" s="40">
        <v>7.3570312244897966</v>
      </c>
      <c r="I327" s="40">
        <v>7.2587939172749385</v>
      </c>
      <c r="J327" s="40">
        <v>7.3903828466031358</v>
      </c>
      <c r="K327" s="160">
        <f t="shared" si="11"/>
        <v>2041</v>
      </c>
      <c r="L327" s="4"/>
      <c r="M327" s="4"/>
    </row>
    <row r="328" spans="7:13">
      <c r="G328" s="36">
        <v>51836</v>
      </c>
      <c r="H328" s="40">
        <v>7.7320312244897957</v>
      </c>
      <c r="I328" s="40">
        <v>7.7617339010543382</v>
      </c>
      <c r="J328" s="40">
        <v>7.7695200532841486</v>
      </c>
      <c r="K328" s="160">
        <f t="shared" si="11"/>
        <v>2041</v>
      </c>
      <c r="L328" s="4"/>
      <c r="M328" s="4"/>
    </row>
    <row r="329" spans="7:13">
      <c r="G329" s="36">
        <v>51867</v>
      </c>
      <c r="H329" s="40">
        <v>7.9407046938775503</v>
      </c>
      <c r="I329" s="40">
        <v>7.9698644768856441</v>
      </c>
      <c r="J329" s="40">
        <v>7.9958752126242452</v>
      </c>
      <c r="K329" s="160">
        <f t="shared" ref="K329:K340" si="12">YEAR(G329)</f>
        <v>2042</v>
      </c>
    </row>
    <row r="330" spans="7:13">
      <c r="G330" s="36">
        <v>51898</v>
      </c>
      <c r="H330" s="40">
        <v>7.9407046938775503</v>
      </c>
      <c r="I330" s="40">
        <v>7.9317460665044601</v>
      </c>
      <c r="J330" s="40">
        <v>7.9380824059842201</v>
      </c>
      <c r="K330" s="160">
        <f t="shared" si="12"/>
        <v>2042</v>
      </c>
    </row>
    <row r="331" spans="7:13">
      <c r="G331" s="36">
        <v>51926</v>
      </c>
      <c r="H331" s="40">
        <v>7.5574393877551023</v>
      </c>
      <c r="I331" s="40">
        <v>7.5129504460665038</v>
      </c>
      <c r="J331" s="40">
        <v>7.5506451685623537</v>
      </c>
      <c r="K331" s="160">
        <f t="shared" si="12"/>
        <v>2042</v>
      </c>
    </row>
    <row r="332" spans="7:13">
      <c r="G332" s="36">
        <v>51957</v>
      </c>
      <c r="H332" s="40">
        <v>7.2125414285714289</v>
      </c>
      <c r="I332" s="40">
        <v>7.1321718572587178</v>
      </c>
      <c r="J332" s="40">
        <v>7.2606564402090381</v>
      </c>
      <c r="K332" s="160">
        <f t="shared" si="12"/>
        <v>2042</v>
      </c>
    </row>
    <row r="333" spans="7:13">
      <c r="G333" s="36">
        <v>51987</v>
      </c>
      <c r="H333" s="40">
        <v>7.1167251020408164</v>
      </c>
      <c r="I333" s="40">
        <v>7.0369772100567713</v>
      </c>
      <c r="J333" s="40">
        <v>7.1695610410902768</v>
      </c>
      <c r="K333" s="160">
        <f t="shared" si="12"/>
        <v>2042</v>
      </c>
    </row>
    <row r="334" spans="7:13">
      <c r="G334" s="36">
        <v>52018</v>
      </c>
      <c r="H334" s="40">
        <v>7.1934597959183675</v>
      </c>
      <c r="I334" s="40">
        <v>7.0560364152473634</v>
      </c>
      <c r="J334" s="40">
        <v>7.2414946408443495</v>
      </c>
      <c r="K334" s="160">
        <f t="shared" si="12"/>
        <v>2042</v>
      </c>
    </row>
    <row r="335" spans="7:13">
      <c r="G335" s="36">
        <v>52048</v>
      </c>
      <c r="H335" s="40">
        <v>7.5574393877551023</v>
      </c>
      <c r="I335" s="40">
        <v>7.3606795620437957</v>
      </c>
      <c r="J335" s="40">
        <v>7.6121268777538686</v>
      </c>
      <c r="K335" s="160">
        <f t="shared" si="12"/>
        <v>2042</v>
      </c>
    </row>
    <row r="336" spans="7:13">
      <c r="G336" s="36">
        <v>52079</v>
      </c>
      <c r="H336" s="40">
        <v>7.5766230612244891</v>
      </c>
      <c r="I336" s="40">
        <v>7.3986965936739653</v>
      </c>
      <c r="J336" s="40">
        <v>7.6313911466338764</v>
      </c>
      <c r="K336" s="160">
        <f t="shared" si="12"/>
        <v>2042</v>
      </c>
    </row>
    <row r="337" spans="7:11">
      <c r="G337" s="36">
        <v>52110</v>
      </c>
      <c r="H337" s="40">
        <v>0</v>
      </c>
      <c r="I337" s="40">
        <v>0</v>
      </c>
      <c r="J337" s="40">
        <v>0</v>
      </c>
      <c r="K337" s="160">
        <f t="shared" si="12"/>
        <v>2042</v>
      </c>
    </row>
    <row r="338" spans="7:11">
      <c r="G338" s="36">
        <v>52140</v>
      </c>
      <c r="H338" s="40">
        <v>0</v>
      </c>
      <c r="I338" s="40">
        <v>0</v>
      </c>
      <c r="J338" s="40">
        <v>0</v>
      </c>
      <c r="K338" s="160">
        <f t="shared" si="12"/>
        <v>2042</v>
      </c>
    </row>
    <row r="339" spans="7:11">
      <c r="G339" s="36">
        <v>52171</v>
      </c>
      <c r="H339" s="40">
        <v>0</v>
      </c>
      <c r="I339" s="40">
        <v>0</v>
      </c>
      <c r="J339" s="40">
        <v>0</v>
      </c>
      <c r="K339" s="160">
        <f t="shared" si="12"/>
        <v>2042</v>
      </c>
    </row>
    <row r="340" spans="7:11">
      <c r="G340" s="36">
        <v>52201</v>
      </c>
      <c r="H340" s="40">
        <v>0</v>
      </c>
      <c r="I340" s="40">
        <v>0</v>
      </c>
      <c r="J340" s="40">
        <v>0</v>
      </c>
      <c r="K340" s="160">
        <f t="shared" si="12"/>
        <v>2042</v>
      </c>
    </row>
    <row r="341" spans="7:11">
      <c r="G341" s="36">
        <v>0</v>
      </c>
      <c r="H341" s="40" t="e">
        <v>#N/A</v>
      </c>
      <c r="I341" s="40" t="e">
        <v>#N/A</v>
      </c>
      <c r="J341" s="40" t="e">
        <v>#N/A</v>
      </c>
      <c r="K341" s="160">
        <f t="shared" ref="K341:K343" si="13">YEAR(G341)</f>
        <v>1900</v>
      </c>
    </row>
    <row r="342" spans="7:11">
      <c r="G342" s="36">
        <v>0</v>
      </c>
      <c r="H342" s="40" t="e">
        <v>#N/A</v>
      </c>
      <c r="I342" s="40" t="e">
        <v>#N/A</v>
      </c>
      <c r="J342" s="40" t="e">
        <v>#N/A</v>
      </c>
      <c r="K342" s="160">
        <f t="shared" si="13"/>
        <v>1900</v>
      </c>
    </row>
    <row r="343" spans="7:11">
      <c r="G343" s="36">
        <v>0</v>
      </c>
      <c r="H343" s="40" t="e">
        <v>#N/A</v>
      </c>
      <c r="I343" s="40" t="e">
        <v>#N/A</v>
      </c>
      <c r="J343" s="40" t="e">
        <v>#N/A</v>
      </c>
      <c r="K343" s="160">
        <f t="shared" si="13"/>
        <v>1900</v>
      </c>
    </row>
    <row r="344" spans="7:11">
      <c r="G344" s="36"/>
      <c r="H344" s="40"/>
      <c r="K344" s="160"/>
    </row>
    <row r="345" spans="7:11">
      <c r="G345" s="36"/>
      <c r="H345" s="40"/>
      <c r="K345" s="160"/>
    </row>
  </sheetData>
  <phoneticPr fontId="7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66"/>
  <sheetViews>
    <sheetView zoomScale="80" zoomScaleNormal="80" zoomScaleSheetLayoutView="85" workbookViewId="0">
      <pane xSplit="2" ySplit="12" topLeftCell="C13" activePane="bottomRight" state="frozen"/>
      <selection activeCell="C14" sqref="C14"/>
      <selection pane="topRight" activeCell="C14" sqref="C14"/>
      <selection pane="bottomLeft" activeCell="C14" sqref="C14"/>
      <selection pane="bottomRight" activeCell="A31" sqref="A31"/>
    </sheetView>
  </sheetViews>
  <sheetFormatPr defaultColWidth="9.33203125" defaultRowHeight="12.75" outlineLevelRow="1"/>
  <cols>
    <col min="1" max="1" width="18.5" style="73" customWidth="1"/>
    <col min="2" max="2" width="22.83203125" style="73" customWidth="1"/>
    <col min="3" max="3" width="18.1640625" style="73" customWidth="1"/>
    <col min="4" max="4" width="16.1640625" style="73" customWidth="1"/>
    <col min="5" max="5" width="18.5" style="73" customWidth="1"/>
    <col min="6" max="7" width="16.1640625" style="73" customWidth="1"/>
    <col min="8" max="8" width="3.83203125" style="73" customWidth="1"/>
    <col min="9" max="9" width="9.5" style="73" customWidth="1"/>
    <col min="10" max="11" width="10" style="73" customWidth="1"/>
    <col min="12" max="12" width="9.33203125" style="73" customWidth="1"/>
    <col min="13" max="13" width="21.1640625" style="73" customWidth="1"/>
    <col min="14" max="14" width="13.83203125" style="73" customWidth="1"/>
    <col min="15" max="15" width="16" style="73" customWidth="1"/>
    <col min="16" max="16" width="28.6640625" style="73" customWidth="1"/>
    <col min="17" max="17" width="28" style="73" customWidth="1"/>
    <col min="18" max="19" width="9.33203125" style="73"/>
    <col min="20" max="20" width="15.1640625" style="73" bestFit="1" customWidth="1"/>
    <col min="21" max="16384" width="9.33203125" style="73"/>
  </cols>
  <sheetData>
    <row r="1" spans="1:18" s="4" customFormat="1" ht="15.75" hidden="1">
      <c r="B1" s="1" t="s">
        <v>52</v>
      </c>
      <c r="C1" s="1"/>
      <c r="D1" s="12"/>
      <c r="E1" s="12"/>
      <c r="F1" s="12"/>
      <c r="G1" s="12"/>
      <c r="H1" s="37"/>
      <c r="I1" s="150"/>
      <c r="J1" s="150"/>
      <c r="K1" s="150"/>
    </row>
    <row r="2" spans="1:18" ht="5.25" customHeight="1"/>
    <row r="3" spans="1:18" ht="15.75">
      <c r="B3" s="1" t="str">
        <f>"Table "&amp;RIGHT('Table 4'!B3,1)+1</f>
        <v>Table 5</v>
      </c>
      <c r="C3" s="101"/>
      <c r="D3" s="101"/>
      <c r="E3" s="101"/>
      <c r="F3" s="101"/>
      <c r="G3" s="101"/>
      <c r="M3" s="73" t="s">
        <v>76</v>
      </c>
      <c r="O3" s="181"/>
    </row>
    <row r="4" spans="1:18">
      <c r="B4" s="101" t="str">
        <f ca="1">'Table 1'!B5</f>
        <v>Utah 2017.Q4 - 100.0 MW and 85.0% CF</v>
      </c>
      <c r="C4" s="101"/>
      <c r="D4" s="101"/>
      <c r="E4" s="101"/>
      <c r="F4" s="101"/>
      <c r="G4" s="101"/>
      <c r="M4" s="74" t="s">
        <v>206</v>
      </c>
      <c r="P4" s="163" t="s">
        <v>167</v>
      </c>
      <c r="Q4" s="163" t="s">
        <v>168</v>
      </c>
      <c r="R4" s="163" t="s">
        <v>169</v>
      </c>
    </row>
    <row r="5" spans="1:18">
      <c r="B5" s="101" t="str">
        <f>TEXT($K$5,"MMMM YYYY")&amp;"  through  "&amp;TEXT($K$6,"MMMM YYYY")</f>
        <v>January 2018  through  December 2037</v>
      </c>
      <c r="C5" s="101"/>
      <c r="D5" s="101"/>
      <c r="E5" s="101"/>
      <c r="F5" s="101"/>
      <c r="G5" s="101"/>
      <c r="J5" s="73" t="s">
        <v>57</v>
      </c>
      <c r="K5" s="291">
        <f>MIN(K13:K24)</f>
        <v>43101</v>
      </c>
      <c r="M5" s="73" t="s">
        <v>58</v>
      </c>
      <c r="O5" s="4" t="s">
        <v>154</v>
      </c>
      <c r="P5" s="6">
        <f>MATCH('Table 5'!K5,'Table 5'!$B$12:$B$264,FALSE)+ROW('Table 5'!$B$11)</f>
        <v>13</v>
      </c>
      <c r="Q5" s="6">
        <f>P5+12</f>
        <v>25</v>
      </c>
      <c r="R5" s="6">
        <f>Q5</f>
        <v>25</v>
      </c>
    </row>
    <row r="6" spans="1:18">
      <c r="B6" s="101" t="s">
        <v>59</v>
      </c>
      <c r="C6" s="101"/>
      <c r="D6" s="101"/>
      <c r="E6" s="101"/>
      <c r="F6" s="101"/>
      <c r="G6" s="101"/>
      <c r="J6" s="73" t="s">
        <v>60</v>
      </c>
      <c r="K6" s="291">
        <f>EDATE(K5,239)</f>
        <v>50375</v>
      </c>
      <c r="M6" s="74">
        <v>100</v>
      </c>
      <c r="N6" s="73" t="s">
        <v>41</v>
      </c>
      <c r="O6" s="6" t="s">
        <v>155</v>
      </c>
      <c r="P6">
        <f>P5+179</f>
        <v>192</v>
      </c>
      <c r="Q6" s="73">
        <f>P6+12</f>
        <v>204</v>
      </c>
      <c r="R6" s="73">
        <f>Q6+5*12</f>
        <v>264</v>
      </c>
    </row>
    <row r="7" spans="1:18">
      <c r="A7" s="163" t="str">
        <f>"15 Year Starting "&amp;YEAR($K$5)+1</f>
        <v>15 Year Starting 2019</v>
      </c>
      <c r="B7" s="269"/>
      <c r="C7" s="75">
        <f ca="1">NPV($K$9,INDIRECT("C"&amp;$Q$5&amp;":C"&amp;$Q$6))</f>
        <v>181507721.61063182</v>
      </c>
      <c r="D7" s="75">
        <f ca="1">NPV($K$9,INDIRECT("d"&amp;$Q$5&amp;":d"&amp;$Q$6))</f>
        <v>0</v>
      </c>
      <c r="E7" s="75">
        <f ca="1">NPV($K$9,INDIRECT("e"&amp;$Q$5&amp;":e"&amp;$Q$6))</f>
        <v>181507721.61063182</v>
      </c>
      <c r="F7" s="75">
        <f ca="1">NPV($K$9,INDIRECT("f"&amp;$Q$5&amp;":f"&amp;$Q$6))</f>
        <v>7181710.112617475</v>
      </c>
      <c r="G7" s="139">
        <f ca="1">($C7+D7)/$F7</f>
        <v>25.273607367100869</v>
      </c>
      <c r="M7" s="170">
        <f ca="1">SUM(OFFSET(F12,MATCH(K5,B13:B24,0),0,12))/(EDATE(K5,12)-K5)/24/Study_MW</f>
        <v>0.85</v>
      </c>
      <c r="N7" s="130" t="s">
        <v>46</v>
      </c>
    </row>
    <row r="8" spans="1:18">
      <c r="A8" s="163"/>
      <c r="B8" s="163" t="str">
        <f>"Nominal NPV at "&amp;TEXT(J9,"0.00%")&amp;" Discount Rate"</f>
        <v>Nominal NPV at 6.57% Discount Rate</v>
      </c>
      <c r="J8" s="73" t="str">
        <f>'Table 1'!I38</f>
        <v>Discount Rate - 2017 IRP</v>
      </c>
    </row>
    <row r="9" spans="1:18">
      <c r="A9" s="163" t="str">
        <f>"15 Year Starting "&amp;YEAR($K$5)</f>
        <v>15 Year Starting 2018</v>
      </c>
      <c r="C9" s="75">
        <f ca="1">NPV($K$9,INDIRECT("C"&amp;$P$5&amp;":C"&amp;$P$6))</f>
        <v>172089432.6480028</v>
      </c>
      <c r="D9" s="75">
        <f ca="1">NPV($K$9,INDIRECT("d"&amp;$P$5&amp;":d"&amp;$P$6))</f>
        <v>0</v>
      </c>
      <c r="E9" s="75">
        <f ca="1">NPV($K$9,INDIRECT("e"&amp;$P$5&amp;":e"&amp;$P$6))</f>
        <v>172089432.6480028</v>
      </c>
      <c r="F9" s="75">
        <f ca="1">NPV($K$9,INDIRECT("f"&amp;$P$5&amp;":f"&amp;$P$6))</f>
        <v>7181378.2213360565</v>
      </c>
      <c r="G9" s="139">
        <f ca="1">($C9+D9)/$F9</f>
        <v>23.963287734479817</v>
      </c>
      <c r="J9" s="167">
        <f>'Table 1'!I39</f>
        <v>6.5699999999999995E-2</v>
      </c>
      <c r="K9" s="141">
        <f>((1+J9)^(1/12))-1</f>
        <v>5.3167389786501484E-3</v>
      </c>
    </row>
    <row r="10" spans="1:18">
      <c r="A10" s="163" t="str">
        <f>"20 Year Starting "&amp;YEAR($K$5)+1</f>
        <v>20 Year Starting 2019</v>
      </c>
      <c r="C10" s="75">
        <f ca="1">NPV($K$9,INDIRECT("C"&amp;$R$5&amp;":C"&amp;$R$6))</f>
        <v>244491501.80583143</v>
      </c>
      <c r="D10" s="75">
        <f ca="1">NPV($K$9,INDIRECT("d"&amp;$R$5&amp;":d"&amp;$R$6))</f>
        <v>0</v>
      </c>
      <c r="E10" s="75">
        <f ca="1">NPV($K$9,INDIRECT("e"&amp;$R$5&amp;":e"&amp;$R$6))</f>
        <v>244491501.80583143</v>
      </c>
      <c r="F10" s="75">
        <f ca="1">NPV($K$9,INDIRECT("f"&amp;$R$5&amp;":f"&amp;$R$6))</f>
        <v>8406726.5231242254</v>
      </c>
      <c r="G10" s="139">
        <f ca="1">($C10+D10)/$F10</f>
        <v>29.08284230887174</v>
      </c>
      <c r="N10" s="76"/>
    </row>
    <row r="11" spans="1:18">
      <c r="B11" s="140"/>
      <c r="C11" s="78" t="s">
        <v>22</v>
      </c>
      <c r="D11" s="79" t="s">
        <v>61</v>
      </c>
      <c r="E11" s="79" t="s">
        <v>62</v>
      </c>
      <c r="F11" s="79" t="s">
        <v>62</v>
      </c>
      <c r="G11" s="80" t="s">
        <v>70</v>
      </c>
    </row>
    <row r="12" spans="1:18">
      <c r="B12" s="84" t="s">
        <v>63</v>
      </c>
      <c r="C12" s="78" t="s">
        <v>64</v>
      </c>
      <c r="D12" s="82" t="str">
        <f>TEXT((SUM(F25:F72)/(8760*3+8784))/Study_MW,"0.0%")&amp;" CF"</f>
        <v>85.0% CF</v>
      </c>
      <c r="E12" s="83" t="s">
        <v>69</v>
      </c>
      <c r="F12" s="84" t="s">
        <v>65</v>
      </c>
      <c r="G12" s="82" t="str">
        <f>D12</f>
        <v>85.0% CF</v>
      </c>
      <c r="I12" s="79" t="s">
        <v>66</v>
      </c>
      <c r="J12" s="85" t="s">
        <v>0</v>
      </c>
      <c r="K12" s="85" t="s">
        <v>67</v>
      </c>
      <c r="L12" s="85" t="s">
        <v>66</v>
      </c>
      <c r="M12" s="85"/>
      <c r="N12" s="80"/>
      <c r="P12" s="73" t="s">
        <v>62</v>
      </c>
      <c r="Q12" s="73" t="s">
        <v>133</v>
      </c>
      <c r="R12" s="73" t="s">
        <v>134</v>
      </c>
    </row>
    <row r="13" spans="1:18">
      <c r="B13" s="91">
        <v>43101</v>
      </c>
      <c r="C13" s="86">
        <v>1269918.6828265488</v>
      </c>
      <c r="D13" s="87">
        <f>IF(ISNUMBER($F13),VLOOKUP($J13,'Table 1'!$B$13:$C$33,2,FALSE)/12*1000*Study_MW,"")</f>
        <v>0</v>
      </c>
      <c r="E13" s="88">
        <f>IF(ISNUMBER(C13+D13),C13+D13,"")</f>
        <v>1269918.6828265488</v>
      </c>
      <c r="F13" s="86">
        <v>63240</v>
      </c>
      <c r="G13" s="89">
        <f>IF(ISNUMBER($F13),E13/$F13,"")</f>
        <v>20.080940588655103</v>
      </c>
      <c r="I13" s="77">
        <v>1</v>
      </c>
      <c r="J13" s="90">
        <f>YEAR(B13)</f>
        <v>2018</v>
      </c>
      <c r="K13" s="91">
        <f t="shared" ref="K13:K24" si="0">IF(ISNUMBER(F13),B13,"")</f>
        <v>43101</v>
      </c>
      <c r="L13" s="73">
        <v>275</v>
      </c>
      <c r="M13" s="73" t="s">
        <v>68</v>
      </c>
    </row>
    <row r="14" spans="1:18">
      <c r="B14" s="95">
        <f t="shared" ref="B14:B77" si="1">EDATE(B13,1)</f>
        <v>43132</v>
      </c>
      <c r="C14" s="92">
        <v>1084918.4140632451</v>
      </c>
      <c r="D14" s="88">
        <f>IF(ISNUMBER($F14),VLOOKUP($J14,'Table 1'!$B$13:$C$33,2,FALSE)/12*1000*Study_MW,"")</f>
        <v>0</v>
      </c>
      <c r="E14" s="88">
        <f t="shared" ref="E14:E23" si="2">IF(ISNUMBER(C14+D14),C14+D14,"")</f>
        <v>1084918.4140632451</v>
      </c>
      <c r="F14" s="92">
        <v>57120</v>
      </c>
      <c r="G14" s="93">
        <f t="shared" ref="G14:G77" si="3">IF(ISNUMBER($F14),E14/$F14,"")</f>
        <v>18.993669713992386</v>
      </c>
      <c r="I14" s="94">
        <f>I13+1</f>
        <v>2</v>
      </c>
      <c r="J14" s="90">
        <f t="shared" ref="J14:J77" si="4">YEAR(B14)</f>
        <v>2018</v>
      </c>
      <c r="K14" s="95">
        <f t="shared" si="0"/>
        <v>43132</v>
      </c>
      <c r="L14" s="73">
        <v>363</v>
      </c>
      <c r="M14" s="137" t="s">
        <v>208</v>
      </c>
    </row>
    <row r="15" spans="1:18">
      <c r="B15" s="95">
        <f t="shared" si="1"/>
        <v>43160</v>
      </c>
      <c r="C15" s="92">
        <v>1107952.0753931254</v>
      </c>
      <c r="D15" s="88">
        <f>IF(ISNUMBER($F15),VLOOKUP($J15,'Table 1'!$B$13:$C$33,2,FALSE)/12*1000*Study_MW,"")</f>
        <v>0</v>
      </c>
      <c r="E15" s="88">
        <f t="shared" si="2"/>
        <v>1107952.0753931254</v>
      </c>
      <c r="F15" s="92">
        <v>63240</v>
      </c>
      <c r="G15" s="93">
        <f t="shared" si="3"/>
        <v>17.519798788632595</v>
      </c>
      <c r="I15" s="94">
        <f t="shared" ref="I15:I24" si="5">I14+1</f>
        <v>3</v>
      </c>
      <c r="J15" s="90">
        <f t="shared" si="4"/>
        <v>2018</v>
      </c>
      <c r="K15" s="95">
        <f t="shared" si="0"/>
        <v>43160</v>
      </c>
    </row>
    <row r="16" spans="1:18">
      <c r="B16" s="95">
        <f t="shared" si="1"/>
        <v>43191</v>
      </c>
      <c r="C16" s="92">
        <v>1005112.9453644156</v>
      </c>
      <c r="D16" s="88">
        <f>IF(ISNUMBER($F16),VLOOKUP($J16,'Table 1'!$B$13:$C$33,2,FALSE)/12*1000*Study_MW,"")</f>
        <v>0</v>
      </c>
      <c r="E16" s="88">
        <f t="shared" si="2"/>
        <v>1005112.9453644156</v>
      </c>
      <c r="F16" s="92">
        <v>61200</v>
      </c>
      <c r="G16" s="93">
        <f t="shared" si="3"/>
        <v>16.423414139941432</v>
      </c>
      <c r="I16" s="94">
        <f t="shared" si="5"/>
        <v>4</v>
      </c>
      <c r="J16" s="90">
        <f t="shared" si="4"/>
        <v>2018</v>
      </c>
      <c r="K16" s="95">
        <f t="shared" si="0"/>
        <v>43191</v>
      </c>
      <c r="L16" s="90">
        <f>YEAR(B13)</f>
        <v>2018</v>
      </c>
      <c r="M16" s="73">
        <f>SUMIF($J$13:$J$264,L16,$C$13:$C$264)</f>
        <v>14428188.513791546</v>
      </c>
      <c r="N16" s="73">
        <f>SUMIF($J$13:$J$264,L16,$D$13:$D$264)</f>
        <v>0</v>
      </c>
      <c r="O16" s="73">
        <f t="shared" ref="O16:O25" si="6">SUMIF($J$13:$J$264,L16,$F$13:$F$264)</f>
        <v>744600</v>
      </c>
      <c r="P16" s="180">
        <f t="shared" ref="P16:P25" si="7">(M16+N16)/O16</f>
        <v>19.377099803641613</v>
      </c>
      <c r="Q16" s="255">
        <f>M16/O16</f>
        <v>19.377099803641613</v>
      </c>
      <c r="R16" s="255">
        <f>IFERROR(N16/O16,0)</f>
        <v>0</v>
      </c>
    </row>
    <row r="17" spans="2:18">
      <c r="B17" s="95">
        <f t="shared" si="1"/>
        <v>43221</v>
      </c>
      <c r="C17" s="92">
        <v>1053543.3375081122</v>
      </c>
      <c r="D17" s="88">
        <f>IF(ISNUMBER($F17),VLOOKUP($J17,'Table 1'!$B$13:$C$33,2,FALSE)/12*1000*Study_MW,"")</f>
        <v>0</v>
      </c>
      <c r="E17" s="88">
        <f t="shared" si="2"/>
        <v>1053543.3375081122</v>
      </c>
      <c r="F17" s="92">
        <v>63240</v>
      </c>
      <c r="G17" s="93">
        <f t="shared" si="3"/>
        <v>16.659445564644404</v>
      </c>
      <c r="I17" s="94">
        <f t="shared" si="5"/>
        <v>5</v>
      </c>
      <c r="J17" s="90">
        <f t="shared" si="4"/>
        <v>2018</v>
      </c>
      <c r="K17" s="95">
        <f t="shared" si="0"/>
        <v>43221</v>
      </c>
      <c r="L17" s="90">
        <f>L16+1</f>
        <v>2019</v>
      </c>
      <c r="M17" s="73">
        <f>SUMIF($J$13:$J$264,L17,$C$13:$C$264)</f>
        <v>14174241.649197608</v>
      </c>
      <c r="N17" s="73">
        <f t="shared" ref="N17:N36" si="8">SUMIF($J$13:$J$264,L17,$D$13:$D$264)</f>
        <v>0</v>
      </c>
      <c r="O17" s="73">
        <f t="shared" si="6"/>
        <v>744600</v>
      </c>
      <c r="P17" s="180">
        <f t="shared" si="7"/>
        <v>19.0360484141789</v>
      </c>
      <c r="Q17" s="255">
        <f t="shared" ref="Q17:Q33" si="9">M17/O17</f>
        <v>19.0360484141789</v>
      </c>
      <c r="R17" s="255">
        <f t="shared" ref="R17:R33" si="10">IFERROR(N17/O17,0)</f>
        <v>0</v>
      </c>
    </row>
    <row r="18" spans="2:18">
      <c r="B18" s="95">
        <f t="shared" si="1"/>
        <v>43252</v>
      </c>
      <c r="C18" s="92">
        <v>992867.03053042293</v>
      </c>
      <c r="D18" s="88">
        <f>IF(ISNUMBER($F18),VLOOKUP($J18,'Table 1'!$B$13:$C$33,2,FALSE)/12*1000*Study_MW,"")</f>
        <v>0</v>
      </c>
      <c r="E18" s="88">
        <f t="shared" si="2"/>
        <v>992867.03053042293</v>
      </c>
      <c r="F18" s="92">
        <v>61200</v>
      </c>
      <c r="G18" s="93">
        <f t="shared" si="3"/>
        <v>16.223317492327173</v>
      </c>
      <c r="I18" s="94">
        <f t="shared" si="5"/>
        <v>6</v>
      </c>
      <c r="J18" s="90">
        <f t="shared" si="4"/>
        <v>2018</v>
      </c>
      <c r="K18" s="95">
        <f t="shared" si="0"/>
        <v>43252</v>
      </c>
      <c r="L18" s="90">
        <f t="shared" ref="L18:L36" si="11">L17+1</f>
        <v>2020</v>
      </c>
      <c r="M18" s="73">
        <f t="shared" ref="M18:M36" si="12">SUMIF($J$13:$J$264,L18,$C$13:$C$264)</f>
        <v>12064875.853839397</v>
      </c>
      <c r="N18" s="73">
        <f t="shared" si="8"/>
        <v>0</v>
      </c>
      <c r="O18" s="73">
        <f t="shared" si="6"/>
        <v>746640</v>
      </c>
      <c r="P18" s="180">
        <f t="shared" si="7"/>
        <v>16.158892978998441</v>
      </c>
      <c r="Q18" s="255">
        <f t="shared" si="9"/>
        <v>16.158892978998441</v>
      </c>
      <c r="R18" s="255">
        <f t="shared" si="10"/>
        <v>0</v>
      </c>
    </row>
    <row r="19" spans="2:18">
      <c r="B19" s="95">
        <f t="shared" si="1"/>
        <v>43282</v>
      </c>
      <c r="C19" s="92">
        <v>1633982.1033442318</v>
      </c>
      <c r="D19" s="88">
        <f>IF(ISNUMBER($F19),VLOOKUP($J19,'Table 1'!$B$13:$C$33,2,FALSE)/12*1000*Study_MW,"")</f>
        <v>0</v>
      </c>
      <c r="E19" s="88">
        <f t="shared" si="2"/>
        <v>1633982.1033442318</v>
      </c>
      <c r="F19" s="92">
        <v>63240</v>
      </c>
      <c r="G19" s="93">
        <f t="shared" si="3"/>
        <v>25.83779417052865</v>
      </c>
      <c r="I19" s="94">
        <f t="shared" si="5"/>
        <v>7</v>
      </c>
      <c r="J19" s="90">
        <f t="shared" si="4"/>
        <v>2018</v>
      </c>
      <c r="K19" s="95">
        <f t="shared" si="0"/>
        <v>43282</v>
      </c>
      <c r="L19" s="90">
        <f t="shared" si="11"/>
        <v>2021</v>
      </c>
      <c r="M19" s="73">
        <f t="shared" si="12"/>
        <v>13370718.89878872</v>
      </c>
      <c r="N19" s="73">
        <f t="shared" si="8"/>
        <v>0</v>
      </c>
      <c r="O19" s="73">
        <f t="shared" si="6"/>
        <v>744600</v>
      </c>
      <c r="P19" s="180">
        <f t="shared" si="7"/>
        <v>17.956914986286222</v>
      </c>
      <c r="Q19" s="255">
        <f t="shared" si="9"/>
        <v>17.956914986286222</v>
      </c>
      <c r="R19" s="255">
        <f t="shared" si="10"/>
        <v>0</v>
      </c>
    </row>
    <row r="20" spans="2:18">
      <c r="B20" s="95">
        <f t="shared" si="1"/>
        <v>43313</v>
      </c>
      <c r="C20" s="92">
        <v>1491807.78171435</v>
      </c>
      <c r="D20" s="88">
        <f>IF(ISNUMBER($F20),VLOOKUP($J20,'Table 1'!$B$13:$C$33,2,FALSE)/12*1000*Study_MW,"")</f>
        <v>0</v>
      </c>
      <c r="E20" s="88">
        <f t="shared" si="2"/>
        <v>1491807.78171435</v>
      </c>
      <c r="F20" s="92">
        <v>63240</v>
      </c>
      <c r="G20" s="93">
        <f t="shared" si="3"/>
        <v>23.589623366767078</v>
      </c>
      <c r="I20" s="94">
        <f t="shared" si="5"/>
        <v>8</v>
      </c>
      <c r="J20" s="90">
        <f t="shared" si="4"/>
        <v>2018</v>
      </c>
      <c r="K20" s="95">
        <f t="shared" si="0"/>
        <v>43313</v>
      </c>
      <c r="L20" s="90">
        <f t="shared" si="11"/>
        <v>2022</v>
      </c>
      <c r="M20" s="73">
        <f t="shared" si="12"/>
        <v>14723596.765642703</v>
      </c>
      <c r="N20" s="73">
        <f t="shared" si="8"/>
        <v>0</v>
      </c>
      <c r="O20" s="73">
        <f t="shared" si="6"/>
        <v>744600</v>
      </c>
      <c r="P20" s="180">
        <f t="shared" si="7"/>
        <v>19.773833958692858</v>
      </c>
      <c r="Q20" s="255">
        <f t="shared" si="9"/>
        <v>19.773833958692858</v>
      </c>
      <c r="R20" s="255">
        <f t="shared" si="10"/>
        <v>0</v>
      </c>
    </row>
    <row r="21" spans="2:18">
      <c r="B21" s="95">
        <f t="shared" si="1"/>
        <v>43344</v>
      </c>
      <c r="C21" s="92">
        <v>1184651.6451272666</v>
      </c>
      <c r="D21" s="88">
        <f>IF(ISNUMBER($F21),VLOOKUP($J21,'Table 1'!$B$13:$C$33,2,FALSE)/12*1000*Study_MW,"")</f>
        <v>0</v>
      </c>
      <c r="E21" s="88">
        <f t="shared" si="2"/>
        <v>1184651.6451272666</v>
      </c>
      <c r="F21" s="92">
        <v>61200</v>
      </c>
      <c r="G21" s="93">
        <f t="shared" si="3"/>
        <v>19.357053024955338</v>
      </c>
      <c r="I21" s="94">
        <f t="shared" si="5"/>
        <v>9</v>
      </c>
      <c r="J21" s="90">
        <f t="shared" si="4"/>
        <v>2018</v>
      </c>
      <c r="K21" s="95">
        <f t="shared" si="0"/>
        <v>43344</v>
      </c>
      <c r="L21" s="90">
        <f t="shared" si="11"/>
        <v>2023</v>
      </c>
      <c r="M21" s="73">
        <f t="shared" si="12"/>
        <v>14904818.393541068</v>
      </c>
      <c r="N21" s="73">
        <f t="shared" si="8"/>
        <v>0</v>
      </c>
      <c r="O21" s="73">
        <f t="shared" si="6"/>
        <v>744600</v>
      </c>
      <c r="P21" s="180">
        <f t="shared" si="7"/>
        <v>20.017215140398964</v>
      </c>
      <c r="Q21" s="255">
        <f t="shared" si="9"/>
        <v>20.017215140398964</v>
      </c>
      <c r="R21" s="255">
        <f t="shared" si="10"/>
        <v>0</v>
      </c>
    </row>
    <row r="22" spans="2:18">
      <c r="B22" s="95">
        <f t="shared" si="1"/>
        <v>43374</v>
      </c>
      <c r="C22" s="92">
        <v>1122266.6439373642</v>
      </c>
      <c r="D22" s="88">
        <f>IF(ISNUMBER($F22),VLOOKUP($J22,'Table 1'!$B$13:$C$33,2,FALSE)/12*1000*Study_MW,"")</f>
        <v>0</v>
      </c>
      <c r="E22" s="88">
        <f t="shared" si="2"/>
        <v>1122266.6439373642</v>
      </c>
      <c r="F22" s="92">
        <v>63240</v>
      </c>
      <c r="G22" s="93">
        <f t="shared" si="3"/>
        <v>17.746151864917209</v>
      </c>
      <c r="I22" s="94">
        <f t="shared" si="5"/>
        <v>10</v>
      </c>
      <c r="J22" s="90">
        <f t="shared" si="4"/>
        <v>2018</v>
      </c>
      <c r="K22" s="95">
        <f t="shared" si="0"/>
        <v>43374</v>
      </c>
      <c r="L22" s="90">
        <f t="shared" si="11"/>
        <v>2024</v>
      </c>
      <c r="M22" s="73">
        <f t="shared" si="12"/>
        <v>16716798.114576891</v>
      </c>
      <c r="N22" s="73">
        <f t="shared" si="8"/>
        <v>0</v>
      </c>
      <c r="O22" s="73">
        <f t="shared" si="6"/>
        <v>746640</v>
      </c>
      <c r="P22" s="180">
        <f t="shared" si="7"/>
        <v>22.389368523755614</v>
      </c>
      <c r="Q22" s="255">
        <f t="shared" si="9"/>
        <v>22.389368523755614</v>
      </c>
      <c r="R22" s="255">
        <f t="shared" si="10"/>
        <v>0</v>
      </c>
    </row>
    <row r="23" spans="2:18">
      <c r="B23" s="95">
        <f t="shared" si="1"/>
        <v>43405</v>
      </c>
      <c r="C23" s="92">
        <v>1123454.617576167</v>
      </c>
      <c r="D23" s="88">
        <f>IF(F23&lt;&gt;0,VLOOKUP($J23,'Table 1'!$B$13:$C$33,2,FALSE)/12*1000*Study_MW,0)</f>
        <v>0</v>
      </c>
      <c r="E23" s="88">
        <f t="shared" si="2"/>
        <v>1123454.617576167</v>
      </c>
      <c r="F23" s="92">
        <v>61200</v>
      </c>
      <c r="G23" s="93">
        <f t="shared" si="3"/>
        <v>18.357101594381813</v>
      </c>
      <c r="I23" s="94">
        <f t="shared" si="5"/>
        <v>11</v>
      </c>
      <c r="J23" s="90">
        <f t="shared" si="4"/>
        <v>2018</v>
      </c>
      <c r="K23" s="95">
        <f t="shared" si="0"/>
        <v>43405</v>
      </c>
      <c r="L23" s="90">
        <f t="shared" si="11"/>
        <v>2025</v>
      </c>
      <c r="M23" s="73">
        <f t="shared" si="12"/>
        <v>18979750.116142616</v>
      </c>
      <c r="N23" s="73">
        <f t="shared" si="8"/>
        <v>0</v>
      </c>
      <c r="O23" s="73">
        <f t="shared" si="6"/>
        <v>744600</v>
      </c>
      <c r="P23" s="180">
        <f t="shared" si="7"/>
        <v>25.489860483672597</v>
      </c>
      <c r="Q23" s="255">
        <f t="shared" si="9"/>
        <v>25.489860483672597</v>
      </c>
      <c r="R23" s="255">
        <f t="shared" si="10"/>
        <v>0</v>
      </c>
    </row>
    <row r="24" spans="2:18">
      <c r="B24" s="99">
        <f t="shared" si="1"/>
        <v>43435</v>
      </c>
      <c r="C24" s="96">
        <v>1357713.2364062965</v>
      </c>
      <c r="D24" s="97">
        <f>IF(F24&lt;&gt;0,VLOOKUP($J24,'Table 1'!$B$13:$C$33,2,FALSE)/12*1000*Study_MW,0)</f>
        <v>0</v>
      </c>
      <c r="E24" s="97">
        <f t="shared" ref="E24" si="13">IF(ISNUMBER(C24+D24),C24+D24,"")</f>
        <v>1357713.2364062965</v>
      </c>
      <c r="F24" s="96">
        <v>63240</v>
      </c>
      <c r="G24" s="98">
        <f t="shared" ref="G24" si="14">IF(ISNUMBER($F24),E24/$F24,"")</f>
        <v>21.469216261959147</v>
      </c>
      <c r="I24" s="81">
        <f t="shared" si="5"/>
        <v>12</v>
      </c>
      <c r="J24" s="90">
        <f t="shared" si="4"/>
        <v>2018</v>
      </c>
      <c r="K24" s="99">
        <f t="shared" si="0"/>
        <v>43435</v>
      </c>
      <c r="L24" s="90">
        <f t="shared" si="11"/>
        <v>2026</v>
      </c>
      <c r="M24" s="73">
        <f t="shared" si="12"/>
        <v>19133676.889588952</v>
      </c>
      <c r="N24" s="73">
        <f t="shared" si="8"/>
        <v>0</v>
      </c>
      <c r="O24" s="73">
        <f t="shared" si="6"/>
        <v>744600</v>
      </c>
      <c r="P24" s="180">
        <f t="shared" si="7"/>
        <v>25.696584595204072</v>
      </c>
      <c r="Q24" s="255">
        <f t="shared" si="9"/>
        <v>25.696584595204072</v>
      </c>
      <c r="R24" s="255">
        <f t="shared" si="10"/>
        <v>0</v>
      </c>
    </row>
    <row r="25" spans="2:18">
      <c r="B25" s="91">
        <f t="shared" si="1"/>
        <v>43466</v>
      </c>
      <c r="C25" s="86">
        <v>1373089.2537386417</v>
      </c>
      <c r="D25" s="87">
        <f>IF(F25&lt;&gt;0,VLOOKUP($J25,'Table 1'!$B$13:$C$33,2,FALSE)/12*1000*Study_MW,0)</f>
        <v>0</v>
      </c>
      <c r="E25" s="87">
        <f t="shared" ref="E25:E77" si="15">C25+D25</f>
        <v>1373089.2537386417</v>
      </c>
      <c r="F25" s="86">
        <v>63240</v>
      </c>
      <c r="G25" s="89">
        <f t="shared" si="3"/>
        <v>21.712353790933612</v>
      </c>
      <c r="I25" s="77">
        <f>I13+13</f>
        <v>14</v>
      </c>
      <c r="J25" s="90">
        <f t="shared" si="4"/>
        <v>2019</v>
      </c>
      <c r="K25" s="91">
        <f>IF(ISNUMBER(F25),IF(F25&lt;&gt;0,B25,""),"")</f>
        <v>43466</v>
      </c>
      <c r="L25" s="90">
        <f t="shared" si="11"/>
        <v>2027</v>
      </c>
      <c r="M25" s="73">
        <f t="shared" si="12"/>
        <v>19815190.489887416</v>
      </c>
      <c r="N25" s="73">
        <f t="shared" si="8"/>
        <v>0</v>
      </c>
      <c r="O25" s="73">
        <f t="shared" si="6"/>
        <v>744600</v>
      </c>
      <c r="P25" s="180">
        <f t="shared" si="7"/>
        <v>26.611859374009423</v>
      </c>
      <c r="Q25" s="255">
        <f t="shared" si="9"/>
        <v>26.611859374009423</v>
      </c>
      <c r="R25" s="255">
        <f t="shared" si="10"/>
        <v>0</v>
      </c>
    </row>
    <row r="26" spans="2:18">
      <c r="B26" s="95">
        <f t="shared" si="1"/>
        <v>43497</v>
      </c>
      <c r="C26" s="92">
        <v>1145346.9997597784</v>
      </c>
      <c r="D26" s="88">
        <f>IF(F26&lt;&gt;0,VLOOKUP($J26,'Table 1'!$B$13:$C$33,2,FALSE)/12*1000*Study_MW,0)</f>
        <v>0</v>
      </c>
      <c r="E26" s="88">
        <f t="shared" si="15"/>
        <v>1145346.9997597784</v>
      </c>
      <c r="F26" s="92">
        <v>57120</v>
      </c>
      <c r="G26" s="93">
        <f t="shared" si="3"/>
        <v>20.051593133049341</v>
      </c>
      <c r="I26" s="94">
        <f t="shared" ref="I26:I89" si="16">I14+13</f>
        <v>15</v>
      </c>
      <c r="J26" s="90">
        <f t="shared" si="4"/>
        <v>2019</v>
      </c>
      <c r="K26" s="95">
        <f t="shared" ref="K26:K89" si="17">IF(ISNUMBER(F26),IF(F26&lt;&gt;0,B26,""),"")</f>
        <v>43497</v>
      </c>
      <c r="L26" s="90">
        <f t="shared" si="11"/>
        <v>2028</v>
      </c>
      <c r="M26" s="73">
        <f t="shared" si="12"/>
        <v>22066067.747262657</v>
      </c>
      <c r="N26" s="73">
        <f t="shared" si="8"/>
        <v>0</v>
      </c>
      <c r="O26" s="73">
        <f>SUMIF($J$13:$J$264,L26,$F$13:$F$264)</f>
        <v>746640</v>
      </c>
      <c r="P26" s="180">
        <f>(M26+N26)/O26</f>
        <v>29.553824798112419</v>
      </c>
      <c r="Q26" s="255">
        <f t="shared" si="9"/>
        <v>29.553824798112419</v>
      </c>
      <c r="R26" s="255">
        <f t="shared" si="10"/>
        <v>0</v>
      </c>
    </row>
    <row r="27" spans="2:18">
      <c r="B27" s="95">
        <f t="shared" si="1"/>
        <v>43525</v>
      </c>
      <c r="C27" s="92">
        <v>1148760.6881981641</v>
      </c>
      <c r="D27" s="88">
        <f>IF(F27&lt;&gt;0,VLOOKUP($J27,'Table 1'!$B$13:$C$33,2,FALSE)/12*1000*Study_MW,0)</f>
        <v>0</v>
      </c>
      <c r="E27" s="88">
        <f t="shared" si="15"/>
        <v>1148760.6881981641</v>
      </c>
      <c r="F27" s="92">
        <v>63240</v>
      </c>
      <c r="G27" s="93">
        <f t="shared" si="3"/>
        <v>18.16509627131822</v>
      </c>
      <c r="I27" s="94">
        <f t="shared" si="16"/>
        <v>16</v>
      </c>
      <c r="J27" s="90">
        <f t="shared" si="4"/>
        <v>2019</v>
      </c>
      <c r="K27" s="95">
        <f t="shared" si="17"/>
        <v>43525</v>
      </c>
      <c r="L27" s="90">
        <f t="shared" si="11"/>
        <v>2029</v>
      </c>
      <c r="M27" s="73">
        <f t="shared" si="12"/>
        <v>24205929.985351399</v>
      </c>
      <c r="N27" s="73">
        <f t="shared" si="8"/>
        <v>0</v>
      </c>
      <c r="O27" s="73">
        <f t="shared" ref="O27:O31" si="18">SUMIF($J$13:$J$264,L27,$F$13:$F$264)</f>
        <v>744600</v>
      </c>
      <c r="P27" s="180">
        <f t="shared" ref="P27:P31" si="19">(M27+N27)/O27</f>
        <v>32.508635489325002</v>
      </c>
      <c r="Q27" s="255">
        <f t="shared" si="9"/>
        <v>32.508635489325002</v>
      </c>
      <c r="R27" s="255">
        <f t="shared" si="10"/>
        <v>0</v>
      </c>
    </row>
    <row r="28" spans="2:18">
      <c r="B28" s="95">
        <f t="shared" si="1"/>
        <v>43556</v>
      </c>
      <c r="C28" s="92">
        <v>985715.06942428648</v>
      </c>
      <c r="D28" s="88">
        <f>IF(F28&lt;&gt;0,VLOOKUP($J28,'Table 1'!$B$13:$C$33,2,FALSE)/12*1000*Study_MW,0)</f>
        <v>0</v>
      </c>
      <c r="E28" s="88">
        <f t="shared" si="15"/>
        <v>985715.06942428648</v>
      </c>
      <c r="F28" s="92">
        <v>61200</v>
      </c>
      <c r="G28" s="93">
        <f t="shared" si="3"/>
        <v>16.106455382749779</v>
      </c>
      <c r="I28" s="94">
        <f t="shared" si="16"/>
        <v>17</v>
      </c>
      <c r="J28" s="90">
        <f t="shared" si="4"/>
        <v>2019</v>
      </c>
      <c r="K28" s="95">
        <f t="shared" si="17"/>
        <v>43556</v>
      </c>
      <c r="L28" s="90">
        <f t="shared" si="11"/>
        <v>2030</v>
      </c>
      <c r="M28" s="73">
        <f t="shared" si="12"/>
        <v>26612586.804923087</v>
      </c>
      <c r="N28" s="73">
        <f t="shared" si="8"/>
        <v>0</v>
      </c>
      <c r="O28" s="73">
        <f t="shared" si="18"/>
        <v>744600</v>
      </c>
      <c r="P28" s="180">
        <f t="shared" si="19"/>
        <v>35.740782708733668</v>
      </c>
      <c r="Q28" s="255">
        <f t="shared" si="9"/>
        <v>35.740782708733668</v>
      </c>
      <c r="R28" s="255">
        <f t="shared" si="10"/>
        <v>0</v>
      </c>
    </row>
    <row r="29" spans="2:18">
      <c r="B29" s="95">
        <f t="shared" si="1"/>
        <v>43586</v>
      </c>
      <c r="C29" s="92">
        <v>1040826.1844071895</v>
      </c>
      <c r="D29" s="88">
        <f>IF(F29&lt;&gt;0,VLOOKUP($J29,'Table 1'!$B$13:$C$33,2,FALSE)/12*1000*Study_MW,0)</f>
        <v>0</v>
      </c>
      <c r="E29" s="88">
        <f t="shared" si="15"/>
        <v>1040826.1844071895</v>
      </c>
      <c r="F29" s="92">
        <v>63240</v>
      </c>
      <c r="G29" s="93">
        <f t="shared" si="3"/>
        <v>16.45835206209977</v>
      </c>
      <c r="I29" s="94">
        <f t="shared" si="16"/>
        <v>18</v>
      </c>
      <c r="J29" s="90">
        <f t="shared" si="4"/>
        <v>2019</v>
      </c>
      <c r="K29" s="95">
        <f t="shared" si="17"/>
        <v>43586</v>
      </c>
      <c r="L29" s="90">
        <f t="shared" si="11"/>
        <v>2031</v>
      </c>
      <c r="M29" s="73">
        <f t="shared" si="12"/>
        <v>27893703.282004625</v>
      </c>
      <c r="N29" s="73">
        <f t="shared" si="8"/>
        <v>0</v>
      </c>
      <c r="O29" s="73">
        <f t="shared" si="18"/>
        <v>744600</v>
      </c>
      <c r="P29" s="180">
        <f t="shared" si="19"/>
        <v>37.461325922649237</v>
      </c>
      <c r="Q29" s="255">
        <f t="shared" si="9"/>
        <v>37.461325922649237</v>
      </c>
      <c r="R29" s="255">
        <f t="shared" si="10"/>
        <v>0</v>
      </c>
    </row>
    <row r="30" spans="2:18">
      <c r="B30" s="95">
        <f t="shared" si="1"/>
        <v>43617</v>
      </c>
      <c r="C30" s="92">
        <v>1010258.9560324997</v>
      </c>
      <c r="D30" s="88">
        <f>IF(F30&lt;&gt;0,VLOOKUP($J30,'Table 1'!$B$13:$C$33,2,FALSE)/12*1000*Study_MW,0)</f>
        <v>0</v>
      </c>
      <c r="E30" s="88">
        <f t="shared" si="15"/>
        <v>1010258.9560324997</v>
      </c>
      <c r="F30" s="92">
        <v>61200</v>
      </c>
      <c r="G30" s="93">
        <f t="shared" si="3"/>
        <v>16.507499281576791</v>
      </c>
      <c r="I30" s="94">
        <f t="shared" si="16"/>
        <v>19</v>
      </c>
      <c r="J30" s="90">
        <f t="shared" si="4"/>
        <v>2019</v>
      </c>
      <c r="K30" s="95">
        <f t="shared" si="17"/>
        <v>43617</v>
      </c>
      <c r="L30" s="90">
        <f t="shared" si="11"/>
        <v>2032</v>
      </c>
      <c r="M30" s="73">
        <f t="shared" si="12"/>
        <v>29280182.584173977</v>
      </c>
      <c r="N30" s="73">
        <f t="shared" si="8"/>
        <v>0</v>
      </c>
      <c r="O30" s="73">
        <f t="shared" si="18"/>
        <v>746640</v>
      </c>
      <c r="P30" s="180">
        <f t="shared" si="19"/>
        <v>39.215930815619281</v>
      </c>
      <c r="Q30" s="255">
        <f t="shared" si="9"/>
        <v>39.215930815619281</v>
      </c>
      <c r="R30" s="255">
        <f t="shared" si="10"/>
        <v>0</v>
      </c>
    </row>
    <row r="31" spans="2:18">
      <c r="B31" s="95">
        <f t="shared" si="1"/>
        <v>43647</v>
      </c>
      <c r="C31" s="92">
        <v>1431052.5695839226</v>
      </c>
      <c r="D31" s="88">
        <f>IF(F31&lt;&gt;0,VLOOKUP($J31,'Table 1'!$B$13:$C$33,2,FALSE)/12*1000*Study_MW,0)</f>
        <v>0</v>
      </c>
      <c r="E31" s="88">
        <f t="shared" si="15"/>
        <v>1431052.5695839226</v>
      </c>
      <c r="F31" s="92">
        <v>63240</v>
      </c>
      <c r="G31" s="93">
        <f t="shared" si="3"/>
        <v>22.628914762554121</v>
      </c>
      <c r="I31" s="94">
        <f t="shared" si="16"/>
        <v>20</v>
      </c>
      <c r="J31" s="90">
        <f t="shared" si="4"/>
        <v>2019</v>
      </c>
      <c r="K31" s="95">
        <f t="shared" si="17"/>
        <v>43647</v>
      </c>
      <c r="L31" s="90">
        <f t="shared" si="11"/>
        <v>2033</v>
      </c>
      <c r="M31" s="73">
        <f t="shared" si="12"/>
        <v>32720123.066565543</v>
      </c>
      <c r="N31" s="73">
        <f t="shared" si="8"/>
        <v>0</v>
      </c>
      <c r="O31" s="73">
        <f t="shared" si="18"/>
        <v>744600</v>
      </c>
      <c r="P31" s="180">
        <f t="shared" si="19"/>
        <v>43.943221953485825</v>
      </c>
      <c r="Q31" s="255">
        <f t="shared" si="9"/>
        <v>43.943221953485825</v>
      </c>
      <c r="R31" s="255">
        <f t="shared" si="10"/>
        <v>0</v>
      </c>
    </row>
    <row r="32" spans="2:18">
      <c r="B32" s="95">
        <f t="shared" si="1"/>
        <v>43678</v>
      </c>
      <c r="C32" s="92">
        <v>1410301.9250866473</v>
      </c>
      <c r="D32" s="88">
        <f>IF(F32&lt;&gt;0,VLOOKUP($J32,'Table 1'!$B$13:$C$33,2,FALSE)/12*1000*Study_MW,0)</f>
        <v>0</v>
      </c>
      <c r="E32" s="88">
        <f t="shared" si="15"/>
        <v>1410301.9250866473</v>
      </c>
      <c r="F32" s="92">
        <v>63240</v>
      </c>
      <c r="G32" s="93">
        <f t="shared" si="3"/>
        <v>22.300789454248058</v>
      </c>
      <c r="I32" s="94">
        <f t="shared" si="16"/>
        <v>21</v>
      </c>
      <c r="J32" s="90">
        <f t="shared" si="4"/>
        <v>2019</v>
      </c>
      <c r="K32" s="95">
        <f t="shared" si="17"/>
        <v>43678</v>
      </c>
      <c r="L32" s="90">
        <f t="shared" si="11"/>
        <v>2034</v>
      </c>
      <c r="M32" s="73">
        <f t="shared" si="12"/>
        <v>34327167.7056306</v>
      </c>
      <c r="N32" s="73">
        <f t="shared" si="8"/>
        <v>0</v>
      </c>
      <c r="O32" s="73">
        <f t="shared" ref="O32:O35" si="20">SUMIF($J$13:$J$264,L32,$F$13:$F$264)</f>
        <v>744600</v>
      </c>
      <c r="P32" s="180">
        <f t="shared" ref="P32:P34" si="21">(M32+N32)/O32</f>
        <v>46.101487651934733</v>
      </c>
      <c r="Q32" s="255">
        <f t="shared" si="9"/>
        <v>46.101487651934733</v>
      </c>
      <c r="R32" s="255">
        <f t="shared" si="10"/>
        <v>0</v>
      </c>
    </row>
    <row r="33" spans="2:20">
      <c r="B33" s="95">
        <f t="shared" si="1"/>
        <v>43709</v>
      </c>
      <c r="C33" s="92">
        <v>1152158.5250075459</v>
      </c>
      <c r="D33" s="88">
        <f>IF(F33&lt;&gt;0,VLOOKUP($J33,'Table 1'!$B$13:$C$33,2,FALSE)/12*1000*Study_MW,0)</f>
        <v>0</v>
      </c>
      <c r="E33" s="88">
        <f t="shared" si="15"/>
        <v>1152158.5250075459</v>
      </c>
      <c r="F33" s="92">
        <v>61200</v>
      </c>
      <c r="G33" s="93">
        <f t="shared" si="3"/>
        <v>18.826119689665784</v>
      </c>
      <c r="I33" s="94">
        <f t="shared" si="16"/>
        <v>22</v>
      </c>
      <c r="J33" s="90">
        <f t="shared" si="4"/>
        <v>2019</v>
      </c>
      <c r="K33" s="95">
        <f t="shared" si="17"/>
        <v>43709</v>
      </c>
      <c r="L33" s="90">
        <f t="shared" si="11"/>
        <v>2035</v>
      </c>
      <c r="M33" s="73">
        <f t="shared" si="12"/>
        <v>36884314.686201453</v>
      </c>
      <c r="N33" s="73">
        <f t="shared" si="8"/>
        <v>0</v>
      </c>
      <c r="O33" s="73">
        <f t="shared" si="20"/>
        <v>744600</v>
      </c>
      <c r="P33" s="180">
        <f t="shared" si="21"/>
        <v>49.535743602204477</v>
      </c>
      <c r="Q33" s="255">
        <f t="shared" si="9"/>
        <v>49.535743602204477</v>
      </c>
      <c r="R33" s="255">
        <f t="shared" si="10"/>
        <v>0</v>
      </c>
    </row>
    <row r="34" spans="2:20">
      <c r="B34" s="95">
        <f t="shared" si="1"/>
        <v>43739</v>
      </c>
      <c r="C34" s="92">
        <v>1128190.3277615309</v>
      </c>
      <c r="D34" s="88">
        <f>IF(F34&lt;&gt;0,VLOOKUP($J34,'Table 1'!$B$13:$C$33,2,FALSE)/12*1000*Study_MW,0)</f>
        <v>0</v>
      </c>
      <c r="E34" s="88">
        <f t="shared" si="15"/>
        <v>1128190.3277615309</v>
      </c>
      <c r="F34" s="92">
        <v>63240</v>
      </c>
      <c r="G34" s="93">
        <f t="shared" si="3"/>
        <v>17.839821754609911</v>
      </c>
      <c r="I34" s="94">
        <f t="shared" si="16"/>
        <v>23</v>
      </c>
      <c r="J34" s="90">
        <f t="shared" si="4"/>
        <v>2019</v>
      </c>
      <c r="K34" s="95">
        <f t="shared" si="17"/>
        <v>43739</v>
      </c>
      <c r="L34" s="90">
        <f t="shared" si="11"/>
        <v>2036</v>
      </c>
      <c r="M34" s="73">
        <f t="shared" si="12"/>
        <v>39776334.901031256</v>
      </c>
      <c r="N34" s="73">
        <f t="shared" si="8"/>
        <v>0</v>
      </c>
      <c r="O34" s="73">
        <f t="shared" si="20"/>
        <v>746640</v>
      </c>
      <c r="P34" s="180">
        <f t="shared" si="21"/>
        <v>53.273779734585951</v>
      </c>
      <c r="Q34" s="255">
        <f t="shared" ref="Q34" si="22">M34/O34</f>
        <v>53.273779734585951</v>
      </c>
      <c r="R34" s="255">
        <f t="shared" ref="R34" si="23">IFERROR(N34/O34,0)</f>
        <v>0</v>
      </c>
    </row>
    <row r="35" spans="2:20">
      <c r="B35" s="95">
        <f t="shared" si="1"/>
        <v>43770</v>
      </c>
      <c r="C35" s="92">
        <v>1144452.0313673913</v>
      </c>
      <c r="D35" s="88">
        <f>IF(F35&lt;&gt;0,VLOOKUP($J35,'Table 1'!$B$13:$C$33,2,FALSE)/12*1000*Study_MW,0)</f>
        <v>0</v>
      </c>
      <c r="E35" s="88">
        <f t="shared" si="15"/>
        <v>1144452.0313673913</v>
      </c>
      <c r="F35" s="92">
        <v>61200</v>
      </c>
      <c r="G35" s="93">
        <f t="shared" si="3"/>
        <v>18.700196590970446</v>
      </c>
      <c r="I35" s="94">
        <f t="shared" si="16"/>
        <v>24</v>
      </c>
      <c r="J35" s="90">
        <f t="shared" si="4"/>
        <v>2019</v>
      </c>
      <c r="K35" s="95">
        <f t="shared" si="17"/>
        <v>43770</v>
      </c>
      <c r="L35" s="90">
        <f t="shared" si="11"/>
        <v>2037</v>
      </c>
      <c r="M35" s="73">
        <f t="shared" si="12"/>
        <v>40553640.181712538</v>
      </c>
      <c r="N35" s="73">
        <f t="shared" si="8"/>
        <v>0</v>
      </c>
      <c r="O35" s="73">
        <f t="shared" si="20"/>
        <v>744600</v>
      </c>
      <c r="P35" s="180">
        <f t="shared" ref="P35" si="24">(M35+N35)/O35</f>
        <v>54.463658584088826</v>
      </c>
      <c r="Q35" s="255">
        <f t="shared" ref="Q35" si="25">M35/O35</f>
        <v>54.463658584088826</v>
      </c>
      <c r="R35" s="255">
        <f t="shared" ref="R35" si="26">IFERROR(N35/O35,0)</f>
        <v>0</v>
      </c>
    </row>
    <row r="36" spans="2:20">
      <c r="B36" s="99">
        <f t="shared" si="1"/>
        <v>43800</v>
      </c>
      <c r="C36" s="96">
        <v>1204089.1188300103</v>
      </c>
      <c r="D36" s="97">
        <f>IF(F36&lt;&gt;0,VLOOKUP($J36,'Table 1'!$B$13:$C$33,2,FALSE)/12*1000*Study_MW,0)</f>
        <v>0</v>
      </c>
      <c r="E36" s="97">
        <f t="shared" si="15"/>
        <v>1204089.1188300103</v>
      </c>
      <c r="F36" s="96">
        <v>63240</v>
      </c>
      <c r="G36" s="98">
        <f t="shared" si="3"/>
        <v>19.039992391366386</v>
      </c>
      <c r="I36" s="81">
        <f t="shared" si="16"/>
        <v>25</v>
      </c>
      <c r="J36" s="90">
        <f t="shared" si="4"/>
        <v>2019</v>
      </c>
      <c r="K36" s="99">
        <f t="shared" si="17"/>
        <v>43800</v>
      </c>
      <c r="L36" s="90">
        <f t="shared" si="11"/>
        <v>2038</v>
      </c>
      <c r="M36" s="73">
        <f t="shared" si="12"/>
        <v>41445820.265710205</v>
      </c>
      <c r="N36" s="73">
        <f t="shared" si="8"/>
        <v>0</v>
      </c>
      <c r="O36" s="73">
        <f t="shared" ref="O36" si="27">SUMIF($J$13:$J$264,L36,$F$13:$F$264)</f>
        <v>744600</v>
      </c>
      <c r="P36" s="180">
        <f t="shared" ref="P36" si="28">(M36+N36)/O36</f>
        <v>55.661859072938768</v>
      </c>
      <c r="Q36" s="255">
        <f t="shared" ref="Q36" si="29">M36/O36</f>
        <v>55.661859072938768</v>
      </c>
      <c r="R36" s="255">
        <f t="shared" ref="R36" si="30">IFERROR(N36/O36,0)</f>
        <v>0</v>
      </c>
    </row>
    <row r="37" spans="2:20" outlineLevel="1">
      <c r="B37" s="91">
        <f t="shared" si="1"/>
        <v>43831</v>
      </c>
      <c r="C37" s="86">
        <v>1133950.5888434052</v>
      </c>
      <c r="D37" s="87">
        <f>IF(F37&lt;&gt;0,VLOOKUP($J37,'Table 1'!$B$13:$C$33,2,FALSE)/12*1000*Study_MW,0)</f>
        <v>0</v>
      </c>
      <c r="E37" s="87">
        <f t="shared" si="15"/>
        <v>1133950.5888434052</v>
      </c>
      <c r="F37" s="86">
        <v>63240</v>
      </c>
      <c r="G37" s="89">
        <f t="shared" si="3"/>
        <v>17.930907476967192</v>
      </c>
      <c r="I37" s="77">
        <f>I25+13</f>
        <v>27</v>
      </c>
      <c r="J37" s="90">
        <f t="shared" si="4"/>
        <v>2020</v>
      </c>
      <c r="K37" s="91">
        <f t="shared" si="17"/>
        <v>43831</v>
      </c>
      <c r="M37" s="270"/>
    </row>
    <row r="38" spans="2:20" outlineLevel="1">
      <c r="B38" s="95">
        <f t="shared" si="1"/>
        <v>43862</v>
      </c>
      <c r="C38" s="92">
        <v>1162909.129868418</v>
      </c>
      <c r="D38" s="88">
        <f>IF(F38&lt;&gt;0,VLOOKUP($J38,'Table 1'!$B$13:$C$33,2,FALSE)/12*1000*Study_MW,0)</f>
        <v>0</v>
      </c>
      <c r="E38" s="88">
        <f t="shared" si="15"/>
        <v>1162909.129868418</v>
      </c>
      <c r="F38" s="92">
        <v>59160</v>
      </c>
      <c r="G38" s="93">
        <f t="shared" si="3"/>
        <v>19.657017070122009</v>
      </c>
      <c r="I38" s="94">
        <f t="shared" si="16"/>
        <v>28</v>
      </c>
      <c r="J38" s="90">
        <f t="shared" si="4"/>
        <v>2020</v>
      </c>
      <c r="K38" s="95">
        <f t="shared" si="17"/>
        <v>43862</v>
      </c>
      <c r="M38" s="270"/>
    </row>
    <row r="39" spans="2:20" outlineLevel="1">
      <c r="B39" s="95">
        <f t="shared" si="1"/>
        <v>43891</v>
      </c>
      <c r="C39" s="92">
        <v>966751.6557046622</v>
      </c>
      <c r="D39" s="88">
        <f>IF(F39&lt;&gt;0,VLOOKUP($J39,'Table 1'!$B$13:$C$33,2,FALSE)/12*1000*Study_MW,0)</f>
        <v>0</v>
      </c>
      <c r="E39" s="88">
        <f t="shared" si="15"/>
        <v>966751.6557046622</v>
      </c>
      <c r="F39" s="92">
        <v>63240</v>
      </c>
      <c r="G39" s="93">
        <f t="shared" si="3"/>
        <v>15.287028078821351</v>
      </c>
      <c r="I39" s="94">
        <f t="shared" si="16"/>
        <v>29</v>
      </c>
      <c r="J39" s="90">
        <f t="shared" si="4"/>
        <v>2020</v>
      </c>
      <c r="K39" s="95">
        <f t="shared" si="17"/>
        <v>43891</v>
      </c>
    </row>
    <row r="40" spans="2:20" outlineLevel="1">
      <c r="B40" s="95">
        <f t="shared" si="1"/>
        <v>43922</v>
      </c>
      <c r="C40" s="92">
        <v>810194.94827660918</v>
      </c>
      <c r="D40" s="88">
        <f>IF(F40&lt;&gt;0,VLOOKUP($J40,'Table 1'!$B$13:$C$33,2,FALSE)/12*1000*Study_MW,0)</f>
        <v>0</v>
      </c>
      <c r="E40" s="88">
        <f t="shared" si="15"/>
        <v>810194.94827660918</v>
      </c>
      <c r="F40" s="92">
        <v>61200</v>
      </c>
      <c r="G40" s="93">
        <f t="shared" si="3"/>
        <v>13.238479547003418</v>
      </c>
      <c r="I40" s="94">
        <f t="shared" si="16"/>
        <v>30</v>
      </c>
      <c r="J40" s="90">
        <f t="shared" si="4"/>
        <v>2020</v>
      </c>
      <c r="K40" s="95">
        <f t="shared" si="17"/>
        <v>43922</v>
      </c>
      <c r="O40" s="299" t="str">
        <f>"15 Year Starting "&amp;YEAR($K$5)+2</f>
        <v>15 Year Starting 2020</v>
      </c>
      <c r="P40" s="75">
        <f ca="1">NPV($K$9,INDIRECT("C"&amp;$P$5+24&amp;":C"&amp;$P$6+24))</f>
        <v>192429521.56990093</v>
      </c>
      <c r="Q40" s="75">
        <f ca="1">NPV($K$9,INDIRECT("D"&amp;$P$5+24&amp;":D"&amp;$P$6+24))</f>
        <v>0</v>
      </c>
      <c r="R40" s="75">
        <f ca="1">NPV($K$9,INDIRECT("E"&amp;$P$5+24&amp;":E"&amp;$P$6+24))</f>
        <v>192429521.56990093</v>
      </c>
      <c r="S40" s="75">
        <f ca="1">NPV($K$9,INDIRECT("F"&amp;$P$5+24&amp;":F"&amp;$P$6+24))</f>
        <v>7182063.8091560835</v>
      </c>
      <c r="T40" s="139">
        <f ca="1">R40/S40</f>
        <v>26.793067658989798</v>
      </c>
    </row>
    <row r="41" spans="2:20" outlineLevel="1">
      <c r="B41" s="95">
        <f t="shared" si="1"/>
        <v>43952</v>
      </c>
      <c r="C41" s="92">
        <v>846145.06640782952</v>
      </c>
      <c r="D41" s="88">
        <f>IF(F41&lt;&gt;0,VLOOKUP($J41,'Table 1'!$B$13:$C$33,2,FALSE)/12*1000*Study_MW,0)</f>
        <v>0</v>
      </c>
      <c r="E41" s="88">
        <f t="shared" si="15"/>
        <v>846145.06640782952</v>
      </c>
      <c r="F41" s="92">
        <v>63240</v>
      </c>
      <c r="G41" s="93">
        <f t="shared" si="3"/>
        <v>13.379903010876495</v>
      </c>
      <c r="I41" s="94">
        <f t="shared" si="16"/>
        <v>31</v>
      </c>
      <c r="J41" s="90">
        <f t="shared" si="4"/>
        <v>2020</v>
      </c>
      <c r="K41" s="95">
        <f t="shared" si="17"/>
        <v>43952</v>
      </c>
      <c r="O41" s="299" t="str">
        <f>"15 Year Starting "&amp;YEAR($K$5)+3</f>
        <v>15 Year Starting 2021</v>
      </c>
      <c r="P41" s="75">
        <f ca="1">NPV($K$9,INDIRECT("C"&amp;$P$5+36&amp;":C"&amp;$P$6+36))</f>
        <v>207255999.8907479</v>
      </c>
      <c r="Q41" s="75">
        <f ca="1">NPV($K$9,INDIRECT("D"&amp;$P$5+36&amp;":D"&amp;$P$6+36))</f>
        <v>0</v>
      </c>
      <c r="R41" s="75">
        <f ca="1">NPV($K$9,INDIRECT("E"&amp;$P$5+36&amp;":E"&amp;$P$6+36))</f>
        <v>207255999.8907479</v>
      </c>
      <c r="S41" s="75">
        <f ca="1">NPV($K$9,INDIRECT("F"&amp;$P$5+36&amp;":F"&amp;$P$6+36))</f>
        <v>7180289.6499700202</v>
      </c>
      <c r="T41" s="139">
        <f ca="1">R41/S41</f>
        <v>28.864573714183418</v>
      </c>
    </row>
    <row r="42" spans="2:20" outlineLevel="1">
      <c r="B42" s="95">
        <f t="shared" si="1"/>
        <v>43983</v>
      </c>
      <c r="C42" s="92">
        <v>857937.16152457893</v>
      </c>
      <c r="D42" s="88">
        <f>IF(F42&lt;&gt;0,VLOOKUP($J42,'Table 1'!$B$13:$C$33,2,FALSE)/12*1000*Study_MW,0)</f>
        <v>0</v>
      </c>
      <c r="E42" s="88">
        <f t="shared" si="15"/>
        <v>857937.16152457893</v>
      </c>
      <c r="F42" s="92">
        <v>61200</v>
      </c>
      <c r="G42" s="93">
        <f t="shared" si="3"/>
        <v>14.018581070663055</v>
      </c>
      <c r="I42" s="94">
        <f t="shared" si="16"/>
        <v>32</v>
      </c>
      <c r="J42" s="90">
        <f t="shared" si="4"/>
        <v>2020</v>
      </c>
      <c r="K42" s="95">
        <f t="shared" si="17"/>
        <v>43983</v>
      </c>
    </row>
    <row r="43" spans="2:20" outlineLevel="1">
      <c r="B43" s="95">
        <f t="shared" si="1"/>
        <v>44013</v>
      </c>
      <c r="C43" s="92">
        <v>1003598.0839055181</v>
      </c>
      <c r="D43" s="88">
        <f>IF(F43&lt;&gt;0,VLOOKUP($J43,'Table 1'!$B$13:$C$33,2,FALSE)/12*1000*Study_MW,0)</f>
        <v>0</v>
      </c>
      <c r="E43" s="88">
        <f t="shared" si="15"/>
        <v>1003598.0839055181</v>
      </c>
      <c r="F43" s="92">
        <v>63240</v>
      </c>
      <c r="G43" s="93">
        <f t="shared" si="3"/>
        <v>15.869672421023372</v>
      </c>
      <c r="I43" s="94">
        <f t="shared" si="16"/>
        <v>33</v>
      </c>
      <c r="J43" s="90">
        <f t="shared" si="4"/>
        <v>2020</v>
      </c>
      <c r="K43" s="95">
        <f t="shared" si="17"/>
        <v>44013</v>
      </c>
    </row>
    <row r="44" spans="2:20" outlineLevel="1">
      <c r="B44" s="95">
        <f t="shared" si="1"/>
        <v>44044</v>
      </c>
      <c r="C44" s="92">
        <v>1069495.7503228188</v>
      </c>
      <c r="D44" s="88">
        <f>IF(F44&lt;&gt;0,VLOOKUP($J44,'Table 1'!$B$13:$C$33,2,FALSE)/12*1000*Study_MW,0)</f>
        <v>0</v>
      </c>
      <c r="E44" s="88">
        <f t="shared" si="15"/>
        <v>1069495.7503228188</v>
      </c>
      <c r="F44" s="92">
        <v>63240</v>
      </c>
      <c r="G44" s="93">
        <f t="shared" si="3"/>
        <v>16.91169750668594</v>
      </c>
      <c r="I44" s="94">
        <f t="shared" si="16"/>
        <v>34</v>
      </c>
      <c r="J44" s="90">
        <f t="shared" si="4"/>
        <v>2020</v>
      </c>
      <c r="K44" s="95">
        <f t="shared" si="17"/>
        <v>44044</v>
      </c>
    </row>
    <row r="45" spans="2:20" outlineLevel="1">
      <c r="B45" s="95">
        <f t="shared" si="1"/>
        <v>44075</v>
      </c>
      <c r="C45" s="92">
        <v>946851.15674303472</v>
      </c>
      <c r="D45" s="88">
        <f>IF(F45&lt;&gt;0,VLOOKUP($J45,'Table 1'!$B$13:$C$33,2,FALSE)/12*1000*Study_MW,0)</f>
        <v>0</v>
      </c>
      <c r="E45" s="88">
        <f t="shared" si="15"/>
        <v>946851.15674303472</v>
      </c>
      <c r="F45" s="92">
        <v>61200</v>
      </c>
      <c r="G45" s="93">
        <f t="shared" si="3"/>
        <v>15.471424129788149</v>
      </c>
      <c r="I45" s="94">
        <f t="shared" si="16"/>
        <v>35</v>
      </c>
      <c r="J45" s="90">
        <f t="shared" si="4"/>
        <v>2020</v>
      </c>
      <c r="K45" s="95">
        <f t="shared" si="17"/>
        <v>44075</v>
      </c>
    </row>
    <row r="46" spans="2:20" outlineLevel="1">
      <c r="B46" s="95">
        <f t="shared" si="1"/>
        <v>44105</v>
      </c>
      <c r="C46" s="92">
        <v>1052581.7230937332</v>
      </c>
      <c r="D46" s="88">
        <f>IF(F46&lt;&gt;0,VLOOKUP($J46,'Table 1'!$B$13:$C$33,2,FALSE)/12*1000*Study_MW,0)</f>
        <v>0</v>
      </c>
      <c r="E46" s="88">
        <f t="shared" si="15"/>
        <v>1052581.7230937332</v>
      </c>
      <c r="F46" s="92">
        <v>63240</v>
      </c>
      <c r="G46" s="93">
        <f t="shared" si="3"/>
        <v>16.644239770615641</v>
      </c>
      <c r="I46" s="94">
        <f t="shared" si="16"/>
        <v>36</v>
      </c>
      <c r="J46" s="90">
        <f t="shared" si="4"/>
        <v>2020</v>
      </c>
      <c r="K46" s="95">
        <f t="shared" si="17"/>
        <v>44105</v>
      </c>
    </row>
    <row r="47" spans="2:20" outlineLevel="1">
      <c r="B47" s="95">
        <f t="shared" si="1"/>
        <v>44136</v>
      </c>
      <c r="C47" s="92">
        <v>988285.98145925999</v>
      </c>
      <c r="D47" s="88">
        <f>IF(F47&lt;&gt;0,VLOOKUP($J47,'Table 1'!$B$13:$C$33,2,FALSE)/12*1000*Study_MW,0)</f>
        <v>0</v>
      </c>
      <c r="E47" s="88">
        <f t="shared" si="15"/>
        <v>988285.98145925999</v>
      </c>
      <c r="F47" s="92">
        <v>61200</v>
      </c>
      <c r="G47" s="93">
        <f t="shared" si="3"/>
        <v>16.148463749334315</v>
      </c>
      <c r="I47" s="94">
        <f t="shared" si="16"/>
        <v>37</v>
      </c>
      <c r="J47" s="90">
        <f t="shared" si="4"/>
        <v>2020</v>
      </c>
      <c r="K47" s="95">
        <f t="shared" si="17"/>
        <v>44136</v>
      </c>
    </row>
    <row r="48" spans="2:20" outlineLevel="1">
      <c r="B48" s="99">
        <f t="shared" si="1"/>
        <v>44166</v>
      </c>
      <c r="C48" s="96">
        <v>1226174.6076895297</v>
      </c>
      <c r="D48" s="97">
        <f>IF(F48&lt;&gt;0,VLOOKUP($J48,'Table 1'!$B$13:$C$33,2,FALSE)/12*1000*Study_MW,0)</f>
        <v>0</v>
      </c>
      <c r="E48" s="97">
        <f t="shared" si="15"/>
        <v>1226174.6076895297</v>
      </c>
      <c r="F48" s="96">
        <v>63240</v>
      </c>
      <c r="G48" s="98">
        <f t="shared" si="3"/>
        <v>19.389225295533361</v>
      </c>
      <c r="I48" s="81">
        <f t="shared" si="16"/>
        <v>38</v>
      </c>
      <c r="J48" s="90">
        <f t="shared" si="4"/>
        <v>2020</v>
      </c>
      <c r="K48" s="99">
        <f t="shared" si="17"/>
        <v>44166</v>
      </c>
    </row>
    <row r="49" spans="2:11" outlineLevel="1">
      <c r="B49" s="91">
        <f t="shared" si="1"/>
        <v>44197</v>
      </c>
      <c r="C49" s="86">
        <v>1171401.111213088</v>
      </c>
      <c r="D49" s="87">
        <f>IF(F49&lt;&gt;0,VLOOKUP($J49,'Table 1'!$B$13:$C$33,2,FALSE)/12*1000*Study_MW,0)</f>
        <v>0</v>
      </c>
      <c r="E49" s="87">
        <f t="shared" si="15"/>
        <v>1171401.111213088</v>
      </c>
      <c r="F49" s="86">
        <v>63240</v>
      </c>
      <c r="G49" s="89">
        <f t="shared" si="3"/>
        <v>18.523104225380898</v>
      </c>
      <c r="I49" s="77">
        <f>I37+13</f>
        <v>40</v>
      </c>
      <c r="J49" s="90">
        <f t="shared" si="4"/>
        <v>2021</v>
      </c>
      <c r="K49" s="91">
        <f t="shared" si="17"/>
        <v>44197</v>
      </c>
    </row>
    <row r="50" spans="2:11" outlineLevel="1">
      <c r="B50" s="95">
        <f t="shared" si="1"/>
        <v>44228</v>
      </c>
      <c r="C50" s="92">
        <v>1059788.2709552944</v>
      </c>
      <c r="D50" s="88">
        <f>IF(F50&lt;&gt;0,VLOOKUP($J50,'Table 1'!$B$13:$C$33,2,FALSE)/12*1000*Study_MW,0)</f>
        <v>0</v>
      </c>
      <c r="E50" s="88">
        <f t="shared" si="15"/>
        <v>1059788.2709552944</v>
      </c>
      <c r="F50" s="92">
        <v>57120</v>
      </c>
      <c r="G50" s="93">
        <f t="shared" si="3"/>
        <v>18.553716228208934</v>
      </c>
      <c r="I50" s="94">
        <f t="shared" si="16"/>
        <v>41</v>
      </c>
      <c r="J50" s="90">
        <f t="shared" si="4"/>
        <v>2021</v>
      </c>
      <c r="K50" s="95">
        <f t="shared" si="17"/>
        <v>44228</v>
      </c>
    </row>
    <row r="51" spans="2:11" outlineLevel="1">
      <c r="B51" s="95">
        <f t="shared" si="1"/>
        <v>44256</v>
      </c>
      <c r="C51" s="92">
        <v>1234573.6270466447</v>
      </c>
      <c r="D51" s="88">
        <f>IF(F51&lt;&gt;0,VLOOKUP($J51,'Table 1'!$B$13:$C$33,2,FALSE)/12*1000*Study_MW,0)</f>
        <v>0</v>
      </c>
      <c r="E51" s="88">
        <f t="shared" si="15"/>
        <v>1234573.6270466447</v>
      </c>
      <c r="F51" s="92">
        <v>63240</v>
      </c>
      <c r="G51" s="93">
        <f t="shared" si="3"/>
        <v>19.522037113324551</v>
      </c>
      <c r="I51" s="94">
        <f t="shared" si="16"/>
        <v>42</v>
      </c>
      <c r="J51" s="90">
        <f t="shared" si="4"/>
        <v>2021</v>
      </c>
      <c r="K51" s="95">
        <f t="shared" si="17"/>
        <v>44256</v>
      </c>
    </row>
    <row r="52" spans="2:11" outlineLevel="1">
      <c r="B52" s="95">
        <f t="shared" si="1"/>
        <v>44287</v>
      </c>
      <c r="C52" s="92">
        <v>950552.67251005769</v>
      </c>
      <c r="D52" s="88">
        <f>IF(F52&lt;&gt;0,VLOOKUP($J52,'Table 1'!$B$13:$C$33,2,FALSE)/12*1000*Study_MW,0)</f>
        <v>0</v>
      </c>
      <c r="E52" s="88">
        <f t="shared" si="15"/>
        <v>950552.67251005769</v>
      </c>
      <c r="F52" s="92">
        <v>61200</v>
      </c>
      <c r="G52" s="93">
        <f t="shared" si="3"/>
        <v>15.531906413563034</v>
      </c>
      <c r="I52" s="94">
        <f t="shared" si="16"/>
        <v>43</v>
      </c>
      <c r="J52" s="90">
        <f t="shared" si="4"/>
        <v>2021</v>
      </c>
      <c r="K52" s="95">
        <f t="shared" si="17"/>
        <v>44287</v>
      </c>
    </row>
    <row r="53" spans="2:11" outlineLevel="1">
      <c r="B53" s="95">
        <f t="shared" si="1"/>
        <v>44317</v>
      </c>
      <c r="C53" s="92">
        <v>985546.66719615459</v>
      </c>
      <c r="D53" s="88">
        <f>IF(F53&lt;&gt;0,VLOOKUP($J53,'Table 1'!$B$13:$C$33,2,FALSE)/12*1000*Study_MW,0)</f>
        <v>0</v>
      </c>
      <c r="E53" s="88">
        <f t="shared" si="15"/>
        <v>985546.66719615459</v>
      </c>
      <c r="F53" s="92">
        <v>63240</v>
      </c>
      <c r="G53" s="93">
        <f t="shared" si="3"/>
        <v>15.584229399053678</v>
      </c>
      <c r="I53" s="94">
        <f t="shared" si="16"/>
        <v>44</v>
      </c>
      <c r="J53" s="90">
        <f t="shared" si="4"/>
        <v>2021</v>
      </c>
      <c r="K53" s="95">
        <f t="shared" si="17"/>
        <v>44317</v>
      </c>
    </row>
    <row r="54" spans="2:11" outlineLevel="1">
      <c r="B54" s="95">
        <f t="shared" si="1"/>
        <v>44348</v>
      </c>
      <c r="C54" s="92">
        <v>952465.01697295904</v>
      </c>
      <c r="D54" s="88">
        <f>IF(F54&lt;&gt;0,VLOOKUP($J54,'Table 1'!$B$13:$C$33,2,FALSE)/12*1000*Study_MW,0)</f>
        <v>0</v>
      </c>
      <c r="E54" s="88">
        <f t="shared" si="15"/>
        <v>952465.01697295904</v>
      </c>
      <c r="F54" s="92">
        <v>61200</v>
      </c>
      <c r="G54" s="93">
        <f t="shared" si="3"/>
        <v>15.563153872107174</v>
      </c>
      <c r="I54" s="94">
        <f t="shared" si="16"/>
        <v>45</v>
      </c>
      <c r="J54" s="90">
        <f t="shared" si="4"/>
        <v>2021</v>
      </c>
      <c r="K54" s="95">
        <f t="shared" si="17"/>
        <v>44348</v>
      </c>
    </row>
    <row r="55" spans="2:11" outlineLevel="1">
      <c r="B55" s="95">
        <f t="shared" si="1"/>
        <v>44378</v>
      </c>
      <c r="C55" s="92">
        <v>1085187.0154668093</v>
      </c>
      <c r="D55" s="88">
        <f>IF(F55&lt;&gt;0,VLOOKUP($J55,'Table 1'!$B$13:$C$33,2,FALSE)/12*1000*Study_MW,0)</f>
        <v>0</v>
      </c>
      <c r="E55" s="88">
        <f t="shared" si="15"/>
        <v>1085187.0154668093</v>
      </c>
      <c r="F55" s="92">
        <v>63240</v>
      </c>
      <c r="G55" s="93">
        <f t="shared" si="3"/>
        <v>17.159819978918552</v>
      </c>
      <c r="I55" s="94">
        <f t="shared" si="16"/>
        <v>46</v>
      </c>
      <c r="J55" s="90">
        <f t="shared" si="4"/>
        <v>2021</v>
      </c>
      <c r="K55" s="95">
        <f t="shared" si="17"/>
        <v>44378</v>
      </c>
    </row>
    <row r="56" spans="2:11" outlineLevel="1">
      <c r="B56" s="95">
        <f t="shared" si="1"/>
        <v>44409</v>
      </c>
      <c r="C56" s="92">
        <v>1229941.458812654</v>
      </c>
      <c r="D56" s="88">
        <f>IF(F56&lt;&gt;0,VLOOKUP($J56,'Table 1'!$B$13:$C$33,2,FALSE)/12*1000*Study_MW,0)</f>
        <v>0</v>
      </c>
      <c r="E56" s="88">
        <f t="shared" si="15"/>
        <v>1229941.458812654</v>
      </c>
      <c r="F56" s="92">
        <v>63240</v>
      </c>
      <c r="G56" s="93">
        <f t="shared" si="3"/>
        <v>19.448789671294339</v>
      </c>
      <c r="I56" s="94">
        <f t="shared" si="16"/>
        <v>47</v>
      </c>
      <c r="J56" s="90">
        <f t="shared" si="4"/>
        <v>2021</v>
      </c>
      <c r="K56" s="95">
        <f t="shared" si="17"/>
        <v>44409</v>
      </c>
    </row>
    <row r="57" spans="2:11" outlineLevel="1">
      <c r="B57" s="95">
        <f t="shared" si="1"/>
        <v>44440</v>
      </c>
      <c r="C57" s="92">
        <v>1182272.077722922</v>
      </c>
      <c r="D57" s="88">
        <f>IF(F57&lt;&gt;0,VLOOKUP($J57,'Table 1'!$B$13:$C$33,2,FALSE)/12*1000*Study_MW,0)</f>
        <v>0</v>
      </c>
      <c r="E57" s="88">
        <f t="shared" si="15"/>
        <v>1182272.077722922</v>
      </c>
      <c r="F57" s="92">
        <v>61200</v>
      </c>
      <c r="G57" s="93">
        <f t="shared" si="3"/>
        <v>19.318171204622907</v>
      </c>
      <c r="I57" s="94">
        <f t="shared" si="16"/>
        <v>48</v>
      </c>
      <c r="J57" s="90">
        <f t="shared" si="4"/>
        <v>2021</v>
      </c>
      <c r="K57" s="95">
        <f t="shared" si="17"/>
        <v>44440</v>
      </c>
    </row>
    <row r="58" spans="2:11" outlineLevel="1">
      <c r="B58" s="95">
        <f t="shared" si="1"/>
        <v>44470</v>
      </c>
      <c r="C58" s="92">
        <v>1168048.1310104728</v>
      </c>
      <c r="D58" s="88">
        <f>IF(F58&lt;&gt;0,VLOOKUP($J58,'Table 1'!$B$13:$C$33,2,FALSE)/12*1000*Study_MW,0)</f>
        <v>0</v>
      </c>
      <c r="E58" s="88">
        <f t="shared" si="15"/>
        <v>1168048.1310104728</v>
      </c>
      <c r="F58" s="92">
        <v>63240</v>
      </c>
      <c r="G58" s="93">
        <f t="shared" si="3"/>
        <v>18.470084298078316</v>
      </c>
      <c r="I58" s="94">
        <f t="shared" si="16"/>
        <v>49</v>
      </c>
      <c r="J58" s="90">
        <f t="shared" si="4"/>
        <v>2021</v>
      </c>
      <c r="K58" s="95">
        <f t="shared" si="17"/>
        <v>44470</v>
      </c>
    </row>
    <row r="59" spans="2:11" outlineLevel="1">
      <c r="B59" s="95">
        <f t="shared" si="1"/>
        <v>44501</v>
      </c>
      <c r="C59" s="92">
        <v>1081698.6142498106</v>
      </c>
      <c r="D59" s="88">
        <f>IF(F59&lt;&gt;0,VLOOKUP($J59,'Table 1'!$B$13:$C$33,2,FALSE)/12*1000*Study_MW,0)</f>
        <v>0</v>
      </c>
      <c r="E59" s="88">
        <f t="shared" si="15"/>
        <v>1081698.6142498106</v>
      </c>
      <c r="F59" s="92">
        <v>61200</v>
      </c>
      <c r="G59" s="93">
        <f t="shared" si="3"/>
        <v>17.674813958330237</v>
      </c>
      <c r="I59" s="94">
        <f t="shared" si="16"/>
        <v>50</v>
      </c>
      <c r="J59" s="90">
        <f t="shared" si="4"/>
        <v>2021</v>
      </c>
      <c r="K59" s="95">
        <f t="shared" si="17"/>
        <v>44501</v>
      </c>
    </row>
    <row r="60" spans="2:11" outlineLevel="1">
      <c r="B60" s="99">
        <f t="shared" si="1"/>
        <v>44531</v>
      </c>
      <c r="C60" s="96">
        <v>1269244.2356318533</v>
      </c>
      <c r="D60" s="97">
        <f>IF(F60&lt;&gt;0,VLOOKUP($J60,'Table 1'!$B$13:$C$33,2,FALSE)/12*1000*Study_MW,0)</f>
        <v>0</v>
      </c>
      <c r="E60" s="97">
        <f t="shared" si="15"/>
        <v>1269244.2356318533</v>
      </c>
      <c r="F60" s="96">
        <v>63240</v>
      </c>
      <c r="G60" s="98">
        <f t="shared" si="3"/>
        <v>20.070275705753531</v>
      </c>
      <c r="I60" s="81">
        <f t="shared" si="16"/>
        <v>51</v>
      </c>
      <c r="J60" s="90">
        <f t="shared" si="4"/>
        <v>2021</v>
      </c>
      <c r="K60" s="99">
        <f t="shared" si="17"/>
        <v>44531</v>
      </c>
    </row>
    <row r="61" spans="2:11" outlineLevel="1">
      <c r="B61" s="91">
        <f t="shared" si="1"/>
        <v>44562</v>
      </c>
      <c r="C61" s="86">
        <v>1367789.1106668413</v>
      </c>
      <c r="D61" s="87">
        <f>IF(F61&lt;&gt;0,VLOOKUP($J61,'Table 1'!$B$13:$C$33,2,FALSE)/12*1000*Study_MW,0)</f>
        <v>0</v>
      </c>
      <c r="E61" s="87">
        <f t="shared" si="15"/>
        <v>1367789.1106668413</v>
      </c>
      <c r="F61" s="86">
        <v>63240</v>
      </c>
      <c r="G61" s="89">
        <f t="shared" si="3"/>
        <v>21.628543811936137</v>
      </c>
      <c r="I61" s="77">
        <f>I49+13</f>
        <v>53</v>
      </c>
      <c r="J61" s="90">
        <f t="shared" si="4"/>
        <v>2022</v>
      </c>
      <c r="K61" s="91">
        <f t="shared" si="17"/>
        <v>44562</v>
      </c>
    </row>
    <row r="62" spans="2:11" outlineLevel="1">
      <c r="B62" s="95">
        <f t="shared" si="1"/>
        <v>44593</v>
      </c>
      <c r="C62" s="92">
        <v>1188351.3912486434</v>
      </c>
      <c r="D62" s="88">
        <f>IF(F62&lt;&gt;0,VLOOKUP($J62,'Table 1'!$B$13:$C$33,2,FALSE)/12*1000*Study_MW,0)</f>
        <v>0</v>
      </c>
      <c r="E62" s="88">
        <f t="shared" si="15"/>
        <v>1188351.3912486434</v>
      </c>
      <c r="F62" s="92">
        <v>57120</v>
      </c>
      <c r="G62" s="93">
        <f t="shared" si="3"/>
        <v>20.804471135305381</v>
      </c>
      <c r="I62" s="94">
        <f t="shared" si="16"/>
        <v>54</v>
      </c>
      <c r="J62" s="90">
        <f t="shared" si="4"/>
        <v>2022</v>
      </c>
      <c r="K62" s="95">
        <f t="shared" si="17"/>
        <v>44593</v>
      </c>
    </row>
    <row r="63" spans="2:11" outlineLevel="1">
      <c r="B63" s="95">
        <f t="shared" si="1"/>
        <v>44621</v>
      </c>
      <c r="C63" s="92">
        <v>1253337.964741677</v>
      </c>
      <c r="D63" s="88">
        <f>IF(F63&lt;&gt;0,VLOOKUP($J63,'Table 1'!$B$13:$C$33,2,FALSE)/12*1000*Study_MW,0)</f>
        <v>0</v>
      </c>
      <c r="E63" s="88">
        <f t="shared" si="15"/>
        <v>1253337.964741677</v>
      </c>
      <c r="F63" s="92">
        <v>63240</v>
      </c>
      <c r="G63" s="93">
        <f t="shared" si="3"/>
        <v>19.818753395662192</v>
      </c>
      <c r="I63" s="94">
        <f t="shared" si="16"/>
        <v>55</v>
      </c>
      <c r="J63" s="90">
        <f t="shared" si="4"/>
        <v>2022</v>
      </c>
      <c r="K63" s="95">
        <f t="shared" si="17"/>
        <v>44621</v>
      </c>
    </row>
    <row r="64" spans="2:11" outlineLevel="1">
      <c r="B64" s="95">
        <f t="shared" si="1"/>
        <v>44652</v>
      </c>
      <c r="C64" s="92">
        <v>1090363.5880489945</v>
      </c>
      <c r="D64" s="88">
        <f>IF(F64&lt;&gt;0,VLOOKUP($J64,'Table 1'!$B$13:$C$33,2,FALSE)/12*1000*Study_MW,0)</f>
        <v>0</v>
      </c>
      <c r="E64" s="88">
        <f t="shared" si="15"/>
        <v>1090363.5880489945</v>
      </c>
      <c r="F64" s="92">
        <v>61200</v>
      </c>
      <c r="G64" s="93">
        <f t="shared" si="3"/>
        <v>17.816398497532589</v>
      </c>
      <c r="I64" s="94">
        <f t="shared" si="16"/>
        <v>56</v>
      </c>
      <c r="J64" s="90">
        <f t="shared" si="4"/>
        <v>2022</v>
      </c>
      <c r="K64" s="95">
        <f t="shared" si="17"/>
        <v>44652</v>
      </c>
    </row>
    <row r="65" spans="2:11" outlineLevel="1">
      <c r="B65" s="95">
        <f t="shared" si="1"/>
        <v>44682</v>
      </c>
      <c r="C65" s="92">
        <v>1057842.592137292</v>
      </c>
      <c r="D65" s="88">
        <f>IF(F65&lt;&gt;0,VLOOKUP($J65,'Table 1'!$B$13:$C$33,2,FALSE)/12*1000*Study_MW,0)</f>
        <v>0</v>
      </c>
      <c r="E65" s="88">
        <f t="shared" si="15"/>
        <v>1057842.592137292</v>
      </c>
      <c r="F65" s="92">
        <v>63240</v>
      </c>
      <c r="G65" s="93">
        <f t="shared" si="3"/>
        <v>16.727428718173499</v>
      </c>
      <c r="I65" s="94">
        <f t="shared" si="16"/>
        <v>57</v>
      </c>
      <c r="J65" s="90">
        <f t="shared" si="4"/>
        <v>2022</v>
      </c>
      <c r="K65" s="95">
        <f t="shared" si="17"/>
        <v>44682</v>
      </c>
    </row>
    <row r="66" spans="2:11" outlineLevel="1">
      <c r="B66" s="95">
        <f t="shared" si="1"/>
        <v>44713</v>
      </c>
      <c r="C66" s="92">
        <v>1002319.9815176129</v>
      </c>
      <c r="D66" s="88">
        <f>IF(F66&lt;&gt;0,VLOOKUP($J66,'Table 1'!$B$13:$C$33,2,FALSE)/12*1000*Study_MW,0)</f>
        <v>0</v>
      </c>
      <c r="E66" s="88">
        <f t="shared" si="15"/>
        <v>1002319.9815176129</v>
      </c>
      <c r="F66" s="92">
        <v>61200</v>
      </c>
      <c r="G66" s="93">
        <f t="shared" si="3"/>
        <v>16.377777475777989</v>
      </c>
      <c r="I66" s="94">
        <f t="shared" si="16"/>
        <v>58</v>
      </c>
      <c r="J66" s="90">
        <f t="shared" si="4"/>
        <v>2022</v>
      </c>
      <c r="K66" s="95">
        <f t="shared" si="17"/>
        <v>44713</v>
      </c>
    </row>
    <row r="67" spans="2:11" outlineLevel="1">
      <c r="B67" s="95">
        <f t="shared" si="1"/>
        <v>44743</v>
      </c>
      <c r="C67" s="92">
        <v>1221177.4484676719</v>
      </c>
      <c r="D67" s="88">
        <f>IF(F67&lt;&gt;0,VLOOKUP($J67,'Table 1'!$B$13:$C$33,2,FALSE)/12*1000*Study_MW,0)</f>
        <v>0</v>
      </c>
      <c r="E67" s="88">
        <f t="shared" si="15"/>
        <v>1221177.4484676719</v>
      </c>
      <c r="F67" s="92">
        <v>63240</v>
      </c>
      <c r="G67" s="93">
        <f t="shared" si="3"/>
        <v>19.310206332505881</v>
      </c>
      <c r="I67" s="94">
        <f t="shared" si="16"/>
        <v>59</v>
      </c>
      <c r="J67" s="90">
        <f t="shared" si="4"/>
        <v>2022</v>
      </c>
      <c r="K67" s="95">
        <f t="shared" si="17"/>
        <v>44743</v>
      </c>
    </row>
    <row r="68" spans="2:11" outlineLevel="1">
      <c r="B68" s="95">
        <f t="shared" si="1"/>
        <v>44774</v>
      </c>
      <c r="C68" s="92">
        <v>1353911.3943576813</v>
      </c>
      <c r="D68" s="88">
        <f>IF(F68&lt;&gt;0,VLOOKUP($J68,'Table 1'!$B$13:$C$33,2,FALSE)/12*1000*Study_MW,0)</f>
        <v>0</v>
      </c>
      <c r="E68" s="88">
        <f t="shared" si="15"/>
        <v>1353911.3943576813</v>
      </c>
      <c r="F68" s="92">
        <v>63240</v>
      </c>
      <c r="G68" s="93">
        <f t="shared" si="3"/>
        <v>21.409098582506029</v>
      </c>
      <c r="I68" s="94">
        <f t="shared" si="16"/>
        <v>60</v>
      </c>
      <c r="J68" s="90">
        <f t="shared" si="4"/>
        <v>2022</v>
      </c>
      <c r="K68" s="95">
        <f t="shared" si="17"/>
        <v>44774</v>
      </c>
    </row>
    <row r="69" spans="2:11" outlineLevel="1">
      <c r="B69" s="95">
        <f t="shared" si="1"/>
        <v>44805</v>
      </c>
      <c r="C69" s="92">
        <v>1366057.3169084638</v>
      </c>
      <c r="D69" s="88">
        <f>IF(F69&lt;&gt;0,VLOOKUP($J69,'Table 1'!$B$13:$C$33,2,FALSE)/12*1000*Study_MW,0)</f>
        <v>0</v>
      </c>
      <c r="E69" s="88">
        <f t="shared" si="15"/>
        <v>1366057.3169084638</v>
      </c>
      <c r="F69" s="92">
        <v>61200</v>
      </c>
      <c r="G69" s="93">
        <f t="shared" si="3"/>
        <v>22.321197988700391</v>
      </c>
      <c r="I69" s="94">
        <f t="shared" si="16"/>
        <v>61</v>
      </c>
      <c r="J69" s="90">
        <f t="shared" si="4"/>
        <v>2022</v>
      </c>
      <c r="K69" s="95">
        <f t="shared" si="17"/>
        <v>44805</v>
      </c>
    </row>
    <row r="70" spans="2:11" outlineLevel="1">
      <c r="B70" s="95">
        <f t="shared" si="1"/>
        <v>44835</v>
      </c>
      <c r="C70" s="92">
        <v>1290860.7380595505</v>
      </c>
      <c r="D70" s="88">
        <f>IF(F70&lt;&gt;0,VLOOKUP($J70,'Table 1'!$B$13:$C$33,2,FALSE)/12*1000*Study_MW,0)</f>
        <v>0</v>
      </c>
      <c r="E70" s="88">
        <f t="shared" si="15"/>
        <v>1290860.7380595505</v>
      </c>
      <c r="F70" s="92">
        <v>63240</v>
      </c>
      <c r="G70" s="93">
        <f t="shared" si="3"/>
        <v>20.412092632187704</v>
      </c>
      <c r="I70" s="94">
        <f t="shared" si="16"/>
        <v>62</v>
      </c>
      <c r="J70" s="90">
        <f t="shared" si="4"/>
        <v>2022</v>
      </c>
      <c r="K70" s="95">
        <f t="shared" si="17"/>
        <v>44835</v>
      </c>
    </row>
    <row r="71" spans="2:11" outlineLevel="1">
      <c r="B71" s="95">
        <f t="shared" si="1"/>
        <v>44866</v>
      </c>
      <c r="C71" s="92">
        <v>1251856.1770227402</v>
      </c>
      <c r="D71" s="88">
        <f>IF(F71&lt;&gt;0,VLOOKUP($J71,'Table 1'!$B$13:$C$33,2,FALSE)/12*1000*Study_MW,0)</f>
        <v>0</v>
      </c>
      <c r="E71" s="88">
        <f t="shared" si="15"/>
        <v>1251856.1770227402</v>
      </c>
      <c r="F71" s="92">
        <v>61200</v>
      </c>
      <c r="G71" s="93">
        <f t="shared" si="3"/>
        <v>20.455166291221246</v>
      </c>
      <c r="I71" s="94">
        <f t="shared" si="16"/>
        <v>63</v>
      </c>
      <c r="J71" s="90">
        <f t="shared" si="4"/>
        <v>2022</v>
      </c>
      <c r="K71" s="95">
        <f t="shared" si="17"/>
        <v>44866</v>
      </c>
    </row>
    <row r="72" spans="2:11" outlineLevel="1">
      <c r="B72" s="99">
        <f t="shared" si="1"/>
        <v>44896</v>
      </c>
      <c r="C72" s="96">
        <v>1279729.0624655336</v>
      </c>
      <c r="D72" s="97">
        <f>IF(F72&lt;&gt;0,VLOOKUP($J72,'Table 1'!$B$13:$C$33,2,FALSE)/12*1000*Study_MW,0)</f>
        <v>0</v>
      </c>
      <c r="E72" s="97">
        <f t="shared" si="15"/>
        <v>1279729.0624655336</v>
      </c>
      <c r="F72" s="96">
        <v>63240</v>
      </c>
      <c r="G72" s="98">
        <f t="shared" si="3"/>
        <v>20.236069931460051</v>
      </c>
      <c r="I72" s="81">
        <f t="shared" si="16"/>
        <v>64</v>
      </c>
      <c r="J72" s="90">
        <f t="shared" si="4"/>
        <v>2022</v>
      </c>
      <c r="K72" s="99">
        <f t="shared" si="17"/>
        <v>44896</v>
      </c>
    </row>
    <row r="73" spans="2:11" outlineLevel="1">
      <c r="B73" s="91">
        <f t="shared" si="1"/>
        <v>44927</v>
      </c>
      <c r="C73" s="86">
        <v>1221993.745033741</v>
      </c>
      <c r="D73" s="87">
        <f>IF(F73&lt;&gt;0,VLOOKUP($J73,'Table 1'!$B$13:$C$33,2,FALSE)/12*1000*Study_MW,0)</f>
        <v>0</v>
      </c>
      <c r="E73" s="87">
        <f t="shared" si="15"/>
        <v>1221993.745033741</v>
      </c>
      <c r="F73" s="86">
        <v>63240</v>
      </c>
      <c r="G73" s="89">
        <f t="shared" si="3"/>
        <v>19.323114247845368</v>
      </c>
      <c r="I73" s="77">
        <f>I61+13</f>
        <v>66</v>
      </c>
      <c r="J73" s="90">
        <f t="shared" si="4"/>
        <v>2023</v>
      </c>
      <c r="K73" s="91">
        <f t="shared" si="17"/>
        <v>44927</v>
      </c>
    </row>
    <row r="74" spans="2:11" outlineLevel="1">
      <c r="B74" s="95">
        <f t="shared" si="1"/>
        <v>44958</v>
      </c>
      <c r="C74" s="92">
        <v>1182382.1722728908</v>
      </c>
      <c r="D74" s="88">
        <f>IF(F74&lt;&gt;0,VLOOKUP($J74,'Table 1'!$B$13:$C$33,2,FALSE)/12*1000*Study_MW,0)</f>
        <v>0</v>
      </c>
      <c r="E74" s="88">
        <f t="shared" si="15"/>
        <v>1182382.1722728908</v>
      </c>
      <c r="F74" s="92">
        <v>57120</v>
      </c>
      <c r="G74" s="93">
        <f t="shared" si="3"/>
        <v>20.69996800197638</v>
      </c>
      <c r="I74" s="94">
        <f t="shared" si="16"/>
        <v>67</v>
      </c>
      <c r="J74" s="90">
        <f t="shared" si="4"/>
        <v>2023</v>
      </c>
      <c r="K74" s="95">
        <f t="shared" si="17"/>
        <v>44958</v>
      </c>
    </row>
    <row r="75" spans="2:11" outlineLevel="1">
      <c r="B75" s="95">
        <f t="shared" si="1"/>
        <v>44986</v>
      </c>
      <c r="C75" s="92">
        <v>1287491.1512596905</v>
      </c>
      <c r="D75" s="88">
        <f>IF(F75&lt;&gt;0,VLOOKUP($J75,'Table 1'!$B$13:$C$33,2,FALSE)/12*1000*Study_MW,0)</f>
        <v>0</v>
      </c>
      <c r="E75" s="88">
        <f t="shared" si="15"/>
        <v>1287491.1512596905</v>
      </c>
      <c r="F75" s="92">
        <v>63240</v>
      </c>
      <c r="G75" s="93">
        <f t="shared" si="3"/>
        <v>20.358810108470756</v>
      </c>
      <c r="I75" s="94">
        <f t="shared" si="16"/>
        <v>68</v>
      </c>
      <c r="J75" s="90">
        <f t="shared" si="4"/>
        <v>2023</v>
      </c>
      <c r="K75" s="95">
        <f t="shared" si="17"/>
        <v>44986</v>
      </c>
    </row>
    <row r="76" spans="2:11" outlineLevel="1">
      <c r="B76" s="95">
        <f t="shared" si="1"/>
        <v>45017</v>
      </c>
      <c r="C76" s="92">
        <v>1116042.839162305</v>
      </c>
      <c r="D76" s="88">
        <f>IF(F76&lt;&gt;0,VLOOKUP($J76,'Table 1'!$B$13:$C$33,2,FALSE)/12*1000*Study_MW,0)</f>
        <v>0</v>
      </c>
      <c r="E76" s="88">
        <f t="shared" si="15"/>
        <v>1116042.839162305</v>
      </c>
      <c r="F76" s="92">
        <v>61200</v>
      </c>
      <c r="G76" s="93">
        <f t="shared" si="3"/>
        <v>18.235994103959232</v>
      </c>
      <c r="I76" s="94">
        <f t="shared" si="16"/>
        <v>69</v>
      </c>
      <c r="J76" s="90">
        <f t="shared" si="4"/>
        <v>2023</v>
      </c>
      <c r="K76" s="95">
        <f t="shared" si="17"/>
        <v>45017</v>
      </c>
    </row>
    <row r="77" spans="2:11" outlineLevel="1">
      <c r="B77" s="95">
        <f t="shared" si="1"/>
        <v>45047</v>
      </c>
      <c r="C77" s="92">
        <v>1088130.4033459276</v>
      </c>
      <c r="D77" s="88">
        <f>IF(F77&lt;&gt;0,VLOOKUP($J77,'Table 1'!$B$13:$C$33,2,FALSE)/12*1000*Study_MW,0)</f>
        <v>0</v>
      </c>
      <c r="E77" s="88">
        <f t="shared" si="15"/>
        <v>1088130.4033459276</v>
      </c>
      <c r="F77" s="92">
        <v>63240</v>
      </c>
      <c r="G77" s="93">
        <f t="shared" si="3"/>
        <v>17.206363114261979</v>
      </c>
      <c r="I77" s="94">
        <f t="shared" si="16"/>
        <v>70</v>
      </c>
      <c r="J77" s="90">
        <f t="shared" si="4"/>
        <v>2023</v>
      </c>
      <c r="K77" s="95">
        <f t="shared" si="17"/>
        <v>45047</v>
      </c>
    </row>
    <row r="78" spans="2:11" outlineLevel="1">
      <c r="B78" s="95">
        <f t="shared" ref="B78:B141" si="31">EDATE(B77,1)</f>
        <v>45078</v>
      </c>
      <c r="C78" s="92">
        <v>1010553.1417423636</v>
      </c>
      <c r="D78" s="88">
        <f>IF(F78&lt;&gt;0,VLOOKUP($J78,'Table 1'!$B$13:$C$33,2,FALSE)/12*1000*Study_MW,0)</f>
        <v>0</v>
      </c>
      <c r="E78" s="88">
        <f t="shared" ref="E78:E141" si="32">C78+D78</f>
        <v>1010553.1417423636</v>
      </c>
      <c r="F78" s="92">
        <v>61200</v>
      </c>
      <c r="G78" s="93">
        <f t="shared" ref="G78:G141" si="33">IF(ISNUMBER($F78),E78/$F78,"")</f>
        <v>16.512306237620319</v>
      </c>
      <c r="I78" s="94">
        <f t="shared" si="16"/>
        <v>71</v>
      </c>
      <c r="J78" s="90">
        <f t="shared" ref="J78:J141" si="34">YEAR(B78)</f>
        <v>2023</v>
      </c>
      <c r="K78" s="95">
        <f t="shared" si="17"/>
        <v>45078</v>
      </c>
    </row>
    <row r="79" spans="2:11" outlineLevel="1">
      <c r="B79" s="95">
        <f t="shared" si="31"/>
        <v>45108</v>
      </c>
      <c r="C79" s="92">
        <v>1293777.7469247282</v>
      </c>
      <c r="D79" s="88">
        <f>IF(F79&lt;&gt;0,VLOOKUP($J79,'Table 1'!$B$13:$C$33,2,FALSE)/12*1000*Study_MW,0)</f>
        <v>0</v>
      </c>
      <c r="E79" s="88">
        <f t="shared" si="32"/>
        <v>1293777.7469247282</v>
      </c>
      <c r="F79" s="92">
        <v>63240</v>
      </c>
      <c r="G79" s="93">
        <f t="shared" si="33"/>
        <v>20.458218642073501</v>
      </c>
      <c r="I79" s="94">
        <f t="shared" si="16"/>
        <v>72</v>
      </c>
      <c r="J79" s="90">
        <f t="shared" si="34"/>
        <v>2023</v>
      </c>
      <c r="K79" s="95">
        <f t="shared" si="17"/>
        <v>45108</v>
      </c>
    </row>
    <row r="80" spans="2:11" outlineLevel="1">
      <c r="B80" s="95">
        <f t="shared" si="31"/>
        <v>45139</v>
      </c>
      <c r="C80" s="92">
        <v>1440602.4943694472</v>
      </c>
      <c r="D80" s="88">
        <f>IF(F80&lt;&gt;0,VLOOKUP($J80,'Table 1'!$B$13:$C$33,2,FALSE)/12*1000*Study_MW,0)</f>
        <v>0</v>
      </c>
      <c r="E80" s="88">
        <f t="shared" si="32"/>
        <v>1440602.4943694472</v>
      </c>
      <c r="F80" s="92">
        <v>63240</v>
      </c>
      <c r="G80" s="93">
        <f t="shared" si="33"/>
        <v>22.779925590914726</v>
      </c>
      <c r="I80" s="94">
        <f t="shared" si="16"/>
        <v>73</v>
      </c>
      <c r="J80" s="90">
        <f t="shared" si="34"/>
        <v>2023</v>
      </c>
      <c r="K80" s="95">
        <f t="shared" si="17"/>
        <v>45139</v>
      </c>
    </row>
    <row r="81" spans="2:11" outlineLevel="1">
      <c r="B81" s="95">
        <f t="shared" si="31"/>
        <v>45170</v>
      </c>
      <c r="C81" s="92">
        <v>1436080.4301761985</v>
      </c>
      <c r="D81" s="88">
        <f>IF(F81&lt;&gt;0,VLOOKUP($J81,'Table 1'!$B$13:$C$33,2,FALSE)/12*1000*Study_MW,0)</f>
        <v>0</v>
      </c>
      <c r="E81" s="88">
        <f t="shared" si="32"/>
        <v>1436080.4301761985</v>
      </c>
      <c r="F81" s="92">
        <v>61200</v>
      </c>
      <c r="G81" s="93">
        <f t="shared" si="33"/>
        <v>23.465366506147035</v>
      </c>
      <c r="I81" s="94">
        <f t="shared" si="16"/>
        <v>74</v>
      </c>
      <c r="J81" s="90">
        <f t="shared" si="34"/>
        <v>2023</v>
      </c>
      <c r="K81" s="95">
        <f t="shared" si="17"/>
        <v>45170</v>
      </c>
    </row>
    <row r="82" spans="2:11" outlineLevel="1">
      <c r="B82" s="95">
        <f t="shared" si="31"/>
        <v>45200</v>
      </c>
      <c r="C82" s="92">
        <v>1323323.5153676122</v>
      </c>
      <c r="D82" s="88">
        <f>IF(F82&lt;&gt;0,VLOOKUP($J82,'Table 1'!$B$13:$C$33,2,FALSE)/12*1000*Study_MW,0)</f>
        <v>0</v>
      </c>
      <c r="E82" s="88">
        <f t="shared" si="32"/>
        <v>1323323.5153676122</v>
      </c>
      <c r="F82" s="92">
        <v>63240</v>
      </c>
      <c r="G82" s="93">
        <f t="shared" si="33"/>
        <v>20.925419281587796</v>
      </c>
      <c r="I82" s="94">
        <f t="shared" si="16"/>
        <v>75</v>
      </c>
      <c r="J82" s="90">
        <f t="shared" si="34"/>
        <v>2023</v>
      </c>
      <c r="K82" s="95">
        <f t="shared" si="17"/>
        <v>45200</v>
      </c>
    </row>
    <row r="83" spans="2:11" outlineLevel="1">
      <c r="B83" s="95">
        <f t="shared" si="31"/>
        <v>45231</v>
      </c>
      <c r="C83" s="92">
        <v>1207640.3776335716</v>
      </c>
      <c r="D83" s="88">
        <f>IF(F83&lt;&gt;0,VLOOKUP($J83,'Table 1'!$B$13:$C$33,2,FALSE)/12*1000*Study_MW,0)</f>
        <v>0</v>
      </c>
      <c r="E83" s="88">
        <f t="shared" si="32"/>
        <v>1207640.3776335716</v>
      </c>
      <c r="F83" s="92">
        <v>61200</v>
      </c>
      <c r="G83" s="93">
        <f t="shared" si="33"/>
        <v>19.732685909045287</v>
      </c>
      <c r="I83" s="94">
        <f t="shared" si="16"/>
        <v>76</v>
      </c>
      <c r="J83" s="90">
        <f t="shared" si="34"/>
        <v>2023</v>
      </c>
      <c r="K83" s="95">
        <f t="shared" si="17"/>
        <v>45231</v>
      </c>
    </row>
    <row r="84" spans="2:11" outlineLevel="1">
      <c r="B84" s="99">
        <f t="shared" si="31"/>
        <v>45261</v>
      </c>
      <c r="C84" s="96">
        <v>1296800.3762525916</v>
      </c>
      <c r="D84" s="97">
        <f>IF(F84&lt;&gt;0,VLOOKUP($J84,'Table 1'!$B$13:$C$33,2,FALSE)/12*1000*Study_MW,0)</f>
        <v>0</v>
      </c>
      <c r="E84" s="97">
        <f t="shared" si="32"/>
        <v>1296800.3762525916</v>
      </c>
      <c r="F84" s="96">
        <v>63240</v>
      </c>
      <c r="G84" s="98">
        <f t="shared" si="33"/>
        <v>20.506014804753189</v>
      </c>
      <c r="I84" s="81">
        <f t="shared" si="16"/>
        <v>77</v>
      </c>
      <c r="J84" s="90">
        <f t="shared" si="34"/>
        <v>2023</v>
      </c>
      <c r="K84" s="99">
        <f t="shared" si="17"/>
        <v>45261</v>
      </c>
    </row>
    <row r="85" spans="2:11" outlineLevel="1">
      <c r="B85" s="91">
        <f t="shared" si="31"/>
        <v>45292</v>
      </c>
      <c r="C85" s="86">
        <v>1266660.4129897952</v>
      </c>
      <c r="D85" s="87">
        <f>IF(F85&lt;&gt;0,VLOOKUP($J85,'Table 1'!$B$13:$C$33,2,FALSE)/12*1000*Study_MW,0)</f>
        <v>0</v>
      </c>
      <c r="E85" s="87">
        <f t="shared" si="32"/>
        <v>1266660.4129897952</v>
      </c>
      <c r="F85" s="86">
        <v>63240</v>
      </c>
      <c r="G85" s="89">
        <f t="shared" si="33"/>
        <v>20.029418295221301</v>
      </c>
      <c r="I85" s="77">
        <f>I73+13</f>
        <v>79</v>
      </c>
      <c r="J85" s="90">
        <f t="shared" si="34"/>
        <v>2024</v>
      </c>
      <c r="K85" s="91">
        <f t="shared" si="17"/>
        <v>45292</v>
      </c>
    </row>
    <row r="86" spans="2:11" outlineLevel="1">
      <c r="B86" s="95">
        <f t="shared" si="31"/>
        <v>45323</v>
      </c>
      <c r="C86" s="92">
        <v>1373484.3211669922</v>
      </c>
      <c r="D86" s="88">
        <f>IF(F86&lt;&gt;0,VLOOKUP($J86,'Table 1'!$B$13:$C$33,2,FALSE)/12*1000*Study_MW,0)</f>
        <v>0</v>
      </c>
      <c r="E86" s="88">
        <f t="shared" si="32"/>
        <v>1373484.3211669922</v>
      </c>
      <c r="F86" s="92">
        <v>59160</v>
      </c>
      <c r="G86" s="93">
        <f t="shared" si="33"/>
        <v>23.216435449070186</v>
      </c>
      <c r="I86" s="94">
        <f t="shared" si="16"/>
        <v>80</v>
      </c>
      <c r="J86" s="90">
        <f t="shared" si="34"/>
        <v>2024</v>
      </c>
      <c r="K86" s="95">
        <f t="shared" si="17"/>
        <v>45323</v>
      </c>
    </row>
    <row r="87" spans="2:11" outlineLevel="1">
      <c r="B87" s="95">
        <f t="shared" si="31"/>
        <v>45352</v>
      </c>
      <c r="C87" s="92">
        <v>1467414.8497686833</v>
      </c>
      <c r="D87" s="88">
        <f>IF(F87&lt;&gt;0,VLOOKUP($J87,'Table 1'!$B$13:$C$33,2,FALSE)/12*1000*Study_MW,0)</f>
        <v>0</v>
      </c>
      <c r="E87" s="88">
        <f t="shared" si="32"/>
        <v>1467414.8497686833</v>
      </c>
      <c r="F87" s="92">
        <v>63240</v>
      </c>
      <c r="G87" s="93">
        <f t="shared" si="33"/>
        <v>23.203903380276461</v>
      </c>
      <c r="I87" s="94">
        <f t="shared" si="16"/>
        <v>81</v>
      </c>
      <c r="J87" s="90">
        <f t="shared" si="34"/>
        <v>2024</v>
      </c>
      <c r="K87" s="95">
        <f t="shared" si="17"/>
        <v>45352</v>
      </c>
    </row>
    <row r="88" spans="2:11" outlineLevel="1">
      <c r="B88" s="95">
        <f t="shared" si="31"/>
        <v>45383</v>
      </c>
      <c r="C88" s="92">
        <v>1270215.7053024769</v>
      </c>
      <c r="D88" s="88">
        <f>IF(F88&lt;&gt;0,VLOOKUP($J88,'Table 1'!$B$13:$C$33,2,FALSE)/12*1000*Study_MW,0)</f>
        <v>0</v>
      </c>
      <c r="E88" s="88">
        <f t="shared" si="32"/>
        <v>1270215.7053024769</v>
      </c>
      <c r="F88" s="92">
        <v>61200</v>
      </c>
      <c r="G88" s="93">
        <f t="shared" si="33"/>
        <v>20.755158583373806</v>
      </c>
      <c r="I88" s="94">
        <f t="shared" si="16"/>
        <v>82</v>
      </c>
      <c r="J88" s="90">
        <f t="shared" si="34"/>
        <v>2024</v>
      </c>
      <c r="K88" s="95">
        <f t="shared" si="17"/>
        <v>45383</v>
      </c>
    </row>
    <row r="89" spans="2:11" outlineLevel="1">
      <c r="B89" s="95">
        <f t="shared" si="31"/>
        <v>45413</v>
      </c>
      <c r="C89" s="92">
        <v>1271931.8639228046</v>
      </c>
      <c r="D89" s="88">
        <f>IF(F89&lt;&gt;0,VLOOKUP($J89,'Table 1'!$B$13:$C$33,2,FALSE)/12*1000*Study_MW,0)</f>
        <v>0</v>
      </c>
      <c r="E89" s="88">
        <f t="shared" si="32"/>
        <v>1271931.8639228046</v>
      </c>
      <c r="F89" s="92">
        <v>63240</v>
      </c>
      <c r="G89" s="93">
        <f t="shared" si="33"/>
        <v>20.112774571834354</v>
      </c>
      <c r="I89" s="94">
        <f t="shared" si="16"/>
        <v>83</v>
      </c>
      <c r="J89" s="90">
        <f t="shared" si="34"/>
        <v>2024</v>
      </c>
      <c r="K89" s="95">
        <f t="shared" si="17"/>
        <v>45413</v>
      </c>
    </row>
    <row r="90" spans="2:11" outlineLevel="1">
      <c r="B90" s="95">
        <f t="shared" si="31"/>
        <v>45444</v>
      </c>
      <c r="C90" s="92">
        <v>1229354.9803699553</v>
      </c>
      <c r="D90" s="88">
        <f>IF(F90&lt;&gt;0,VLOOKUP($J90,'Table 1'!$B$13:$C$33,2,FALSE)/12*1000*Study_MW,0)</f>
        <v>0</v>
      </c>
      <c r="E90" s="88">
        <f t="shared" si="32"/>
        <v>1229354.9803699553</v>
      </c>
      <c r="F90" s="92">
        <v>61200</v>
      </c>
      <c r="G90" s="93">
        <f t="shared" si="33"/>
        <v>20.087499679247635</v>
      </c>
      <c r="I90" s="94">
        <f t="shared" ref="I90:I96" si="35">I78+13</f>
        <v>84</v>
      </c>
      <c r="J90" s="90">
        <f t="shared" si="34"/>
        <v>2024</v>
      </c>
      <c r="K90" s="95">
        <f t="shared" ref="K90:K153" si="36">IF(ISNUMBER(F90),IF(F90&lt;&gt;0,B90,""),"")</f>
        <v>45444</v>
      </c>
    </row>
    <row r="91" spans="2:11" outlineLevel="1">
      <c r="B91" s="95">
        <f t="shared" si="31"/>
        <v>45474</v>
      </c>
      <c r="C91" s="92">
        <v>1397068.0266820192</v>
      </c>
      <c r="D91" s="88">
        <f>IF(F91&lt;&gt;0,VLOOKUP($J91,'Table 1'!$B$13:$C$33,2,FALSE)/12*1000*Study_MW,0)</f>
        <v>0</v>
      </c>
      <c r="E91" s="88">
        <f t="shared" si="32"/>
        <v>1397068.0266820192</v>
      </c>
      <c r="F91" s="92">
        <v>63240</v>
      </c>
      <c r="G91" s="93">
        <f t="shared" si="33"/>
        <v>22.091524773592965</v>
      </c>
      <c r="I91" s="94">
        <f t="shared" si="35"/>
        <v>85</v>
      </c>
      <c r="J91" s="90">
        <f t="shared" si="34"/>
        <v>2024</v>
      </c>
      <c r="K91" s="95">
        <f t="shared" si="36"/>
        <v>45474</v>
      </c>
    </row>
    <row r="92" spans="2:11" outlineLevel="1">
      <c r="B92" s="95">
        <f t="shared" si="31"/>
        <v>45505</v>
      </c>
      <c r="C92" s="92">
        <v>1565711.2421636879</v>
      </c>
      <c r="D92" s="88">
        <f>IF(F92&lt;&gt;0,VLOOKUP($J92,'Table 1'!$B$13:$C$33,2,FALSE)/12*1000*Study_MW,0)</f>
        <v>0</v>
      </c>
      <c r="E92" s="88">
        <f t="shared" si="32"/>
        <v>1565711.2421636879</v>
      </c>
      <c r="F92" s="92">
        <v>63240</v>
      </c>
      <c r="G92" s="93">
        <f t="shared" si="33"/>
        <v>24.758242285953319</v>
      </c>
      <c r="I92" s="94">
        <f t="shared" si="35"/>
        <v>86</v>
      </c>
      <c r="J92" s="90">
        <f t="shared" si="34"/>
        <v>2024</v>
      </c>
      <c r="K92" s="95">
        <f t="shared" si="36"/>
        <v>45505</v>
      </c>
    </row>
    <row r="93" spans="2:11" outlineLevel="1">
      <c r="B93" s="95">
        <f t="shared" si="31"/>
        <v>45536</v>
      </c>
      <c r="C93" s="92">
        <v>1562571.5800642669</v>
      </c>
      <c r="D93" s="88">
        <f>IF(F93&lt;&gt;0,VLOOKUP($J93,'Table 1'!$B$13:$C$33,2,FALSE)/12*1000*Study_MW,0)</f>
        <v>0</v>
      </c>
      <c r="E93" s="88">
        <f t="shared" si="32"/>
        <v>1562571.5800642669</v>
      </c>
      <c r="F93" s="92">
        <v>61200</v>
      </c>
      <c r="G93" s="93">
        <f t="shared" si="33"/>
        <v>25.532215360527236</v>
      </c>
      <c r="I93" s="94">
        <f t="shared" si="35"/>
        <v>87</v>
      </c>
      <c r="J93" s="90">
        <f t="shared" si="34"/>
        <v>2024</v>
      </c>
      <c r="K93" s="95">
        <f t="shared" si="36"/>
        <v>45536</v>
      </c>
    </row>
    <row r="94" spans="2:11" outlineLevel="1">
      <c r="B94" s="95">
        <f t="shared" si="31"/>
        <v>45566</v>
      </c>
      <c r="C94" s="92">
        <v>1443701.7276822925</v>
      </c>
      <c r="D94" s="88">
        <f>IF(F94&lt;&gt;0,VLOOKUP($J94,'Table 1'!$B$13:$C$33,2,FALSE)/12*1000*Study_MW,0)</f>
        <v>0</v>
      </c>
      <c r="E94" s="88">
        <f t="shared" si="32"/>
        <v>1443701.7276822925</v>
      </c>
      <c r="F94" s="92">
        <v>63240</v>
      </c>
      <c r="G94" s="93">
        <f t="shared" si="33"/>
        <v>22.828933075305066</v>
      </c>
      <c r="I94" s="94">
        <f t="shared" si="35"/>
        <v>88</v>
      </c>
      <c r="J94" s="90">
        <f t="shared" si="34"/>
        <v>2024</v>
      </c>
      <c r="K94" s="95">
        <f t="shared" si="36"/>
        <v>45566</v>
      </c>
    </row>
    <row r="95" spans="2:11" outlineLevel="1">
      <c r="B95" s="95">
        <f t="shared" si="31"/>
        <v>45597</v>
      </c>
      <c r="C95" s="92">
        <v>1353013.8119692802</v>
      </c>
      <c r="D95" s="88">
        <f>IF(F95&lt;&gt;0,VLOOKUP($J95,'Table 1'!$B$13:$C$33,2,FALSE)/12*1000*Study_MW,0)</f>
        <v>0</v>
      </c>
      <c r="E95" s="88">
        <f t="shared" si="32"/>
        <v>1353013.8119692802</v>
      </c>
      <c r="F95" s="92">
        <v>61200</v>
      </c>
      <c r="G95" s="93">
        <f t="shared" si="33"/>
        <v>22.108068823027455</v>
      </c>
      <c r="I95" s="94">
        <f t="shared" si="35"/>
        <v>89</v>
      </c>
      <c r="J95" s="90">
        <f t="shared" si="34"/>
        <v>2024</v>
      </c>
      <c r="K95" s="95">
        <f t="shared" si="36"/>
        <v>45597</v>
      </c>
    </row>
    <row r="96" spans="2:11" outlineLevel="1">
      <c r="B96" s="99">
        <f t="shared" si="31"/>
        <v>45627</v>
      </c>
      <c r="C96" s="96">
        <v>1515669.5924946368</v>
      </c>
      <c r="D96" s="97">
        <f>IF(F96&lt;&gt;0,VLOOKUP($J96,'Table 1'!$B$13:$C$33,2,FALSE)/12*1000*Study_MW,0)</f>
        <v>0</v>
      </c>
      <c r="E96" s="97">
        <f t="shared" si="32"/>
        <v>1515669.5924946368</v>
      </c>
      <c r="F96" s="96">
        <v>63240</v>
      </c>
      <c r="G96" s="98">
        <f t="shared" si="33"/>
        <v>23.966944852856368</v>
      </c>
      <c r="I96" s="81">
        <f t="shared" si="35"/>
        <v>90</v>
      </c>
      <c r="J96" s="90">
        <f t="shared" si="34"/>
        <v>2024</v>
      </c>
      <c r="K96" s="99">
        <f t="shared" si="36"/>
        <v>45627</v>
      </c>
    </row>
    <row r="97" spans="2:11" outlineLevel="1">
      <c r="B97" s="91">
        <f t="shared" si="31"/>
        <v>45658</v>
      </c>
      <c r="C97" s="86">
        <v>1520970.2403453588</v>
      </c>
      <c r="D97" s="87">
        <f>IF(F97&lt;&gt;0,VLOOKUP($J97,'Table 1'!$B$13:$C$33,2,FALSE)/12*1000*Study_MW,0)</f>
        <v>0</v>
      </c>
      <c r="E97" s="87">
        <f t="shared" si="32"/>
        <v>1520970.2403453588</v>
      </c>
      <c r="F97" s="86">
        <v>63240</v>
      </c>
      <c r="G97" s="89">
        <f t="shared" si="33"/>
        <v>24.050762813810227</v>
      </c>
      <c r="I97" s="77">
        <f>I85+13</f>
        <v>92</v>
      </c>
      <c r="J97" s="90">
        <f t="shared" si="34"/>
        <v>2025</v>
      </c>
      <c r="K97" s="91">
        <f t="shared" si="36"/>
        <v>45658</v>
      </c>
    </row>
    <row r="98" spans="2:11" outlineLevel="1">
      <c r="B98" s="95">
        <f t="shared" si="31"/>
        <v>45689</v>
      </c>
      <c r="C98" s="92">
        <v>1403215.0318987221</v>
      </c>
      <c r="D98" s="88">
        <f>IF(F98&lt;&gt;0,VLOOKUP($J98,'Table 1'!$B$13:$C$33,2,FALSE)/12*1000*Study_MW,0)</f>
        <v>0</v>
      </c>
      <c r="E98" s="88">
        <f t="shared" si="32"/>
        <v>1403215.0318987221</v>
      </c>
      <c r="F98" s="92">
        <v>57120</v>
      </c>
      <c r="G98" s="93">
        <f t="shared" si="33"/>
        <v>24.566089494025245</v>
      </c>
      <c r="I98" s="94">
        <f t="shared" ref="I98:I120" si="37">I86+13</f>
        <v>93</v>
      </c>
      <c r="J98" s="90">
        <f t="shared" si="34"/>
        <v>2025</v>
      </c>
      <c r="K98" s="95">
        <f t="shared" si="36"/>
        <v>45689</v>
      </c>
    </row>
    <row r="99" spans="2:11" outlineLevel="1">
      <c r="B99" s="95">
        <f t="shared" si="31"/>
        <v>45717</v>
      </c>
      <c r="C99" s="92">
        <v>1543640.1280809939</v>
      </c>
      <c r="D99" s="88">
        <f>IF(F99&lt;&gt;0,VLOOKUP($J99,'Table 1'!$B$13:$C$33,2,FALSE)/12*1000*Study_MW,0)</f>
        <v>0</v>
      </c>
      <c r="E99" s="88">
        <f t="shared" si="32"/>
        <v>1543640.1280809939</v>
      </c>
      <c r="F99" s="92">
        <v>63240</v>
      </c>
      <c r="G99" s="93">
        <f t="shared" si="33"/>
        <v>24.409236686922736</v>
      </c>
      <c r="I99" s="94">
        <f t="shared" si="37"/>
        <v>94</v>
      </c>
      <c r="J99" s="90">
        <f t="shared" si="34"/>
        <v>2025</v>
      </c>
      <c r="K99" s="95">
        <f t="shared" si="36"/>
        <v>45717</v>
      </c>
    </row>
    <row r="100" spans="2:11" outlineLevel="1">
      <c r="B100" s="95">
        <f t="shared" si="31"/>
        <v>45748</v>
      </c>
      <c r="C100" s="92">
        <v>1560248.2274076343</v>
      </c>
      <c r="D100" s="88">
        <f>IF(F100&lt;&gt;0,VLOOKUP($J100,'Table 1'!$B$13:$C$33,2,FALSE)/12*1000*Study_MW,0)</f>
        <v>0</v>
      </c>
      <c r="E100" s="88">
        <f t="shared" si="32"/>
        <v>1560248.2274076343</v>
      </c>
      <c r="F100" s="92">
        <v>61200</v>
      </c>
      <c r="G100" s="93">
        <f t="shared" si="33"/>
        <v>25.49425208182409</v>
      </c>
      <c r="I100" s="94">
        <f t="shared" si="37"/>
        <v>95</v>
      </c>
      <c r="J100" s="90">
        <f t="shared" si="34"/>
        <v>2025</v>
      </c>
      <c r="K100" s="95">
        <f t="shared" si="36"/>
        <v>45748</v>
      </c>
    </row>
    <row r="101" spans="2:11" outlineLevel="1">
      <c r="B101" s="95">
        <f t="shared" si="31"/>
        <v>45778</v>
      </c>
      <c r="C101" s="92">
        <v>1362246.2904909104</v>
      </c>
      <c r="D101" s="88">
        <f>IF(F101&lt;&gt;0,VLOOKUP($J101,'Table 1'!$B$13:$C$33,2,FALSE)/12*1000*Study_MW,0)</f>
        <v>0</v>
      </c>
      <c r="E101" s="88">
        <f t="shared" si="32"/>
        <v>1362246.2904909104</v>
      </c>
      <c r="F101" s="92">
        <v>63240</v>
      </c>
      <c r="G101" s="93">
        <f t="shared" si="33"/>
        <v>21.540896434075115</v>
      </c>
      <c r="I101" s="94">
        <f t="shared" si="37"/>
        <v>96</v>
      </c>
      <c r="J101" s="90">
        <f t="shared" si="34"/>
        <v>2025</v>
      </c>
      <c r="K101" s="95">
        <f t="shared" si="36"/>
        <v>45778</v>
      </c>
    </row>
    <row r="102" spans="2:11" outlineLevel="1">
      <c r="B102" s="95">
        <f t="shared" si="31"/>
        <v>45809</v>
      </c>
      <c r="C102" s="92">
        <v>1429793.6588996351</v>
      </c>
      <c r="D102" s="88">
        <f>IF(F102&lt;&gt;0,VLOOKUP($J102,'Table 1'!$B$13:$C$33,2,FALSE)/12*1000*Study_MW,0)</f>
        <v>0</v>
      </c>
      <c r="E102" s="88">
        <f t="shared" si="32"/>
        <v>1429793.6588996351</v>
      </c>
      <c r="F102" s="92">
        <v>61200</v>
      </c>
      <c r="G102" s="93">
        <f t="shared" si="33"/>
        <v>23.362641485288155</v>
      </c>
      <c r="I102" s="94">
        <f t="shared" si="37"/>
        <v>97</v>
      </c>
      <c r="J102" s="90">
        <f t="shared" si="34"/>
        <v>2025</v>
      </c>
      <c r="K102" s="95">
        <f t="shared" si="36"/>
        <v>45809</v>
      </c>
    </row>
    <row r="103" spans="2:11" outlineLevel="1">
      <c r="B103" s="95">
        <f t="shared" si="31"/>
        <v>45839</v>
      </c>
      <c r="C103" s="92">
        <v>1690030.8601767421</v>
      </c>
      <c r="D103" s="88">
        <f>IF(F103&lt;&gt;0,VLOOKUP($J103,'Table 1'!$B$13:$C$33,2,FALSE)/12*1000*Study_MW,0)</f>
        <v>0</v>
      </c>
      <c r="E103" s="88">
        <f t="shared" si="32"/>
        <v>1690030.8601767421</v>
      </c>
      <c r="F103" s="92">
        <v>63240</v>
      </c>
      <c r="G103" s="93">
        <f t="shared" si="33"/>
        <v>26.724080647956072</v>
      </c>
      <c r="I103" s="94">
        <f t="shared" si="37"/>
        <v>98</v>
      </c>
      <c r="J103" s="90">
        <f t="shared" si="34"/>
        <v>2025</v>
      </c>
      <c r="K103" s="95">
        <f t="shared" si="36"/>
        <v>45839</v>
      </c>
    </row>
    <row r="104" spans="2:11" outlineLevel="1">
      <c r="B104" s="95">
        <f t="shared" si="31"/>
        <v>45870</v>
      </c>
      <c r="C104" s="92">
        <v>1718460.7139772773</v>
      </c>
      <c r="D104" s="88">
        <f>IF(F104&lt;&gt;0,VLOOKUP($J104,'Table 1'!$B$13:$C$33,2,FALSE)/12*1000*Study_MW,0)</f>
        <v>0</v>
      </c>
      <c r="E104" s="88">
        <f t="shared" si="32"/>
        <v>1718460.7139772773</v>
      </c>
      <c r="F104" s="92">
        <v>63240</v>
      </c>
      <c r="G104" s="93">
        <f t="shared" si="33"/>
        <v>27.173635578388318</v>
      </c>
      <c r="I104" s="94">
        <f t="shared" si="37"/>
        <v>99</v>
      </c>
      <c r="J104" s="90">
        <f t="shared" si="34"/>
        <v>2025</v>
      </c>
      <c r="K104" s="95">
        <f t="shared" si="36"/>
        <v>45870</v>
      </c>
    </row>
    <row r="105" spans="2:11" outlineLevel="1">
      <c r="B105" s="95">
        <f t="shared" si="31"/>
        <v>45901</v>
      </c>
      <c r="C105" s="92">
        <v>1739683.8065404892</v>
      </c>
      <c r="D105" s="88">
        <f>IF(F105&lt;&gt;0,VLOOKUP($J105,'Table 1'!$B$13:$C$33,2,FALSE)/12*1000*Study_MW,0)</f>
        <v>0</v>
      </c>
      <c r="E105" s="88">
        <f t="shared" si="32"/>
        <v>1739683.8065404892</v>
      </c>
      <c r="F105" s="92">
        <v>61200</v>
      </c>
      <c r="G105" s="93">
        <f t="shared" si="33"/>
        <v>28.426205989223678</v>
      </c>
      <c r="I105" s="94">
        <f t="shared" si="37"/>
        <v>100</v>
      </c>
      <c r="J105" s="90">
        <f t="shared" si="34"/>
        <v>2025</v>
      </c>
      <c r="K105" s="95">
        <f t="shared" si="36"/>
        <v>45901</v>
      </c>
    </row>
    <row r="106" spans="2:11" outlineLevel="1">
      <c r="B106" s="95">
        <f t="shared" si="31"/>
        <v>45931</v>
      </c>
      <c r="C106" s="92">
        <v>1656304.4852722734</v>
      </c>
      <c r="D106" s="88">
        <f>IF(F106&lt;&gt;0,VLOOKUP($J106,'Table 1'!$B$13:$C$33,2,FALSE)/12*1000*Study_MW,0)</f>
        <v>0</v>
      </c>
      <c r="E106" s="88">
        <f t="shared" si="32"/>
        <v>1656304.4852722734</v>
      </c>
      <c r="F106" s="92">
        <v>63240</v>
      </c>
      <c r="G106" s="93">
        <f t="shared" si="33"/>
        <v>26.19077301189553</v>
      </c>
      <c r="I106" s="94">
        <f t="shared" si="37"/>
        <v>101</v>
      </c>
      <c r="J106" s="90">
        <f t="shared" si="34"/>
        <v>2025</v>
      </c>
      <c r="K106" s="95">
        <f t="shared" si="36"/>
        <v>45931</v>
      </c>
    </row>
    <row r="107" spans="2:11" outlineLevel="1">
      <c r="B107" s="95">
        <f t="shared" si="31"/>
        <v>45962</v>
      </c>
      <c r="C107" s="92">
        <v>1641387.0685892403</v>
      </c>
      <c r="D107" s="88">
        <f>IF(F107&lt;&gt;0,VLOOKUP($J107,'Table 1'!$B$13:$C$33,2,FALSE)/12*1000*Study_MW,0)</f>
        <v>0</v>
      </c>
      <c r="E107" s="88">
        <f t="shared" si="32"/>
        <v>1641387.0685892403</v>
      </c>
      <c r="F107" s="92">
        <v>61200</v>
      </c>
      <c r="G107" s="93">
        <f t="shared" si="33"/>
        <v>26.820050140347064</v>
      </c>
      <c r="I107" s="94">
        <f t="shared" si="37"/>
        <v>102</v>
      </c>
      <c r="J107" s="90">
        <f t="shared" si="34"/>
        <v>2025</v>
      </c>
      <c r="K107" s="95">
        <f t="shared" si="36"/>
        <v>45962</v>
      </c>
    </row>
    <row r="108" spans="2:11" outlineLevel="1">
      <c r="B108" s="99">
        <f t="shared" si="31"/>
        <v>45992</v>
      </c>
      <c r="C108" s="96">
        <v>1713769.6044633389</v>
      </c>
      <c r="D108" s="97">
        <f>IF(F108&lt;&gt;0,VLOOKUP($J108,'Table 1'!$B$13:$C$33,2,FALSE)/12*1000*Study_MW,0)</f>
        <v>0</v>
      </c>
      <c r="E108" s="97">
        <f t="shared" si="32"/>
        <v>1713769.6044633389</v>
      </c>
      <c r="F108" s="96">
        <v>63240</v>
      </c>
      <c r="G108" s="98">
        <f t="shared" si="33"/>
        <v>27.09945611105849</v>
      </c>
      <c r="I108" s="81">
        <f t="shared" si="37"/>
        <v>103</v>
      </c>
      <c r="J108" s="90">
        <f t="shared" si="34"/>
        <v>2025</v>
      </c>
      <c r="K108" s="99">
        <f t="shared" si="36"/>
        <v>45992</v>
      </c>
    </row>
    <row r="109" spans="2:11" outlineLevel="1">
      <c r="B109" s="91">
        <f t="shared" si="31"/>
        <v>46023</v>
      </c>
      <c r="C109" s="86">
        <v>1673300.3480474949</v>
      </c>
      <c r="D109" s="87">
        <f>IF(F109&lt;&gt;0,VLOOKUP($J109,'Table 1'!$B$13:$C$33,2,FALSE)/12*1000*Study_MW,0)</f>
        <v>0</v>
      </c>
      <c r="E109" s="87">
        <f t="shared" si="32"/>
        <v>1673300.3480474949</v>
      </c>
      <c r="F109" s="86">
        <v>63240</v>
      </c>
      <c r="G109" s="89">
        <f t="shared" si="33"/>
        <v>26.45952479518493</v>
      </c>
      <c r="I109" s="77">
        <f>I97+13</f>
        <v>105</v>
      </c>
      <c r="J109" s="90">
        <f t="shared" si="34"/>
        <v>2026</v>
      </c>
      <c r="K109" s="91">
        <f t="shared" si="36"/>
        <v>46023</v>
      </c>
    </row>
    <row r="110" spans="2:11" outlineLevel="1">
      <c r="B110" s="95">
        <f t="shared" si="31"/>
        <v>46054</v>
      </c>
      <c r="C110" s="92">
        <v>1457494.8942052275</v>
      </c>
      <c r="D110" s="88">
        <f>IF(F110&lt;&gt;0,VLOOKUP($J110,'Table 1'!$B$13:$C$33,2,FALSE)/12*1000*Study_MW,0)</f>
        <v>0</v>
      </c>
      <c r="E110" s="88">
        <f t="shared" si="32"/>
        <v>1457494.8942052275</v>
      </c>
      <c r="F110" s="92">
        <v>57120</v>
      </c>
      <c r="G110" s="93">
        <f t="shared" si="33"/>
        <v>25.51636719546967</v>
      </c>
      <c r="I110" s="94">
        <f t="shared" si="37"/>
        <v>106</v>
      </c>
      <c r="J110" s="90">
        <f t="shared" si="34"/>
        <v>2026</v>
      </c>
      <c r="K110" s="95">
        <f t="shared" si="36"/>
        <v>46054</v>
      </c>
    </row>
    <row r="111" spans="2:11" outlineLevel="1">
      <c r="B111" s="95">
        <f t="shared" si="31"/>
        <v>46082</v>
      </c>
      <c r="C111" s="92">
        <v>1578429.8964974731</v>
      </c>
      <c r="D111" s="88">
        <f>IF(F111&lt;&gt;0,VLOOKUP($J111,'Table 1'!$B$13:$C$33,2,FALSE)/12*1000*Study_MW,0)</f>
        <v>0</v>
      </c>
      <c r="E111" s="88">
        <f t="shared" si="32"/>
        <v>1578429.8964974731</v>
      </c>
      <c r="F111" s="92">
        <v>63240</v>
      </c>
      <c r="G111" s="93">
        <f t="shared" si="33"/>
        <v>24.959359527158018</v>
      </c>
      <c r="I111" s="94">
        <f t="shared" si="37"/>
        <v>107</v>
      </c>
      <c r="J111" s="90">
        <f t="shared" si="34"/>
        <v>2026</v>
      </c>
      <c r="K111" s="95">
        <f t="shared" si="36"/>
        <v>46082</v>
      </c>
    </row>
    <row r="112" spans="2:11" outlineLevel="1">
      <c r="B112" s="95">
        <f t="shared" si="31"/>
        <v>46113</v>
      </c>
      <c r="C112" s="92">
        <v>1587260.886894241</v>
      </c>
      <c r="D112" s="88">
        <f>IF(F112&lt;&gt;0,VLOOKUP($J112,'Table 1'!$B$13:$C$33,2,FALSE)/12*1000*Study_MW,0)</f>
        <v>0</v>
      </c>
      <c r="E112" s="88">
        <f t="shared" si="32"/>
        <v>1587260.886894241</v>
      </c>
      <c r="F112" s="92">
        <v>61200</v>
      </c>
      <c r="G112" s="93">
        <f t="shared" si="33"/>
        <v>25.935635406768643</v>
      </c>
      <c r="I112" s="94">
        <f t="shared" si="37"/>
        <v>108</v>
      </c>
      <c r="J112" s="90">
        <f t="shared" si="34"/>
        <v>2026</v>
      </c>
      <c r="K112" s="95">
        <f t="shared" si="36"/>
        <v>46113</v>
      </c>
    </row>
    <row r="113" spans="2:11" outlineLevel="1">
      <c r="B113" s="95">
        <f t="shared" si="31"/>
        <v>46143</v>
      </c>
      <c r="C113" s="92">
        <v>1370539.0389243066</v>
      </c>
      <c r="D113" s="88">
        <f>IF(F113&lt;&gt;0,VLOOKUP($J113,'Table 1'!$B$13:$C$33,2,FALSE)/12*1000*Study_MW,0)</f>
        <v>0</v>
      </c>
      <c r="E113" s="88">
        <f t="shared" si="32"/>
        <v>1370539.0389243066</v>
      </c>
      <c r="F113" s="92">
        <v>63240</v>
      </c>
      <c r="G113" s="93">
        <f t="shared" si="33"/>
        <v>21.672027813477335</v>
      </c>
      <c r="I113" s="94">
        <f t="shared" si="37"/>
        <v>109</v>
      </c>
      <c r="J113" s="90">
        <f t="shared" si="34"/>
        <v>2026</v>
      </c>
      <c r="K113" s="95">
        <f t="shared" si="36"/>
        <v>46143</v>
      </c>
    </row>
    <row r="114" spans="2:11" outlineLevel="1">
      <c r="B114" s="95">
        <f t="shared" si="31"/>
        <v>46174</v>
      </c>
      <c r="C114" s="92">
        <v>1454667.5481121242</v>
      </c>
      <c r="D114" s="88">
        <f>IF(F114&lt;&gt;0,VLOOKUP($J114,'Table 1'!$B$13:$C$33,2,FALSE)/12*1000*Study_MW,0)</f>
        <v>0</v>
      </c>
      <c r="E114" s="88">
        <f t="shared" si="32"/>
        <v>1454667.5481121242</v>
      </c>
      <c r="F114" s="92">
        <v>61200</v>
      </c>
      <c r="G114" s="93">
        <f t="shared" si="33"/>
        <v>23.769077583531441</v>
      </c>
      <c r="I114" s="94">
        <f t="shared" si="37"/>
        <v>110</v>
      </c>
      <c r="J114" s="90">
        <f t="shared" si="34"/>
        <v>2026</v>
      </c>
      <c r="K114" s="95">
        <f t="shared" si="36"/>
        <v>46174</v>
      </c>
    </row>
    <row r="115" spans="2:11" outlineLevel="1">
      <c r="B115" s="95">
        <f t="shared" si="31"/>
        <v>46204</v>
      </c>
      <c r="C115" s="92">
        <v>1543390.0610799491</v>
      </c>
      <c r="D115" s="88">
        <f>IF(F115&lt;&gt;0,VLOOKUP($J115,'Table 1'!$B$13:$C$33,2,FALSE)/12*1000*Study_MW,0)</f>
        <v>0</v>
      </c>
      <c r="E115" s="88">
        <f t="shared" si="32"/>
        <v>1543390.0610799491</v>
      </c>
      <c r="F115" s="92">
        <v>63240</v>
      </c>
      <c r="G115" s="93">
        <f t="shared" si="33"/>
        <v>24.405282433269278</v>
      </c>
      <c r="I115" s="94">
        <f t="shared" si="37"/>
        <v>111</v>
      </c>
      <c r="J115" s="90">
        <f t="shared" si="34"/>
        <v>2026</v>
      </c>
      <c r="K115" s="95">
        <f t="shared" si="36"/>
        <v>46204</v>
      </c>
    </row>
    <row r="116" spans="2:11" outlineLevel="1">
      <c r="B116" s="95">
        <f t="shared" si="31"/>
        <v>46235</v>
      </c>
      <c r="C116" s="92">
        <v>1756960.5730039477</v>
      </c>
      <c r="D116" s="88">
        <f>IF(F116&lt;&gt;0,VLOOKUP($J116,'Table 1'!$B$13:$C$33,2,FALSE)/12*1000*Study_MW,0)</f>
        <v>0</v>
      </c>
      <c r="E116" s="88">
        <f t="shared" si="32"/>
        <v>1756960.5730039477</v>
      </c>
      <c r="F116" s="92">
        <v>63240</v>
      </c>
      <c r="G116" s="93">
        <f t="shared" si="33"/>
        <v>27.782425253066851</v>
      </c>
      <c r="I116" s="94">
        <f t="shared" si="37"/>
        <v>112</v>
      </c>
      <c r="J116" s="90">
        <f t="shared" si="34"/>
        <v>2026</v>
      </c>
      <c r="K116" s="95">
        <f t="shared" si="36"/>
        <v>46235</v>
      </c>
    </row>
    <row r="117" spans="2:11" outlineLevel="1">
      <c r="B117" s="95">
        <f t="shared" si="31"/>
        <v>46266</v>
      </c>
      <c r="C117" s="92">
        <v>1730703.969948411</v>
      </c>
      <c r="D117" s="88">
        <f>IF(F117&lt;&gt;0,VLOOKUP($J117,'Table 1'!$B$13:$C$33,2,FALSE)/12*1000*Study_MW,0)</f>
        <v>0</v>
      </c>
      <c r="E117" s="88">
        <f t="shared" si="32"/>
        <v>1730703.969948411</v>
      </c>
      <c r="F117" s="92">
        <v>61200</v>
      </c>
      <c r="G117" s="93">
        <f t="shared" si="33"/>
        <v>28.279476633143972</v>
      </c>
      <c r="I117" s="94">
        <f t="shared" si="37"/>
        <v>113</v>
      </c>
      <c r="J117" s="90">
        <f t="shared" si="34"/>
        <v>2026</v>
      </c>
      <c r="K117" s="95">
        <f t="shared" si="36"/>
        <v>46266</v>
      </c>
    </row>
    <row r="118" spans="2:11" outlineLevel="1">
      <c r="B118" s="95">
        <f t="shared" si="31"/>
        <v>46296</v>
      </c>
      <c r="C118" s="92">
        <v>1683547.6006789953</v>
      </c>
      <c r="D118" s="88">
        <f>IF(F118&lt;&gt;0,VLOOKUP($J118,'Table 1'!$B$13:$C$33,2,FALSE)/12*1000*Study_MW,0)</f>
        <v>0</v>
      </c>
      <c r="E118" s="88">
        <f t="shared" si="32"/>
        <v>1683547.6006789953</v>
      </c>
      <c r="F118" s="92">
        <v>63240</v>
      </c>
      <c r="G118" s="93">
        <f t="shared" si="33"/>
        <v>26.621562313077092</v>
      </c>
      <c r="I118" s="94">
        <f t="shared" si="37"/>
        <v>114</v>
      </c>
      <c r="J118" s="90">
        <f t="shared" si="34"/>
        <v>2026</v>
      </c>
      <c r="K118" s="95">
        <f t="shared" si="36"/>
        <v>46296</v>
      </c>
    </row>
    <row r="119" spans="2:11" outlineLevel="1">
      <c r="B119" s="95">
        <f t="shared" si="31"/>
        <v>46327</v>
      </c>
      <c r="C119" s="92">
        <v>1514883.4003946781</v>
      </c>
      <c r="D119" s="88">
        <f>IF(F119&lt;&gt;0,VLOOKUP($J119,'Table 1'!$B$13:$C$33,2,FALSE)/12*1000*Study_MW,0)</f>
        <v>0</v>
      </c>
      <c r="E119" s="88">
        <f t="shared" si="32"/>
        <v>1514883.4003946781</v>
      </c>
      <c r="F119" s="92">
        <v>61200</v>
      </c>
      <c r="G119" s="93">
        <f t="shared" si="33"/>
        <v>24.752996738475133</v>
      </c>
      <c r="I119" s="94">
        <f t="shared" si="37"/>
        <v>115</v>
      </c>
      <c r="J119" s="90">
        <f t="shared" si="34"/>
        <v>2026</v>
      </c>
      <c r="K119" s="95">
        <f t="shared" si="36"/>
        <v>46327</v>
      </c>
    </row>
    <row r="120" spans="2:11" outlineLevel="1">
      <c r="B120" s="99">
        <f t="shared" si="31"/>
        <v>46357</v>
      </c>
      <c r="C120" s="96">
        <v>1782498.6718021035</v>
      </c>
      <c r="D120" s="97">
        <f>IF(F120&lt;&gt;0,VLOOKUP($J120,'Table 1'!$B$13:$C$33,2,FALSE)/12*1000*Study_MW,0)</f>
        <v>0</v>
      </c>
      <c r="E120" s="97">
        <f t="shared" si="32"/>
        <v>1782498.6718021035</v>
      </c>
      <c r="F120" s="96">
        <v>63240</v>
      </c>
      <c r="G120" s="98">
        <f t="shared" si="33"/>
        <v>28.186253507307139</v>
      </c>
      <c r="I120" s="81">
        <f t="shared" si="37"/>
        <v>116</v>
      </c>
      <c r="J120" s="90">
        <f t="shared" si="34"/>
        <v>2026</v>
      </c>
      <c r="K120" s="99">
        <f t="shared" si="36"/>
        <v>46357</v>
      </c>
    </row>
    <row r="121" spans="2:11" outlineLevel="1">
      <c r="B121" s="91">
        <f t="shared" si="31"/>
        <v>46388</v>
      </c>
      <c r="C121" s="86">
        <v>1692354.2670809925</v>
      </c>
      <c r="D121" s="87">
        <f>IF(F121&lt;&gt;0,VLOOKUP($J121,'Table 1'!$B$13:$C$33,2,FALSE)/12*1000*Study_MW,0)</f>
        <v>0</v>
      </c>
      <c r="E121" s="87">
        <f t="shared" si="32"/>
        <v>1692354.2670809925</v>
      </c>
      <c r="F121" s="86">
        <v>63240</v>
      </c>
      <c r="G121" s="89">
        <f t="shared" si="33"/>
        <v>26.76082016257104</v>
      </c>
      <c r="I121" s="77">
        <f>I109+13</f>
        <v>118</v>
      </c>
      <c r="J121" s="90">
        <f t="shared" si="34"/>
        <v>2027</v>
      </c>
      <c r="K121" s="91">
        <f t="shared" si="36"/>
        <v>46388</v>
      </c>
    </row>
    <row r="122" spans="2:11" outlineLevel="1">
      <c r="B122" s="95">
        <f t="shared" si="31"/>
        <v>46419</v>
      </c>
      <c r="C122" s="92">
        <v>1460674.7353218943</v>
      </c>
      <c r="D122" s="88">
        <f>IF(F122&lt;&gt;0,VLOOKUP($J122,'Table 1'!$B$13:$C$33,2,FALSE)/12*1000*Study_MW,0)</f>
        <v>0</v>
      </c>
      <c r="E122" s="88">
        <f t="shared" si="32"/>
        <v>1460674.7353218943</v>
      </c>
      <c r="F122" s="92">
        <v>57120</v>
      </c>
      <c r="G122" s="93">
        <f t="shared" si="33"/>
        <v>25.572036682806271</v>
      </c>
      <c r="I122" s="94">
        <f t="shared" ref="I122:I132" si="38">I110+13</f>
        <v>119</v>
      </c>
      <c r="J122" s="90">
        <f t="shared" si="34"/>
        <v>2027</v>
      </c>
      <c r="K122" s="95">
        <f t="shared" si="36"/>
        <v>46419</v>
      </c>
    </row>
    <row r="123" spans="2:11" outlineLevel="1">
      <c r="B123" s="95">
        <f t="shared" si="31"/>
        <v>46447</v>
      </c>
      <c r="C123" s="92">
        <v>1609312.6693718135</v>
      </c>
      <c r="D123" s="88">
        <f>IF(F123&lt;&gt;0,VLOOKUP($J123,'Table 1'!$B$13:$C$33,2,FALSE)/12*1000*Study_MW,0)</f>
        <v>0</v>
      </c>
      <c r="E123" s="88">
        <f t="shared" si="32"/>
        <v>1609312.6693718135</v>
      </c>
      <c r="F123" s="92">
        <v>63240</v>
      </c>
      <c r="G123" s="93">
        <f t="shared" si="33"/>
        <v>25.447701919225388</v>
      </c>
      <c r="I123" s="94">
        <f t="shared" si="38"/>
        <v>120</v>
      </c>
      <c r="J123" s="90">
        <f t="shared" si="34"/>
        <v>2027</v>
      </c>
      <c r="K123" s="95">
        <f t="shared" si="36"/>
        <v>46447</v>
      </c>
    </row>
    <row r="124" spans="2:11" outlineLevel="1">
      <c r="B124" s="95">
        <f t="shared" si="31"/>
        <v>46478</v>
      </c>
      <c r="C124" s="92">
        <v>1557059.3747557849</v>
      </c>
      <c r="D124" s="88">
        <f>IF(F124&lt;&gt;0,VLOOKUP($J124,'Table 1'!$B$13:$C$33,2,FALSE)/12*1000*Study_MW,0)</f>
        <v>0</v>
      </c>
      <c r="E124" s="88">
        <f t="shared" si="32"/>
        <v>1557059.3747557849</v>
      </c>
      <c r="F124" s="92">
        <v>61200</v>
      </c>
      <c r="G124" s="93">
        <f t="shared" si="33"/>
        <v>25.442146646336354</v>
      </c>
      <c r="I124" s="94">
        <f t="shared" si="38"/>
        <v>121</v>
      </c>
      <c r="J124" s="90">
        <f t="shared" si="34"/>
        <v>2027</v>
      </c>
      <c r="K124" s="95">
        <f t="shared" si="36"/>
        <v>46478</v>
      </c>
    </row>
    <row r="125" spans="2:11" outlineLevel="1">
      <c r="B125" s="95">
        <f t="shared" si="31"/>
        <v>46508</v>
      </c>
      <c r="C125" s="92">
        <v>1466126.8238533437</v>
      </c>
      <c r="D125" s="88">
        <f>IF(F125&lt;&gt;0,VLOOKUP($J125,'Table 1'!$B$13:$C$33,2,FALSE)/12*1000*Study_MW,0)</f>
        <v>0</v>
      </c>
      <c r="E125" s="88">
        <f t="shared" si="32"/>
        <v>1466126.8238533437</v>
      </c>
      <c r="F125" s="92">
        <v>63240</v>
      </c>
      <c r="G125" s="93">
        <f t="shared" si="33"/>
        <v>23.183536114062992</v>
      </c>
      <c r="I125" s="94">
        <f t="shared" si="38"/>
        <v>122</v>
      </c>
      <c r="J125" s="90">
        <f t="shared" si="34"/>
        <v>2027</v>
      </c>
      <c r="K125" s="95">
        <f t="shared" si="36"/>
        <v>46508</v>
      </c>
    </row>
    <row r="126" spans="2:11" outlineLevel="1">
      <c r="B126" s="95">
        <f t="shared" si="31"/>
        <v>46539</v>
      </c>
      <c r="C126" s="92">
        <v>1601953.6001895666</v>
      </c>
      <c r="D126" s="88">
        <f>IF(F126&lt;&gt;0,VLOOKUP($J126,'Table 1'!$B$13:$C$33,2,FALSE)/12*1000*Study_MW,0)</f>
        <v>0</v>
      </c>
      <c r="E126" s="88">
        <f t="shared" si="32"/>
        <v>1601953.6001895666</v>
      </c>
      <c r="F126" s="92">
        <v>61200</v>
      </c>
      <c r="G126" s="93">
        <f t="shared" si="33"/>
        <v>26.175712421398146</v>
      </c>
      <c r="I126" s="94">
        <f t="shared" si="38"/>
        <v>123</v>
      </c>
      <c r="J126" s="90">
        <f t="shared" si="34"/>
        <v>2027</v>
      </c>
      <c r="K126" s="95">
        <f t="shared" si="36"/>
        <v>46539</v>
      </c>
    </row>
    <row r="127" spans="2:11" outlineLevel="1">
      <c r="B127" s="95">
        <f t="shared" si="31"/>
        <v>46569</v>
      </c>
      <c r="C127" s="92">
        <v>1620575.3593496978</v>
      </c>
      <c r="D127" s="88">
        <f>IF(F127&lt;&gt;0,VLOOKUP($J127,'Table 1'!$B$13:$C$33,2,FALSE)/12*1000*Study_MW,0)</f>
        <v>0</v>
      </c>
      <c r="E127" s="88">
        <f t="shared" si="32"/>
        <v>1620575.3593496978</v>
      </c>
      <c r="F127" s="92">
        <v>63240</v>
      </c>
      <c r="G127" s="93">
        <f t="shared" si="33"/>
        <v>25.625796321152716</v>
      </c>
      <c r="I127" s="94">
        <f t="shared" si="38"/>
        <v>124</v>
      </c>
      <c r="J127" s="90">
        <f t="shared" si="34"/>
        <v>2027</v>
      </c>
      <c r="K127" s="95">
        <f t="shared" si="36"/>
        <v>46569</v>
      </c>
    </row>
    <row r="128" spans="2:11" outlineLevel="1">
      <c r="B128" s="95">
        <f t="shared" si="31"/>
        <v>46600</v>
      </c>
      <c r="C128" s="92">
        <v>1829348.4584433436</v>
      </c>
      <c r="D128" s="88">
        <f>IF(F128&lt;&gt;0,VLOOKUP($J128,'Table 1'!$B$13:$C$33,2,FALSE)/12*1000*Study_MW,0)</f>
        <v>0</v>
      </c>
      <c r="E128" s="88">
        <f t="shared" si="32"/>
        <v>1829348.4584433436</v>
      </c>
      <c r="F128" s="92">
        <v>63240</v>
      </c>
      <c r="G128" s="93">
        <f t="shared" si="33"/>
        <v>28.927078723013025</v>
      </c>
      <c r="I128" s="94">
        <f t="shared" si="38"/>
        <v>125</v>
      </c>
      <c r="J128" s="90">
        <f t="shared" si="34"/>
        <v>2027</v>
      </c>
      <c r="K128" s="95">
        <f t="shared" si="36"/>
        <v>46600</v>
      </c>
    </row>
    <row r="129" spans="2:11" outlineLevel="1">
      <c r="B129" s="95">
        <f t="shared" si="31"/>
        <v>46631</v>
      </c>
      <c r="C129" s="92">
        <v>1814503.3038463295</v>
      </c>
      <c r="D129" s="88">
        <f>IF(F129&lt;&gt;0,VLOOKUP($J129,'Table 1'!$B$13:$C$33,2,FALSE)/12*1000*Study_MW,0)</f>
        <v>0</v>
      </c>
      <c r="E129" s="88">
        <f t="shared" si="32"/>
        <v>1814503.3038463295</v>
      </c>
      <c r="F129" s="92">
        <v>61200</v>
      </c>
      <c r="G129" s="93">
        <f t="shared" si="33"/>
        <v>29.648746794874665</v>
      </c>
      <c r="I129" s="94">
        <f t="shared" si="38"/>
        <v>126</v>
      </c>
      <c r="J129" s="90">
        <f t="shared" si="34"/>
        <v>2027</v>
      </c>
      <c r="K129" s="95">
        <f t="shared" si="36"/>
        <v>46631</v>
      </c>
    </row>
    <row r="130" spans="2:11" outlineLevel="1">
      <c r="B130" s="95">
        <f t="shared" si="31"/>
        <v>46661</v>
      </c>
      <c r="C130" s="92">
        <v>1695542.3420926481</v>
      </c>
      <c r="D130" s="88">
        <f>IF(F130&lt;&gt;0,VLOOKUP($J130,'Table 1'!$B$13:$C$33,2,FALSE)/12*1000*Study_MW,0)</f>
        <v>0</v>
      </c>
      <c r="E130" s="88">
        <f t="shared" si="32"/>
        <v>1695542.3420926481</v>
      </c>
      <c r="F130" s="92">
        <v>63240</v>
      </c>
      <c r="G130" s="93">
        <f t="shared" si="33"/>
        <v>26.811232480908416</v>
      </c>
      <c r="I130" s="94">
        <f t="shared" si="38"/>
        <v>127</v>
      </c>
      <c r="J130" s="90">
        <f t="shared" si="34"/>
        <v>2027</v>
      </c>
      <c r="K130" s="95">
        <f t="shared" si="36"/>
        <v>46661</v>
      </c>
    </row>
    <row r="131" spans="2:11" outlineLevel="1">
      <c r="B131" s="95">
        <f t="shared" si="31"/>
        <v>46692</v>
      </c>
      <c r="C131" s="92">
        <v>1616938.6771172434</v>
      </c>
      <c r="D131" s="88">
        <f>IF(F131&lt;&gt;0,VLOOKUP($J131,'Table 1'!$B$13:$C$33,2,FALSE)/12*1000*Study_MW,0)</f>
        <v>0</v>
      </c>
      <c r="E131" s="88">
        <f t="shared" si="32"/>
        <v>1616938.6771172434</v>
      </c>
      <c r="F131" s="92">
        <v>61200</v>
      </c>
      <c r="G131" s="93">
        <f t="shared" si="33"/>
        <v>26.420566619562802</v>
      </c>
      <c r="I131" s="94">
        <f t="shared" si="38"/>
        <v>128</v>
      </c>
      <c r="J131" s="90">
        <f t="shared" si="34"/>
        <v>2027</v>
      </c>
      <c r="K131" s="95">
        <f t="shared" si="36"/>
        <v>46692</v>
      </c>
    </row>
    <row r="132" spans="2:11" outlineLevel="1">
      <c r="B132" s="99">
        <f t="shared" si="31"/>
        <v>46722</v>
      </c>
      <c r="C132" s="96">
        <v>1850800.8784647584</v>
      </c>
      <c r="D132" s="97">
        <f>IF(F132&lt;&gt;0,VLOOKUP($J132,'Table 1'!$B$13:$C$33,2,FALSE)/12*1000*Study_MW,0)</f>
        <v>0</v>
      </c>
      <c r="E132" s="97">
        <f t="shared" si="32"/>
        <v>1850800.8784647584</v>
      </c>
      <c r="F132" s="96">
        <v>63240</v>
      </c>
      <c r="G132" s="98">
        <f t="shared" si="33"/>
        <v>29.266301050992386</v>
      </c>
      <c r="I132" s="81">
        <f t="shared" si="38"/>
        <v>129</v>
      </c>
      <c r="J132" s="90">
        <f t="shared" si="34"/>
        <v>2027</v>
      </c>
      <c r="K132" s="99">
        <f t="shared" si="36"/>
        <v>46722</v>
      </c>
    </row>
    <row r="133" spans="2:11" outlineLevel="1">
      <c r="B133" s="91">
        <f t="shared" si="31"/>
        <v>46753</v>
      </c>
      <c r="C133" s="86">
        <v>1908934.7095008492</v>
      </c>
      <c r="D133" s="87">
        <f>IF(F133&lt;&gt;0,VLOOKUP($J133,'Table 1'!$B$13:$C$33,2,FALSE)/12*1000*Study_MW,0)</f>
        <v>0</v>
      </c>
      <c r="E133" s="87">
        <f t="shared" si="32"/>
        <v>1908934.7095008492</v>
      </c>
      <c r="F133" s="86">
        <v>63240</v>
      </c>
      <c r="G133" s="89">
        <f t="shared" si="33"/>
        <v>30.185558341253152</v>
      </c>
      <c r="I133" s="77">
        <f>I13</f>
        <v>1</v>
      </c>
      <c r="J133" s="90">
        <f t="shared" si="34"/>
        <v>2028</v>
      </c>
      <c r="K133" s="91">
        <f t="shared" si="36"/>
        <v>46753</v>
      </c>
    </row>
    <row r="134" spans="2:11" outlineLevel="1">
      <c r="B134" s="95">
        <f t="shared" si="31"/>
        <v>46784</v>
      </c>
      <c r="C134" s="92">
        <v>1794593.7050825953</v>
      </c>
      <c r="D134" s="88">
        <f>IF(F134&lt;&gt;0,VLOOKUP($J134,'Table 1'!$B$13:$C$33,2,FALSE)/12*1000*Study_MW,0)</f>
        <v>0</v>
      </c>
      <c r="E134" s="88">
        <f t="shared" si="32"/>
        <v>1794593.7050825953</v>
      </c>
      <c r="F134" s="92">
        <v>59160</v>
      </c>
      <c r="G134" s="93">
        <f t="shared" si="33"/>
        <v>30.33457919341777</v>
      </c>
      <c r="I134" s="94">
        <f t="shared" ref="I134:I197" si="39">I14</f>
        <v>2</v>
      </c>
      <c r="J134" s="90">
        <f t="shared" si="34"/>
        <v>2028</v>
      </c>
      <c r="K134" s="95">
        <f t="shared" si="36"/>
        <v>46784</v>
      </c>
    </row>
    <row r="135" spans="2:11" outlineLevel="1">
      <c r="B135" s="95">
        <f t="shared" si="31"/>
        <v>46813</v>
      </c>
      <c r="C135" s="92">
        <v>1790012.5635009557</v>
      </c>
      <c r="D135" s="88">
        <f>IF(F135&lt;&gt;0,VLOOKUP($J135,'Table 1'!$B$13:$C$33,2,FALSE)/12*1000*Study_MW,0)</f>
        <v>0</v>
      </c>
      <c r="E135" s="88">
        <f t="shared" si="32"/>
        <v>1790012.5635009557</v>
      </c>
      <c r="F135" s="92">
        <v>63240</v>
      </c>
      <c r="G135" s="93">
        <f t="shared" si="33"/>
        <v>28.305068999066346</v>
      </c>
      <c r="I135" s="94">
        <f t="shared" si="39"/>
        <v>3</v>
      </c>
      <c r="J135" s="90">
        <f t="shared" si="34"/>
        <v>2028</v>
      </c>
      <c r="K135" s="95">
        <f t="shared" si="36"/>
        <v>46813</v>
      </c>
    </row>
    <row r="136" spans="2:11" outlineLevel="1">
      <c r="B136" s="95">
        <f t="shared" si="31"/>
        <v>46844</v>
      </c>
      <c r="C136" s="92">
        <v>1661755.964998886</v>
      </c>
      <c r="D136" s="88">
        <f>IF(F136&lt;&gt;0,VLOOKUP($J136,'Table 1'!$B$13:$C$33,2,FALSE)/12*1000*Study_MW,0)</f>
        <v>0</v>
      </c>
      <c r="E136" s="88">
        <f t="shared" si="32"/>
        <v>1661755.964998886</v>
      </c>
      <c r="F136" s="92">
        <v>61200</v>
      </c>
      <c r="G136" s="93">
        <f t="shared" si="33"/>
        <v>27.152875245079837</v>
      </c>
      <c r="I136" s="94">
        <f t="shared" si="39"/>
        <v>4</v>
      </c>
      <c r="J136" s="90">
        <f t="shared" si="34"/>
        <v>2028</v>
      </c>
      <c r="K136" s="95">
        <f t="shared" si="36"/>
        <v>46844</v>
      </c>
    </row>
    <row r="137" spans="2:11" outlineLevel="1">
      <c r="B137" s="95">
        <f t="shared" si="31"/>
        <v>46874</v>
      </c>
      <c r="C137" s="92">
        <v>1670670.0578334033</v>
      </c>
      <c r="D137" s="88">
        <f>IF(F137&lt;&gt;0,VLOOKUP($J137,'Table 1'!$B$13:$C$33,2,FALSE)/12*1000*Study_MW,0)</f>
        <v>0</v>
      </c>
      <c r="E137" s="88">
        <f t="shared" si="32"/>
        <v>1670670.0578334033</v>
      </c>
      <c r="F137" s="92">
        <v>63240</v>
      </c>
      <c r="G137" s="93">
        <f t="shared" si="33"/>
        <v>26.417932603311247</v>
      </c>
      <c r="I137" s="94">
        <f t="shared" si="39"/>
        <v>5</v>
      </c>
      <c r="J137" s="90">
        <f t="shared" si="34"/>
        <v>2028</v>
      </c>
      <c r="K137" s="95">
        <f t="shared" si="36"/>
        <v>46874</v>
      </c>
    </row>
    <row r="138" spans="2:11" outlineLevel="1">
      <c r="B138" s="95">
        <f t="shared" si="31"/>
        <v>46905</v>
      </c>
      <c r="C138" s="92">
        <v>1742674.3750925958</v>
      </c>
      <c r="D138" s="88">
        <f>IF(F138&lt;&gt;0,VLOOKUP($J138,'Table 1'!$B$13:$C$33,2,FALSE)/12*1000*Study_MW,0)</f>
        <v>0</v>
      </c>
      <c r="E138" s="88">
        <f t="shared" si="32"/>
        <v>1742674.3750925958</v>
      </c>
      <c r="F138" s="92">
        <v>61200</v>
      </c>
      <c r="G138" s="93">
        <f t="shared" si="33"/>
        <v>28.47507148844111</v>
      </c>
      <c r="I138" s="94">
        <f t="shared" si="39"/>
        <v>6</v>
      </c>
      <c r="J138" s="90">
        <f t="shared" si="34"/>
        <v>2028</v>
      </c>
      <c r="K138" s="95">
        <f t="shared" si="36"/>
        <v>46905</v>
      </c>
    </row>
    <row r="139" spans="2:11" outlineLevel="1">
      <c r="B139" s="95">
        <f t="shared" si="31"/>
        <v>46935</v>
      </c>
      <c r="C139" s="92">
        <v>1760851.5278485417</v>
      </c>
      <c r="D139" s="88">
        <f>IF(F139&lt;&gt;0,VLOOKUP($J139,'Table 1'!$B$13:$C$33,2,FALSE)/12*1000*Study_MW,0)</f>
        <v>0</v>
      </c>
      <c r="E139" s="88">
        <f t="shared" si="32"/>
        <v>1760851.5278485417</v>
      </c>
      <c r="F139" s="92">
        <v>63240</v>
      </c>
      <c r="G139" s="93">
        <f t="shared" si="33"/>
        <v>27.843952053265998</v>
      </c>
      <c r="I139" s="94">
        <f t="shared" si="39"/>
        <v>7</v>
      </c>
      <c r="J139" s="90">
        <f t="shared" si="34"/>
        <v>2028</v>
      </c>
      <c r="K139" s="95">
        <f t="shared" si="36"/>
        <v>46935</v>
      </c>
    </row>
    <row r="140" spans="2:11" outlineLevel="1">
      <c r="B140" s="95">
        <f t="shared" si="31"/>
        <v>46966</v>
      </c>
      <c r="C140" s="92">
        <v>2163243.5346472263</v>
      </c>
      <c r="D140" s="88">
        <f>IF(F140&lt;&gt;0,VLOOKUP($J140,'Table 1'!$B$13:$C$33,2,FALSE)/12*1000*Study_MW,0)</f>
        <v>0</v>
      </c>
      <c r="E140" s="88">
        <f t="shared" si="32"/>
        <v>2163243.5346472263</v>
      </c>
      <c r="F140" s="92">
        <v>63240</v>
      </c>
      <c r="G140" s="93">
        <f t="shared" si="33"/>
        <v>34.206887012131979</v>
      </c>
      <c r="I140" s="94">
        <f t="shared" si="39"/>
        <v>8</v>
      </c>
      <c r="J140" s="90">
        <f t="shared" si="34"/>
        <v>2028</v>
      </c>
      <c r="K140" s="95">
        <f t="shared" si="36"/>
        <v>46966</v>
      </c>
    </row>
    <row r="141" spans="2:11" outlineLevel="1">
      <c r="B141" s="95">
        <f t="shared" si="31"/>
        <v>46997</v>
      </c>
      <c r="C141" s="92">
        <v>1988035.5899233818</v>
      </c>
      <c r="D141" s="88">
        <f>IF(F141&lt;&gt;0,VLOOKUP($J141,'Table 1'!$B$13:$C$33,2,FALSE)/12*1000*Study_MW,0)</f>
        <v>0</v>
      </c>
      <c r="E141" s="88">
        <f t="shared" si="32"/>
        <v>1988035.5899233818</v>
      </c>
      <c r="F141" s="92">
        <v>61200</v>
      </c>
      <c r="G141" s="93">
        <f t="shared" si="33"/>
        <v>32.484241665414736</v>
      </c>
      <c r="I141" s="94">
        <f t="shared" si="39"/>
        <v>9</v>
      </c>
      <c r="J141" s="90">
        <f t="shared" si="34"/>
        <v>2028</v>
      </c>
      <c r="K141" s="95">
        <f t="shared" si="36"/>
        <v>46997</v>
      </c>
    </row>
    <row r="142" spans="2:11" outlineLevel="1">
      <c r="B142" s="95">
        <f t="shared" ref="B142:B205" si="40">EDATE(B141,1)</f>
        <v>47027</v>
      </c>
      <c r="C142" s="92">
        <v>1858172.9447819889</v>
      </c>
      <c r="D142" s="88">
        <f>IF(F142&lt;&gt;0,VLOOKUP($J142,'Table 1'!$B$13:$C$33,2,FALSE)/12*1000*Study_MW,0)</f>
        <v>0</v>
      </c>
      <c r="E142" s="88">
        <f t="shared" ref="E142:E205" si="41">C142+D142</f>
        <v>1858172.9447819889</v>
      </c>
      <c r="F142" s="92">
        <v>63240</v>
      </c>
      <c r="G142" s="93">
        <f t="shared" ref="G142:G192" si="42">IF(ISNUMBER($F142),E142/$F142,"")</f>
        <v>29.382873889658267</v>
      </c>
      <c r="I142" s="94">
        <f t="shared" si="39"/>
        <v>10</v>
      </c>
      <c r="J142" s="90">
        <f t="shared" ref="J142:J205" si="43">YEAR(B142)</f>
        <v>2028</v>
      </c>
      <c r="K142" s="95">
        <f t="shared" si="36"/>
        <v>47027</v>
      </c>
    </row>
    <row r="143" spans="2:11" outlineLevel="1">
      <c r="B143" s="95">
        <f t="shared" si="40"/>
        <v>47058</v>
      </c>
      <c r="C143" s="92">
        <v>1845066.4086300433</v>
      </c>
      <c r="D143" s="88">
        <f>IF(F143&lt;&gt;0,VLOOKUP($J143,'Table 1'!$B$13:$C$33,2,FALSE)/12*1000*Study_MW,0)</f>
        <v>0</v>
      </c>
      <c r="E143" s="88">
        <f t="shared" si="41"/>
        <v>1845066.4086300433</v>
      </c>
      <c r="F143" s="92">
        <v>61200</v>
      </c>
      <c r="G143" s="93">
        <f t="shared" si="42"/>
        <v>30.148143931863451</v>
      </c>
      <c r="I143" s="94">
        <f t="shared" si="39"/>
        <v>11</v>
      </c>
      <c r="J143" s="90">
        <f t="shared" si="43"/>
        <v>2028</v>
      </c>
      <c r="K143" s="95">
        <f t="shared" si="36"/>
        <v>47058</v>
      </c>
    </row>
    <row r="144" spans="2:11" outlineLevel="1">
      <c r="B144" s="99">
        <f t="shared" si="40"/>
        <v>47088</v>
      </c>
      <c r="C144" s="96">
        <v>1882056.3654221892</v>
      </c>
      <c r="D144" s="97">
        <f>IF(F144&lt;&gt;0,VLOOKUP($J144,'Table 1'!$B$13:$C$33,2,FALSE)/12*1000*Study_MW,0)</f>
        <v>0</v>
      </c>
      <c r="E144" s="97">
        <f t="shared" si="41"/>
        <v>1882056.3654221892</v>
      </c>
      <c r="F144" s="96">
        <v>63240</v>
      </c>
      <c r="G144" s="98">
        <f t="shared" si="42"/>
        <v>29.760537087637402</v>
      </c>
      <c r="I144" s="81">
        <f t="shared" si="39"/>
        <v>12</v>
      </c>
      <c r="J144" s="90">
        <f t="shared" si="43"/>
        <v>2028</v>
      </c>
      <c r="K144" s="99">
        <f t="shared" si="36"/>
        <v>47088</v>
      </c>
    </row>
    <row r="145" spans="2:11" outlineLevel="1">
      <c r="B145" s="91">
        <f t="shared" si="40"/>
        <v>47119</v>
      </c>
      <c r="C145" s="86">
        <v>1983999.5592706501</v>
      </c>
      <c r="D145" s="87">
        <f>IF(F145&lt;&gt;0,VLOOKUP($J145,'Table 1'!$B$13:$C$33,2,FALSE)/12*1000*Study_MW,0)</f>
        <v>0</v>
      </c>
      <c r="E145" s="87">
        <f t="shared" si="41"/>
        <v>1983999.5592706501</v>
      </c>
      <c r="F145" s="86">
        <v>63240</v>
      </c>
      <c r="G145" s="89">
        <f t="shared" si="42"/>
        <v>31.372542050453038</v>
      </c>
      <c r="I145" s="77">
        <f>I25</f>
        <v>14</v>
      </c>
      <c r="J145" s="90">
        <f t="shared" si="43"/>
        <v>2029</v>
      </c>
      <c r="K145" s="91">
        <f t="shared" si="36"/>
        <v>47119</v>
      </c>
    </row>
    <row r="146" spans="2:11" outlineLevel="1">
      <c r="B146" s="95">
        <f t="shared" si="40"/>
        <v>47150</v>
      </c>
      <c r="C146" s="92">
        <v>1775146.0583398938</v>
      </c>
      <c r="D146" s="88">
        <f>IF(F146&lt;&gt;0,VLOOKUP($J146,'Table 1'!$B$13:$C$33,2,FALSE)/12*1000*Study_MW,0)</f>
        <v>0</v>
      </c>
      <c r="E146" s="88">
        <f t="shared" si="41"/>
        <v>1775146.0583398938</v>
      </c>
      <c r="F146" s="92">
        <v>57120</v>
      </c>
      <c r="G146" s="93">
        <f t="shared" si="42"/>
        <v>31.077487015754443</v>
      </c>
      <c r="I146" s="94">
        <f t="shared" si="39"/>
        <v>15</v>
      </c>
      <c r="J146" s="90">
        <f t="shared" si="43"/>
        <v>2029</v>
      </c>
      <c r="K146" s="95">
        <f t="shared" si="36"/>
        <v>47150</v>
      </c>
    </row>
    <row r="147" spans="2:11" outlineLevel="1">
      <c r="B147" s="95">
        <f t="shared" si="40"/>
        <v>47178</v>
      </c>
      <c r="C147" s="92">
        <v>1891406.2605817616</v>
      </c>
      <c r="D147" s="88">
        <f>IF(F147&lt;&gt;0,VLOOKUP($J147,'Table 1'!$B$13:$C$33,2,FALSE)/12*1000*Study_MW,0)</f>
        <v>0</v>
      </c>
      <c r="E147" s="88">
        <f t="shared" si="41"/>
        <v>1891406.2605817616</v>
      </c>
      <c r="F147" s="92">
        <v>63240</v>
      </c>
      <c r="G147" s="93">
        <f t="shared" si="42"/>
        <v>29.908384892184717</v>
      </c>
      <c r="I147" s="94">
        <f t="shared" si="39"/>
        <v>16</v>
      </c>
      <c r="J147" s="90">
        <f t="shared" si="43"/>
        <v>2029</v>
      </c>
      <c r="K147" s="95">
        <f t="shared" si="36"/>
        <v>47178</v>
      </c>
    </row>
    <row r="148" spans="2:11" outlineLevel="1">
      <c r="B148" s="95">
        <f t="shared" si="40"/>
        <v>47209</v>
      </c>
      <c r="C148" s="92">
        <v>1908599.2672395557</v>
      </c>
      <c r="D148" s="88">
        <f>IF(F148&lt;&gt;0,VLOOKUP($J148,'Table 1'!$B$13:$C$33,2,FALSE)/12*1000*Study_MW,0)</f>
        <v>0</v>
      </c>
      <c r="E148" s="88">
        <f t="shared" si="41"/>
        <v>1908599.2672395557</v>
      </c>
      <c r="F148" s="92">
        <v>61200</v>
      </c>
      <c r="G148" s="93">
        <f t="shared" si="42"/>
        <v>31.186262536594047</v>
      </c>
      <c r="I148" s="94">
        <f t="shared" si="39"/>
        <v>17</v>
      </c>
      <c r="J148" s="90">
        <f t="shared" si="43"/>
        <v>2029</v>
      </c>
      <c r="K148" s="95">
        <f t="shared" si="36"/>
        <v>47209</v>
      </c>
    </row>
    <row r="149" spans="2:11" outlineLevel="1">
      <c r="B149" s="95">
        <f t="shared" si="40"/>
        <v>47239</v>
      </c>
      <c r="C149" s="92">
        <v>1802143.6218537986</v>
      </c>
      <c r="D149" s="88">
        <f>IF(F149&lt;&gt;0,VLOOKUP($J149,'Table 1'!$B$13:$C$33,2,FALSE)/12*1000*Study_MW,0)</f>
        <v>0</v>
      </c>
      <c r="E149" s="88">
        <f t="shared" si="41"/>
        <v>1802143.6218537986</v>
      </c>
      <c r="F149" s="92">
        <v>63240</v>
      </c>
      <c r="G149" s="93">
        <f t="shared" si="42"/>
        <v>28.496894716220723</v>
      </c>
      <c r="I149" s="94">
        <f t="shared" si="39"/>
        <v>18</v>
      </c>
      <c r="J149" s="90">
        <f t="shared" si="43"/>
        <v>2029</v>
      </c>
      <c r="K149" s="95">
        <f t="shared" si="36"/>
        <v>47239</v>
      </c>
    </row>
    <row r="150" spans="2:11" outlineLevel="1">
      <c r="B150" s="95">
        <f t="shared" si="40"/>
        <v>47270</v>
      </c>
      <c r="C150" s="92">
        <v>1860249.392072767</v>
      </c>
      <c r="D150" s="88">
        <f>IF(F150&lt;&gt;0,VLOOKUP($J150,'Table 1'!$B$13:$C$33,2,FALSE)/12*1000*Study_MW,0)</f>
        <v>0</v>
      </c>
      <c r="E150" s="88">
        <f t="shared" si="41"/>
        <v>1860249.392072767</v>
      </c>
      <c r="F150" s="92">
        <v>61200</v>
      </c>
      <c r="G150" s="93">
        <f t="shared" si="42"/>
        <v>30.396231896613841</v>
      </c>
      <c r="I150" s="94">
        <f t="shared" si="39"/>
        <v>19</v>
      </c>
      <c r="J150" s="90">
        <f t="shared" si="43"/>
        <v>2029</v>
      </c>
      <c r="K150" s="95">
        <f t="shared" si="36"/>
        <v>47270</v>
      </c>
    </row>
    <row r="151" spans="2:11" outlineLevel="1">
      <c r="B151" s="95">
        <f t="shared" si="40"/>
        <v>47300</v>
      </c>
      <c r="C151" s="92">
        <v>2107993.523432821</v>
      </c>
      <c r="D151" s="88">
        <f>IF(F151&lt;&gt;0,VLOOKUP($J151,'Table 1'!$B$13:$C$33,2,FALSE)/12*1000*Study_MW,0)</f>
        <v>0</v>
      </c>
      <c r="E151" s="88">
        <f t="shared" si="41"/>
        <v>2107993.523432821</v>
      </c>
      <c r="F151" s="92">
        <v>63240</v>
      </c>
      <c r="G151" s="93">
        <f t="shared" si="42"/>
        <v>33.333230920822594</v>
      </c>
      <c r="I151" s="94">
        <f t="shared" si="39"/>
        <v>20</v>
      </c>
      <c r="J151" s="90">
        <f t="shared" si="43"/>
        <v>2029</v>
      </c>
      <c r="K151" s="95">
        <f t="shared" si="36"/>
        <v>47300</v>
      </c>
    </row>
    <row r="152" spans="2:11" outlineLevel="1">
      <c r="B152" s="95">
        <f t="shared" si="40"/>
        <v>47331</v>
      </c>
      <c r="C152" s="92">
        <v>2459083.0890426338</v>
      </c>
      <c r="D152" s="88">
        <f>IF(F152&lt;&gt;0,VLOOKUP($J152,'Table 1'!$B$13:$C$33,2,FALSE)/12*1000*Study_MW,0)</f>
        <v>0</v>
      </c>
      <c r="E152" s="88">
        <f t="shared" si="41"/>
        <v>2459083.0890426338</v>
      </c>
      <c r="F152" s="92">
        <v>63240</v>
      </c>
      <c r="G152" s="93">
        <f t="shared" si="42"/>
        <v>38.8849318317937</v>
      </c>
      <c r="I152" s="94">
        <f t="shared" si="39"/>
        <v>21</v>
      </c>
      <c r="J152" s="90">
        <f t="shared" si="43"/>
        <v>2029</v>
      </c>
      <c r="K152" s="95">
        <f t="shared" si="36"/>
        <v>47331</v>
      </c>
    </row>
    <row r="153" spans="2:11" outlineLevel="1">
      <c r="B153" s="95">
        <f t="shared" si="40"/>
        <v>47362</v>
      </c>
      <c r="C153" s="92">
        <v>2277941.0952323675</v>
      </c>
      <c r="D153" s="88">
        <f>IF(F153&lt;&gt;0,VLOOKUP($J153,'Table 1'!$B$13:$C$33,2,FALSE)/12*1000*Study_MW,0)</f>
        <v>0</v>
      </c>
      <c r="E153" s="88">
        <f t="shared" si="41"/>
        <v>2277941.0952323675</v>
      </c>
      <c r="F153" s="92">
        <v>61200</v>
      </c>
      <c r="G153" s="93">
        <f t="shared" si="42"/>
        <v>37.221259726019078</v>
      </c>
      <c r="I153" s="94">
        <f t="shared" si="39"/>
        <v>22</v>
      </c>
      <c r="J153" s="90">
        <f t="shared" si="43"/>
        <v>2029</v>
      </c>
      <c r="K153" s="95">
        <f t="shared" si="36"/>
        <v>47362</v>
      </c>
    </row>
    <row r="154" spans="2:11" outlineLevel="1">
      <c r="B154" s="95">
        <f t="shared" si="40"/>
        <v>47392</v>
      </c>
      <c r="C154" s="92">
        <v>2111827.5219022632</v>
      </c>
      <c r="D154" s="88">
        <f>IF(F154&lt;&gt;0,VLOOKUP($J154,'Table 1'!$B$13:$C$33,2,FALSE)/12*1000*Study_MW,0)</f>
        <v>0</v>
      </c>
      <c r="E154" s="88">
        <f t="shared" si="41"/>
        <v>2111827.5219022632</v>
      </c>
      <c r="F154" s="92">
        <v>63240</v>
      </c>
      <c r="G154" s="93">
        <f t="shared" si="42"/>
        <v>33.393857082578478</v>
      </c>
      <c r="I154" s="94">
        <f t="shared" si="39"/>
        <v>23</v>
      </c>
      <c r="J154" s="90">
        <f t="shared" si="43"/>
        <v>2029</v>
      </c>
      <c r="K154" s="95">
        <f t="shared" ref="K154:K216" si="44">IF(ISNUMBER(F154),IF(F154&lt;&gt;0,B154,""),"")</f>
        <v>47392</v>
      </c>
    </row>
    <row r="155" spans="2:11" outlineLevel="1">
      <c r="B155" s="95">
        <f t="shared" si="40"/>
        <v>47423</v>
      </c>
      <c r="C155" s="92">
        <v>1903514.2580333352</v>
      </c>
      <c r="D155" s="88">
        <f>IF(F155&lt;&gt;0,VLOOKUP($J155,'Table 1'!$B$13:$C$33,2,FALSE)/12*1000*Study_MW,0)</f>
        <v>0</v>
      </c>
      <c r="E155" s="88">
        <f t="shared" si="41"/>
        <v>1903514.2580333352</v>
      </c>
      <c r="F155" s="92">
        <v>61200</v>
      </c>
      <c r="G155" s="93">
        <f t="shared" si="42"/>
        <v>31.103174150871489</v>
      </c>
      <c r="I155" s="94">
        <f t="shared" si="39"/>
        <v>24</v>
      </c>
      <c r="J155" s="90">
        <f t="shared" si="43"/>
        <v>2029</v>
      </c>
      <c r="K155" s="95">
        <f t="shared" si="44"/>
        <v>47423</v>
      </c>
    </row>
    <row r="156" spans="2:11" outlineLevel="1">
      <c r="B156" s="99">
        <f t="shared" si="40"/>
        <v>47453</v>
      </c>
      <c r="C156" s="96">
        <v>2124026.338349551</v>
      </c>
      <c r="D156" s="97">
        <f>IF(F156&lt;&gt;0,VLOOKUP($J156,'Table 1'!$B$13:$C$33,2,FALSE)/12*1000*Study_MW,0)</f>
        <v>0</v>
      </c>
      <c r="E156" s="97">
        <f t="shared" si="41"/>
        <v>2124026.338349551</v>
      </c>
      <c r="F156" s="96">
        <v>63240</v>
      </c>
      <c r="G156" s="98">
        <f t="shared" si="42"/>
        <v>33.586754243351535</v>
      </c>
      <c r="I156" s="81">
        <f t="shared" si="39"/>
        <v>25</v>
      </c>
      <c r="J156" s="90">
        <f t="shared" si="43"/>
        <v>2029</v>
      </c>
      <c r="K156" s="99">
        <f t="shared" si="44"/>
        <v>47453</v>
      </c>
    </row>
    <row r="157" spans="2:11" outlineLevel="1">
      <c r="B157" s="91">
        <f t="shared" si="40"/>
        <v>47484</v>
      </c>
      <c r="C157" s="86">
        <v>2251958.7767523229</v>
      </c>
      <c r="D157" s="87">
        <f>IF(F157&lt;&gt;0,VLOOKUP($J157,'Table 1'!$B$13:$C$33,2,FALSE)/12*1000*Study_MW,0)</f>
        <v>0</v>
      </c>
      <c r="E157" s="87">
        <f t="shared" si="41"/>
        <v>2251958.7767523229</v>
      </c>
      <c r="F157" s="86">
        <v>63240</v>
      </c>
      <c r="G157" s="89">
        <f t="shared" si="42"/>
        <v>35.609721327519338</v>
      </c>
      <c r="I157" s="77">
        <f>I37</f>
        <v>27</v>
      </c>
      <c r="J157" s="90">
        <f t="shared" si="43"/>
        <v>2030</v>
      </c>
      <c r="K157" s="91">
        <f t="shared" si="44"/>
        <v>47484</v>
      </c>
    </row>
    <row r="158" spans="2:11" outlineLevel="1">
      <c r="B158" s="95">
        <f t="shared" si="40"/>
        <v>47515</v>
      </c>
      <c r="C158" s="92">
        <v>2014693.3012287915</v>
      </c>
      <c r="D158" s="88">
        <f>IF(F158&lt;&gt;0,VLOOKUP($J158,'Table 1'!$B$13:$C$33,2,FALSE)/12*1000*Study_MW,0)</f>
        <v>0</v>
      </c>
      <c r="E158" s="88">
        <f t="shared" si="41"/>
        <v>2014693.3012287915</v>
      </c>
      <c r="F158" s="92">
        <v>57120</v>
      </c>
      <c r="G158" s="93">
        <f t="shared" si="42"/>
        <v>35.271241268011053</v>
      </c>
      <c r="I158" s="94">
        <f t="shared" si="39"/>
        <v>28</v>
      </c>
      <c r="J158" s="90">
        <f t="shared" si="43"/>
        <v>2030</v>
      </c>
      <c r="K158" s="95">
        <f t="shared" si="44"/>
        <v>47515</v>
      </c>
    </row>
    <row r="159" spans="2:11" outlineLevel="1">
      <c r="B159" s="95">
        <f t="shared" si="40"/>
        <v>47543</v>
      </c>
      <c r="C159" s="92">
        <v>2103689.1328816712</v>
      </c>
      <c r="D159" s="88">
        <f>IF(F159&lt;&gt;0,VLOOKUP($J159,'Table 1'!$B$13:$C$33,2,FALSE)/12*1000*Study_MW,0)</f>
        <v>0</v>
      </c>
      <c r="E159" s="88">
        <f t="shared" si="41"/>
        <v>2103689.1328816712</v>
      </c>
      <c r="F159" s="92">
        <v>63240</v>
      </c>
      <c r="G159" s="93">
        <f t="shared" si="42"/>
        <v>33.265166554106123</v>
      </c>
      <c r="I159" s="94">
        <f t="shared" si="39"/>
        <v>29</v>
      </c>
      <c r="J159" s="90">
        <f t="shared" si="43"/>
        <v>2030</v>
      </c>
      <c r="K159" s="95">
        <f t="shared" si="44"/>
        <v>47543</v>
      </c>
    </row>
    <row r="160" spans="2:11" outlineLevel="1">
      <c r="B160" s="95">
        <f t="shared" si="40"/>
        <v>47574</v>
      </c>
      <c r="C160" s="92">
        <v>1914006.7878303826</v>
      </c>
      <c r="D160" s="88">
        <f>IF(F160&lt;&gt;0,VLOOKUP($J160,'Table 1'!$B$13:$C$33,2,FALSE)/12*1000*Study_MW,0)</f>
        <v>0</v>
      </c>
      <c r="E160" s="88">
        <f t="shared" si="41"/>
        <v>1914006.7878303826</v>
      </c>
      <c r="F160" s="92">
        <v>61200</v>
      </c>
      <c r="G160" s="93">
        <f t="shared" si="42"/>
        <v>31.274620716182721</v>
      </c>
      <c r="I160" s="94">
        <f t="shared" si="39"/>
        <v>30</v>
      </c>
      <c r="J160" s="90">
        <f t="shared" si="43"/>
        <v>2030</v>
      </c>
      <c r="K160" s="95">
        <f t="shared" si="44"/>
        <v>47574</v>
      </c>
    </row>
    <row r="161" spans="2:11" outlineLevel="1">
      <c r="B161" s="95">
        <f t="shared" si="40"/>
        <v>47604</v>
      </c>
      <c r="C161" s="92">
        <v>1966171.2139518559</v>
      </c>
      <c r="D161" s="88">
        <f>IF(F161&lt;&gt;0,VLOOKUP($J161,'Table 1'!$B$13:$C$33,2,FALSE)/12*1000*Study_MW,0)</f>
        <v>0</v>
      </c>
      <c r="E161" s="88">
        <f t="shared" si="41"/>
        <v>1966171.2139518559</v>
      </c>
      <c r="F161" s="92">
        <v>63240</v>
      </c>
      <c r="G161" s="93">
        <f t="shared" si="42"/>
        <v>31.090626406575836</v>
      </c>
      <c r="I161" s="94">
        <f t="shared" si="39"/>
        <v>31</v>
      </c>
      <c r="J161" s="90">
        <f t="shared" si="43"/>
        <v>2030</v>
      </c>
      <c r="K161" s="95">
        <f t="shared" si="44"/>
        <v>47604</v>
      </c>
    </row>
    <row r="162" spans="2:11" outlineLevel="1">
      <c r="B162" s="95">
        <f t="shared" si="40"/>
        <v>47635</v>
      </c>
      <c r="C162" s="92">
        <v>1964469.876475811</v>
      </c>
      <c r="D162" s="88">
        <f>IF(F162&lt;&gt;0,VLOOKUP($J162,'Table 1'!$B$13:$C$33,2,FALSE)/12*1000*Study_MW,0)</f>
        <v>0</v>
      </c>
      <c r="E162" s="88">
        <f t="shared" si="41"/>
        <v>1964469.876475811</v>
      </c>
      <c r="F162" s="92">
        <v>61200</v>
      </c>
      <c r="G162" s="93">
        <f t="shared" si="42"/>
        <v>32.099180988166843</v>
      </c>
      <c r="I162" s="94">
        <f t="shared" si="39"/>
        <v>32</v>
      </c>
      <c r="J162" s="90">
        <f t="shared" si="43"/>
        <v>2030</v>
      </c>
      <c r="K162" s="95">
        <f t="shared" si="44"/>
        <v>47635</v>
      </c>
    </row>
    <row r="163" spans="2:11" outlineLevel="1">
      <c r="B163" s="95">
        <f t="shared" si="40"/>
        <v>47665</v>
      </c>
      <c r="C163" s="92">
        <v>2385504.438005656</v>
      </c>
      <c r="D163" s="88">
        <f>IF(F163&lt;&gt;0,VLOOKUP($J163,'Table 1'!$B$13:$C$33,2,FALSE)/12*1000*Study_MW,0)</f>
        <v>0</v>
      </c>
      <c r="E163" s="88">
        <f t="shared" si="41"/>
        <v>2385504.438005656</v>
      </c>
      <c r="F163" s="92">
        <v>63240</v>
      </c>
      <c r="G163" s="93">
        <f t="shared" si="42"/>
        <v>37.721449051322836</v>
      </c>
      <c r="I163" s="94">
        <f t="shared" si="39"/>
        <v>33</v>
      </c>
      <c r="J163" s="90">
        <f t="shared" si="43"/>
        <v>2030</v>
      </c>
      <c r="K163" s="95">
        <f t="shared" si="44"/>
        <v>47665</v>
      </c>
    </row>
    <row r="164" spans="2:11" outlineLevel="1">
      <c r="B164" s="95">
        <f t="shared" si="40"/>
        <v>47696</v>
      </c>
      <c r="C164" s="92">
        <v>2664188.5344980955</v>
      </c>
      <c r="D164" s="88">
        <f>IF(F164&lt;&gt;0,VLOOKUP($J164,'Table 1'!$B$13:$C$33,2,FALSE)/12*1000*Study_MW,0)</f>
        <v>0</v>
      </c>
      <c r="E164" s="88">
        <f t="shared" si="41"/>
        <v>2664188.5344980955</v>
      </c>
      <c r="F164" s="92">
        <v>63240</v>
      </c>
      <c r="G164" s="93">
        <f t="shared" si="42"/>
        <v>42.128218445573935</v>
      </c>
      <c r="I164" s="94">
        <f t="shared" si="39"/>
        <v>34</v>
      </c>
      <c r="J164" s="90">
        <f t="shared" si="43"/>
        <v>2030</v>
      </c>
      <c r="K164" s="95">
        <f t="shared" si="44"/>
        <v>47696</v>
      </c>
    </row>
    <row r="165" spans="2:11" outlineLevel="1">
      <c r="B165" s="95">
        <f t="shared" si="40"/>
        <v>47727</v>
      </c>
      <c r="C165" s="92">
        <v>2557033.441272378</v>
      </c>
      <c r="D165" s="88">
        <f>IF(F165&lt;&gt;0,VLOOKUP($J165,'Table 1'!$B$13:$C$33,2,FALSE)/12*1000*Study_MW,0)</f>
        <v>0</v>
      </c>
      <c r="E165" s="88">
        <f t="shared" si="41"/>
        <v>2557033.441272378</v>
      </c>
      <c r="F165" s="92">
        <v>61200</v>
      </c>
      <c r="G165" s="93">
        <f t="shared" si="42"/>
        <v>41.781592177653238</v>
      </c>
      <c r="I165" s="94">
        <f t="shared" si="39"/>
        <v>35</v>
      </c>
      <c r="J165" s="90">
        <f t="shared" si="43"/>
        <v>2030</v>
      </c>
      <c r="K165" s="95">
        <f t="shared" si="44"/>
        <v>47727</v>
      </c>
    </row>
    <row r="166" spans="2:11" outlineLevel="1">
      <c r="B166" s="95">
        <f t="shared" si="40"/>
        <v>47757</v>
      </c>
      <c r="C166" s="92">
        <v>2364215.0058054328</v>
      </c>
      <c r="D166" s="88">
        <f>IF(F166&lt;&gt;0,VLOOKUP($J166,'Table 1'!$B$13:$C$33,2,FALSE)/12*1000*Study_MW,0)</f>
        <v>0</v>
      </c>
      <c r="E166" s="88">
        <f t="shared" si="41"/>
        <v>2364215.0058054328</v>
      </c>
      <c r="F166" s="92">
        <v>63240</v>
      </c>
      <c r="G166" s="93">
        <f t="shared" si="42"/>
        <v>37.384804013368637</v>
      </c>
      <c r="I166" s="94">
        <f t="shared" si="39"/>
        <v>36</v>
      </c>
      <c r="J166" s="90">
        <f t="shared" si="43"/>
        <v>2030</v>
      </c>
      <c r="K166" s="95">
        <f t="shared" si="44"/>
        <v>47757</v>
      </c>
    </row>
    <row r="167" spans="2:11" outlineLevel="1">
      <c r="B167" s="95">
        <f t="shared" si="40"/>
        <v>47788</v>
      </c>
      <c r="C167" s="92">
        <v>2052249.4478693902</v>
      </c>
      <c r="D167" s="88">
        <f>IF(F167&lt;&gt;0,VLOOKUP($J167,'Table 1'!$B$13:$C$33,2,FALSE)/12*1000*Study_MW,0)</f>
        <v>0</v>
      </c>
      <c r="E167" s="88">
        <f t="shared" si="41"/>
        <v>2052249.4478693902</v>
      </c>
      <c r="F167" s="92">
        <v>61200</v>
      </c>
      <c r="G167" s="93">
        <f t="shared" si="42"/>
        <v>33.533487710284156</v>
      </c>
      <c r="I167" s="94">
        <f t="shared" si="39"/>
        <v>37</v>
      </c>
      <c r="J167" s="90">
        <f t="shared" si="43"/>
        <v>2030</v>
      </c>
      <c r="K167" s="95">
        <f t="shared" si="44"/>
        <v>47788</v>
      </c>
    </row>
    <row r="168" spans="2:11" outlineLevel="1">
      <c r="B168" s="99">
        <f t="shared" si="40"/>
        <v>47818</v>
      </c>
      <c r="C168" s="96">
        <v>2374406.8483512998</v>
      </c>
      <c r="D168" s="97">
        <f>IF(F168&lt;&gt;0,VLOOKUP($J168,'Table 1'!$B$13:$C$33,2,FALSE)/12*1000*Study_MW,0)</f>
        <v>0</v>
      </c>
      <c r="E168" s="97">
        <f t="shared" si="41"/>
        <v>2374406.8483512998</v>
      </c>
      <c r="F168" s="96">
        <v>63240</v>
      </c>
      <c r="G168" s="98">
        <f t="shared" si="42"/>
        <v>37.545965343948446</v>
      </c>
      <c r="I168" s="81">
        <f t="shared" si="39"/>
        <v>38</v>
      </c>
      <c r="J168" s="90">
        <f t="shared" si="43"/>
        <v>2030</v>
      </c>
      <c r="K168" s="99">
        <f t="shared" si="44"/>
        <v>47818</v>
      </c>
    </row>
    <row r="169" spans="2:11" outlineLevel="1">
      <c r="B169" s="91">
        <f t="shared" si="40"/>
        <v>47849</v>
      </c>
      <c r="C169" s="86">
        <v>2347988.5673078001</v>
      </c>
      <c r="D169" s="87">
        <f>IF(F169&lt;&gt;0,VLOOKUP($J169,'Table 1'!$B$13:$C$33,2,FALSE)/12*1000*Study_MW,0)</f>
        <v>0</v>
      </c>
      <c r="E169" s="87">
        <f t="shared" si="41"/>
        <v>2347988.5673078001</v>
      </c>
      <c r="F169" s="86">
        <v>63240</v>
      </c>
      <c r="G169" s="89">
        <f t="shared" si="42"/>
        <v>37.128218964386463</v>
      </c>
      <c r="I169" s="77">
        <f>I49</f>
        <v>40</v>
      </c>
      <c r="J169" s="90">
        <f t="shared" si="43"/>
        <v>2031</v>
      </c>
      <c r="K169" s="91">
        <f t="shared" si="44"/>
        <v>47849</v>
      </c>
    </row>
    <row r="170" spans="2:11" outlineLevel="1">
      <c r="B170" s="95">
        <f t="shared" si="40"/>
        <v>47880</v>
      </c>
      <c r="C170" s="92">
        <v>2111054.2828925252</v>
      </c>
      <c r="D170" s="88">
        <f>IF(F170&lt;&gt;0,VLOOKUP($J170,'Table 1'!$B$13:$C$33,2,FALSE)/12*1000*Study_MW,0)</f>
        <v>0</v>
      </c>
      <c r="E170" s="88">
        <f t="shared" si="41"/>
        <v>2111054.2828925252</v>
      </c>
      <c r="F170" s="92">
        <v>57120</v>
      </c>
      <c r="G170" s="93">
        <f t="shared" si="42"/>
        <v>36.958233243916759</v>
      </c>
      <c r="I170" s="94">
        <f t="shared" si="39"/>
        <v>41</v>
      </c>
      <c r="J170" s="90">
        <f t="shared" si="43"/>
        <v>2031</v>
      </c>
      <c r="K170" s="95">
        <f t="shared" si="44"/>
        <v>47880</v>
      </c>
    </row>
    <row r="171" spans="2:11" outlineLevel="1">
      <c r="B171" s="95">
        <f t="shared" si="40"/>
        <v>47908</v>
      </c>
      <c r="C171" s="92">
        <v>2193081.2012466192</v>
      </c>
      <c r="D171" s="88">
        <f>IF(F171&lt;&gt;0,VLOOKUP($J171,'Table 1'!$B$13:$C$33,2,FALSE)/12*1000*Study_MW,0)</f>
        <v>0</v>
      </c>
      <c r="E171" s="88">
        <f t="shared" si="41"/>
        <v>2193081.2012466192</v>
      </c>
      <c r="F171" s="92">
        <v>63240</v>
      </c>
      <c r="G171" s="93">
        <f t="shared" si="42"/>
        <v>34.678703372021175</v>
      </c>
      <c r="I171" s="94">
        <f t="shared" si="39"/>
        <v>42</v>
      </c>
      <c r="J171" s="90">
        <f t="shared" si="43"/>
        <v>2031</v>
      </c>
      <c r="K171" s="95">
        <f t="shared" si="44"/>
        <v>47908</v>
      </c>
    </row>
    <row r="172" spans="2:11" outlineLevel="1">
      <c r="B172" s="95">
        <f t="shared" si="40"/>
        <v>47939</v>
      </c>
      <c r="C172" s="92">
        <v>2059179.4302891195</v>
      </c>
      <c r="D172" s="88">
        <f>IF(F172&lt;&gt;0,VLOOKUP($J172,'Table 1'!$B$13:$C$33,2,FALSE)/12*1000*Study_MW,0)</f>
        <v>0</v>
      </c>
      <c r="E172" s="88">
        <f t="shared" si="41"/>
        <v>2059179.4302891195</v>
      </c>
      <c r="F172" s="92">
        <v>61200</v>
      </c>
      <c r="G172" s="93">
        <f t="shared" si="42"/>
        <v>33.646722717142474</v>
      </c>
      <c r="I172" s="94">
        <f t="shared" si="39"/>
        <v>43</v>
      </c>
      <c r="J172" s="90">
        <f t="shared" si="43"/>
        <v>2031</v>
      </c>
      <c r="K172" s="95">
        <f t="shared" si="44"/>
        <v>47939</v>
      </c>
    </row>
    <row r="173" spans="2:11" outlineLevel="1">
      <c r="B173" s="95">
        <f t="shared" si="40"/>
        <v>47969</v>
      </c>
      <c r="C173" s="92">
        <v>2030257.3504362106</v>
      </c>
      <c r="D173" s="88">
        <f>IF(F173&lt;&gt;0,VLOOKUP($J173,'Table 1'!$B$13:$C$33,2,FALSE)/12*1000*Study_MW,0)</f>
        <v>0</v>
      </c>
      <c r="E173" s="88">
        <f t="shared" si="41"/>
        <v>2030257.3504362106</v>
      </c>
      <c r="F173" s="92">
        <v>63240</v>
      </c>
      <c r="G173" s="93">
        <f t="shared" si="42"/>
        <v>32.10400617388062</v>
      </c>
      <c r="I173" s="94">
        <f t="shared" si="39"/>
        <v>44</v>
      </c>
      <c r="J173" s="90">
        <f t="shared" si="43"/>
        <v>2031</v>
      </c>
      <c r="K173" s="95">
        <f t="shared" si="44"/>
        <v>47969</v>
      </c>
    </row>
    <row r="174" spans="2:11" outlineLevel="1">
      <c r="B174" s="95">
        <f t="shared" si="40"/>
        <v>48000</v>
      </c>
      <c r="C174" s="92">
        <v>2111397.9910703599</v>
      </c>
      <c r="D174" s="88">
        <f>IF(F174&lt;&gt;0,VLOOKUP($J174,'Table 1'!$B$13:$C$33,2,FALSE)/12*1000*Study_MW,0)</f>
        <v>0</v>
      </c>
      <c r="E174" s="88">
        <f t="shared" si="41"/>
        <v>2111397.9910703599</v>
      </c>
      <c r="F174" s="92">
        <v>61200</v>
      </c>
      <c r="G174" s="93">
        <f t="shared" si="42"/>
        <v>34.499967174352285</v>
      </c>
      <c r="I174" s="94">
        <f t="shared" si="39"/>
        <v>45</v>
      </c>
      <c r="J174" s="90">
        <f t="shared" si="43"/>
        <v>2031</v>
      </c>
      <c r="K174" s="95">
        <f t="shared" si="44"/>
        <v>48000</v>
      </c>
    </row>
    <row r="175" spans="2:11" outlineLevel="1">
      <c r="B175" s="95">
        <f t="shared" si="40"/>
        <v>48030</v>
      </c>
      <c r="C175" s="92">
        <v>2530573.6709811389</v>
      </c>
      <c r="D175" s="88">
        <f>IF(F175&lt;&gt;0,VLOOKUP($J175,'Table 1'!$B$13:$C$33,2,FALSE)/12*1000*Study_MW,0)</f>
        <v>0</v>
      </c>
      <c r="E175" s="88">
        <f t="shared" si="41"/>
        <v>2530573.6709811389</v>
      </c>
      <c r="F175" s="92">
        <v>63240</v>
      </c>
      <c r="G175" s="93">
        <f t="shared" si="42"/>
        <v>40.015396441826994</v>
      </c>
      <c r="I175" s="94">
        <f t="shared" si="39"/>
        <v>46</v>
      </c>
      <c r="J175" s="90">
        <f t="shared" si="43"/>
        <v>2031</v>
      </c>
      <c r="K175" s="95">
        <f t="shared" si="44"/>
        <v>48030</v>
      </c>
    </row>
    <row r="176" spans="2:11" outlineLevel="1">
      <c r="B176" s="95">
        <f t="shared" si="40"/>
        <v>48061</v>
      </c>
      <c r="C176" s="92">
        <v>2750231.098739028</v>
      </c>
      <c r="D176" s="88">
        <f>IF(F176&lt;&gt;0,VLOOKUP($J176,'Table 1'!$B$13:$C$33,2,FALSE)/12*1000*Study_MW,0)</f>
        <v>0</v>
      </c>
      <c r="E176" s="88">
        <f t="shared" si="41"/>
        <v>2750231.098739028</v>
      </c>
      <c r="F176" s="92">
        <v>63240</v>
      </c>
      <c r="G176" s="93">
        <f t="shared" si="42"/>
        <v>43.488790302641178</v>
      </c>
      <c r="I176" s="94">
        <f t="shared" si="39"/>
        <v>47</v>
      </c>
      <c r="J176" s="90">
        <f t="shared" si="43"/>
        <v>2031</v>
      </c>
      <c r="K176" s="95">
        <f t="shared" si="44"/>
        <v>48061</v>
      </c>
    </row>
    <row r="177" spans="2:11" outlineLevel="1">
      <c r="B177" s="95">
        <f t="shared" si="40"/>
        <v>48092</v>
      </c>
      <c r="C177" s="92">
        <v>2680928.8850754201</v>
      </c>
      <c r="D177" s="88">
        <f>IF(F177&lt;&gt;0,VLOOKUP($J177,'Table 1'!$B$13:$C$33,2,FALSE)/12*1000*Study_MW,0)</f>
        <v>0</v>
      </c>
      <c r="E177" s="88">
        <f t="shared" si="41"/>
        <v>2680928.8850754201</v>
      </c>
      <c r="F177" s="92">
        <v>61200</v>
      </c>
      <c r="G177" s="93">
        <f t="shared" si="42"/>
        <v>43.806027533912093</v>
      </c>
      <c r="I177" s="94">
        <f t="shared" si="39"/>
        <v>48</v>
      </c>
      <c r="J177" s="90">
        <f t="shared" si="43"/>
        <v>2031</v>
      </c>
      <c r="K177" s="95">
        <f t="shared" si="44"/>
        <v>48092</v>
      </c>
    </row>
    <row r="178" spans="2:11" outlineLevel="1">
      <c r="B178" s="95">
        <f t="shared" si="40"/>
        <v>48122</v>
      </c>
      <c r="C178" s="92">
        <v>2364751.6184011698</v>
      </c>
      <c r="D178" s="88">
        <f>IF(F178&lt;&gt;0,VLOOKUP($J178,'Table 1'!$B$13:$C$33,2,FALSE)/12*1000*Study_MW,0)</f>
        <v>0</v>
      </c>
      <c r="E178" s="88">
        <f t="shared" si="41"/>
        <v>2364751.6184011698</v>
      </c>
      <c r="F178" s="92">
        <v>63240</v>
      </c>
      <c r="G178" s="93">
        <f t="shared" si="42"/>
        <v>37.393289348532093</v>
      </c>
      <c r="I178" s="94">
        <f t="shared" si="39"/>
        <v>49</v>
      </c>
      <c r="J178" s="90">
        <f t="shared" si="43"/>
        <v>2031</v>
      </c>
      <c r="K178" s="95">
        <f t="shared" si="44"/>
        <v>48122</v>
      </c>
    </row>
    <row r="179" spans="2:11" outlineLevel="1">
      <c r="B179" s="95">
        <f t="shared" si="40"/>
        <v>48153</v>
      </c>
      <c r="C179" s="92">
        <v>2167112.1148368418</v>
      </c>
      <c r="D179" s="88">
        <f>IF(F179&lt;&gt;0,VLOOKUP($J179,'Table 1'!$B$13:$C$33,2,FALSE)/12*1000*Study_MW,0)</f>
        <v>0</v>
      </c>
      <c r="E179" s="88">
        <f t="shared" si="41"/>
        <v>2167112.1148368418</v>
      </c>
      <c r="F179" s="92">
        <v>61200</v>
      </c>
      <c r="G179" s="93">
        <f t="shared" si="42"/>
        <v>35.410328673804607</v>
      </c>
      <c r="I179" s="94">
        <f t="shared" si="39"/>
        <v>50</v>
      </c>
      <c r="J179" s="90">
        <f t="shared" si="43"/>
        <v>2031</v>
      </c>
      <c r="K179" s="95">
        <f t="shared" si="44"/>
        <v>48153</v>
      </c>
    </row>
    <row r="180" spans="2:11" outlineLevel="1">
      <c r="B180" s="99">
        <f t="shared" si="40"/>
        <v>48183</v>
      </c>
      <c r="C180" s="96">
        <v>2547147.0707283914</v>
      </c>
      <c r="D180" s="97">
        <f>IF(F180&lt;&gt;0,VLOOKUP($J180,'Table 1'!$B$13:$C$33,2,FALSE)/12*1000*Study_MW,0)</f>
        <v>0</v>
      </c>
      <c r="E180" s="97">
        <f t="shared" si="41"/>
        <v>2547147.0707283914</v>
      </c>
      <c r="F180" s="96">
        <v>63240</v>
      </c>
      <c r="G180" s="98">
        <f t="shared" si="42"/>
        <v>40.277467911581141</v>
      </c>
      <c r="I180" s="81">
        <f t="shared" si="39"/>
        <v>51</v>
      </c>
      <c r="J180" s="90">
        <f t="shared" si="43"/>
        <v>2031</v>
      </c>
      <c r="K180" s="99">
        <f t="shared" si="44"/>
        <v>48183</v>
      </c>
    </row>
    <row r="181" spans="2:11" outlineLevel="1" collapsed="1">
      <c r="B181" s="91">
        <f t="shared" si="40"/>
        <v>48214</v>
      </c>
      <c r="C181" s="86">
        <v>2527714.5475499928</v>
      </c>
      <c r="D181" s="87">
        <f>IF(F181&lt;&gt;0,VLOOKUP($J181,'Table 1'!$B$13:$C$33,2,FALSE)/12*1000*Study_MW,0)</f>
        <v>0</v>
      </c>
      <c r="E181" s="87">
        <f t="shared" si="41"/>
        <v>2527714.5475499928</v>
      </c>
      <c r="F181" s="86">
        <v>63240</v>
      </c>
      <c r="G181" s="89">
        <f t="shared" si="42"/>
        <v>39.970185761385082</v>
      </c>
      <c r="I181" s="77">
        <f>I61</f>
        <v>53</v>
      </c>
      <c r="J181" s="90">
        <f t="shared" si="43"/>
        <v>2032</v>
      </c>
      <c r="K181" s="91">
        <f t="shared" si="44"/>
        <v>48214</v>
      </c>
    </row>
    <row r="182" spans="2:11" outlineLevel="1">
      <c r="B182" s="95">
        <f t="shared" si="40"/>
        <v>48245</v>
      </c>
      <c r="C182" s="92">
        <v>2267676.2872241139</v>
      </c>
      <c r="D182" s="88">
        <f>IF(F182&lt;&gt;0,VLOOKUP($J182,'Table 1'!$B$13:$C$33,2,FALSE)/12*1000*Study_MW,0)</f>
        <v>0</v>
      </c>
      <c r="E182" s="88">
        <f t="shared" si="41"/>
        <v>2267676.2872241139</v>
      </c>
      <c r="F182" s="92">
        <v>59160</v>
      </c>
      <c r="G182" s="93">
        <f t="shared" si="42"/>
        <v>38.331242177554323</v>
      </c>
      <c r="I182" s="94">
        <f t="shared" si="39"/>
        <v>54</v>
      </c>
      <c r="J182" s="90">
        <f t="shared" si="43"/>
        <v>2032</v>
      </c>
      <c r="K182" s="95">
        <f t="shared" si="44"/>
        <v>48245</v>
      </c>
    </row>
    <row r="183" spans="2:11" outlineLevel="1">
      <c r="B183" s="95">
        <f t="shared" si="40"/>
        <v>48274</v>
      </c>
      <c r="C183" s="92">
        <v>2285413.720756948</v>
      </c>
      <c r="D183" s="88">
        <f>IF(F183&lt;&gt;0,VLOOKUP($J183,'Table 1'!$B$13:$C$33,2,FALSE)/12*1000*Study_MW,0)</f>
        <v>0</v>
      </c>
      <c r="E183" s="88">
        <f t="shared" si="41"/>
        <v>2285413.720756948</v>
      </c>
      <c r="F183" s="92">
        <v>63240</v>
      </c>
      <c r="G183" s="93">
        <f t="shared" si="42"/>
        <v>36.138736887364772</v>
      </c>
      <c r="I183" s="94">
        <f t="shared" si="39"/>
        <v>55</v>
      </c>
      <c r="J183" s="90">
        <f t="shared" si="43"/>
        <v>2032</v>
      </c>
      <c r="K183" s="95">
        <f t="shared" si="44"/>
        <v>48274</v>
      </c>
    </row>
    <row r="184" spans="2:11" outlineLevel="1">
      <c r="B184" s="95">
        <f t="shared" si="40"/>
        <v>48305</v>
      </c>
      <c r="C184" s="92">
        <v>2205053.2704800963</v>
      </c>
      <c r="D184" s="88">
        <f>IF(F184&lt;&gt;0,VLOOKUP($J184,'Table 1'!$B$13:$C$33,2,FALSE)/12*1000*Study_MW,0)</f>
        <v>0</v>
      </c>
      <c r="E184" s="88">
        <f t="shared" si="41"/>
        <v>2205053.2704800963</v>
      </c>
      <c r="F184" s="92">
        <v>61200</v>
      </c>
      <c r="G184" s="93">
        <f t="shared" si="42"/>
        <v>36.030282197387194</v>
      </c>
      <c r="I184" s="94">
        <f t="shared" si="39"/>
        <v>56</v>
      </c>
      <c r="J184" s="90">
        <f t="shared" si="43"/>
        <v>2032</v>
      </c>
      <c r="K184" s="95">
        <f t="shared" si="44"/>
        <v>48305</v>
      </c>
    </row>
    <row r="185" spans="2:11" outlineLevel="1">
      <c r="B185" s="95">
        <f t="shared" si="40"/>
        <v>48335</v>
      </c>
      <c r="C185" s="92">
        <v>2131824.3719224334</v>
      </c>
      <c r="D185" s="88">
        <f>IF(F185&lt;&gt;0,VLOOKUP($J185,'Table 1'!$B$13:$C$33,2,FALSE)/12*1000*Study_MW,0)</f>
        <v>0</v>
      </c>
      <c r="E185" s="88">
        <f t="shared" si="41"/>
        <v>2131824.3719224334</v>
      </c>
      <c r="F185" s="92">
        <v>63240</v>
      </c>
      <c r="G185" s="93">
        <f t="shared" si="42"/>
        <v>33.710062807122604</v>
      </c>
      <c r="I185" s="94">
        <f t="shared" si="39"/>
        <v>57</v>
      </c>
      <c r="J185" s="90">
        <f t="shared" si="43"/>
        <v>2032</v>
      </c>
      <c r="K185" s="95">
        <f t="shared" si="44"/>
        <v>48335</v>
      </c>
    </row>
    <row r="186" spans="2:11" outlineLevel="1">
      <c r="B186" s="95">
        <f t="shared" si="40"/>
        <v>48366</v>
      </c>
      <c r="C186" s="92">
        <v>2232784.9463326335</v>
      </c>
      <c r="D186" s="88">
        <f>IF(F186&lt;&gt;0,VLOOKUP($J186,'Table 1'!$B$13:$C$33,2,FALSE)/12*1000*Study_MW,0)</f>
        <v>0</v>
      </c>
      <c r="E186" s="88">
        <f t="shared" si="41"/>
        <v>2232784.9463326335</v>
      </c>
      <c r="F186" s="92">
        <v>61200</v>
      </c>
      <c r="G186" s="93">
        <f t="shared" si="42"/>
        <v>36.483414155761984</v>
      </c>
      <c r="I186" s="94">
        <f t="shared" si="39"/>
        <v>58</v>
      </c>
      <c r="J186" s="90">
        <f t="shared" si="43"/>
        <v>2032</v>
      </c>
      <c r="K186" s="95">
        <f t="shared" si="44"/>
        <v>48366</v>
      </c>
    </row>
    <row r="187" spans="2:11" outlineLevel="1">
      <c r="B187" s="95">
        <f t="shared" si="40"/>
        <v>48396</v>
      </c>
      <c r="C187" s="92">
        <v>2640533.7161786556</v>
      </c>
      <c r="D187" s="88">
        <f>IF(F187&lt;&gt;0,VLOOKUP($J187,'Table 1'!$B$13:$C$33,2,FALSE)/12*1000*Study_MW,0)</f>
        <v>0</v>
      </c>
      <c r="E187" s="88">
        <f t="shared" si="41"/>
        <v>2640533.7161786556</v>
      </c>
      <c r="F187" s="92">
        <v>63240</v>
      </c>
      <c r="G187" s="93">
        <f t="shared" si="42"/>
        <v>41.754170085051477</v>
      </c>
      <c r="I187" s="94">
        <f t="shared" si="39"/>
        <v>59</v>
      </c>
      <c r="J187" s="90">
        <f t="shared" si="43"/>
        <v>2032</v>
      </c>
      <c r="K187" s="95">
        <f t="shared" si="44"/>
        <v>48396</v>
      </c>
    </row>
    <row r="188" spans="2:11" outlineLevel="1">
      <c r="B188" s="95">
        <f t="shared" si="40"/>
        <v>48427</v>
      </c>
      <c r="C188" s="92">
        <v>2835858.4116308093</v>
      </c>
      <c r="D188" s="88">
        <f>IF(F188&lt;&gt;0,VLOOKUP($J188,'Table 1'!$B$13:$C$33,2,FALSE)/12*1000*Study_MW,0)</f>
        <v>0</v>
      </c>
      <c r="E188" s="88">
        <f t="shared" si="41"/>
        <v>2835858.4116308093</v>
      </c>
      <c r="F188" s="92">
        <v>63240</v>
      </c>
      <c r="G188" s="93">
        <f t="shared" si="42"/>
        <v>44.842795882840122</v>
      </c>
      <c r="I188" s="94">
        <f t="shared" si="39"/>
        <v>60</v>
      </c>
      <c r="J188" s="90">
        <f t="shared" si="43"/>
        <v>2032</v>
      </c>
      <c r="K188" s="95">
        <f t="shared" si="44"/>
        <v>48427</v>
      </c>
    </row>
    <row r="189" spans="2:11" outlineLevel="1">
      <c r="B189" s="95">
        <f t="shared" si="40"/>
        <v>48458</v>
      </c>
      <c r="C189" s="92">
        <v>2799134.7373411357</v>
      </c>
      <c r="D189" s="88">
        <f>IF(F189&lt;&gt;0,VLOOKUP($J189,'Table 1'!$B$13:$C$33,2,FALSE)/12*1000*Study_MW,0)</f>
        <v>0</v>
      </c>
      <c r="E189" s="88">
        <f t="shared" si="41"/>
        <v>2799134.7373411357</v>
      </c>
      <c r="F189" s="92">
        <v>61200</v>
      </c>
      <c r="G189" s="93">
        <f t="shared" si="42"/>
        <v>45.73749570818849</v>
      </c>
      <c r="I189" s="94">
        <f t="shared" si="39"/>
        <v>61</v>
      </c>
      <c r="J189" s="90">
        <f t="shared" si="43"/>
        <v>2032</v>
      </c>
      <c r="K189" s="95">
        <f t="shared" si="44"/>
        <v>48458</v>
      </c>
    </row>
    <row r="190" spans="2:11" outlineLevel="1">
      <c r="B190" s="95">
        <f t="shared" si="40"/>
        <v>48488</v>
      </c>
      <c r="C190" s="92">
        <v>2460134.1357256174</v>
      </c>
      <c r="D190" s="88">
        <f>IF(F190&lt;&gt;0,VLOOKUP($J190,'Table 1'!$B$13:$C$33,2,FALSE)/12*1000*Study_MW,0)</f>
        <v>0</v>
      </c>
      <c r="E190" s="88">
        <f t="shared" si="41"/>
        <v>2460134.1357256174</v>
      </c>
      <c r="F190" s="92">
        <v>63240</v>
      </c>
      <c r="G190" s="93">
        <f t="shared" si="42"/>
        <v>38.901551798317797</v>
      </c>
      <c r="I190" s="94">
        <f t="shared" si="39"/>
        <v>62</v>
      </c>
      <c r="J190" s="90">
        <f t="shared" si="43"/>
        <v>2032</v>
      </c>
      <c r="K190" s="95">
        <f t="shared" si="44"/>
        <v>48488</v>
      </c>
    </row>
    <row r="191" spans="2:11" outlineLevel="1">
      <c r="B191" s="95">
        <f t="shared" si="40"/>
        <v>48519</v>
      </c>
      <c r="C191" s="92">
        <v>2288155.1830354929</v>
      </c>
      <c r="D191" s="88">
        <f>IF(F191&lt;&gt;0,VLOOKUP($J191,'Table 1'!$B$13:$C$33,2,FALSE)/12*1000*Study_MW,0)</f>
        <v>0</v>
      </c>
      <c r="E191" s="88">
        <f t="shared" si="41"/>
        <v>2288155.1830354929</v>
      </c>
      <c r="F191" s="92">
        <v>61200</v>
      </c>
      <c r="G191" s="93">
        <f t="shared" si="42"/>
        <v>37.388156585547272</v>
      </c>
      <c r="I191" s="94">
        <f t="shared" si="39"/>
        <v>63</v>
      </c>
      <c r="J191" s="90">
        <f t="shared" si="43"/>
        <v>2032</v>
      </c>
      <c r="K191" s="95">
        <f t="shared" si="44"/>
        <v>48519</v>
      </c>
    </row>
    <row r="192" spans="2:11" outlineLevel="1">
      <c r="B192" s="99">
        <f t="shared" si="40"/>
        <v>48549</v>
      </c>
      <c r="C192" s="96">
        <v>2605899.2559960485</v>
      </c>
      <c r="D192" s="97">
        <f>IF(F192&lt;&gt;0,VLOOKUP($J192,'Table 1'!$B$13:$C$33,2,FALSE)/12*1000*Study_MW,0)</f>
        <v>0</v>
      </c>
      <c r="E192" s="97">
        <f t="shared" si="41"/>
        <v>2605899.2559960485</v>
      </c>
      <c r="F192" s="96">
        <v>63240</v>
      </c>
      <c r="G192" s="98">
        <f t="shared" si="42"/>
        <v>41.20650309924175</v>
      </c>
      <c r="I192" s="81">
        <f t="shared" si="39"/>
        <v>64</v>
      </c>
      <c r="J192" s="90">
        <f t="shared" si="43"/>
        <v>2032</v>
      </c>
      <c r="K192" s="99">
        <f t="shared" si="44"/>
        <v>48549</v>
      </c>
    </row>
    <row r="193" spans="2:11">
      <c r="B193" s="91">
        <f t="shared" si="40"/>
        <v>48580</v>
      </c>
      <c r="C193" s="86">
        <v>2660961.8934926093</v>
      </c>
      <c r="D193" s="87">
        <f>IF(F193&lt;&gt;0,VLOOKUP($J193,'Table 1'!$B$13:$C$33,2,FALSE)/12*1000*Study_MW,0)</f>
        <v>0</v>
      </c>
      <c r="E193" s="87">
        <f t="shared" si="41"/>
        <v>2660961.8934926093</v>
      </c>
      <c r="F193" s="86">
        <v>63240</v>
      </c>
      <c r="G193" s="89">
        <f>IFERROR(E193/$F193,0)</f>
        <v>42.07719629178699</v>
      </c>
      <c r="I193" s="77">
        <f>I73</f>
        <v>66</v>
      </c>
      <c r="J193" s="90">
        <f t="shared" si="43"/>
        <v>2033</v>
      </c>
      <c r="K193" s="91">
        <f t="shared" si="44"/>
        <v>48580</v>
      </c>
    </row>
    <row r="194" spans="2:11">
      <c r="B194" s="95">
        <f t="shared" si="40"/>
        <v>48611</v>
      </c>
      <c r="C194" s="92">
        <v>2443271.5418185294</v>
      </c>
      <c r="D194" s="88">
        <f>IF(F194&lt;&gt;0,VLOOKUP($J194,'Table 1'!$B$13:$C$33,2,FALSE)/12*1000*Study_MW,0)</f>
        <v>0</v>
      </c>
      <c r="E194" s="88">
        <f t="shared" si="41"/>
        <v>2443271.5418185294</v>
      </c>
      <c r="F194" s="92">
        <v>57120</v>
      </c>
      <c r="G194" s="93">
        <f t="shared" ref="G194:G252" si="45">IFERROR(E194/$F194,0)</f>
        <v>42.774361726514869</v>
      </c>
      <c r="I194" s="94">
        <f t="shared" si="39"/>
        <v>67</v>
      </c>
      <c r="J194" s="90">
        <f t="shared" si="43"/>
        <v>2033</v>
      </c>
      <c r="K194" s="95">
        <f t="shared" si="44"/>
        <v>48611</v>
      </c>
    </row>
    <row r="195" spans="2:11">
      <c r="B195" s="95">
        <f t="shared" si="40"/>
        <v>48639</v>
      </c>
      <c r="C195" s="92">
        <v>2369645.948456645</v>
      </c>
      <c r="D195" s="88">
        <f>IF(F195&lt;&gt;0,VLOOKUP($J195,'Table 1'!$B$13:$C$33,2,FALSE)/12*1000*Study_MW,0)</f>
        <v>0</v>
      </c>
      <c r="E195" s="88">
        <f t="shared" si="41"/>
        <v>2369645.948456645</v>
      </c>
      <c r="F195" s="92">
        <v>63240</v>
      </c>
      <c r="G195" s="93">
        <f t="shared" si="45"/>
        <v>37.470682296910894</v>
      </c>
      <c r="I195" s="94">
        <f t="shared" si="39"/>
        <v>68</v>
      </c>
      <c r="J195" s="90">
        <f t="shared" si="43"/>
        <v>2033</v>
      </c>
      <c r="K195" s="95">
        <f t="shared" si="44"/>
        <v>48639</v>
      </c>
    </row>
    <row r="196" spans="2:11">
      <c r="B196" s="95">
        <f t="shared" si="40"/>
        <v>48670</v>
      </c>
      <c r="C196" s="92">
        <v>2357480.5719563067</v>
      </c>
      <c r="D196" s="88">
        <f>IF(F196&lt;&gt;0,VLOOKUP($J196,'Table 1'!$B$13:$C$33,2,FALSE)/12*1000*Study_MW,0)</f>
        <v>0</v>
      </c>
      <c r="E196" s="88">
        <f t="shared" si="41"/>
        <v>2357480.5719563067</v>
      </c>
      <c r="F196" s="92">
        <v>61200</v>
      </c>
      <c r="G196" s="93">
        <f t="shared" si="45"/>
        <v>38.520924378371028</v>
      </c>
      <c r="I196" s="94">
        <f t="shared" si="39"/>
        <v>69</v>
      </c>
      <c r="J196" s="90">
        <f t="shared" si="43"/>
        <v>2033</v>
      </c>
      <c r="K196" s="95">
        <f t="shared" si="44"/>
        <v>48670</v>
      </c>
    </row>
    <row r="197" spans="2:11">
      <c r="B197" s="95">
        <f t="shared" si="40"/>
        <v>48700</v>
      </c>
      <c r="C197" s="92">
        <v>2311998.4079421461</v>
      </c>
      <c r="D197" s="88">
        <f>IF(F197&lt;&gt;0,VLOOKUP($J197,'Table 1'!$B$13:$C$33,2,FALSE)/12*1000*Study_MW,0)</f>
        <v>0</v>
      </c>
      <c r="E197" s="88">
        <f t="shared" si="41"/>
        <v>2311998.4079421461</v>
      </c>
      <c r="F197" s="92">
        <v>63240</v>
      </c>
      <c r="G197" s="93">
        <f t="shared" si="45"/>
        <v>36.559114610090859</v>
      </c>
      <c r="I197" s="94">
        <f t="shared" si="39"/>
        <v>70</v>
      </c>
      <c r="J197" s="90">
        <f t="shared" si="43"/>
        <v>2033</v>
      </c>
      <c r="K197" s="95">
        <f t="shared" si="44"/>
        <v>48700</v>
      </c>
    </row>
    <row r="198" spans="2:11">
      <c r="B198" s="95">
        <f t="shared" si="40"/>
        <v>48731</v>
      </c>
      <c r="C198" s="92">
        <v>2467215.7044858038</v>
      </c>
      <c r="D198" s="88">
        <f>IF(F198&lt;&gt;0,VLOOKUP($J198,'Table 1'!$B$13:$C$33,2,FALSE)/12*1000*Study_MW,0)</f>
        <v>0</v>
      </c>
      <c r="E198" s="88">
        <f t="shared" si="41"/>
        <v>2467215.7044858038</v>
      </c>
      <c r="F198" s="92">
        <v>61200</v>
      </c>
      <c r="G198" s="93">
        <f t="shared" si="45"/>
        <v>40.31398209944124</v>
      </c>
      <c r="I198" s="94">
        <f t="shared" ref="I198:I204" si="46">I78</f>
        <v>71</v>
      </c>
      <c r="J198" s="90">
        <f t="shared" si="43"/>
        <v>2033</v>
      </c>
      <c r="K198" s="95">
        <f t="shared" si="44"/>
        <v>48731</v>
      </c>
    </row>
    <row r="199" spans="2:11">
      <c r="B199" s="95">
        <f t="shared" si="40"/>
        <v>48761</v>
      </c>
      <c r="C199" s="92">
        <v>3766679.3292685449</v>
      </c>
      <c r="D199" s="88">
        <f>IF(F199&lt;&gt;0,VLOOKUP($J199,'Table 1'!$B$13:$C$33,2,FALSE)/12*1000*Study_MW,0)</f>
        <v>0</v>
      </c>
      <c r="E199" s="88">
        <f t="shared" si="41"/>
        <v>3766679.3292685449</v>
      </c>
      <c r="F199" s="92">
        <v>63240</v>
      </c>
      <c r="G199" s="93">
        <f t="shared" si="45"/>
        <v>59.561659223095269</v>
      </c>
      <c r="I199" s="94">
        <f t="shared" si="46"/>
        <v>72</v>
      </c>
      <c r="J199" s="90">
        <f t="shared" si="43"/>
        <v>2033</v>
      </c>
      <c r="K199" s="95">
        <f t="shared" si="44"/>
        <v>48761</v>
      </c>
    </row>
    <row r="200" spans="2:11">
      <c r="B200" s="95">
        <f t="shared" si="40"/>
        <v>48792</v>
      </c>
      <c r="C200" s="92">
        <v>3096793.3818789423</v>
      </c>
      <c r="D200" s="88">
        <f>IF(F200&lt;&gt;0,VLOOKUP($J200,'Table 1'!$B$13:$C$33,2,FALSE)/12*1000*Study_MW,0)</f>
        <v>0</v>
      </c>
      <c r="E200" s="88">
        <f t="shared" si="41"/>
        <v>3096793.3818789423</v>
      </c>
      <c r="F200" s="92">
        <v>63240</v>
      </c>
      <c r="G200" s="93">
        <f t="shared" si="45"/>
        <v>48.96890230675114</v>
      </c>
      <c r="I200" s="94">
        <f t="shared" si="46"/>
        <v>73</v>
      </c>
      <c r="J200" s="90">
        <f t="shared" si="43"/>
        <v>2033</v>
      </c>
      <c r="K200" s="95">
        <f t="shared" si="44"/>
        <v>48792</v>
      </c>
    </row>
    <row r="201" spans="2:11">
      <c r="B201" s="95">
        <f t="shared" si="40"/>
        <v>48823</v>
      </c>
      <c r="C201" s="92">
        <v>2985886.4201335311</v>
      </c>
      <c r="D201" s="88">
        <f>IF(F201&lt;&gt;0,VLOOKUP($J201,'Table 1'!$B$13:$C$33,2,FALSE)/12*1000*Study_MW,0)</f>
        <v>0</v>
      </c>
      <c r="E201" s="88">
        <f t="shared" si="41"/>
        <v>2985886.4201335311</v>
      </c>
      <c r="F201" s="92">
        <v>61200</v>
      </c>
      <c r="G201" s="93">
        <f t="shared" si="45"/>
        <v>48.788993793031551</v>
      </c>
      <c r="I201" s="94">
        <f t="shared" si="46"/>
        <v>74</v>
      </c>
      <c r="J201" s="90">
        <f t="shared" si="43"/>
        <v>2033</v>
      </c>
      <c r="K201" s="95">
        <f t="shared" si="44"/>
        <v>48823</v>
      </c>
    </row>
    <row r="202" spans="2:11">
      <c r="B202" s="95">
        <f t="shared" si="40"/>
        <v>48853</v>
      </c>
      <c r="C202" s="92">
        <v>2705902.4074615836</v>
      </c>
      <c r="D202" s="88">
        <f>IF(F202&lt;&gt;0,VLOOKUP($J202,'Table 1'!$B$13:$C$33,2,FALSE)/12*1000*Study_MW,0)</f>
        <v>0</v>
      </c>
      <c r="E202" s="88">
        <f t="shared" si="41"/>
        <v>2705902.4074615836</v>
      </c>
      <c r="F202" s="92">
        <v>63240</v>
      </c>
      <c r="G202" s="93">
        <f t="shared" si="45"/>
        <v>42.787830605021881</v>
      </c>
      <c r="I202" s="94">
        <f t="shared" si="46"/>
        <v>75</v>
      </c>
      <c r="J202" s="90">
        <f t="shared" si="43"/>
        <v>2033</v>
      </c>
      <c r="K202" s="95">
        <f t="shared" si="44"/>
        <v>48853</v>
      </c>
    </row>
    <row r="203" spans="2:11">
      <c r="B203" s="95">
        <f t="shared" si="40"/>
        <v>48884</v>
      </c>
      <c r="C203" s="92">
        <v>2551518.9292910099</v>
      </c>
      <c r="D203" s="88">
        <f>IF(F203&lt;&gt;0,VLOOKUP($J203,'Table 1'!$B$13:$C$33,2,FALSE)/12*1000*Study_MW,0)</f>
        <v>0</v>
      </c>
      <c r="E203" s="88">
        <f t="shared" si="41"/>
        <v>2551518.9292910099</v>
      </c>
      <c r="F203" s="92">
        <v>61200</v>
      </c>
      <c r="G203" s="93">
        <f t="shared" si="45"/>
        <v>41.691485772728917</v>
      </c>
      <c r="I203" s="94">
        <f t="shared" si="46"/>
        <v>76</v>
      </c>
      <c r="J203" s="90">
        <f t="shared" si="43"/>
        <v>2033</v>
      </c>
      <c r="K203" s="95">
        <f t="shared" si="44"/>
        <v>48884</v>
      </c>
    </row>
    <row r="204" spans="2:11">
      <c r="B204" s="99">
        <f t="shared" si="40"/>
        <v>48914</v>
      </c>
      <c r="C204" s="96">
        <v>3002768.5303798914</v>
      </c>
      <c r="D204" s="97">
        <f>IF(F204&lt;&gt;0,VLOOKUP($J204,'Table 1'!$B$13:$C$33,2,FALSE)/12*1000*Study_MW,0)</f>
        <v>0</v>
      </c>
      <c r="E204" s="97">
        <f t="shared" si="41"/>
        <v>3002768.5303798914</v>
      </c>
      <c r="F204" s="96">
        <v>63240</v>
      </c>
      <c r="G204" s="98">
        <f t="shared" si="45"/>
        <v>47.482108323527697</v>
      </c>
      <c r="I204" s="81">
        <f t="shared" si="46"/>
        <v>77</v>
      </c>
      <c r="J204" s="90">
        <f t="shared" si="43"/>
        <v>2033</v>
      </c>
      <c r="K204" s="99">
        <f t="shared" si="44"/>
        <v>48914</v>
      </c>
    </row>
    <row r="205" spans="2:11" outlineLevel="1">
      <c r="B205" s="91">
        <f t="shared" si="40"/>
        <v>48945</v>
      </c>
      <c r="C205" s="86">
        <v>2826259.1529750824</v>
      </c>
      <c r="D205" s="87">
        <f>IF(ISNUMBER($F205)*SUM(F205:F216)&lt;&gt;0,VLOOKUP($J205,'Table 1'!$B$13:$C$33,2,FALSE)/12*1000*Study_MW,0)</f>
        <v>0</v>
      </c>
      <c r="E205" s="87">
        <f t="shared" si="41"/>
        <v>2826259.1529750824</v>
      </c>
      <c r="F205" s="86">
        <v>63240</v>
      </c>
      <c r="G205" s="89">
        <f t="shared" si="45"/>
        <v>44.691004949005098</v>
      </c>
      <c r="I205" s="77">
        <f>I85</f>
        <v>79</v>
      </c>
      <c r="J205" s="90">
        <f t="shared" si="43"/>
        <v>2034</v>
      </c>
      <c r="K205" s="91">
        <f t="shared" si="44"/>
        <v>48945</v>
      </c>
    </row>
    <row r="206" spans="2:11" outlineLevel="1">
      <c r="B206" s="95">
        <f t="shared" ref="B206:B264" si="47">EDATE(B205,1)</f>
        <v>48976</v>
      </c>
      <c r="C206" s="92">
        <v>2473322.5909424424</v>
      </c>
      <c r="D206" s="88">
        <f>IF(ISNUMBER($F206)*SUM(F206:F217)&lt;&gt;0,VLOOKUP($J206,'Table 1'!$B$13:$C$33,2,FALSE)/12*1000*Study_MW,0)</f>
        <v>0</v>
      </c>
      <c r="E206" s="88">
        <f t="shared" ref="E206:E252" si="48">C206+D206</f>
        <v>2473322.5909424424</v>
      </c>
      <c r="F206" s="92">
        <v>57120</v>
      </c>
      <c r="G206" s="93">
        <f t="shared" si="45"/>
        <v>43.300465527703821</v>
      </c>
      <c r="I206" s="94">
        <f t="shared" ref="I206:I240" si="49">I86</f>
        <v>80</v>
      </c>
      <c r="J206" s="90">
        <f t="shared" ref="J206:J252" si="50">YEAR(B206)</f>
        <v>2034</v>
      </c>
      <c r="K206" s="95">
        <f t="shared" si="44"/>
        <v>48976</v>
      </c>
    </row>
    <row r="207" spans="2:11" outlineLevel="1">
      <c r="B207" s="95">
        <f t="shared" si="47"/>
        <v>49004</v>
      </c>
      <c r="C207" s="92">
        <v>2482513.9196400046</v>
      </c>
      <c r="D207" s="88">
        <f>IF(ISNUMBER($F207)*SUM(F207:F218)&lt;&gt;0,VLOOKUP($J207,'Table 1'!$B$13:$C$33,2,FALSE)/12*1000*Study_MW,0)</f>
        <v>0</v>
      </c>
      <c r="E207" s="88">
        <f t="shared" si="48"/>
        <v>2482513.9196400046</v>
      </c>
      <c r="F207" s="92">
        <v>63240</v>
      </c>
      <c r="G207" s="93">
        <f t="shared" si="45"/>
        <v>39.255438324478249</v>
      </c>
      <c r="I207" s="94">
        <f t="shared" si="49"/>
        <v>81</v>
      </c>
      <c r="J207" s="90">
        <f t="shared" si="50"/>
        <v>2034</v>
      </c>
      <c r="K207" s="95">
        <f t="shared" si="44"/>
        <v>49004</v>
      </c>
    </row>
    <row r="208" spans="2:11" outlineLevel="1">
      <c r="B208" s="95">
        <f t="shared" si="47"/>
        <v>49035</v>
      </c>
      <c r="C208" s="92">
        <v>2419973.6901381612</v>
      </c>
      <c r="D208" s="88">
        <f>IF(ISNUMBER($F208)*SUM(F208:F219)&lt;&gt;0,VLOOKUP($J208,'Table 1'!$B$13:$C$33,2,FALSE)/12*1000*Study_MW,0)</f>
        <v>0</v>
      </c>
      <c r="E208" s="88">
        <f t="shared" si="48"/>
        <v>2419973.6901381612</v>
      </c>
      <c r="F208" s="92">
        <v>61200</v>
      </c>
      <c r="G208" s="93">
        <f t="shared" si="45"/>
        <v>39.542053760427471</v>
      </c>
      <c r="I208" s="94">
        <f t="shared" si="49"/>
        <v>82</v>
      </c>
      <c r="J208" s="90">
        <f t="shared" si="50"/>
        <v>2034</v>
      </c>
      <c r="K208" s="95">
        <f t="shared" si="44"/>
        <v>49035</v>
      </c>
    </row>
    <row r="209" spans="2:13" outlineLevel="1">
      <c r="B209" s="95">
        <f t="shared" si="47"/>
        <v>49065</v>
      </c>
      <c r="C209" s="92">
        <v>2421336.4468362033</v>
      </c>
      <c r="D209" s="88">
        <f>IF(ISNUMBER($F209)*SUM(F209:F220)&lt;&gt;0,VLOOKUP($J209,'Table 1'!$B$13:$C$33,2,FALSE)/12*1000*Study_MW,0)</f>
        <v>0</v>
      </c>
      <c r="E209" s="88">
        <f t="shared" si="48"/>
        <v>2421336.4468362033</v>
      </c>
      <c r="F209" s="92">
        <v>63240</v>
      </c>
      <c r="G209" s="93">
        <f t="shared" si="45"/>
        <v>38.288052606518079</v>
      </c>
      <c r="I209" s="94">
        <f t="shared" si="49"/>
        <v>83</v>
      </c>
      <c r="J209" s="90">
        <f t="shared" si="50"/>
        <v>2034</v>
      </c>
      <c r="K209" s="95">
        <f t="shared" si="44"/>
        <v>49065</v>
      </c>
    </row>
    <row r="210" spans="2:13" outlineLevel="1">
      <c r="B210" s="95">
        <f t="shared" si="47"/>
        <v>49096</v>
      </c>
      <c r="C210" s="92">
        <v>2561502.1473762393</v>
      </c>
      <c r="D210" s="88">
        <f>IF(ISNUMBER($F210)*SUM(F210:F221)&lt;&gt;0,VLOOKUP($J210,'Table 1'!$B$13:$C$33,2,FALSE)/12*1000*Study_MW,0)</f>
        <v>0</v>
      </c>
      <c r="E210" s="88">
        <f t="shared" si="48"/>
        <v>2561502.1473762393</v>
      </c>
      <c r="F210" s="92">
        <v>61200</v>
      </c>
      <c r="G210" s="93">
        <f t="shared" si="45"/>
        <v>41.854610251245738</v>
      </c>
      <c r="I210" s="94">
        <f t="shared" si="49"/>
        <v>84</v>
      </c>
      <c r="J210" s="90">
        <f t="shared" si="50"/>
        <v>2034</v>
      </c>
      <c r="K210" s="95">
        <f t="shared" si="44"/>
        <v>49096</v>
      </c>
    </row>
    <row r="211" spans="2:13" outlineLevel="1">
      <c r="B211" s="95">
        <f t="shared" si="47"/>
        <v>49126</v>
      </c>
      <c r="C211" s="92">
        <v>3980395.8426092267</v>
      </c>
      <c r="D211" s="88">
        <f>IF(ISNUMBER($F211)*SUM(F211:F222)&lt;&gt;0,VLOOKUP($J211,'Table 1'!$B$13:$C$33,2,FALSE)/12*1000*Study_MW,0)</f>
        <v>0</v>
      </c>
      <c r="E211" s="88">
        <f t="shared" si="48"/>
        <v>3980395.8426092267</v>
      </c>
      <c r="F211" s="92">
        <v>63240</v>
      </c>
      <c r="G211" s="93">
        <f t="shared" si="45"/>
        <v>62.941110730696181</v>
      </c>
      <c r="I211" s="94">
        <f t="shared" si="49"/>
        <v>85</v>
      </c>
      <c r="J211" s="90">
        <f t="shared" si="50"/>
        <v>2034</v>
      </c>
      <c r="K211" s="95">
        <f t="shared" si="44"/>
        <v>49126</v>
      </c>
    </row>
    <row r="212" spans="2:13" outlineLevel="1">
      <c r="B212" s="95">
        <f t="shared" si="47"/>
        <v>49157</v>
      </c>
      <c r="C212" s="92">
        <v>3281095.0412575603</v>
      </c>
      <c r="D212" s="88">
        <f>IF(ISNUMBER($F212)*SUM(F212:F223)&lt;&gt;0,VLOOKUP($J212,'Table 1'!$B$13:$C$33,2,FALSE)/12*1000*Study_MW,0)</f>
        <v>0</v>
      </c>
      <c r="E212" s="88">
        <f t="shared" si="48"/>
        <v>3281095.0412575603</v>
      </c>
      <c r="F212" s="92">
        <v>63240</v>
      </c>
      <c r="G212" s="93">
        <f t="shared" si="45"/>
        <v>51.883223296292854</v>
      </c>
      <c r="I212" s="94">
        <f t="shared" si="49"/>
        <v>86</v>
      </c>
      <c r="J212" s="90">
        <f t="shared" si="50"/>
        <v>2034</v>
      </c>
      <c r="K212" s="95">
        <f t="shared" si="44"/>
        <v>49157</v>
      </c>
    </row>
    <row r="213" spans="2:13" outlineLevel="1">
      <c r="B213" s="95">
        <f t="shared" si="47"/>
        <v>49188</v>
      </c>
      <c r="C213" s="92">
        <v>3030932.4123685062</v>
      </c>
      <c r="D213" s="88">
        <f>IF(ISNUMBER($F213)*SUM(F213:F224)&lt;&gt;0,VLOOKUP($J213,'Table 1'!$B$13:$C$33,2,FALSE)/12*1000*Study_MW,0)</f>
        <v>0</v>
      </c>
      <c r="E213" s="88">
        <f t="shared" si="48"/>
        <v>3030932.4123685062</v>
      </c>
      <c r="F213" s="92">
        <v>61200</v>
      </c>
      <c r="G213" s="93">
        <f t="shared" si="45"/>
        <v>49.525039417786047</v>
      </c>
      <c r="I213" s="94">
        <f t="shared" si="49"/>
        <v>87</v>
      </c>
      <c r="J213" s="90">
        <f t="shared" si="50"/>
        <v>2034</v>
      </c>
      <c r="K213" s="95">
        <f t="shared" si="44"/>
        <v>49188</v>
      </c>
    </row>
    <row r="214" spans="2:13" outlineLevel="1">
      <c r="B214" s="95">
        <f t="shared" si="47"/>
        <v>49218</v>
      </c>
      <c r="C214" s="92">
        <v>2837762.7228027284</v>
      </c>
      <c r="D214" s="88">
        <f>IF(ISNUMBER($F214)*SUM(F214:F225)&lt;&gt;0,VLOOKUP($J214,'Table 1'!$B$13:$C$33,2,FALSE)/12*1000*Study_MW,0)</f>
        <v>0</v>
      </c>
      <c r="E214" s="88">
        <f t="shared" si="48"/>
        <v>2837762.7228027284</v>
      </c>
      <c r="F214" s="92">
        <v>63240</v>
      </c>
      <c r="G214" s="93">
        <f t="shared" si="45"/>
        <v>44.872908330213924</v>
      </c>
      <c r="I214" s="94">
        <f t="shared" si="49"/>
        <v>88</v>
      </c>
      <c r="J214" s="90">
        <f t="shared" si="50"/>
        <v>2034</v>
      </c>
      <c r="K214" s="95">
        <f t="shared" si="44"/>
        <v>49218</v>
      </c>
    </row>
    <row r="215" spans="2:13" outlineLevel="1">
      <c r="B215" s="95">
        <f t="shared" si="47"/>
        <v>49249</v>
      </c>
      <c r="C215" s="92">
        <v>2693400.2739008367</v>
      </c>
      <c r="D215" s="88">
        <f>IF(ISNUMBER($F215)*SUM(F215:F226)&lt;&gt;0,VLOOKUP($J215,'Table 1'!$B$13:$C$33,2,FALSE)/12*1000*Study_MW,0)</f>
        <v>0</v>
      </c>
      <c r="E215" s="88">
        <f t="shared" si="48"/>
        <v>2693400.2739008367</v>
      </c>
      <c r="F215" s="92">
        <v>61200</v>
      </c>
      <c r="G215" s="93">
        <f t="shared" si="45"/>
        <v>44.009808397072497</v>
      </c>
      <c r="I215" s="94">
        <f t="shared" si="49"/>
        <v>89</v>
      </c>
      <c r="J215" s="90">
        <f t="shared" si="50"/>
        <v>2034</v>
      </c>
      <c r="K215" s="95">
        <f t="shared" si="44"/>
        <v>49249</v>
      </c>
    </row>
    <row r="216" spans="2:13" outlineLevel="1">
      <c r="B216" s="99">
        <f t="shared" si="47"/>
        <v>49279</v>
      </c>
      <c r="C216" s="96">
        <v>3318673.4647836089</v>
      </c>
      <c r="D216" s="97">
        <f>IF(ISNUMBER($F216)*SUM(F216:F227)&lt;&gt;0,VLOOKUP($J216,'Table 1'!$B$13:$C$33,2,FALSE)/12*1000*Study_MW,0)</f>
        <v>0</v>
      </c>
      <c r="E216" s="97">
        <f t="shared" si="48"/>
        <v>3318673.4647836089</v>
      </c>
      <c r="F216" s="96">
        <v>63240</v>
      </c>
      <c r="G216" s="98">
        <f t="shared" si="45"/>
        <v>52.477442517134868</v>
      </c>
      <c r="I216" s="81">
        <f t="shared" si="49"/>
        <v>90</v>
      </c>
      <c r="J216" s="90">
        <f t="shared" si="50"/>
        <v>2034</v>
      </c>
      <c r="K216" s="99">
        <f t="shared" si="44"/>
        <v>49279</v>
      </c>
    </row>
    <row r="217" spans="2:13" outlineLevel="1">
      <c r="B217" s="91">
        <f t="shared" si="47"/>
        <v>49310</v>
      </c>
      <c r="C217" s="86">
        <v>3092073.3929021358</v>
      </c>
      <c r="D217" s="87">
        <f>IF(ISNUMBER($F217)*SUM(F217:F228)&lt;&gt;0,VLOOKUP($J217,'Table 1'!$B$13:$C$33,2,FALSE)/12*1000*Study_MW,0)</f>
        <v>0</v>
      </c>
      <c r="E217" s="87">
        <f t="shared" si="48"/>
        <v>3092073.3929021358</v>
      </c>
      <c r="F217" s="86">
        <v>63240</v>
      </c>
      <c r="G217" s="89">
        <f t="shared" ref="G217:G240" si="51">IFERROR(E217/$F217,0)</f>
        <v>48.894266174923082</v>
      </c>
      <c r="I217" s="77">
        <f t="shared" si="49"/>
        <v>92</v>
      </c>
      <c r="J217" s="90">
        <f t="shared" si="50"/>
        <v>2035</v>
      </c>
      <c r="K217" s="91">
        <f t="shared" ref="K217:K240" si="52">IF(ISNUMBER(F217),IF(F217&lt;&gt;0,B217,""),"")</f>
        <v>49310</v>
      </c>
      <c r="M217" s="57">
        <v>2.3E-2</v>
      </c>
    </row>
    <row r="218" spans="2:13" outlineLevel="1">
      <c r="B218" s="95">
        <f t="shared" si="47"/>
        <v>49341</v>
      </c>
      <c r="C218" s="92">
        <v>2679372.3878709078</v>
      </c>
      <c r="D218" s="88">
        <f>IF(ISNUMBER($F218)*SUM(F218:F229)&lt;&gt;0,VLOOKUP($J218,'Table 1'!$B$13:$C$33,2,FALSE)/12*1000*Study_MW,0)</f>
        <v>0</v>
      </c>
      <c r="E218" s="88">
        <f t="shared" ref="E218:E240" si="53">C218+D218</f>
        <v>2679372.3878709078</v>
      </c>
      <c r="F218" s="92">
        <v>57120</v>
      </c>
      <c r="G218" s="93">
        <f t="shared" si="51"/>
        <v>46.907779899700763</v>
      </c>
      <c r="I218" s="94">
        <f t="shared" si="49"/>
        <v>93</v>
      </c>
      <c r="J218" s="90">
        <f t="shared" ref="J218:J240" si="54">YEAR(B218)</f>
        <v>2035</v>
      </c>
      <c r="K218" s="95">
        <f t="shared" si="52"/>
        <v>49341</v>
      </c>
      <c r="M218" s="57">
        <v>2.3E-2</v>
      </c>
    </row>
    <row r="219" spans="2:13" outlineLevel="1">
      <c r="B219" s="95">
        <f t="shared" si="47"/>
        <v>49369</v>
      </c>
      <c r="C219" s="92">
        <v>2683528.8382000327</v>
      </c>
      <c r="D219" s="88">
        <f>IF(ISNUMBER($F219)*SUM(F219:F230)&lt;&gt;0,VLOOKUP($J219,'Table 1'!$B$13:$C$33,2,FALSE)/12*1000*Study_MW,0)</f>
        <v>0</v>
      </c>
      <c r="E219" s="88">
        <f t="shared" si="53"/>
        <v>2683528.8382000327</v>
      </c>
      <c r="F219" s="92">
        <v>63240</v>
      </c>
      <c r="G219" s="93">
        <f t="shared" si="51"/>
        <v>42.434042349779141</v>
      </c>
      <c r="I219" s="94">
        <f t="shared" si="49"/>
        <v>94</v>
      </c>
      <c r="J219" s="90">
        <f t="shared" si="54"/>
        <v>2035</v>
      </c>
      <c r="K219" s="95">
        <f t="shared" si="52"/>
        <v>49369</v>
      </c>
      <c r="M219" s="57">
        <v>2.3E-2</v>
      </c>
    </row>
    <row r="220" spans="2:13" outlineLevel="1">
      <c r="B220" s="95">
        <f t="shared" si="47"/>
        <v>49400</v>
      </c>
      <c r="C220" s="92">
        <v>2493991.1463540792</v>
      </c>
      <c r="D220" s="88">
        <f>IF(ISNUMBER($F220)*SUM(F220:F231)&lt;&gt;0,VLOOKUP($J220,'Table 1'!$B$13:$C$33,2,FALSE)/12*1000*Study_MW,0)</f>
        <v>0</v>
      </c>
      <c r="E220" s="88">
        <f t="shared" si="53"/>
        <v>2493991.1463540792</v>
      </c>
      <c r="F220" s="92">
        <v>61200</v>
      </c>
      <c r="G220" s="93">
        <f t="shared" si="51"/>
        <v>40.751489319511101</v>
      </c>
      <c r="I220" s="94">
        <f t="shared" si="49"/>
        <v>95</v>
      </c>
      <c r="J220" s="90">
        <f t="shared" si="54"/>
        <v>2035</v>
      </c>
      <c r="K220" s="95">
        <f t="shared" si="52"/>
        <v>49400</v>
      </c>
      <c r="M220" s="57">
        <v>2.3E-2</v>
      </c>
    </row>
    <row r="221" spans="2:13" outlineLevel="1">
      <c r="B221" s="95">
        <f t="shared" si="47"/>
        <v>49430</v>
      </c>
      <c r="C221" s="92">
        <v>2477653.9327880442</v>
      </c>
      <c r="D221" s="88">
        <f>IF(ISNUMBER($F221)*SUM(F221:F232)&lt;&gt;0,VLOOKUP($J221,'Table 1'!$B$13:$C$33,2,FALSE)/12*1000*Study_MW,0)</f>
        <v>0</v>
      </c>
      <c r="E221" s="88">
        <f t="shared" si="53"/>
        <v>2477653.9327880442</v>
      </c>
      <c r="F221" s="92">
        <v>63240</v>
      </c>
      <c r="G221" s="93">
        <f t="shared" si="51"/>
        <v>39.178588437508608</v>
      </c>
      <c r="I221" s="94">
        <f t="shared" si="49"/>
        <v>96</v>
      </c>
      <c r="J221" s="90">
        <f t="shared" si="54"/>
        <v>2035</v>
      </c>
      <c r="K221" s="95">
        <f t="shared" si="52"/>
        <v>49430</v>
      </c>
      <c r="M221" s="57">
        <v>2.3E-2</v>
      </c>
    </row>
    <row r="222" spans="2:13" outlineLevel="1">
      <c r="B222" s="95">
        <f t="shared" si="47"/>
        <v>49461</v>
      </c>
      <c r="C222" s="92">
        <v>2483878.1133523583</v>
      </c>
      <c r="D222" s="88">
        <f>IF(ISNUMBER($F222)*SUM(F222:F233)&lt;&gt;0,VLOOKUP($J222,'Table 1'!$B$13:$C$33,2,FALSE)/12*1000*Study_MW,0)</f>
        <v>0</v>
      </c>
      <c r="E222" s="88">
        <f t="shared" si="53"/>
        <v>2483878.1133523583</v>
      </c>
      <c r="F222" s="92">
        <v>61200</v>
      </c>
      <c r="G222" s="93">
        <f t="shared" si="51"/>
        <v>40.58624368222808</v>
      </c>
      <c r="I222" s="94">
        <f t="shared" si="49"/>
        <v>97</v>
      </c>
      <c r="J222" s="90">
        <f t="shared" si="54"/>
        <v>2035</v>
      </c>
      <c r="K222" s="95">
        <f t="shared" si="52"/>
        <v>49461</v>
      </c>
      <c r="M222" s="57">
        <v>2.3E-2</v>
      </c>
    </row>
    <row r="223" spans="2:13" outlineLevel="1">
      <c r="B223" s="95">
        <f t="shared" si="47"/>
        <v>49491</v>
      </c>
      <c r="C223" s="92">
        <v>4404364.5960735381</v>
      </c>
      <c r="D223" s="88">
        <f>IF(ISNUMBER($F223)*SUM(F223:F234)&lt;&gt;0,VLOOKUP($J223,'Table 1'!$B$13:$C$33,2,FALSE)/12*1000*Study_MW,0)</f>
        <v>0</v>
      </c>
      <c r="E223" s="88">
        <f t="shared" si="53"/>
        <v>4404364.5960735381</v>
      </c>
      <c r="F223" s="92">
        <v>63240</v>
      </c>
      <c r="G223" s="93">
        <f t="shared" si="51"/>
        <v>69.645233967007243</v>
      </c>
      <c r="I223" s="94">
        <f t="shared" si="49"/>
        <v>98</v>
      </c>
      <c r="J223" s="90">
        <f t="shared" si="54"/>
        <v>2035</v>
      </c>
      <c r="K223" s="95">
        <f t="shared" si="52"/>
        <v>49491</v>
      </c>
      <c r="M223" s="57">
        <v>2.3E-2</v>
      </c>
    </row>
    <row r="224" spans="2:13" outlineLevel="1">
      <c r="B224" s="95">
        <f t="shared" si="47"/>
        <v>49522</v>
      </c>
      <c r="C224" s="92">
        <v>3906461.4722703397</v>
      </c>
      <c r="D224" s="88">
        <f>IF(ISNUMBER($F224)*SUM(F224:F235)&lt;&gt;0,VLOOKUP($J224,'Table 1'!$B$13:$C$33,2,FALSE)/12*1000*Study_MW,0)</f>
        <v>0</v>
      </c>
      <c r="E224" s="88">
        <f t="shared" si="53"/>
        <v>3906461.4722703397</v>
      </c>
      <c r="F224" s="92">
        <v>63240</v>
      </c>
      <c r="G224" s="93">
        <f t="shared" si="51"/>
        <v>61.772003040327952</v>
      </c>
      <c r="I224" s="94">
        <f t="shared" si="49"/>
        <v>99</v>
      </c>
      <c r="J224" s="90">
        <f t="shared" si="54"/>
        <v>2035</v>
      </c>
      <c r="K224" s="95">
        <f t="shared" si="52"/>
        <v>49522</v>
      </c>
      <c r="M224" s="57">
        <v>2.3E-2</v>
      </c>
    </row>
    <row r="225" spans="2:20" outlineLevel="1">
      <c r="B225" s="95">
        <f t="shared" si="47"/>
        <v>49553</v>
      </c>
      <c r="C225" s="92">
        <v>3251238.0392608643</v>
      </c>
      <c r="D225" s="88">
        <f>IF(ISNUMBER($F225)*SUM(F225:F236)&lt;&gt;0,VLOOKUP($J225,'Table 1'!$B$13:$C$33,2,FALSE)/12*1000*Study_MW,0)</f>
        <v>0</v>
      </c>
      <c r="E225" s="88">
        <f t="shared" si="53"/>
        <v>3251238.0392608643</v>
      </c>
      <c r="F225" s="92">
        <v>61200</v>
      </c>
      <c r="G225" s="93">
        <f t="shared" si="51"/>
        <v>53.124804563086016</v>
      </c>
      <c r="I225" s="94">
        <f t="shared" si="49"/>
        <v>100</v>
      </c>
      <c r="J225" s="90">
        <f t="shared" si="54"/>
        <v>2035</v>
      </c>
      <c r="K225" s="95">
        <f t="shared" si="52"/>
        <v>49553</v>
      </c>
      <c r="M225" s="57">
        <v>2.3E-2</v>
      </c>
    </row>
    <row r="226" spans="2:20" outlineLevel="1">
      <c r="B226" s="95">
        <f t="shared" si="47"/>
        <v>49583</v>
      </c>
      <c r="C226" s="92">
        <v>2989515.9718776345</v>
      </c>
      <c r="D226" s="88">
        <f>IF(ISNUMBER($F226)*SUM(F226:F237)&lt;&gt;0,VLOOKUP($J226,'Table 1'!$B$13:$C$33,2,FALSE)/12*1000*Study_MW,0)</f>
        <v>0</v>
      </c>
      <c r="E226" s="88">
        <f t="shared" si="53"/>
        <v>2989515.9718776345</v>
      </c>
      <c r="F226" s="92">
        <v>63240</v>
      </c>
      <c r="G226" s="93">
        <f t="shared" si="51"/>
        <v>47.272548574915156</v>
      </c>
      <c r="I226" s="94">
        <f t="shared" si="49"/>
        <v>101</v>
      </c>
      <c r="J226" s="90">
        <f t="shared" si="54"/>
        <v>2035</v>
      </c>
      <c r="K226" s="95">
        <f t="shared" si="52"/>
        <v>49583</v>
      </c>
      <c r="M226" s="57">
        <v>2.3E-2</v>
      </c>
    </row>
    <row r="227" spans="2:20" outlineLevel="1">
      <c r="B227" s="95">
        <f t="shared" si="47"/>
        <v>49614</v>
      </c>
      <c r="C227" s="92">
        <v>2903624.4394672513</v>
      </c>
      <c r="D227" s="88">
        <f>IF(ISNUMBER($F227)*SUM(F227:F238)&lt;&gt;0,VLOOKUP($J227,'Table 1'!$B$13:$C$33,2,FALSE)/12*1000*Study_MW,0)</f>
        <v>0</v>
      </c>
      <c r="E227" s="88">
        <f t="shared" si="53"/>
        <v>2903624.4394672513</v>
      </c>
      <c r="F227" s="92">
        <v>61200</v>
      </c>
      <c r="G227" s="93">
        <f t="shared" si="51"/>
        <v>47.44484378214463</v>
      </c>
      <c r="I227" s="94">
        <f t="shared" si="49"/>
        <v>102</v>
      </c>
      <c r="J227" s="90">
        <f t="shared" si="54"/>
        <v>2035</v>
      </c>
      <c r="K227" s="95">
        <f t="shared" si="52"/>
        <v>49614</v>
      </c>
      <c r="M227" s="57">
        <v>2.3E-2</v>
      </c>
      <c r="T227" s="272"/>
    </row>
    <row r="228" spans="2:20" outlineLevel="1">
      <c r="B228" s="99">
        <f t="shared" si="47"/>
        <v>49644</v>
      </c>
      <c r="C228" s="96">
        <v>3518612.3557842672</v>
      </c>
      <c r="D228" s="97">
        <f>IF(ISNUMBER($F228)*SUM(F228:F239)&lt;&gt;0,VLOOKUP($J228,'Table 1'!$B$13:$C$33,2,FALSE)/12*1000*Study_MW,0)</f>
        <v>0</v>
      </c>
      <c r="E228" s="97">
        <f t="shared" si="53"/>
        <v>3518612.3557842672</v>
      </c>
      <c r="F228" s="96">
        <v>63240</v>
      </c>
      <c r="G228" s="98">
        <f t="shared" si="51"/>
        <v>55.639031558891006</v>
      </c>
      <c r="I228" s="81">
        <f t="shared" si="49"/>
        <v>103</v>
      </c>
      <c r="J228" s="90">
        <f t="shared" si="54"/>
        <v>2035</v>
      </c>
      <c r="K228" s="99">
        <f t="shared" si="52"/>
        <v>49644</v>
      </c>
      <c r="M228" s="57">
        <v>2.3E-2</v>
      </c>
      <c r="T228" s="272"/>
    </row>
    <row r="229" spans="2:20" outlineLevel="1">
      <c r="B229" s="91">
        <f t="shared" si="47"/>
        <v>49675</v>
      </c>
      <c r="C229" s="86">
        <v>3148560.9983431399</v>
      </c>
      <c r="D229" s="87">
        <f>IF(ISNUMBER($F229)*SUM(F229:F240)&lt;&gt;0,VLOOKUP($J229,'Table 1'!$B$13:$C$33,2,FALSE)/12*1000*Study_MW,0)</f>
        <v>0</v>
      </c>
      <c r="E229" s="87">
        <f t="shared" si="53"/>
        <v>3148560.9983431399</v>
      </c>
      <c r="F229" s="86">
        <v>63240</v>
      </c>
      <c r="G229" s="89">
        <f t="shared" si="51"/>
        <v>49.787492067412082</v>
      </c>
      <c r="I229" s="77">
        <f t="shared" si="49"/>
        <v>105</v>
      </c>
      <c r="J229" s="90">
        <f t="shared" si="54"/>
        <v>2036</v>
      </c>
      <c r="K229" s="91">
        <f t="shared" si="52"/>
        <v>49675</v>
      </c>
      <c r="M229" s="57">
        <v>2.3E-2</v>
      </c>
      <c r="T229" s="272"/>
    </row>
    <row r="230" spans="2:20" outlineLevel="1">
      <c r="B230" s="95">
        <f t="shared" si="47"/>
        <v>49706</v>
      </c>
      <c r="C230" s="92">
        <v>2774411.4746584594</v>
      </c>
      <c r="D230" s="88">
        <f>IF(ISNUMBER($F230)*SUM(F230:F241)&lt;&gt;0,VLOOKUP($J230,'Table 1'!$B$13:$C$33,2,FALSE)/12*1000*Study_MW,0)</f>
        <v>0</v>
      </c>
      <c r="E230" s="88">
        <f t="shared" si="53"/>
        <v>2774411.4746584594</v>
      </c>
      <c r="F230" s="92">
        <v>59160</v>
      </c>
      <c r="G230" s="93">
        <f t="shared" si="51"/>
        <v>46.896745683882003</v>
      </c>
      <c r="I230" s="94">
        <f t="shared" si="49"/>
        <v>106</v>
      </c>
      <c r="J230" s="90">
        <f t="shared" si="54"/>
        <v>2036</v>
      </c>
      <c r="K230" s="95">
        <f t="shared" si="52"/>
        <v>49706</v>
      </c>
      <c r="M230" s="57">
        <v>2.3E-2</v>
      </c>
      <c r="T230" s="272"/>
    </row>
    <row r="231" spans="2:20" outlineLevel="1">
      <c r="B231" s="95">
        <f t="shared" si="47"/>
        <v>49735</v>
      </c>
      <c r="C231" s="92">
        <v>2612740.37813586</v>
      </c>
      <c r="D231" s="88">
        <f>IF(ISNUMBER($F231)*SUM(F231:F242)&lt;&gt;0,VLOOKUP($J231,'Table 1'!$B$13:$C$33,2,FALSE)/12*1000*Study_MW,0)</f>
        <v>0</v>
      </c>
      <c r="E231" s="88">
        <f t="shared" si="53"/>
        <v>2612740.37813586</v>
      </c>
      <c r="F231" s="92">
        <v>63240</v>
      </c>
      <c r="G231" s="93">
        <f t="shared" si="51"/>
        <v>41.314680236177416</v>
      </c>
      <c r="I231" s="94">
        <f t="shared" si="49"/>
        <v>107</v>
      </c>
      <c r="J231" s="90">
        <f t="shared" si="54"/>
        <v>2036</v>
      </c>
      <c r="K231" s="95">
        <f t="shared" si="52"/>
        <v>49735</v>
      </c>
      <c r="M231" s="57">
        <v>2.3E-2</v>
      </c>
      <c r="T231" s="272"/>
    </row>
    <row r="232" spans="2:20" outlineLevel="1">
      <c r="B232" s="95">
        <f t="shared" si="47"/>
        <v>49766</v>
      </c>
      <c r="C232" s="92">
        <v>2463894.8933267593</v>
      </c>
      <c r="D232" s="88">
        <f>IF(ISNUMBER($F232)*SUM(F232:F243)&lt;&gt;0,VLOOKUP($J232,'Table 1'!$B$13:$C$33,2,FALSE)/12*1000*Study_MW,0)</f>
        <v>0</v>
      </c>
      <c r="E232" s="88">
        <f t="shared" si="53"/>
        <v>2463894.8933267593</v>
      </c>
      <c r="F232" s="92">
        <v>61200</v>
      </c>
      <c r="G232" s="93">
        <f t="shared" si="51"/>
        <v>40.259720479195416</v>
      </c>
      <c r="I232" s="94">
        <f t="shared" si="49"/>
        <v>108</v>
      </c>
      <c r="J232" s="90">
        <f t="shared" si="54"/>
        <v>2036</v>
      </c>
      <c r="K232" s="95">
        <f t="shared" si="52"/>
        <v>49766</v>
      </c>
      <c r="M232" s="57">
        <v>2.3E-2</v>
      </c>
      <c r="T232" s="272"/>
    </row>
    <row r="233" spans="2:20" outlineLevel="1">
      <c r="B233" s="95">
        <f t="shared" si="47"/>
        <v>49796</v>
      </c>
      <c r="C233" s="92">
        <v>2651817.6256347299</v>
      </c>
      <c r="D233" s="88">
        <f>IF(ISNUMBER($F233)*SUM(F233:F244)&lt;&gt;0,VLOOKUP($J233,'Table 1'!$B$13:$C$33,2,FALSE)/12*1000*Study_MW,0)</f>
        <v>0</v>
      </c>
      <c r="E233" s="88">
        <f t="shared" si="53"/>
        <v>2651817.6256347299</v>
      </c>
      <c r="F233" s="92">
        <v>63240</v>
      </c>
      <c r="G233" s="93">
        <f t="shared" si="51"/>
        <v>41.932600025849617</v>
      </c>
      <c r="I233" s="94">
        <f t="shared" si="49"/>
        <v>109</v>
      </c>
      <c r="J233" s="90">
        <f t="shared" si="54"/>
        <v>2036</v>
      </c>
      <c r="K233" s="95">
        <f t="shared" si="52"/>
        <v>49796</v>
      </c>
      <c r="M233" s="57">
        <v>2.3E-2</v>
      </c>
      <c r="T233" s="272"/>
    </row>
    <row r="234" spans="2:20" outlineLevel="1">
      <c r="B234" s="95">
        <f t="shared" si="47"/>
        <v>49827</v>
      </c>
      <c r="C234" s="92">
        <v>2835717.1021393239</v>
      </c>
      <c r="D234" s="88">
        <f>IF(ISNUMBER($F234)*SUM(F234:F245)&lt;&gt;0,VLOOKUP($J234,'Table 1'!$B$13:$C$33,2,FALSE)/12*1000*Study_MW,0)</f>
        <v>0</v>
      </c>
      <c r="E234" s="88">
        <f t="shared" si="53"/>
        <v>2835717.1021393239</v>
      </c>
      <c r="F234" s="92">
        <v>61200</v>
      </c>
      <c r="G234" s="93">
        <f t="shared" si="51"/>
        <v>46.335246766982415</v>
      </c>
      <c r="I234" s="94">
        <f t="shared" si="49"/>
        <v>110</v>
      </c>
      <c r="J234" s="90">
        <f t="shared" si="54"/>
        <v>2036</v>
      </c>
      <c r="K234" s="95">
        <f t="shared" si="52"/>
        <v>49827</v>
      </c>
      <c r="M234" s="57">
        <v>2.3E-2</v>
      </c>
      <c r="T234" s="272"/>
    </row>
    <row r="235" spans="2:20" outlineLevel="1">
      <c r="B235" s="95">
        <f t="shared" si="47"/>
        <v>49857</v>
      </c>
      <c r="C235" s="92">
        <v>4454969.9676853716</v>
      </c>
      <c r="D235" s="88">
        <f>IF(ISNUMBER($F235)*SUM(F235:F246)&lt;&gt;0,VLOOKUP($J235,'Table 1'!$B$13:$C$33,2,FALSE)/12*1000*Study_MW,0)</f>
        <v>0</v>
      </c>
      <c r="E235" s="88">
        <f t="shared" si="53"/>
        <v>4454969.9676853716</v>
      </c>
      <c r="F235" s="92">
        <v>63240</v>
      </c>
      <c r="G235" s="93">
        <f t="shared" si="51"/>
        <v>70.445445409319603</v>
      </c>
      <c r="I235" s="94">
        <f t="shared" si="49"/>
        <v>111</v>
      </c>
      <c r="J235" s="90">
        <f t="shared" si="54"/>
        <v>2036</v>
      </c>
      <c r="K235" s="95">
        <f t="shared" si="52"/>
        <v>49857</v>
      </c>
      <c r="M235" s="57">
        <v>2.3E-2</v>
      </c>
      <c r="T235" s="272"/>
    </row>
    <row r="236" spans="2:20" outlineLevel="1">
      <c r="B236" s="95">
        <f t="shared" si="47"/>
        <v>49888</v>
      </c>
      <c r="C236" s="92">
        <v>4514899.2091499269</v>
      </c>
      <c r="D236" s="88">
        <f>IF(ISNUMBER($F236)*SUM(F236:F247)&lt;&gt;0,VLOOKUP($J236,'Table 1'!$B$13:$C$33,2,FALSE)/12*1000*Study_MW,0)</f>
        <v>0</v>
      </c>
      <c r="E236" s="88">
        <f t="shared" si="53"/>
        <v>4514899.2091499269</v>
      </c>
      <c r="F236" s="92">
        <v>63240</v>
      </c>
      <c r="G236" s="93">
        <f t="shared" si="51"/>
        <v>71.393093123812889</v>
      </c>
      <c r="I236" s="94">
        <f t="shared" si="49"/>
        <v>112</v>
      </c>
      <c r="J236" s="90">
        <f t="shared" si="54"/>
        <v>2036</v>
      </c>
      <c r="K236" s="95">
        <f t="shared" si="52"/>
        <v>49888</v>
      </c>
      <c r="M236" s="57">
        <v>2.3E-2</v>
      </c>
      <c r="T236" s="272"/>
    </row>
    <row r="237" spans="2:20" outlineLevel="1">
      <c r="B237" s="95">
        <f t="shared" si="47"/>
        <v>49919</v>
      </c>
      <c r="C237" s="92">
        <v>3943914.4374282658</v>
      </c>
      <c r="D237" s="88">
        <f>IF(ISNUMBER($F237)*SUM(F237:F248)&lt;&gt;0,VLOOKUP($J237,'Table 1'!$B$13:$C$33,2,FALSE)/12*1000*Study_MW,0)</f>
        <v>0</v>
      </c>
      <c r="E237" s="88">
        <f t="shared" si="53"/>
        <v>3943914.4374282658</v>
      </c>
      <c r="F237" s="92">
        <v>61200</v>
      </c>
      <c r="G237" s="93">
        <f t="shared" si="51"/>
        <v>64.44304636320696</v>
      </c>
      <c r="I237" s="94">
        <f t="shared" si="49"/>
        <v>113</v>
      </c>
      <c r="J237" s="90">
        <f t="shared" si="54"/>
        <v>2036</v>
      </c>
      <c r="K237" s="95">
        <f t="shared" si="52"/>
        <v>49919</v>
      </c>
      <c r="M237" s="57">
        <v>2.3E-2</v>
      </c>
      <c r="T237" s="272"/>
    </row>
    <row r="238" spans="2:20" outlineLevel="1">
      <c r="B238" s="95">
        <f t="shared" si="47"/>
        <v>49949</v>
      </c>
      <c r="C238" s="92">
        <v>3446379.4104245007</v>
      </c>
      <c r="D238" s="88">
        <f>IF(ISNUMBER($F238)*SUM(F238:F249)&lt;&gt;0,VLOOKUP($J238,'Table 1'!$B$13:$C$33,2,FALSE)/12*1000*Study_MW,0)</f>
        <v>0</v>
      </c>
      <c r="E238" s="88">
        <f t="shared" si="53"/>
        <v>3446379.4104245007</v>
      </c>
      <c r="F238" s="92">
        <v>63240</v>
      </c>
      <c r="G238" s="93">
        <f t="shared" si="51"/>
        <v>54.496828121829552</v>
      </c>
      <c r="I238" s="94">
        <f t="shared" si="49"/>
        <v>114</v>
      </c>
      <c r="J238" s="90">
        <f t="shared" si="54"/>
        <v>2036</v>
      </c>
      <c r="K238" s="95">
        <f t="shared" si="52"/>
        <v>49949</v>
      </c>
      <c r="M238" s="57">
        <v>2.3E-2</v>
      </c>
      <c r="T238" s="272"/>
    </row>
    <row r="239" spans="2:20" outlineLevel="1">
      <c r="B239" s="95">
        <f t="shared" si="47"/>
        <v>49980</v>
      </c>
      <c r="C239" s="92">
        <v>3209176.4143101573</v>
      </c>
      <c r="D239" s="88">
        <f>IF(ISNUMBER($F239)*SUM(F239:F250)&lt;&gt;0,VLOOKUP($J239,'Table 1'!$B$13:$C$33,2,FALSE)/12*1000*Study_MW,0)</f>
        <v>0</v>
      </c>
      <c r="E239" s="88">
        <f t="shared" si="53"/>
        <v>3209176.4143101573</v>
      </c>
      <c r="F239" s="92">
        <v>61200</v>
      </c>
      <c r="G239" s="93">
        <f t="shared" si="51"/>
        <v>52.437523109643095</v>
      </c>
      <c r="I239" s="94">
        <f t="shared" si="49"/>
        <v>115</v>
      </c>
      <c r="J239" s="90">
        <f t="shared" si="54"/>
        <v>2036</v>
      </c>
      <c r="K239" s="95">
        <f t="shared" si="52"/>
        <v>49980</v>
      </c>
      <c r="M239" s="57">
        <v>2.3E-2</v>
      </c>
      <c r="T239" s="272"/>
    </row>
    <row r="240" spans="2:20" outlineLevel="1">
      <c r="B240" s="99">
        <f t="shared" si="47"/>
        <v>50010</v>
      </c>
      <c r="C240" s="96">
        <v>3719852.9897947609</v>
      </c>
      <c r="D240" s="97">
        <f>IF(ISNUMBER($F240)*SUM(F240:F251)&lt;&gt;0,VLOOKUP($J240,'Table 1'!$B$13:$C$33,2,FALSE)/12*1000*Study_MW,0)</f>
        <v>0</v>
      </c>
      <c r="E240" s="97">
        <f t="shared" si="53"/>
        <v>3719852.9897947609</v>
      </c>
      <c r="F240" s="96">
        <v>63240</v>
      </c>
      <c r="G240" s="98">
        <f t="shared" si="51"/>
        <v>58.821204772213171</v>
      </c>
      <c r="I240" s="81">
        <f t="shared" si="49"/>
        <v>116</v>
      </c>
      <c r="J240" s="90">
        <f t="shared" si="54"/>
        <v>2036</v>
      </c>
      <c r="K240" s="99">
        <f t="shared" si="52"/>
        <v>50010</v>
      </c>
      <c r="M240" s="57">
        <v>2.3E-2</v>
      </c>
      <c r="T240" s="272"/>
    </row>
    <row r="241" spans="2:20" outlineLevel="1">
      <c r="B241" s="292">
        <f t="shared" si="47"/>
        <v>50041</v>
      </c>
      <c r="C241" s="281">
        <f t="shared" ref="C241:C252" si="55">(C229*(1+M241))*IF(AND(MONTH(K241)=2,OR(J229=2036,J229=2040)),28/29,1)</f>
        <v>3217829.340306689</v>
      </c>
      <c r="D241" s="282">
        <f>IF(ISNUMBER($F241)*SUM(F241:F252)&lt;&gt;0,VLOOKUP($J241,'Table 1'!$B$13:$C$33,2,FALSE)/12*1000*Study_MW,0)</f>
        <v>0</v>
      </c>
      <c r="E241" s="282">
        <f t="shared" si="48"/>
        <v>3217829.340306689</v>
      </c>
      <c r="F241" s="281">
        <v>63240</v>
      </c>
      <c r="G241" s="283">
        <f t="shared" si="45"/>
        <v>50.882816892895143</v>
      </c>
      <c r="I241" s="77">
        <f>I121</f>
        <v>118</v>
      </c>
      <c r="J241" s="90">
        <f t="shared" si="50"/>
        <v>2037</v>
      </c>
      <c r="K241" s="91">
        <f t="shared" ref="K241:K252" si="56">IF(ISNUMBER(F241),IF(F241&lt;&gt;0,B241,""),"")</f>
        <v>50041</v>
      </c>
      <c r="M241" s="57">
        <v>2.1999999999999999E-2</v>
      </c>
      <c r="T241" s="272"/>
    </row>
    <row r="242" spans="2:20" outlineLevel="1">
      <c r="B242" s="293">
        <f t="shared" si="47"/>
        <v>50072</v>
      </c>
      <c r="C242" s="275">
        <f t="shared" si="55"/>
        <v>2737674.4399595335</v>
      </c>
      <c r="D242" s="276">
        <f>IF(ISNUMBER($F242)*SUM(F242:F253)&lt;&gt;0,VLOOKUP($J242,'Table 1'!$B$13:$C$33,2,FALSE)/12*1000*Study_MW,0)</f>
        <v>0</v>
      </c>
      <c r="E242" s="276">
        <f t="shared" si="48"/>
        <v>2737674.4399595335</v>
      </c>
      <c r="F242" s="275">
        <v>57120</v>
      </c>
      <c r="G242" s="277">
        <f t="shared" si="45"/>
        <v>47.928474088927409</v>
      </c>
      <c r="I242" s="94">
        <f t="shared" ref="I242:I264" si="57">I122</f>
        <v>119</v>
      </c>
      <c r="J242" s="90">
        <f t="shared" si="50"/>
        <v>2037</v>
      </c>
      <c r="K242" s="95">
        <f t="shared" si="56"/>
        <v>50072</v>
      </c>
      <c r="M242" s="57">
        <v>2.1999999999999999E-2</v>
      </c>
      <c r="T242" s="272"/>
    </row>
    <row r="243" spans="2:20" outlineLevel="1">
      <c r="B243" s="293">
        <f t="shared" si="47"/>
        <v>50100</v>
      </c>
      <c r="C243" s="275">
        <f t="shared" si="55"/>
        <v>2670220.6664548488</v>
      </c>
      <c r="D243" s="276">
        <f>IF(ISNUMBER($F243)*SUM(F243:F254)&lt;&gt;0,VLOOKUP($J243,'Table 1'!$B$13:$C$33,2,FALSE)/12*1000*Study_MW,0)</f>
        <v>0</v>
      </c>
      <c r="E243" s="276">
        <f t="shared" si="48"/>
        <v>2670220.6664548488</v>
      </c>
      <c r="F243" s="275">
        <v>63240</v>
      </c>
      <c r="G243" s="277">
        <f t="shared" si="45"/>
        <v>42.223603201373322</v>
      </c>
      <c r="I243" s="94">
        <f t="shared" si="57"/>
        <v>120</v>
      </c>
      <c r="J243" s="90">
        <f t="shared" si="50"/>
        <v>2037</v>
      </c>
      <c r="K243" s="95">
        <f t="shared" si="56"/>
        <v>50100</v>
      </c>
      <c r="M243" s="57">
        <v>2.1999999999999999E-2</v>
      </c>
      <c r="T243" s="272"/>
    </row>
    <row r="244" spans="2:20" outlineLevel="1">
      <c r="B244" s="293">
        <f t="shared" si="47"/>
        <v>50131</v>
      </c>
      <c r="C244" s="275">
        <f t="shared" si="55"/>
        <v>2518100.5809799479</v>
      </c>
      <c r="D244" s="276">
        <f>IF(ISNUMBER($F244)*SUM(F244:F255)&lt;&gt;0,VLOOKUP($J244,'Table 1'!$B$13:$C$33,2,FALSE)/12*1000*Study_MW,0)</f>
        <v>0</v>
      </c>
      <c r="E244" s="276">
        <f t="shared" si="48"/>
        <v>2518100.5809799479</v>
      </c>
      <c r="F244" s="275">
        <v>61200</v>
      </c>
      <c r="G244" s="277">
        <f t="shared" si="45"/>
        <v>41.145434329737711</v>
      </c>
      <c r="I244" s="94">
        <f t="shared" si="57"/>
        <v>121</v>
      </c>
      <c r="J244" s="90">
        <f t="shared" si="50"/>
        <v>2037</v>
      </c>
      <c r="K244" s="95">
        <f t="shared" si="56"/>
        <v>50131</v>
      </c>
      <c r="M244" s="57">
        <v>2.1999999999999999E-2</v>
      </c>
      <c r="T244" s="272"/>
    </row>
    <row r="245" spans="2:20" outlineLevel="1">
      <c r="B245" s="293">
        <f t="shared" si="47"/>
        <v>50161</v>
      </c>
      <c r="C245" s="275">
        <f t="shared" si="55"/>
        <v>2710157.613398694</v>
      </c>
      <c r="D245" s="276">
        <f>IF(ISNUMBER($F245)*SUM(F245:F256)&lt;&gt;0,VLOOKUP($J245,'Table 1'!$B$13:$C$33,2,FALSE)/12*1000*Study_MW,0)</f>
        <v>0</v>
      </c>
      <c r="E245" s="276">
        <f t="shared" si="48"/>
        <v>2710157.613398694</v>
      </c>
      <c r="F245" s="275">
        <v>63240</v>
      </c>
      <c r="G245" s="277">
        <f t="shared" si="45"/>
        <v>42.855117226418308</v>
      </c>
      <c r="I245" s="94">
        <f t="shared" si="57"/>
        <v>122</v>
      </c>
      <c r="J245" s="90">
        <f t="shared" si="50"/>
        <v>2037</v>
      </c>
      <c r="K245" s="95">
        <f t="shared" si="56"/>
        <v>50161</v>
      </c>
      <c r="M245" s="57">
        <v>2.1999999999999999E-2</v>
      </c>
      <c r="T245" s="272"/>
    </row>
    <row r="246" spans="2:20" outlineLevel="1">
      <c r="B246" s="293">
        <f t="shared" si="47"/>
        <v>50192</v>
      </c>
      <c r="C246" s="275">
        <f t="shared" si="55"/>
        <v>2898102.878386389</v>
      </c>
      <c r="D246" s="276">
        <f>IF(ISNUMBER($F246)*SUM(F246:F257)&lt;&gt;0,VLOOKUP($J246,'Table 1'!$B$13:$C$33,2,FALSE)/12*1000*Study_MW,0)</f>
        <v>0</v>
      </c>
      <c r="E246" s="276">
        <f t="shared" si="48"/>
        <v>2898102.878386389</v>
      </c>
      <c r="F246" s="275">
        <v>61200</v>
      </c>
      <c r="G246" s="277">
        <f t="shared" si="45"/>
        <v>47.354622195856031</v>
      </c>
      <c r="I246" s="94">
        <f t="shared" si="57"/>
        <v>123</v>
      </c>
      <c r="J246" s="90">
        <f t="shared" si="50"/>
        <v>2037</v>
      </c>
      <c r="K246" s="95">
        <f t="shared" si="56"/>
        <v>50192</v>
      </c>
      <c r="M246" s="57">
        <v>2.1999999999999999E-2</v>
      </c>
      <c r="T246" s="272"/>
    </row>
    <row r="247" spans="2:20" outlineLevel="1">
      <c r="B247" s="293">
        <f t="shared" si="47"/>
        <v>50222</v>
      </c>
      <c r="C247" s="275">
        <f t="shared" si="55"/>
        <v>4552979.3069744501</v>
      </c>
      <c r="D247" s="276">
        <f>IF(ISNUMBER($F247)*SUM(F247:F258)&lt;&gt;0,VLOOKUP($J247,'Table 1'!$B$13:$C$33,2,FALSE)/12*1000*Study_MW,0)</f>
        <v>0</v>
      </c>
      <c r="E247" s="276">
        <f t="shared" si="48"/>
        <v>4552979.3069744501</v>
      </c>
      <c r="F247" s="275">
        <v>63240</v>
      </c>
      <c r="G247" s="277">
        <f t="shared" si="45"/>
        <v>71.995245208324633</v>
      </c>
      <c r="I247" s="94">
        <f t="shared" si="57"/>
        <v>124</v>
      </c>
      <c r="J247" s="90">
        <f t="shared" si="50"/>
        <v>2037</v>
      </c>
      <c r="K247" s="95">
        <f t="shared" si="56"/>
        <v>50222</v>
      </c>
      <c r="M247" s="57">
        <v>2.1999999999999999E-2</v>
      </c>
      <c r="T247" s="272"/>
    </row>
    <row r="248" spans="2:20" outlineLevel="1">
      <c r="B248" s="293">
        <f t="shared" si="47"/>
        <v>50253</v>
      </c>
      <c r="C248" s="275">
        <f t="shared" si="55"/>
        <v>4614226.9917512257</v>
      </c>
      <c r="D248" s="276">
        <f>IF(ISNUMBER($F248)*SUM(F248:F259)&lt;&gt;0,VLOOKUP($J248,'Table 1'!$B$13:$C$33,2,FALSE)/12*1000*Study_MW,0)</f>
        <v>0</v>
      </c>
      <c r="E248" s="276">
        <f t="shared" si="48"/>
        <v>4614226.9917512257</v>
      </c>
      <c r="F248" s="275">
        <v>63240</v>
      </c>
      <c r="G248" s="277">
        <f t="shared" si="45"/>
        <v>72.963741172536771</v>
      </c>
      <c r="I248" s="94">
        <f t="shared" si="57"/>
        <v>125</v>
      </c>
      <c r="J248" s="90">
        <f t="shared" si="50"/>
        <v>2037</v>
      </c>
      <c r="K248" s="95">
        <f t="shared" si="56"/>
        <v>50253</v>
      </c>
      <c r="M248" s="57">
        <v>2.1999999999999999E-2</v>
      </c>
      <c r="T248" s="272"/>
    </row>
    <row r="249" spans="2:20" outlineLevel="1">
      <c r="B249" s="293">
        <f t="shared" si="47"/>
        <v>50284</v>
      </c>
      <c r="C249" s="275">
        <f t="shared" si="55"/>
        <v>4030680.5550516876</v>
      </c>
      <c r="D249" s="276">
        <f>IF(ISNUMBER($F249)*SUM(F249:F260)&lt;&gt;0,VLOOKUP($J249,'Table 1'!$B$13:$C$33,2,FALSE)/12*1000*Study_MW,0)</f>
        <v>0</v>
      </c>
      <c r="E249" s="276">
        <f t="shared" si="48"/>
        <v>4030680.5550516876</v>
      </c>
      <c r="F249" s="275">
        <v>61200</v>
      </c>
      <c r="G249" s="277">
        <f t="shared" si="45"/>
        <v>65.860793383197517</v>
      </c>
      <c r="I249" s="94">
        <f t="shared" si="57"/>
        <v>126</v>
      </c>
      <c r="J249" s="90">
        <f t="shared" si="50"/>
        <v>2037</v>
      </c>
      <c r="K249" s="95">
        <f t="shared" si="56"/>
        <v>50284</v>
      </c>
      <c r="M249" s="57">
        <v>2.1999999999999999E-2</v>
      </c>
      <c r="T249" s="272"/>
    </row>
    <row r="250" spans="2:20" outlineLevel="1">
      <c r="B250" s="293">
        <f t="shared" si="47"/>
        <v>50314</v>
      </c>
      <c r="C250" s="275">
        <f t="shared" si="55"/>
        <v>3522199.7574538398</v>
      </c>
      <c r="D250" s="276">
        <f>IF(ISNUMBER($F250)*SUM(F250:F261)&lt;&gt;0,VLOOKUP($J250,'Table 1'!$B$13:$C$33,2,FALSE)/12*1000*Study_MW,0)</f>
        <v>0</v>
      </c>
      <c r="E250" s="276">
        <f t="shared" si="48"/>
        <v>3522199.7574538398</v>
      </c>
      <c r="F250" s="275">
        <v>63240</v>
      </c>
      <c r="G250" s="277">
        <f t="shared" si="45"/>
        <v>55.695758340509798</v>
      </c>
      <c r="I250" s="94">
        <f t="shared" si="57"/>
        <v>127</v>
      </c>
      <c r="J250" s="90">
        <f t="shared" si="50"/>
        <v>2037</v>
      </c>
      <c r="K250" s="95">
        <f t="shared" si="56"/>
        <v>50314</v>
      </c>
      <c r="M250" s="57">
        <v>2.1999999999999999E-2</v>
      </c>
      <c r="T250" s="272"/>
    </row>
    <row r="251" spans="2:20" outlineLevel="1">
      <c r="B251" s="293">
        <f t="shared" si="47"/>
        <v>50345</v>
      </c>
      <c r="C251" s="275">
        <f t="shared" si="55"/>
        <v>3279778.295424981</v>
      </c>
      <c r="D251" s="276">
        <f>IF(ISNUMBER($F251)*SUM(F251:F262)&lt;&gt;0,VLOOKUP($J251,'Table 1'!$B$13:$C$33,2,FALSE)/12*1000*Study_MW,0)</f>
        <v>0</v>
      </c>
      <c r="E251" s="276">
        <f t="shared" si="48"/>
        <v>3279778.295424981</v>
      </c>
      <c r="F251" s="275">
        <v>61200</v>
      </c>
      <c r="G251" s="277">
        <f t="shared" si="45"/>
        <v>53.591148618055243</v>
      </c>
      <c r="I251" s="94">
        <f t="shared" si="57"/>
        <v>128</v>
      </c>
      <c r="J251" s="90">
        <f t="shared" si="50"/>
        <v>2037</v>
      </c>
      <c r="K251" s="95">
        <f t="shared" si="56"/>
        <v>50345</v>
      </c>
      <c r="M251" s="57">
        <v>2.1999999999999999E-2</v>
      </c>
      <c r="O251" s="272"/>
      <c r="P251" s="272"/>
      <c r="T251" s="272"/>
    </row>
    <row r="252" spans="2:20" outlineLevel="1" collapsed="1">
      <c r="B252" s="294">
        <f t="shared" si="47"/>
        <v>50375</v>
      </c>
      <c r="C252" s="278">
        <f t="shared" si="55"/>
        <v>3801689.7555702459</v>
      </c>
      <c r="D252" s="279">
        <f>IF(ISNUMBER($F252)*SUM(F252:F263)&lt;&gt;0,VLOOKUP($J252,'Table 1'!$B$13:$C$33,2,FALSE)/12*1000*Study_MW,0)</f>
        <v>0</v>
      </c>
      <c r="E252" s="279">
        <f t="shared" si="48"/>
        <v>3801689.7555702459</v>
      </c>
      <c r="F252" s="278">
        <v>63240</v>
      </c>
      <c r="G252" s="280">
        <f t="shared" si="45"/>
        <v>60.115271277201863</v>
      </c>
      <c r="I252" s="81">
        <f t="shared" si="57"/>
        <v>129</v>
      </c>
      <c r="J252" s="90">
        <f t="shared" si="50"/>
        <v>2037</v>
      </c>
      <c r="K252" s="99">
        <f t="shared" si="56"/>
        <v>50375</v>
      </c>
      <c r="M252" s="57">
        <v>2.1999999999999999E-2</v>
      </c>
      <c r="O252" s="272"/>
      <c r="P252" s="272"/>
      <c r="T252" s="272"/>
    </row>
    <row r="253" spans="2:20" outlineLevel="1">
      <c r="B253" s="292">
        <f t="shared" si="47"/>
        <v>50406</v>
      </c>
      <c r="C253" s="281">
        <f t="shared" ref="C253:C264" si="58">(C241*(1+M253))*IF(AND(MONTH(K253)=2,OR(J241=2036,J241=2040)),28/29,1)</f>
        <v>3288621.585793436</v>
      </c>
      <c r="D253" s="282">
        <f>IF(ISNUMBER($F253)*SUM(F253:F264)&lt;&gt;0,VLOOKUP($J253,'Table 1'!$B$13:$C$33,2,FALSE)/12*1000*Study_MW,0)</f>
        <v>0</v>
      </c>
      <c r="E253" s="282">
        <f t="shared" ref="E253:E264" si="59">C253+D253</f>
        <v>3288621.585793436</v>
      </c>
      <c r="F253" s="281">
        <v>63240</v>
      </c>
      <c r="G253" s="283">
        <f t="shared" ref="G253:G264" si="60">IFERROR(E253/$F253,0)</f>
        <v>52.002238864538839</v>
      </c>
      <c r="I253" s="77">
        <f>I133</f>
        <v>1</v>
      </c>
      <c r="J253" s="90">
        <f t="shared" ref="J253:J264" si="61">YEAR(B253)</f>
        <v>2038</v>
      </c>
      <c r="K253" s="91">
        <f t="shared" ref="K253:K264" si="62">IF(ISNUMBER(F253),IF(F253&lt;&gt;0,B253,""),"")</f>
        <v>50406</v>
      </c>
      <c r="M253" s="57">
        <v>2.1999999999999999E-2</v>
      </c>
      <c r="O253" s="272"/>
      <c r="P253" s="272"/>
      <c r="T253" s="272"/>
    </row>
    <row r="254" spans="2:20" outlineLevel="1">
      <c r="B254" s="293">
        <f t="shared" si="47"/>
        <v>50437</v>
      </c>
      <c r="C254" s="275">
        <f t="shared" si="58"/>
        <v>2797903.2776386435</v>
      </c>
      <c r="D254" s="276">
        <f>IF(ISNUMBER($F254)*SUM(F254:F265)&lt;&gt;0,VLOOKUP($J254,'Table 1'!$B$13:$C$33,2,FALSE)/12*1000*Study_MW,0)</f>
        <v>0</v>
      </c>
      <c r="E254" s="276">
        <f t="shared" si="59"/>
        <v>2797903.2776386435</v>
      </c>
      <c r="F254" s="275">
        <v>57120</v>
      </c>
      <c r="G254" s="277">
        <f t="shared" si="60"/>
        <v>48.982900518883817</v>
      </c>
      <c r="I254" s="94">
        <f t="shared" si="57"/>
        <v>2</v>
      </c>
      <c r="J254" s="90">
        <f t="shared" si="61"/>
        <v>2038</v>
      </c>
      <c r="K254" s="95">
        <f t="shared" si="62"/>
        <v>50437</v>
      </c>
      <c r="M254" s="57">
        <v>2.1999999999999999E-2</v>
      </c>
      <c r="O254" s="272"/>
      <c r="P254" s="272"/>
      <c r="T254" s="272"/>
    </row>
    <row r="255" spans="2:20" outlineLevel="1">
      <c r="B255" s="293">
        <f t="shared" si="47"/>
        <v>50465</v>
      </c>
      <c r="C255" s="275">
        <f t="shared" si="58"/>
        <v>2728965.5211168556</v>
      </c>
      <c r="D255" s="276">
        <f>IF(ISNUMBER($F255)*SUM(F255:F266)&lt;&gt;0,VLOOKUP($J255,'Table 1'!$B$13:$C$33,2,FALSE)/12*1000*Study_MW,0)</f>
        <v>0</v>
      </c>
      <c r="E255" s="276">
        <f t="shared" si="59"/>
        <v>2728965.5211168556</v>
      </c>
      <c r="F255" s="275">
        <v>63240</v>
      </c>
      <c r="G255" s="277">
        <f t="shared" si="60"/>
        <v>43.152522471803536</v>
      </c>
      <c r="I255" s="94">
        <f t="shared" si="57"/>
        <v>3</v>
      </c>
      <c r="J255" s="90">
        <f t="shared" si="61"/>
        <v>2038</v>
      </c>
      <c r="K255" s="95">
        <f t="shared" si="62"/>
        <v>50465</v>
      </c>
      <c r="M255" s="57">
        <v>2.1999999999999999E-2</v>
      </c>
      <c r="O255" s="272"/>
      <c r="P255" s="272"/>
      <c r="T255" s="272"/>
    </row>
    <row r="256" spans="2:20" outlineLevel="1">
      <c r="B256" s="293">
        <f t="shared" si="47"/>
        <v>50496</v>
      </c>
      <c r="C256" s="275">
        <f t="shared" si="58"/>
        <v>2573498.7937615067</v>
      </c>
      <c r="D256" s="276">
        <f>IF(ISNUMBER($F256)*SUM(F256:F267)&lt;&gt;0,VLOOKUP($J256,'Table 1'!$B$13:$C$33,2,FALSE)/12*1000*Study_MW,0)</f>
        <v>0</v>
      </c>
      <c r="E256" s="276">
        <f t="shared" si="59"/>
        <v>2573498.7937615067</v>
      </c>
      <c r="F256" s="275">
        <v>61200</v>
      </c>
      <c r="G256" s="277">
        <f t="shared" si="60"/>
        <v>42.050633884991939</v>
      </c>
      <c r="I256" s="94">
        <f t="shared" si="57"/>
        <v>4</v>
      </c>
      <c r="J256" s="90">
        <f t="shared" si="61"/>
        <v>2038</v>
      </c>
      <c r="K256" s="95">
        <f t="shared" si="62"/>
        <v>50496</v>
      </c>
      <c r="M256" s="57">
        <v>2.1999999999999999E-2</v>
      </c>
      <c r="O256" s="272"/>
      <c r="P256" s="272"/>
      <c r="T256" s="272"/>
    </row>
    <row r="257" spans="2:20" outlineLevel="1">
      <c r="B257" s="293">
        <f t="shared" si="47"/>
        <v>50526</v>
      </c>
      <c r="C257" s="275">
        <f t="shared" si="58"/>
        <v>2769781.0808934653</v>
      </c>
      <c r="D257" s="276">
        <f>IF(ISNUMBER($F257)*SUM(F257:F268)&lt;&gt;0,VLOOKUP($J257,'Table 1'!$B$13:$C$33,2,FALSE)/12*1000*Study_MW,0)</f>
        <v>0</v>
      </c>
      <c r="E257" s="276">
        <f t="shared" si="59"/>
        <v>2769781.0808934653</v>
      </c>
      <c r="F257" s="275">
        <v>63240</v>
      </c>
      <c r="G257" s="277">
        <f t="shared" si="60"/>
        <v>43.797929805399512</v>
      </c>
      <c r="I257" s="94">
        <f t="shared" si="57"/>
        <v>5</v>
      </c>
      <c r="J257" s="90">
        <f t="shared" si="61"/>
        <v>2038</v>
      </c>
      <c r="K257" s="95">
        <f t="shared" si="62"/>
        <v>50526</v>
      </c>
      <c r="M257" s="57">
        <v>2.1999999999999999E-2</v>
      </c>
      <c r="O257" s="272"/>
      <c r="P257" s="272"/>
      <c r="T257" s="272"/>
    </row>
    <row r="258" spans="2:20" outlineLevel="1">
      <c r="B258" s="293">
        <f t="shared" si="47"/>
        <v>50557</v>
      </c>
      <c r="C258" s="275">
        <f t="shared" si="58"/>
        <v>2961861.1417108895</v>
      </c>
      <c r="D258" s="276">
        <f>IF(ISNUMBER($F258)*SUM(F258:F269)&lt;&gt;0,VLOOKUP($J258,'Table 1'!$B$13:$C$33,2,FALSE)/12*1000*Study_MW,0)</f>
        <v>0</v>
      </c>
      <c r="E258" s="276">
        <f t="shared" si="59"/>
        <v>2961861.1417108895</v>
      </c>
      <c r="F258" s="275">
        <v>61200</v>
      </c>
      <c r="G258" s="277">
        <f t="shared" si="60"/>
        <v>48.396423884164861</v>
      </c>
      <c r="I258" s="94">
        <f t="shared" si="57"/>
        <v>6</v>
      </c>
      <c r="J258" s="90">
        <f t="shared" si="61"/>
        <v>2038</v>
      </c>
      <c r="K258" s="95">
        <f t="shared" si="62"/>
        <v>50557</v>
      </c>
      <c r="M258" s="57">
        <v>2.1999999999999999E-2</v>
      </c>
      <c r="O258" s="272"/>
      <c r="P258" s="272"/>
      <c r="T258" s="272"/>
    </row>
    <row r="259" spans="2:20" outlineLevel="1">
      <c r="B259" s="293">
        <f t="shared" si="47"/>
        <v>50587</v>
      </c>
      <c r="C259" s="275">
        <f t="shared" si="58"/>
        <v>4653144.851727888</v>
      </c>
      <c r="D259" s="276">
        <f>IF(ISNUMBER($F259)*SUM(F259:F270)&lt;&gt;0,VLOOKUP($J259,'Table 1'!$B$13:$C$33,2,FALSE)/12*1000*Study_MW,0)</f>
        <v>0</v>
      </c>
      <c r="E259" s="276">
        <f t="shared" si="59"/>
        <v>4653144.851727888</v>
      </c>
      <c r="F259" s="275">
        <v>63240</v>
      </c>
      <c r="G259" s="277">
        <f t="shared" si="60"/>
        <v>73.579140602907785</v>
      </c>
      <c r="I259" s="94">
        <f t="shared" si="57"/>
        <v>7</v>
      </c>
      <c r="J259" s="90">
        <f t="shared" si="61"/>
        <v>2038</v>
      </c>
      <c r="K259" s="95">
        <f t="shared" si="62"/>
        <v>50587</v>
      </c>
      <c r="M259" s="57">
        <v>2.1999999999999999E-2</v>
      </c>
      <c r="O259" s="272"/>
      <c r="P259" s="272"/>
    </row>
    <row r="260" spans="2:20" outlineLevel="1">
      <c r="B260" s="293">
        <f t="shared" si="47"/>
        <v>50618</v>
      </c>
      <c r="C260" s="275">
        <f t="shared" si="58"/>
        <v>4715739.9855697528</v>
      </c>
      <c r="D260" s="276">
        <f>IF(ISNUMBER($F260)*SUM(F260:F271)&lt;&gt;0,VLOOKUP($J260,'Table 1'!$B$13:$C$33,2,FALSE)/12*1000*Study_MW,0)</f>
        <v>0</v>
      </c>
      <c r="E260" s="276">
        <f t="shared" si="59"/>
        <v>4715739.9855697528</v>
      </c>
      <c r="F260" s="275">
        <v>63240</v>
      </c>
      <c r="G260" s="277">
        <f t="shared" si="60"/>
        <v>74.568943478332585</v>
      </c>
      <c r="I260" s="94">
        <f t="shared" si="57"/>
        <v>8</v>
      </c>
      <c r="J260" s="90">
        <f t="shared" si="61"/>
        <v>2038</v>
      </c>
      <c r="K260" s="95">
        <f t="shared" si="62"/>
        <v>50618</v>
      </c>
      <c r="M260" s="57">
        <v>2.1999999999999999E-2</v>
      </c>
      <c r="O260" s="272"/>
      <c r="P260" s="272"/>
    </row>
    <row r="261" spans="2:20" outlineLevel="1">
      <c r="B261" s="293">
        <f t="shared" si="47"/>
        <v>50649</v>
      </c>
      <c r="C261" s="275">
        <f t="shared" si="58"/>
        <v>4119355.5272628251</v>
      </c>
      <c r="D261" s="276">
        <f>IF(ISNUMBER($F261)*SUM(F261:F272)&lt;&gt;0,VLOOKUP($J261,'Table 1'!$B$13:$C$33,2,FALSE)/12*1000*Study_MW,0)</f>
        <v>0</v>
      </c>
      <c r="E261" s="276">
        <f t="shared" si="59"/>
        <v>4119355.5272628251</v>
      </c>
      <c r="F261" s="275">
        <v>61200</v>
      </c>
      <c r="G261" s="277">
        <f t="shared" si="60"/>
        <v>67.309730837627853</v>
      </c>
      <c r="I261" s="94">
        <f t="shared" si="57"/>
        <v>9</v>
      </c>
      <c r="J261" s="90">
        <f t="shared" si="61"/>
        <v>2038</v>
      </c>
      <c r="K261" s="95">
        <f t="shared" si="62"/>
        <v>50649</v>
      </c>
      <c r="M261" s="57">
        <v>2.1999999999999999E-2</v>
      </c>
      <c r="O261" s="272"/>
      <c r="P261" s="272"/>
    </row>
    <row r="262" spans="2:20" outlineLevel="1">
      <c r="B262" s="293">
        <f t="shared" si="47"/>
        <v>50679</v>
      </c>
      <c r="C262" s="275">
        <f t="shared" si="58"/>
        <v>3599688.1521178242</v>
      </c>
      <c r="D262" s="276">
        <f>IF(ISNUMBER($F262)*SUM(F262:F273)&lt;&gt;0,VLOOKUP($J262,'Table 1'!$B$13:$C$33,2,FALSE)/12*1000*Study_MW,0)</f>
        <v>0</v>
      </c>
      <c r="E262" s="276">
        <f t="shared" si="59"/>
        <v>3599688.1521178242</v>
      </c>
      <c r="F262" s="275">
        <v>63240</v>
      </c>
      <c r="G262" s="277">
        <f t="shared" si="60"/>
        <v>56.921065024001017</v>
      </c>
      <c r="I262" s="94">
        <f t="shared" si="57"/>
        <v>10</v>
      </c>
      <c r="J262" s="90">
        <f t="shared" si="61"/>
        <v>2038</v>
      </c>
      <c r="K262" s="95">
        <f t="shared" si="62"/>
        <v>50679</v>
      </c>
      <c r="M262" s="57">
        <v>2.1999999999999999E-2</v>
      </c>
    </row>
    <row r="263" spans="2:20" outlineLevel="1">
      <c r="B263" s="293">
        <f t="shared" si="47"/>
        <v>50710</v>
      </c>
      <c r="C263" s="275">
        <f t="shared" si="58"/>
        <v>3351933.4179243306</v>
      </c>
      <c r="D263" s="276">
        <f>IF(ISNUMBER($F263)*SUM(F263:F274)&lt;&gt;0,VLOOKUP($J263,'Table 1'!$B$13:$C$33,2,FALSE)/12*1000*Study_MW,0)</f>
        <v>0</v>
      </c>
      <c r="E263" s="276">
        <f t="shared" si="59"/>
        <v>3351933.4179243306</v>
      </c>
      <c r="F263" s="275">
        <v>61200</v>
      </c>
      <c r="G263" s="277">
        <f t="shared" si="60"/>
        <v>54.770153887652462</v>
      </c>
      <c r="I263" s="94">
        <f t="shared" si="57"/>
        <v>11</v>
      </c>
      <c r="J263" s="90">
        <f t="shared" si="61"/>
        <v>2038</v>
      </c>
      <c r="K263" s="95">
        <f t="shared" si="62"/>
        <v>50710</v>
      </c>
      <c r="M263" s="57">
        <v>2.1999999999999999E-2</v>
      </c>
    </row>
    <row r="264" spans="2:20" outlineLevel="1">
      <c r="B264" s="294">
        <f t="shared" si="47"/>
        <v>50740</v>
      </c>
      <c r="C264" s="278">
        <f t="shared" si="58"/>
        <v>3885326.9301927914</v>
      </c>
      <c r="D264" s="279">
        <f>IF(ISNUMBER($F264)*SUM(F264:F275)&lt;&gt;0,VLOOKUP($J264,'Table 1'!$B$13:$C$33,2,FALSE)/12*1000*Study_MW,0)</f>
        <v>0</v>
      </c>
      <c r="E264" s="279">
        <f t="shared" si="59"/>
        <v>3885326.9301927914</v>
      </c>
      <c r="F264" s="278">
        <v>63240</v>
      </c>
      <c r="G264" s="280">
        <f t="shared" si="60"/>
        <v>61.437807245300306</v>
      </c>
      <c r="I264" s="81">
        <f t="shared" si="57"/>
        <v>12</v>
      </c>
      <c r="J264" s="90">
        <f t="shared" si="61"/>
        <v>2038</v>
      </c>
      <c r="K264" s="99">
        <f t="shared" si="62"/>
        <v>50740</v>
      </c>
      <c r="M264" s="57">
        <v>2.1999999999999999E-2</v>
      </c>
    </row>
    <row r="265" spans="2:20">
      <c r="B265" s="100"/>
      <c r="K265" s="90"/>
    </row>
    <row r="266" spans="2:20" hidden="1">
      <c r="B266" s="73" t="str">
        <f>"Note: Energy Dollars in "&amp;YEAR(B253)&amp;" are "&amp;YEAR(B241)&amp;" x ("&amp;YEAR(B241)&amp;" / "&amp;YEAR(B193)&amp;" ) ^ (1/4)"</f>
        <v>Note: Energy Dollars in 2038 are 2037 x (2037 / 2033 ) ^ (1/4)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2"/>
  <sheetViews>
    <sheetView view="pageBreakPreview" zoomScale="60" zoomScaleNormal="100" workbookViewId="0">
      <selection activeCell="L21" sqref="L21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3" width="9.33203125" style="188"/>
    <col min="14" max="14" width="9.33203125" style="243"/>
    <col min="15" max="16384" width="9.33203125" style="188"/>
  </cols>
  <sheetData>
    <row r="1" spans="2:17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7" ht="15.75">
      <c r="B2" s="186" t="s">
        <v>156</v>
      </c>
      <c r="C2" s="187"/>
      <c r="D2" s="187"/>
      <c r="E2" s="187"/>
      <c r="F2" s="187"/>
      <c r="G2" s="187"/>
      <c r="H2" s="187"/>
      <c r="I2" s="187"/>
      <c r="J2" s="187"/>
    </row>
    <row r="3" spans="2:17" ht="15.75">
      <c r="B3" s="186" t="str">
        <f>TEXT($C$63,"0%")&amp;" Capacity Factor"</f>
        <v>41% Capacity Factor</v>
      </c>
      <c r="C3" s="187"/>
      <c r="D3" s="187"/>
      <c r="E3" s="187"/>
      <c r="F3" s="187"/>
      <c r="G3" s="187"/>
      <c r="H3" s="187"/>
      <c r="I3" s="187"/>
      <c r="J3" s="187"/>
    </row>
    <row r="4" spans="2:17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7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110</v>
      </c>
      <c r="G5" s="19" t="s">
        <v>13</v>
      </c>
      <c r="H5" s="192" t="s">
        <v>111</v>
      </c>
      <c r="I5" s="192" t="s">
        <v>137</v>
      </c>
      <c r="J5" s="19" t="s">
        <v>73</v>
      </c>
      <c r="K5" s="192" t="s">
        <v>112</v>
      </c>
    </row>
    <row r="6" spans="2:17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7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7" ht="6" customHeight="1">
      <c r="K8" s="190"/>
    </row>
    <row r="9" spans="2:17" ht="15.75">
      <c r="B9" s="60" t="str">
        <f>C52</f>
        <v>2017 IRP Wyoming Wind Resource - 41% Capacity Factor</v>
      </c>
      <c r="C9" s="190"/>
      <c r="E9" s="190"/>
      <c r="F9" s="190"/>
      <c r="G9" s="190"/>
      <c r="H9" s="190"/>
      <c r="I9" s="190"/>
      <c r="J9" s="190"/>
      <c r="K9" s="190"/>
      <c r="N9" s="188"/>
    </row>
    <row r="10" spans="2:17">
      <c r="B10" s="197">
        <v>2016</v>
      </c>
      <c r="C10" s="198">
        <f>C55</f>
        <v>1637</v>
      </c>
      <c r="D10" s="199">
        <f>C10*$C$62</f>
        <v>115.6947435682565</v>
      </c>
      <c r="E10" s="199">
        <f>C56</f>
        <v>37.565582271006477</v>
      </c>
      <c r="F10" s="200">
        <f t="shared" ref="F10:F36" si="0">(D10+E10)/(8.76*$C$63)</f>
        <v>42.464735403439889</v>
      </c>
      <c r="G10" s="200">
        <f>C58</f>
        <v>0.65</v>
      </c>
      <c r="H10" s="274">
        <f>C59</f>
        <v>-17.762272248602351</v>
      </c>
      <c r="I10" s="201">
        <f>F10+H10+G10</f>
        <v>25.352463154837537</v>
      </c>
      <c r="J10" s="201">
        <f>ROUND(I10*$C$63*8.76,2)</f>
        <v>91.5</v>
      </c>
      <c r="K10" s="199">
        <f>$C$57</f>
        <v>0.57299999999999995</v>
      </c>
      <c r="N10" s="244"/>
    </row>
    <row r="11" spans="2:17">
      <c r="B11" s="197">
        <f t="shared" ref="B11:B36" si="1">B10+1</f>
        <v>2017</v>
      </c>
      <c r="C11" s="203"/>
      <c r="D11" s="199">
        <f>ROUND(D10*(1+$D66),2)</f>
        <v>118.01</v>
      </c>
      <c r="E11" s="199">
        <f>ROUND(E10*(1+$D66),2)</f>
        <v>38.32</v>
      </c>
      <c r="F11" s="200">
        <f t="shared" si="0"/>
        <v>43.315267987764337</v>
      </c>
      <c r="G11" s="199">
        <f>ROUND(G10*(1+$D66),2)</f>
        <v>0.66</v>
      </c>
      <c r="H11" s="199">
        <f>ROUND(H10*(1+$D66),2)</f>
        <v>-18.12</v>
      </c>
      <c r="I11" s="201">
        <f>F11+H11+G11</f>
        <v>25.855267987764336</v>
      </c>
      <c r="J11" s="201">
        <f t="shared" ref="J11:J36" si="2">ROUND(I11*$C$63*8.76,2)</f>
        <v>93.31</v>
      </c>
      <c r="K11" s="199">
        <f>ROUND(K10*(1+$D66),2)</f>
        <v>0.57999999999999996</v>
      </c>
      <c r="N11" s="244"/>
    </row>
    <row r="12" spans="2:17">
      <c r="B12" s="210">
        <f t="shared" si="1"/>
        <v>2018</v>
      </c>
      <c r="C12" s="211"/>
      <c r="D12" s="199">
        <f t="shared" ref="D12:G19" si="3">ROUND(D11*(1+$D67),2)</f>
        <v>120.25</v>
      </c>
      <c r="E12" s="199">
        <f t="shared" si="3"/>
        <v>39.049999999999997</v>
      </c>
      <c r="F12" s="201">
        <f t="shared" si="0"/>
        <v>44.138183269051737</v>
      </c>
      <c r="G12" s="199">
        <f t="shared" si="3"/>
        <v>0.67</v>
      </c>
      <c r="H12" s="199">
        <f t="shared" ref="H12" si="4">ROUND(H11*(1+$D67),2)</f>
        <v>-18.46</v>
      </c>
      <c r="I12" s="201">
        <f t="shared" ref="I12:I36" si="5">F12+H12+G12</f>
        <v>26.348183269051738</v>
      </c>
      <c r="J12" s="201">
        <f t="shared" si="2"/>
        <v>95.09</v>
      </c>
      <c r="K12" s="199">
        <f t="shared" ref="K12:K19" si="6">ROUND(K11*(1+$D67),2)</f>
        <v>0.59</v>
      </c>
      <c r="L12" s="190"/>
      <c r="N12" s="244"/>
    </row>
    <row r="13" spans="2:17">
      <c r="B13" s="210">
        <f t="shared" si="1"/>
        <v>2019</v>
      </c>
      <c r="C13" s="211"/>
      <c r="D13" s="199">
        <f t="shared" si="3"/>
        <v>122.9</v>
      </c>
      <c r="E13" s="199">
        <f t="shared" si="3"/>
        <v>39.909999999999997</v>
      </c>
      <c r="F13" s="201">
        <f t="shared" si="0"/>
        <v>45.110719510573219</v>
      </c>
      <c r="G13" s="199">
        <f t="shared" si="3"/>
        <v>0.68</v>
      </c>
      <c r="H13" s="199">
        <f t="shared" ref="H13" si="7">ROUND(H12*(1+$D68),2)</f>
        <v>-18.87</v>
      </c>
      <c r="I13" s="201">
        <f t="shared" si="5"/>
        <v>26.920719510573218</v>
      </c>
      <c r="J13" s="201">
        <f t="shared" si="2"/>
        <v>97.16</v>
      </c>
      <c r="K13" s="199">
        <f t="shared" si="6"/>
        <v>0.6</v>
      </c>
      <c r="L13" s="190"/>
      <c r="N13" s="244"/>
    </row>
    <row r="14" spans="2:17">
      <c r="B14" s="210">
        <f t="shared" si="1"/>
        <v>2020</v>
      </c>
      <c r="C14" s="211"/>
      <c r="D14" s="199">
        <f t="shared" si="3"/>
        <v>126.1</v>
      </c>
      <c r="E14" s="199">
        <f t="shared" si="3"/>
        <v>40.950000000000003</v>
      </c>
      <c r="F14" s="201">
        <f t="shared" si="0"/>
        <v>46.285521124262985</v>
      </c>
      <c r="G14" s="199">
        <f t="shared" si="3"/>
        <v>0.7</v>
      </c>
      <c r="H14" s="199">
        <f t="shared" ref="H14" si="8">ROUND(H13*(1+$D69),2)</f>
        <v>-19.36</v>
      </c>
      <c r="I14" s="201">
        <f t="shared" si="5"/>
        <v>27.625521124262985</v>
      </c>
      <c r="J14" s="201">
        <f t="shared" si="2"/>
        <v>99.7</v>
      </c>
      <c r="K14" s="199">
        <f t="shared" si="6"/>
        <v>0.62</v>
      </c>
      <c r="L14" s="190"/>
      <c r="N14" s="244"/>
      <c r="O14" s="207"/>
      <c r="P14" s="208"/>
      <c r="Q14" s="209"/>
    </row>
    <row r="15" spans="2:17">
      <c r="B15" s="210">
        <f t="shared" si="1"/>
        <v>2021</v>
      </c>
      <c r="C15" s="211"/>
      <c r="D15" s="199">
        <f t="shared" si="3"/>
        <v>129.13</v>
      </c>
      <c r="E15" s="199">
        <f t="shared" si="3"/>
        <v>41.93</v>
      </c>
      <c r="F15" s="201">
        <f t="shared" si="0"/>
        <v>47.39659529192712</v>
      </c>
      <c r="G15" s="199">
        <f t="shared" si="3"/>
        <v>0.72</v>
      </c>
      <c r="H15" s="199">
        <f t="shared" ref="H15" si="9">ROUND(H14*(1+$D70),2)</f>
        <v>-19.82</v>
      </c>
      <c r="I15" s="201">
        <f t="shared" si="5"/>
        <v>28.296595291927119</v>
      </c>
      <c r="J15" s="201">
        <f t="shared" si="2"/>
        <v>102.13</v>
      </c>
      <c r="K15" s="199">
        <f t="shared" si="6"/>
        <v>0.63</v>
      </c>
      <c r="L15" s="190"/>
      <c r="N15" s="244"/>
      <c r="O15" s="208"/>
      <c r="P15" s="208"/>
      <c r="Q15" s="209"/>
    </row>
    <row r="16" spans="2:17">
      <c r="B16" s="210">
        <f t="shared" si="1"/>
        <v>2022</v>
      </c>
      <c r="C16" s="211"/>
      <c r="D16" s="199">
        <f t="shared" si="3"/>
        <v>132.1</v>
      </c>
      <c r="E16" s="199">
        <f t="shared" si="3"/>
        <v>42.89</v>
      </c>
      <c r="F16" s="201">
        <f t="shared" si="0"/>
        <v>48.485503391408436</v>
      </c>
      <c r="G16" s="199">
        <f t="shared" si="3"/>
        <v>0.74</v>
      </c>
      <c r="H16" s="199">
        <f t="shared" ref="H16" si="10">ROUND(H15*(1+$D71),2)</f>
        <v>-20.28</v>
      </c>
      <c r="I16" s="201">
        <f t="shared" si="5"/>
        <v>28.945503391408433</v>
      </c>
      <c r="J16" s="201">
        <f t="shared" si="2"/>
        <v>104.47</v>
      </c>
      <c r="K16" s="199">
        <f t="shared" si="6"/>
        <v>0.64</v>
      </c>
      <c r="L16" s="190"/>
      <c r="N16" s="244"/>
    </row>
    <row r="17" spans="2:16">
      <c r="B17" s="210">
        <f t="shared" si="1"/>
        <v>2023</v>
      </c>
      <c r="C17" s="211"/>
      <c r="D17" s="199">
        <f t="shared" si="3"/>
        <v>135.13999999999999</v>
      </c>
      <c r="E17" s="199">
        <f t="shared" si="3"/>
        <v>43.88</v>
      </c>
      <c r="F17" s="201">
        <f t="shared" si="0"/>
        <v>49.602119076118278</v>
      </c>
      <c r="G17" s="199">
        <f t="shared" si="3"/>
        <v>0.76</v>
      </c>
      <c r="H17" s="199">
        <f t="shared" ref="H17" si="11">ROUND(H16*(1+$D72),2)</f>
        <v>-20.75</v>
      </c>
      <c r="I17" s="201">
        <f t="shared" si="5"/>
        <v>29.61211907611828</v>
      </c>
      <c r="J17" s="201">
        <f t="shared" si="2"/>
        <v>106.87</v>
      </c>
      <c r="K17" s="199">
        <f t="shared" si="6"/>
        <v>0.65</v>
      </c>
      <c r="L17" s="190"/>
      <c r="N17" s="244"/>
      <c r="O17" s="207"/>
    </row>
    <row r="18" spans="2:16">
      <c r="B18" s="210">
        <f t="shared" si="1"/>
        <v>2024</v>
      </c>
      <c r="C18" s="211"/>
      <c r="D18" s="199">
        <f t="shared" si="3"/>
        <v>138.25</v>
      </c>
      <c r="E18" s="199">
        <f t="shared" si="3"/>
        <v>44.89</v>
      </c>
      <c r="F18" s="201">
        <f t="shared" si="0"/>
        <v>50.743671587533804</v>
      </c>
      <c r="G18" s="199">
        <f t="shared" si="3"/>
        <v>0.78</v>
      </c>
      <c r="H18" s="199">
        <f t="shared" ref="H18" si="12">ROUND(H17*(1+$D73),2)</f>
        <v>-21.23</v>
      </c>
      <c r="I18" s="201">
        <f t="shared" si="5"/>
        <v>30.293671587533805</v>
      </c>
      <c r="J18" s="201">
        <f t="shared" si="2"/>
        <v>109.33</v>
      </c>
      <c r="K18" s="199">
        <f t="shared" si="6"/>
        <v>0.66</v>
      </c>
      <c r="L18" s="190"/>
      <c r="N18" s="244"/>
    </row>
    <row r="19" spans="2:16">
      <c r="B19" s="210">
        <f t="shared" si="1"/>
        <v>2025</v>
      </c>
      <c r="C19" s="211"/>
      <c r="D19" s="199">
        <f t="shared" si="3"/>
        <v>141.43</v>
      </c>
      <c r="E19" s="199">
        <f t="shared" si="3"/>
        <v>45.92</v>
      </c>
      <c r="F19" s="201">
        <f t="shared" si="0"/>
        <v>51.910160925655013</v>
      </c>
      <c r="G19" s="199">
        <f t="shared" si="3"/>
        <v>0.8</v>
      </c>
      <c r="H19" s="199">
        <f t="shared" ref="H19" si="13">ROUND(H18*(1+$D74),2)</f>
        <v>-21.72</v>
      </c>
      <c r="I19" s="201">
        <f t="shared" si="5"/>
        <v>30.990160925655015</v>
      </c>
      <c r="J19" s="201">
        <f t="shared" si="2"/>
        <v>111.85</v>
      </c>
      <c r="K19" s="199">
        <f t="shared" si="6"/>
        <v>0.68</v>
      </c>
      <c r="L19" s="190"/>
      <c r="N19" s="244"/>
    </row>
    <row r="20" spans="2:16">
      <c r="B20" s="210">
        <f t="shared" si="1"/>
        <v>2026</v>
      </c>
      <c r="C20" s="211"/>
      <c r="D20" s="199">
        <f>ROUND(D19*(1+$G66),2)</f>
        <v>144.68</v>
      </c>
      <c r="E20" s="199">
        <f>ROUND(E19*(1+$G66),2)</f>
        <v>46.98</v>
      </c>
      <c r="F20" s="201">
        <f t="shared" si="0"/>
        <v>53.104357849004742</v>
      </c>
      <c r="G20" s="199">
        <f>ROUND(G19*(1+$G66),2)</f>
        <v>0.82</v>
      </c>
      <c r="H20" s="199">
        <f>ROUND(H19*(1+$G66),2)</f>
        <v>-22.22</v>
      </c>
      <c r="I20" s="201">
        <f t="shared" si="5"/>
        <v>31.704357849004744</v>
      </c>
      <c r="J20" s="201">
        <f t="shared" si="2"/>
        <v>114.42</v>
      </c>
      <c r="K20" s="199">
        <f>ROUND(K19*(1+$G66),2)</f>
        <v>0.7</v>
      </c>
      <c r="L20" s="190"/>
      <c r="N20" s="244"/>
      <c r="P20" s="241"/>
    </row>
    <row r="21" spans="2:16">
      <c r="B21" s="210">
        <f t="shared" si="1"/>
        <v>2027</v>
      </c>
      <c r="C21" s="211"/>
      <c r="D21" s="199">
        <f t="shared" ref="D21:G28" si="14">ROUND(D20*(1+$G67),2)</f>
        <v>148.01</v>
      </c>
      <c r="E21" s="199">
        <f t="shared" si="14"/>
        <v>48.06</v>
      </c>
      <c r="F21" s="201">
        <f t="shared" si="0"/>
        <v>54.326262357583012</v>
      </c>
      <c r="G21" s="199">
        <f t="shared" si="14"/>
        <v>0.84</v>
      </c>
      <c r="H21" s="199">
        <f t="shared" ref="H21" si="15">ROUND(H20*(1+$G67),2)</f>
        <v>-22.73</v>
      </c>
      <c r="I21" s="201">
        <f t="shared" si="5"/>
        <v>32.436262357583011</v>
      </c>
      <c r="J21" s="201">
        <f t="shared" si="2"/>
        <v>117.07</v>
      </c>
      <c r="K21" s="199">
        <f t="shared" ref="K21:K28" si="16">ROUND(K20*(1+$G67),2)</f>
        <v>0.72</v>
      </c>
      <c r="L21" s="190"/>
      <c r="N21" s="244"/>
    </row>
    <row r="22" spans="2:16">
      <c r="B22" s="210">
        <f t="shared" si="1"/>
        <v>2028</v>
      </c>
      <c r="C22" s="211"/>
      <c r="D22" s="199">
        <f t="shared" si="14"/>
        <v>151.41</v>
      </c>
      <c r="E22" s="199">
        <f t="shared" si="14"/>
        <v>49.17</v>
      </c>
      <c r="F22" s="201">
        <f t="shared" si="0"/>
        <v>55.575874451389808</v>
      </c>
      <c r="G22" s="199">
        <f t="shared" si="14"/>
        <v>0.86</v>
      </c>
      <c r="H22" s="199">
        <f t="shared" ref="H22" si="17">ROUND(H21*(1+$G68),2)</f>
        <v>-23.25</v>
      </c>
      <c r="I22" s="201">
        <f t="shared" si="5"/>
        <v>33.185874451389807</v>
      </c>
      <c r="J22" s="201">
        <f t="shared" si="2"/>
        <v>119.77</v>
      </c>
      <c r="K22" s="199">
        <f t="shared" si="16"/>
        <v>0.74</v>
      </c>
      <c r="L22" s="190"/>
      <c r="N22" s="244"/>
    </row>
    <row r="23" spans="2:16">
      <c r="B23" s="210">
        <f t="shared" si="1"/>
        <v>2029</v>
      </c>
      <c r="C23" s="211"/>
      <c r="D23" s="199">
        <f t="shared" si="14"/>
        <v>154.88999999999999</v>
      </c>
      <c r="E23" s="199">
        <f t="shared" si="14"/>
        <v>50.3</v>
      </c>
      <c r="F23" s="201">
        <f t="shared" si="0"/>
        <v>56.853194130425145</v>
      </c>
      <c r="G23" s="199">
        <f t="shared" si="14"/>
        <v>0.88</v>
      </c>
      <c r="H23" s="199">
        <f t="shared" ref="H23" si="18">ROUND(H22*(1+$G69),2)</f>
        <v>-23.78</v>
      </c>
      <c r="I23" s="201">
        <f t="shared" si="5"/>
        <v>33.953194130425146</v>
      </c>
      <c r="J23" s="201">
        <f t="shared" si="2"/>
        <v>122.54</v>
      </c>
      <c r="K23" s="199">
        <f t="shared" si="16"/>
        <v>0.76</v>
      </c>
      <c r="L23" s="190"/>
      <c r="N23" s="244"/>
    </row>
    <row r="24" spans="2:16">
      <c r="B24" s="210">
        <f t="shared" si="1"/>
        <v>2030</v>
      </c>
      <c r="C24" s="204"/>
      <c r="D24" s="205">
        <f t="shared" si="14"/>
        <v>158.44999999999999</v>
      </c>
      <c r="E24" s="205">
        <f t="shared" si="14"/>
        <v>51.46</v>
      </c>
      <c r="F24" s="206">
        <f t="shared" si="0"/>
        <v>58.160992153211865</v>
      </c>
      <c r="G24" s="205">
        <f t="shared" si="14"/>
        <v>0.9</v>
      </c>
      <c r="H24" s="205">
        <f t="shared" ref="H24" si="19">ROUND(H23*(1+$G70),2)</f>
        <v>-24.33</v>
      </c>
      <c r="I24" s="206">
        <f t="shared" si="5"/>
        <v>34.730992153211865</v>
      </c>
      <c r="J24" s="206">
        <f t="shared" si="2"/>
        <v>125.35</v>
      </c>
      <c r="K24" s="205">
        <f t="shared" si="16"/>
        <v>0.78</v>
      </c>
      <c r="L24" s="190"/>
      <c r="N24" s="244"/>
    </row>
    <row r="25" spans="2:16">
      <c r="B25" s="210">
        <f t="shared" si="1"/>
        <v>2031</v>
      </c>
      <c r="C25" s="211"/>
      <c r="D25" s="199">
        <f t="shared" si="14"/>
        <v>162.09</v>
      </c>
      <c r="E25" s="199">
        <f t="shared" si="14"/>
        <v>52.64</v>
      </c>
      <c r="F25" s="201">
        <f t="shared" si="0"/>
        <v>59.496497761227118</v>
      </c>
      <c r="G25" s="199">
        <f t="shared" si="14"/>
        <v>0.92</v>
      </c>
      <c r="H25" s="199">
        <f t="shared" ref="H25" si="20">ROUND(H24*(1+$G71),2)</f>
        <v>-24.89</v>
      </c>
      <c r="I25" s="201">
        <f t="shared" si="5"/>
        <v>35.52649776122712</v>
      </c>
      <c r="J25" s="201">
        <f t="shared" si="2"/>
        <v>128.22</v>
      </c>
      <c r="K25" s="199">
        <f t="shared" si="16"/>
        <v>0.8</v>
      </c>
      <c r="L25" s="190"/>
      <c r="N25" s="244"/>
    </row>
    <row r="26" spans="2:16">
      <c r="B26" s="210">
        <f t="shared" si="1"/>
        <v>2032</v>
      </c>
      <c r="C26" s="211"/>
      <c r="D26" s="199">
        <f t="shared" si="14"/>
        <v>165.66</v>
      </c>
      <c r="E26" s="199">
        <f t="shared" si="14"/>
        <v>53.8</v>
      </c>
      <c r="F26" s="201">
        <f t="shared" si="0"/>
        <v>60.807066542536681</v>
      </c>
      <c r="G26" s="199">
        <f t="shared" si="14"/>
        <v>0.94</v>
      </c>
      <c r="H26" s="199">
        <f t="shared" ref="H26" si="21">ROUND(H25*(1+$G72),2)</f>
        <v>-25.44</v>
      </c>
      <c r="I26" s="201">
        <f t="shared" si="5"/>
        <v>36.307066542536674</v>
      </c>
      <c r="J26" s="201">
        <f t="shared" si="2"/>
        <v>131.04</v>
      </c>
      <c r="K26" s="199">
        <f t="shared" si="16"/>
        <v>0.82</v>
      </c>
      <c r="L26" s="190"/>
      <c r="N26" s="244"/>
    </row>
    <row r="27" spans="2:16">
      <c r="B27" s="210">
        <f t="shared" si="1"/>
        <v>2033</v>
      </c>
      <c r="C27" s="211"/>
      <c r="D27" s="199">
        <f t="shared" si="14"/>
        <v>169.3</v>
      </c>
      <c r="E27" s="199">
        <f t="shared" si="14"/>
        <v>54.98</v>
      </c>
      <c r="F27" s="201">
        <f t="shared" si="0"/>
        <v>62.142572150551935</v>
      </c>
      <c r="G27" s="199">
        <f t="shared" si="14"/>
        <v>0.96</v>
      </c>
      <c r="H27" s="199">
        <f t="shared" ref="H27" si="22">ROUND(H26*(1+$G73),2)</f>
        <v>-26</v>
      </c>
      <c r="I27" s="201">
        <f t="shared" si="5"/>
        <v>37.102572150551936</v>
      </c>
      <c r="J27" s="201">
        <f t="shared" si="2"/>
        <v>133.91</v>
      </c>
      <c r="K27" s="199">
        <f t="shared" si="16"/>
        <v>0.84</v>
      </c>
      <c r="L27" s="190"/>
      <c r="N27" s="244"/>
    </row>
    <row r="28" spans="2:16">
      <c r="B28" s="210">
        <f t="shared" si="1"/>
        <v>2034</v>
      </c>
      <c r="C28" s="211"/>
      <c r="D28" s="199">
        <f t="shared" si="14"/>
        <v>173.19</v>
      </c>
      <c r="E28" s="199">
        <f t="shared" si="14"/>
        <v>56.24</v>
      </c>
      <c r="F28" s="201">
        <f t="shared" si="0"/>
        <v>63.569512789821346</v>
      </c>
      <c r="G28" s="199">
        <f t="shared" si="14"/>
        <v>0.98</v>
      </c>
      <c r="H28" s="199">
        <f t="shared" ref="H28" si="23">ROUND(H27*(1+$G74),2)</f>
        <v>-26.6</v>
      </c>
      <c r="I28" s="201">
        <f t="shared" si="5"/>
        <v>37.949512789821341</v>
      </c>
      <c r="J28" s="201">
        <f t="shared" si="2"/>
        <v>136.96</v>
      </c>
      <c r="K28" s="199">
        <f t="shared" si="16"/>
        <v>0.86</v>
      </c>
      <c r="L28" s="190"/>
      <c r="N28" s="244"/>
    </row>
    <row r="29" spans="2:16">
      <c r="B29" s="210">
        <f t="shared" si="1"/>
        <v>2035</v>
      </c>
      <c r="C29" s="211"/>
      <c r="D29" s="199">
        <f>ROUND(D28*(1+$K66),2)</f>
        <v>177.17</v>
      </c>
      <c r="E29" s="199">
        <f>ROUND(E28*(1+$K66),2)</f>
        <v>57.53</v>
      </c>
      <c r="F29" s="201">
        <f t="shared" si="0"/>
        <v>65.02970253136499</v>
      </c>
      <c r="G29" s="199">
        <f>ROUND(G28*(1+$K66),2)</f>
        <v>1</v>
      </c>
      <c r="H29" s="199">
        <f>ROUND(H28*(1+$K66),2)</f>
        <v>-27.21</v>
      </c>
      <c r="I29" s="201">
        <f t="shared" si="5"/>
        <v>38.819702531364989</v>
      </c>
      <c r="J29" s="201">
        <f t="shared" si="2"/>
        <v>140.1</v>
      </c>
      <c r="K29" s="199">
        <f>ROUND(K28*(1+$K66),2)</f>
        <v>0.88</v>
      </c>
      <c r="L29" s="190"/>
      <c r="N29" s="244"/>
    </row>
    <row r="30" spans="2:16">
      <c r="B30" s="210">
        <f t="shared" si="1"/>
        <v>2036</v>
      </c>
      <c r="C30" s="211"/>
      <c r="D30" s="199">
        <f t="shared" ref="D30:G36" si="24">ROUND(D29*(1+$K67),2)</f>
        <v>181.24</v>
      </c>
      <c r="E30" s="199">
        <f t="shared" si="24"/>
        <v>58.85</v>
      </c>
      <c r="F30" s="201">
        <f t="shared" si="0"/>
        <v>66.523141375182874</v>
      </c>
      <c r="G30" s="199">
        <f t="shared" si="24"/>
        <v>1.02</v>
      </c>
      <c r="H30" s="199">
        <f t="shared" ref="H30" si="25">ROUND(H29*(1+$K67),2)</f>
        <v>-27.84</v>
      </c>
      <c r="I30" s="201">
        <f t="shared" si="5"/>
        <v>39.703141375182874</v>
      </c>
      <c r="J30" s="201">
        <f t="shared" si="2"/>
        <v>143.29</v>
      </c>
      <c r="K30" s="199">
        <f t="shared" ref="K30:K36" si="26">ROUND(K29*(1+$K67),2)</f>
        <v>0.9</v>
      </c>
      <c r="L30" s="190"/>
      <c r="N30" s="244"/>
    </row>
    <row r="31" spans="2:16">
      <c r="B31" s="210">
        <f t="shared" si="1"/>
        <v>2037</v>
      </c>
      <c r="C31" s="211"/>
      <c r="D31" s="199">
        <f t="shared" si="24"/>
        <v>185.23</v>
      </c>
      <c r="E31" s="199">
        <f t="shared" si="24"/>
        <v>60.14</v>
      </c>
      <c r="F31" s="201">
        <f t="shared" si="0"/>
        <v>67.986101875249375</v>
      </c>
      <c r="G31" s="199">
        <f t="shared" si="24"/>
        <v>1.04</v>
      </c>
      <c r="H31" s="199">
        <f t="shared" ref="H31" si="27">ROUND(H30*(1+$K68),2)</f>
        <v>-28.45</v>
      </c>
      <c r="I31" s="201">
        <f t="shared" si="5"/>
        <v>40.576101875249371</v>
      </c>
      <c r="J31" s="201">
        <f t="shared" si="2"/>
        <v>146.44</v>
      </c>
      <c r="K31" s="199">
        <f t="shared" si="26"/>
        <v>0.92</v>
      </c>
      <c r="L31" s="190"/>
      <c r="N31" s="244"/>
    </row>
    <row r="32" spans="2:16">
      <c r="B32" s="210">
        <f t="shared" si="1"/>
        <v>2038</v>
      </c>
      <c r="C32" s="211"/>
      <c r="D32" s="199">
        <f t="shared" si="24"/>
        <v>189.31</v>
      </c>
      <c r="E32" s="199">
        <f t="shared" si="24"/>
        <v>61.46</v>
      </c>
      <c r="F32" s="201">
        <f t="shared" si="0"/>
        <v>69.482311477590116</v>
      </c>
      <c r="G32" s="199">
        <f t="shared" si="24"/>
        <v>1.06</v>
      </c>
      <c r="H32" s="199">
        <f t="shared" ref="H32" si="28">ROUND(H31*(1+$K69),2)</f>
        <v>-29.08</v>
      </c>
      <c r="I32" s="201">
        <f t="shared" si="5"/>
        <v>41.46231147759012</v>
      </c>
      <c r="J32" s="201">
        <f t="shared" si="2"/>
        <v>149.63999999999999</v>
      </c>
      <c r="K32" s="199">
        <f t="shared" si="26"/>
        <v>0.94</v>
      </c>
      <c r="L32" s="190"/>
      <c r="N32" s="244"/>
    </row>
    <row r="33" spans="2:14">
      <c r="B33" s="210">
        <f t="shared" si="1"/>
        <v>2039</v>
      </c>
      <c r="C33" s="211"/>
      <c r="D33" s="199">
        <f t="shared" si="24"/>
        <v>193.47</v>
      </c>
      <c r="E33" s="199">
        <f t="shared" si="24"/>
        <v>62.81</v>
      </c>
      <c r="F33" s="201">
        <f t="shared" si="0"/>
        <v>71.008999423682226</v>
      </c>
      <c r="G33" s="199">
        <f t="shared" si="24"/>
        <v>1.08</v>
      </c>
      <c r="H33" s="199">
        <f t="shared" ref="H33" si="29">ROUND(H32*(1+$K70),2)</f>
        <v>-29.72</v>
      </c>
      <c r="I33" s="201">
        <f t="shared" si="5"/>
        <v>42.368999423682226</v>
      </c>
      <c r="J33" s="201">
        <f t="shared" si="2"/>
        <v>152.91</v>
      </c>
      <c r="K33" s="199">
        <f t="shared" si="26"/>
        <v>0.96</v>
      </c>
      <c r="L33" s="190"/>
      <c r="N33" s="244"/>
    </row>
    <row r="34" spans="2:14">
      <c r="B34" s="210">
        <f t="shared" si="1"/>
        <v>2040</v>
      </c>
      <c r="C34" s="211"/>
      <c r="D34" s="199">
        <f t="shared" si="24"/>
        <v>197.73</v>
      </c>
      <c r="E34" s="199">
        <f t="shared" si="24"/>
        <v>64.19</v>
      </c>
      <c r="F34" s="201">
        <f t="shared" si="0"/>
        <v>72.571707230571434</v>
      </c>
      <c r="G34" s="199">
        <f t="shared" si="24"/>
        <v>1.1000000000000001</v>
      </c>
      <c r="H34" s="199">
        <f t="shared" ref="H34" si="30">ROUND(H33*(1+$K71),2)</f>
        <v>-30.37</v>
      </c>
      <c r="I34" s="201">
        <f t="shared" si="5"/>
        <v>43.301707230571431</v>
      </c>
      <c r="J34" s="201">
        <f t="shared" si="2"/>
        <v>156.28</v>
      </c>
      <c r="K34" s="199">
        <f t="shared" si="26"/>
        <v>0.98</v>
      </c>
      <c r="L34" s="190"/>
      <c r="N34" s="244"/>
    </row>
    <row r="35" spans="2:14">
      <c r="B35" s="210">
        <f t="shared" si="1"/>
        <v>2041</v>
      </c>
      <c r="C35" s="211"/>
      <c r="D35" s="199">
        <f t="shared" si="24"/>
        <v>202.08</v>
      </c>
      <c r="E35" s="199">
        <f t="shared" si="24"/>
        <v>65.599999999999994</v>
      </c>
      <c r="F35" s="201">
        <f t="shared" si="0"/>
        <v>74.167664139734896</v>
      </c>
      <c r="G35" s="199">
        <f t="shared" si="24"/>
        <v>1.1200000000000001</v>
      </c>
      <c r="H35" s="199">
        <f t="shared" ref="H35" si="31">ROUND(H34*(1+$K72),2)</f>
        <v>-31.04</v>
      </c>
      <c r="I35" s="201">
        <f t="shared" si="5"/>
        <v>44.247664139734894</v>
      </c>
      <c r="J35" s="201">
        <f t="shared" si="2"/>
        <v>159.69999999999999</v>
      </c>
      <c r="K35" s="199">
        <f t="shared" si="26"/>
        <v>1</v>
      </c>
      <c r="L35" s="190"/>
      <c r="N35" s="244"/>
    </row>
    <row r="36" spans="2:14">
      <c r="B36" s="210">
        <f t="shared" si="1"/>
        <v>2042</v>
      </c>
      <c r="C36" s="211"/>
      <c r="D36" s="199">
        <f t="shared" si="24"/>
        <v>206.53</v>
      </c>
      <c r="E36" s="199">
        <f t="shared" si="24"/>
        <v>67.040000000000006</v>
      </c>
      <c r="F36" s="201">
        <f t="shared" si="0"/>
        <v>75.799640909695441</v>
      </c>
      <c r="G36" s="199">
        <f t="shared" si="24"/>
        <v>1.1399999999999999</v>
      </c>
      <c r="H36" s="199">
        <f t="shared" ref="H36" si="32">ROUND(H35*(1+$K73),2)</f>
        <v>-31.72</v>
      </c>
      <c r="I36" s="201">
        <f t="shared" si="5"/>
        <v>45.219640909695443</v>
      </c>
      <c r="J36" s="201">
        <f t="shared" si="2"/>
        <v>163.19999999999999</v>
      </c>
      <c r="K36" s="199">
        <f t="shared" si="26"/>
        <v>1.02</v>
      </c>
      <c r="L36" s="190"/>
      <c r="N36" s="244"/>
    </row>
    <row r="37" spans="2:14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4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4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4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4" ht="14.25">
      <c r="B42" s="214" t="s">
        <v>31</v>
      </c>
      <c r="C42" s="215"/>
      <c r="D42" s="215"/>
      <c r="E42" s="215"/>
      <c r="F42" s="215"/>
      <c r="G42" s="215"/>
      <c r="H42" s="215"/>
    </row>
    <row r="44" spans="2:14">
      <c r="B44" s="188" t="s">
        <v>113</v>
      </c>
      <c r="C44" s="216" t="s">
        <v>114</v>
      </c>
      <c r="D44" s="217" t="str">
        <f>'Table 3 200 MW (Wyo) 2033'!E68</f>
        <v xml:space="preserve">Plant Costs  - 2017 IRP - Table 6.1 &amp; 6.2 </v>
      </c>
    </row>
    <row r="45" spans="2:14">
      <c r="C45" s="216" t="str">
        <f>C7</f>
        <v>(a)</v>
      </c>
      <c r="D45" s="188" t="s">
        <v>115</v>
      </c>
    </row>
    <row r="46" spans="2:14">
      <c r="C46" s="216" t="str">
        <f>D7</f>
        <v>(b)</v>
      </c>
      <c r="D46" s="201" t="str">
        <f>"= "&amp;C7&amp;" x "&amp;C62</f>
        <v>= (a) x 0.0706748586244695</v>
      </c>
    </row>
    <row r="47" spans="2:14">
      <c r="C47" s="216" t="str">
        <f>F7</f>
        <v>(d)</v>
      </c>
      <c r="D47" s="201" t="str">
        <f>"= ("&amp;$D$7&amp;" + "&amp;$E$7&amp;") /  (8.76 x "&amp;TEXT(C63,"0.0%")&amp;")"</f>
        <v>= ((b) + (c)) /  (8.76 x 41.2%)</v>
      </c>
    </row>
    <row r="48" spans="2:14">
      <c r="C48" s="216" t="str">
        <f>I7</f>
        <v>(g)</v>
      </c>
      <c r="D48" s="201" t="str">
        <f>"= "&amp;$F$7&amp;" + "&amp;$H$7</f>
        <v>= (d) + (f)</v>
      </c>
    </row>
    <row r="49" spans="2:23">
      <c r="C49" s="216" t="str">
        <f>K7</f>
        <v>(h)</v>
      </c>
      <c r="D49" s="104" t="str">
        <f>D44</f>
        <v xml:space="preserve">Plant Costs  - 2017 IRP - Table 6.1 &amp; 6.2 </v>
      </c>
    </row>
    <row r="50" spans="2:23">
      <c r="C50" s="216"/>
      <c r="D50" s="201"/>
    </row>
    <row r="51" spans="2:23" ht="13.5" thickBot="1"/>
    <row r="52" spans="2:23" ht="13.5" thickBot="1">
      <c r="C52" s="58" t="str">
        <f>B2&amp;" - "&amp;B3</f>
        <v>2017 IRP Wyoming Wind Resource - 41%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3" ht="13.5" thickBot="1">
      <c r="C53" s="221" t="s">
        <v>116</v>
      </c>
      <c r="D53" s="222" t="s">
        <v>117</v>
      </c>
      <c r="E53" s="222"/>
      <c r="F53" s="222"/>
      <c r="G53" s="222"/>
      <c r="H53" s="223"/>
      <c r="I53" s="219"/>
      <c r="J53" s="219"/>
      <c r="K53" s="220"/>
    </row>
    <row r="55" spans="2:23">
      <c r="B55" s="104" t="s">
        <v>104</v>
      </c>
      <c r="C55" s="263">
        <v>1637</v>
      </c>
      <c r="D55" s="188" t="s">
        <v>115</v>
      </c>
      <c r="H55" s="188" t="s">
        <v>9</v>
      </c>
      <c r="J55" s="251" t="s">
        <v>152</v>
      </c>
    </row>
    <row r="56" spans="2:23">
      <c r="B56" s="104" t="s">
        <v>104</v>
      </c>
      <c r="C56" s="225">
        <v>37.565582271006477</v>
      </c>
      <c r="D56" s="188" t="s">
        <v>118</v>
      </c>
      <c r="H56" s="188" t="s">
        <v>9</v>
      </c>
    </row>
    <row r="57" spans="2:23">
      <c r="B57" s="104" t="s">
        <v>104</v>
      </c>
      <c r="C57" s="230">
        <v>0.57299999999999995</v>
      </c>
      <c r="D57" s="188" t="s">
        <v>123</v>
      </c>
      <c r="H57" s="188" t="s">
        <v>120</v>
      </c>
    </row>
    <row r="58" spans="2:23">
      <c r="B58" s="104" t="s">
        <v>104</v>
      </c>
      <c r="C58" s="225">
        <v>0.65</v>
      </c>
      <c r="D58" s="188" t="s">
        <v>119</v>
      </c>
      <c r="H58" s="188" t="s">
        <v>120</v>
      </c>
      <c r="K58" s="190"/>
      <c r="L58" s="226"/>
      <c r="M58" s="69"/>
      <c r="N58" s="245"/>
      <c r="O58" s="69"/>
      <c r="P58" s="69"/>
      <c r="Q58" s="190"/>
      <c r="R58" s="190"/>
      <c r="S58" s="190"/>
      <c r="T58" s="190"/>
      <c r="U58" s="190"/>
      <c r="V58" s="190"/>
      <c r="W58" s="190"/>
    </row>
    <row r="59" spans="2:23">
      <c r="B59" s="104" t="s">
        <v>104</v>
      </c>
      <c r="C59" s="271">
        <v>-17.762272248602351</v>
      </c>
      <c r="D59" s="188" t="s">
        <v>121</v>
      </c>
      <c r="H59" s="188" t="s">
        <v>120</v>
      </c>
      <c r="J59" s="188" t="s">
        <v>153</v>
      </c>
      <c r="K59" s="228"/>
      <c r="L59" s="228"/>
      <c r="M59" s="229"/>
      <c r="O59" s="227"/>
      <c r="P59" s="190"/>
      <c r="Q59" s="190"/>
      <c r="R59" s="190"/>
      <c r="S59" s="190"/>
      <c r="T59" s="190"/>
      <c r="U59" s="190"/>
      <c r="V59" s="190"/>
      <c r="W59" s="190"/>
    </row>
    <row r="60" spans="2:23">
      <c r="K60" s="228"/>
      <c r="L60" s="228"/>
      <c r="M60" s="228"/>
      <c r="N60" s="246"/>
      <c r="O60" s="227"/>
      <c r="P60" s="190"/>
      <c r="Q60" s="190"/>
      <c r="R60" s="190"/>
      <c r="S60" s="190"/>
      <c r="T60" s="190"/>
      <c r="U60" s="190"/>
      <c r="V60" s="190"/>
      <c r="W60" s="190"/>
    </row>
    <row r="61" spans="2:23">
      <c r="C61" s="232"/>
      <c r="K61" s="228"/>
      <c r="L61" s="228"/>
      <c r="M61" s="228"/>
      <c r="N61" s="246"/>
      <c r="O61" s="228"/>
      <c r="R61" s="190"/>
      <c r="S61" s="190"/>
      <c r="T61" s="190"/>
      <c r="U61" s="190"/>
      <c r="V61" s="190"/>
      <c r="W61" s="190"/>
    </row>
    <row r="62" spans="2:23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3">
      <c r="C63" s="264">
        <v>0.41199999999999998</v>
      </c>
      <c r="D63" s="188" t="s">
        <v>55</v>
      </c>
      <c r="J63" s="251" t="s">
        <v>152</v>
      </c>
    </row>
    <row r="64" spans="2:23" ht="13.5" thickBot="1">
      <c r="D64" s="231"/>
    </row>
    <row r="65" spans="3:14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4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4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129"/>
      <c r="K67" s="57">
        <v>2.3E-2</v>
      </c>
    </row>
    <row r="68" spans="3:14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129"/>
      <c r="K68" s="57">
        <v>2.1999999999999999E-2</v>
      </c>
    </row>
    <row r="69" spans="3:14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129"/>
      <c r="K69" s="57">
        <v>2.1999999999999999E-2</v>
      </c>
    </row>
    <row r="70" spans="3:14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129"/>
      <c r="K70" s="57">
        <v>2.1999999999999999E-2</v>
      </c>
    </row>
    <row r="71" spans="3:14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129"/>
      <c r="K71" s="57">
        <v>2.1999999999999999E-2</v>
      </c>
    </row>
    <row r="72" spans="3:14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129"/>
      <c r="K72" s="57">
        <v>2.1999999999999999E-2</v>
      </c>
      <c r="N72" s="246"/>
    </row>
    <row r="73" spans="3:14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129"/>
      <c r="K73" s="57">
        <v>2.1999999999999999E-2</v>
      </c>
      <c r="N73" s="246"/>
    </row>
    <row r="74" spans="3:14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129"/>
      <c r="K74" s="57">
        <v>2.3E-2</v>
      </c>
      <c r="N74" s="246"/>
    </row>
    <row r="75" spans="3:14" s="190" customFormat="1">
      <c r="N75" s="246"/>
    </row>
    <row r="76" spans="3:14" s="190" customFormat="1">
      <c r="N76" s="246"/>
    </row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Q45" sqref="Q45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0" style="188" hidden="1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157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43%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110</v>
      </c>
      <c r="G5" s="19" t="s">
        <v>13</v>
      </c>
      <c r="H5" s="192" t="s">
        <v>111</v>
      </c>
      <c r="I5" s="192" t="s">
        <v>137</v>
      </c>
      <c r="J5" s="19" t="s">
        <v>73</v>
      </c>
      <c r="K5" s="192" t="s">
        <v>112</v>
      </c>
      <c r="P5" s="192" t="s">
        <v>111</v>
      </c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30</v>
      </c>
    </row>
    <row r="8" spans="2:18" ht="6" customHeight="1">
      <c r="K8" s="190"/>
    </row>
    <row r="9" spans="2:18" ht="15.75">
      <c r="B9" s="60" t="str">
        <f>C52</f>
        <v>2017 IRP Wyoming DJ Wind Resource - 43%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1737.2476650701883</v>
      </c>
      <c r="D10" s="199">
        <f>C10*$C$62</f>
        <v>122.77973312452522</v>
      </c>
      <c r="E10" s="199">
        <f>C56</f>
        <v>37.565582271006477</v>
      </c>
      <c r="F10" s="200">
        <f t="shared" ref="F10:F36" si="0">(D10+E10)/(8.76*$C$63)</f>
        <v>42.568045926391555</v>
      </c>
      <c r="G10" s="200">
        <f>C58</f>
        <v>0.65</v>
      </c>
      <c r="H10" s="247">
        <f>C59</f>
        <v>0</v>
      </c>
      <c r="I10" s="201">
        <f t="shared" ref="I10:I36" si="1">F10+H10+G10</f>
        <v>43.218045926391554</v>
      </c>
      <c r="J10" s="201">
        <f>ROUND(I10*$C$63*8.76,2)</f>
        <v>162.79</v>
      </c>
      <c r="K10" s="199">
        <f>$C$57</f>
        <v>0.57299999999999995</v>
      </c>
      <c r="N10" s="202"/>
      <c r="P10" s="240">
        <f>$C$59</f>
        <v>0</v>
      </c>
    </row>
    <row r="11" spans="2:18">
      <c r="B11" s="197">
        <f t="shared" ref="B11:B36" si="2">B10+1</f>
        <v>2017</v>
      </c>
      <c r="C11" s="203"/>
      <c r="D11" s="199">
        <f>ROUND(D10*(1+$D66),2)</f>
        <v>125.24</v>
      </c>
      <c r="E11" s="199">
        <f>ROUND(E10*(1+$D66),2)</f>
        <v>38.32</v>
      </c>
      <c r="F11" s="200">
        <f t="shared" si="0"/>
        <v>43.421471806307743</v>
      </c>
      <c r="G11" s="199">
        <f>ROUND(G10*(1+$D66),2)</f>
        <v>0.66</v>
      </c>
      <c r="H11" s="199">
        <f>ROUND(H10*(1+$D66),2)</f>
        <v>0</v>
      </c>
      <c r="I11" s="201">
        <f t="shared" si="1"/>
        <v>44.081471806307739</v>
      </c>
      <c r="J11" s="201">
        <f t="shared" ref="J11:J36" si="3">ROUND(I11*$C$63*8.76,2)</f>
        <v>166.05</v>
      </c>
      <c r="K11" s="199">
        <f>ROUND(K10*(1+$D66),2)</f>
        <v>0.57999999999999996</v>
      </c>
      <c r="N11" s="202"/>
      <c r="P11" s="240">
        <f>ROUND(P10*(1+$D66),2)</f>
        <v>0</v>
      </c>
    </row>
    <row r="12" spans="2:18">
      <c r="B12" s="210">
        <f t="shared" si="2"/>
        <v>2018</v>
      </c>
      <c r="C12" s="211"/>
      <c r="D12" s="199">
        <f t="shared" ref="D12:E19" si="4">ROUND(D11*(1+$D67),2)</f>
        <v>127.62</v>
      </c>
      <c r="E12" s="199">
        <f t="shared" si="4"/>
        <v>39.049999999999997</v>
      </c>
      <c r="F12" s="201">
        <f t="shared" si="0"/>
        <v>44.24710629712223</v>
      </c>
      <c r="G12" s="199">
        <f t="shared" ref="G12:G19" si="5">ROUND(G11*(1+$D67),2)</f>
        <v>0.67</v>
      </c>
      <c r="H12" s="212">
        <f t="shared" ref="H12" si="6">ROUND(H11*(1+$D67),2)</f>
        <v>0</v>
      </c>
      <c r="I12" s="201">
        <f t="shared" si="1"/>
        <v>44.917106297122231</v>
      </c>
      <c r="J12" s="201">
        <f t="shared" si="3"/>
        <v>169.19</v>
      </c>
      <c r="K12" s="199">
        <f t="shared" ref="K12:K19" si="7">ROUND(K11*(1+$D67),2)</f>
        <v>0.59</v>
      </c>
      <c r="L12" s="190"/>
      <c r="N12" s="202"/>
      <c r="P12" s="240">
        <f t="shared" ref="P12:P19" si="8">ROUND(P11*(1+$D67),2)</f>
        <v>0</v>
      </c>
    </row>
    <row r="13" spans="2:18">
      <c r="B13" s="210">
        <f t="shared" si="2"/>
        <v>2019</v>
      </c>
      <c r="C13" s="211"/>
      <c r="D13" s="199">
        <f t="shared" si="4"/>
        <v>130.43</v>
      </c>
      <c r="E13" s="199">
        <f t="shared" si="4"/>
        <v>39.909999999999997</v>
      </c>
      <c r="F13" s="201">
        <f t="shared" si="0"/>
        <v>45.22140809174897</v>
      </c>
      <c r="G13" s="199">
        <f t="shared" si="5"/>
        <v>0.68</v>
      </c>
      <c r="H13" s="212">
        <f t="shared" ref="H13" si="9">ROUND(H12*(1+$D68),2)</f>
        <v>0</v>
      </c>
      <c r="I13" s="201">
        <f t="shared" si="1"/>
        <v>45.901408091748969</v>
      </c>
      <c r="J13" s="201">
        <f t="shared" si="3"/>
        <v>172.9</v>
      </c>
      <c r="K13" s="199">
        <f t="shared" si="7"/>
        <v>0.6</v>
      </c>
      <c r="L13" s="190"/>
      <c r="N13" s="202"/>
      <c r="P13" s="240">
        <f t="shared" si="8"/>
        <v>0</v>
      </c>
    </row>
    <row r="14" spans="2:18">
      <c r="B14" s="210">
        <f t="shared" si="2"/>
        <v>2020</v>
      </c>
      <c r="C14" s="211"/>
      <c r="D14" s="199">
        <f t="shared" si="4"/>
        <v>133.82</v>
      </c>
      <c r="E14" s="199">
        <f t="shared" si="4"/>
        <v>40.950000000000003</v>
      </c>
      <c r="F14" s="201">
        <f t="shared" si="0"/>
        <v>46.397472655835188</v>
      </c>
      <c r="G14" s="199">
        <f t="shared" si="5"/>
        <v>0.7</v>
      </c>
      <c r="H14" s="212">
        <f t="shared" ref="H14" si="10">ROUND(H13*(1+$D69),2)</f>
        <v>0</v>
      </c>
      <c r="I14" s="201">
        <f t="shared" si="1"/>
        <v>47.09747265583519</v>
      </c>
      <c r="J14" s="201">
        <f t="shared" si="3"/>
        <v>177.41</v>
      </c>
      <c r="K14" s="199">
        <f t="shared" si="7"/>
        <v>0.62</v>
      </c>
      <c r="L14" s="190"/>
      <c r="N14" s="202"/>
      <c r="O14" s="207"/>
      <c r="P14" s="240">
        <f t="shared" si="8"/>
        <v>0</v>
      </c>
      <c r="Q14" s="208"/>
      <c r="R14" s="209"/>
    </row>
    <row r="15" spans="2:18">
      <c r="B15" s="210">
        <f t="shared" si="2"/>
        <v>2021</v>
      </c>
      <c r="C15" s="211"/>
      <c r="D15" s="199">
        <f t="shared" si="4"/>
        <v>137.03</v>
      </c>
      <c r="E15" s="199">
        <f t="shared" si="4"/>
        <v>41.93</v>
      </c>
      <c r="F15" s="201">
        <f t="shared" si="0"/>
        <v>47.509822661144739</v>
      </c>
      <c r="G15" s="199">
        <f t="shared" si="5"/>
        <v>0.72</v>
      </c>
      <c r="H15" s="212">
        <f t="shared" ref="H15" si="11">ROUND(H14*(1+$D70),2)</f>
        <v>0</v>
      </c>
      <c r="I15" s="201">
        <f t="shared" si="1"/>
        <v>48.229822661144738</v>
      </c>
      <c r="J15" s="201">
        <f t="shared" si="3"/>
        <v>181.67</v>
      </c>
      <c r="K15" s="199">
        <f t="shared" si="7"/>
        <v>0.63</v>
      </c>
      <c r="L15" s="190"/>
      <c r="N15" s="208"/>
      <c r="O15" s="208"/>
      <c r="P15" s="240">
        <f t="shared" si="8"/>
        <v>0</v>
      </c>
      <c r="Q15" s="208"/>
      <c r="R15" s="209"/>
    </row>
    <row r="16" spans="2:18">
      <c r="B16" s="210">
        <f t="shared" si="2"/>
        <v>2022</v>
      </c>
      <c r="C16" s="211"/>
      <c r="D16" s="199">
        <f t="shared" si="4"/>
        <v>140.18</v>
      </c>
      <c r="E16" s="199">
        <f t="shared" si="4"/>
        <v>42.89</v>
      </c>
      <c r="F16" s="201">
        <f t="shared" si="0"/>
        <v>48.600934480195392</v>
      </c>
      <c r="G16" s="199">
        <f t="shared" si="5"/>
        <v>0.74</v>
      </c>
      <c r="H16" s="212">
        <f t="shared" ref="H16" si="12">ROUND(H15*(1+$D71),2)</f>
        <v>0</v>
      </c>
      <c r="I16" s="201">
        <f t="shared" si="1"/>
        <v>49.340934480195394</v>
      </c>
      <c r="J16" s="201">
        <f t="shared" si="3"/>
        <v>185.86</v>
      </c>
      <c r="K16" s="199">
        <f t="shared" si="7"/>
        <v>0.64</v>
      </c>
      <c r="L16" s="190"/>
      <c r="N16" s="202"/>
      <c r="P16" s="240">
        <f t="shared" si="8"/>
        <v>0</v>
      </c>
    </row>
    <row r="17" spans="2:17">
      <c r="B17" s="210">
        <f t="shared" si="2"/>
        <v>2023</v>
      </c>
      <c r="C17" s="211"/>
      <c r="D17" s="199">
        <f t="shared" si="4"/>
        <v>143.4</v>
      </c>
      <c r="E17" s="199">
        <f t="shared" si="4"/>
        <v>43.88</v>
      </c>
      <c r="F17" s="201">
        <f t="shared" si="0"/>
        <v>49.71859403206966</v>
      </c>
      <c r="G17" s="199">
        <f t="shared" si="5"/>
        <v>0.76</v>
      </c>
      <c r="H17" s="212">
        <f t="shared" ref="H17" si="13">ROUND(H16*(1+$D72),2)</f>
        <v>0</v>
      </c>
      <c r="I17" s="201">
        <f t="shared" si="1"/>
        <v>50.478594032069658</v>
      </c>
      <c r="J17" s="201">
        <f t="shared" si="3"/>
        <v>190.14</v>
      </c>
      <c r="K17" s="199">
        <f t="shared" si="7"/>
        <v>0.65</v>
      </c>
      <c r="L17" s="190"/>
      <c r="N17" s="202"/>
      <c r="O17" s="207"/>
      <c r="P17" s="240">
        <f t="shared" si="8"/>
        <v>0</v>
      </c>
    </row>
    <row r="18" spans="2:17">
      <c r="B18" s="210">
        <f t="shared" si="2"/>
        <v>2024</v>
      </c>
      <c r="C18" s="211"/>
      <c r="D18" s="199">
        <f t="shared" si="4"/>
        <v>146.69999999999999</v>
      </c>
      <c r="E18" s="199">
        <f t="shared" si="4"/>
        <v>44.89</v>
      </c>
      <c r="F18" s="201">
        <f t="shared" si="0"/>
        <v>50.862801316767545</v>
      </c>
      <c r="G18" s="199">
        <f t="shared" si="5"/>
        <v>0.78</v>
      </c>
      <c r="H18" s="212">
        <f t="shared" ref="H18" si="14">ROUND(H17*(1+$D73),2)</f>
        <v>0</v>
      </c>
      <c r="I18" s="201">
        <f t="shared" si="1"/>
        <v>51.642801316767546</v>
      </c>
      <c r="J18" s="201">
        <f t="shared" si="3"/>
        <v>194.53</v>
      </c>
      <c r="K18" s="199">
        <f t="shared" si="7"/>
        <v>0.66</v>
      </c>
      <c r="L18" s="190"/>
      <c r="P18" s="240">
        <f t="shared" si="8"/>
        <v>0</v>
      </c>
    </row>
    <row r="19" spans="2:17">
      <c r="B19" s="210">
        <f t="shared" si="2"/>
        <v>2025</v>
      </c>
      <c r="C19" s="211"/>
      <c r="D19" s="199">
        <f t="shared" si="4"/>
        <v>150.07</v>
      </c>
      <c r="E19" s="199">
        <f t="shared" si="4"/>
        <v>45.92</v>
      </c>
      <c r="F19" s="201">
        <f t="shared" si="0"/>
        <v>52.030901561006694</v>
      </c>
      <c r="G19" s="199">
        <f t="shared" si="5"/>
        <v>0.8</v>
      </c>
      <c r="H19" s="212">
        <f t="shared" ref="H19" si="15">ROUND(H18*(1+$D74),2)</f>
        <v>0</v>
      </c>
      <c r="I19" s="201">
        <f t="shared" si="1"/>
        <v>52.830901561006691</v>
      </c>
      <c r="J19" s="201">
        <f t="shared" si="3"/>
        <v>199</v>
      </c>
      <c r="K19" s="199">
        <f t="shared" si="7"/>
        <v>0.68</v>
      </c>
      <c r="L19" s="190"/>
      <c r="P19" s="240">
        <f t="shared" si="8"/>
        <v>0</v>
      </c>
    </row>
    <row r="20" spans="2:17">
      <c r="B20" s="210">
        <f t="shared" si="2"/>
        <v>2026</v>
      </c>
      <c r="C20" s="211"/>
      <c r="D20" s="199">
        <f t="shared" ref="D20:D28" si="16">ROUND(D19*(1+$G66),2)</f>
        <v>153.52000000000001</v>
      </c>
      <c r="E20" s="199">
        <f t="shared" ref="E20:E28" si="17">ROUND(E19*(1+$G66),2)</f>
        <v>46.98</v>
      </c>
      <c r="F20" s="201">
        <f t="shared" si="0"/>
        <v>53.22820431135181</v>
      </c>
      <c r="G20" s="199">
        <f t="shared" ref="G20:G28" si="18">ROUND(G19*(1+$G66),2)</f>
        <v>0.82</v>
      </c>
      <c r="H20" s="212">
        <f t="shared" ref="H20:H28" si="19">ROUND(H19*(1+$G66),2)</f>
        <v>0</v>
      </c>
      <c r="I20" s="201">
        <f t="shared" si="1"/>
        <v>54.04820431135181</v>
      </c>
      <c r="J20" s="201">
        <f t="shared" si="3"/>
        <v>203.59</v>
      </c>
      <c r="K20" s="199">
        <f t="shared" ref="K20:K28" si="20">ROUND(K19*(1+$G66),2)</f>
        <v>0.7</v>
      </c>
      <c r="L20" s="190"/>
      <c r="P20" s="240">
        <f t="shared" ref="P20:P28" si="21">ROUND(P19*(1+$G66),2)</f>
        <v>0</v>
      </c>
      <c r="Q20" s="241"/>
    </row>
    <row r="21" spans="2:17">
      <c r="B21" s="210">
        <f t="shared" si="2"/>
        <v>2027</v>
      </c>
      <c r="C21" s="211"/>
      <c r="D21" s="199">
        <f t="shared" si="16"/>
        <v>157.05000000000001</v>
      </c>
      <c r="E21" s="199">
        <f t="shared" si="17"/>
        <v>48.06</v>
      </c>
      <c r="F21" s="201">
        <f t="shared" si="0"/>
        <v>54.452054794520549</v>
      </c>
      <c r="G21" s="199">
        <f t="shared" si="18"/>
        <v>0.84</v>
      </c>
      <c r="H21" s="212">
        <f t="shared" si="19"/>
        <v>0</v>
      </c>
      <c r="I21" s="201">
        <f t="shared" si="1"/>
        <v>55.292054794520553</v>
      </c>
      <c r="J21" s="201">
        <f t="shared" si="3"/>
        <v>208.27</v>
      </c>
      <c r="K21" s="199">
        <f t="shared" si="20"/>
        <v>0.72</v>
      </c>
      <c r="L21" s="190"/>
      <c r="P21" s="240">
        <f t="shared" si="21"/>
        <v>0</v>
      </c>
    </row>
    <row r="22" spans="2:17">
      <c r="B22" s="210">
        <f t="shared" si="2"/>
        <v>2028</v>
      </c>
      <c r="C22" s="211"/>
      <c r="D22" s="199">
        <f t="shared" si="16"/>
        <v>160.66</v>
      </c>
      <c r="E22" s="199">
        <f t="shared" si="17"/>
        <v>49.17</v>
      </c>
      <c r="F22" s="201">
        <f t="shared" si="0"/>
        <v>55.705107783795263</v>
      </c>
      <c r="G22" s="199">
        <f t="shared" si="18"/>
        <v>0.86</v>
      </c>
      <c r="H22" s="212">
        <f t="shared" si="19"/>
        <v>0</v>
      </c>
      <c r="I22" s="201">
        <f t="shared" si="1"/>
        <v>56.565107783795263</v>
      </c>
      <c r="J22" s="201">
        <f t="shared" si="3"/>
        <v>213.07</v>
      </c>
      <c r="K22" s="199">
        <f t="shared" si="20"/>
        <v>0.74</v>
      </c>
      <c r="L22" s="190"/>
      <c r="P22" s="240">
        <f t="shared" si="21"/>
        <v>0</v>
      </c>
    </row>
    <row r="23" spans="2:17">
      <c r="B23" s="210">
        <f t="shared" si="2"/>
        <v>2029</v>
      </c>
      <c r="C23" s="211"/>
      <c r="D23" s="199">
        <f t="shared" si="16"/>
        <v>164.36</v>
      </c>
      <c r="E23" s="199">
        <f t="shared" si="17"/>
        <v>50.3</v>
      </c>
      <c r="F23" s="201">
        <f t="shared" si="0"/>
        <v>56.987363279175966</v>
      </c>
      <c r="G23" s="199">
        <f t="shared" si="18"/>
        <v>0.88</v>
      </c>
      <c r="H23" s="212">
        <f t="shared" si="19"/>
        <v>0</v>
      </c>
      <c r="I23" s="201">
        <f t="shared" si="1"/>
        <v>57.867363279175969</v>
      </c>
      <c r="J23" s="201">
        <f t="shared" si="3"/>
        <v>217.97</v>
      </c>
      <c r="K23" s="199">
        <f t="shared" si="20"/>
        <v>0.76</v>
      </c>
      <c r="L23" s="190"/>
      <c r="P23" s="240">
        <f t="shared" si="21"/>
        <v>0</v>
      </c>
    </row>
    <row r="24" spans="2:17">
      <c r="B24" s="210">
        <f t="shared" si="2"/>
        <v>2030</v>
      </c>
      <c r="C24" s="204"/>
      <c r="D24" s="205">
        <f t="shared" si="16"/>
        <v>168.14</v>
      </c>
      <c r="E24" s="205">
        <f t="shared" si="17"/>
        <v>51.46</v>
      </c>
      <c r="F24" s="206">
        <f t="shared" si="0"/>
        <v>58.298821280662629</v>
      </c>
      <c r="G24" s="205">
        <f t="shared" si="18"/>
        <v>0.9</v>
      </c>
      <c r="H24" s="205">
        <f t="shared" si="19"/>
        <v>0</v>
      </c>
      <c r="I24" s="206">
        <f t="shared" si="1"/>
        <v>59.198821280662628</v>
      </c>
      <c r="J24" s="206">
        <f t="shared" si="3"/>
        <v>222.99</v>
      </c>
      <c r="K24" s="205">
        <f t="shared" si="20"/>
        <v>0.78</v>
      </c>
      <c r="L24" s="190"/>
      <c r="P24" s="240">
        <f t="shared" si="21"/>
        <v>0</v>
      </c>
    </row>
    <row r="25" spans="2:17">
      <c r="B25" s="210">
        <f t="shared" si="2"/>
        <v>2031</v>
      </c>
      <c r="C25" s="211"/>
      <c r="D25" s="199">
        <f t="shared" si="16"/>
        <v>172.01</v>
      </c>
      <c r="E25" s="199">
        <f t="shared" si="17"/>
        <v>52.64</v>
      </c>
      <c r="F25" s="201">
        <f t="shared" si="0"/>
        <v>59.639481788255281</v>
      </c>
      <c r="G25" s="199">
        <f t="shared" si="18"/>
        <v>0.92</v>
      </c>
      <c r="H25" s="212">
        <f t="shared" si="19"/>
        <v>0</v>
      </c>
      <c r="I25" s="201">
        <f t="shared" si="1"/>
        <v>60.559481788255283</v>
      </c>
      <c r="J25" s="201">
        <f t="shared" si="3"/>
        <v>228.12</v>
      </c>
      <c r="K25" s="199">
        <f t="shared" si="20"/>
        <v>0.8</v>
      </c>
      <c r="L25" s="190"/>
      <c r="P25" s="240">
        <f t="shared" si="21"/>
        <v>0</v>
      </c>
    </row>
    <row r="26" spans="2:17">
      <c r="B26" s="210">
        <f t="shared" si="2"/>
        <v>2032</v>
      </c>
      <c r="C26" s="211"/>
      <c r="D26" s="199">
        <f t="shared" si="16"/>
        <v>175.79</v>
      </c>
      <c r="E26" s="199">
        <f t="shared" si="17"/>
        <v>53.8</v>
      </c>
      <c r="F26" s="201">
        <f t="shared" si="0"/>
        <v>60.950939789741952</v>
      </c>
      <c r="G26" s="199">
        <f t="shared" si="18"/>
        <v>0.94</v>
      </c>
      <c r="H26" s="212">
        <f t="shared" si="19"/>
        <v>0</v>
      </c>
      <c r="I26" s="201">
        <f t="shared" si="1"/>
        <v>61.89093978974195</v>
      </c>
      <c r="J26" s="201">
        <f t="shared" si="3"/>
        <v>233.13</v>
      </c>
      <c r="K26" s="199">
        <f t="shared" si="20"/>
        <v>0.82</v>
      </c>
      <c r="L26" s="190"/>
      <c r="P26" s="240">
        <f t="shared" si="21"/>
        <v>0</v>
      </c>
    </row>
    <row r="27" spans="2:17">
      <c r="B27" s="210">
        <f t="shared" si="2"/>
        <v>2033</v>
      </c>
      <c r="C27" s="211"/>
      <c r="D27" s="199">
        <f t="shared" si="16"/>
        <v>179.66</v>
      </c>
      <c r="E27" s="199">
        <f t="shared" si="17"/>
        <v>54.98</v>
      </c>
      <c r="F27" s="201">
        <f t="shared" si="0"/>
        <v>62.291600297334604</v>
      </c>
      <c r="G27" s="199">
        <f t="shared" si="18"/>
        <v>0.96</v>
      </c>
      <c r="H27" s="212">
        <f t="shared" si="19"/>
        <v>0</v>
      </c>
      <c r="I27" s="201">
        <f t="shared" si="1"/>
        <v>63.251600297334605</v>
      </c>
      <c r="J27" s="201">
        <f t="shared" si="3"/>
        <v>238.26</v>
      </c>
      <c r="K27" s="199">
        <f t="shared" si="20"/>
        <v>0.84</v>
      </c>
      <c r="L27" s="190"/>
      <c r="P27" s="240">
        <f t="shared" si="21"/>
        <v>0</v>
      </c>
    </row>
    <row r="28" spans="2:17">
      <c r="B28" s="210">
        <f t="shared" si="2"/>
        <v>2034</v>
      </c>
      <c r="C28" s="211"/>
      <c r="D28" s="199">
        <f t="shared" si="16"/>
        <v>183.79</v>
      </c>
      <c r="E28" s="199">
        <f t="shared" si="17"/>
        <v>56.24</v>
      </c>
      <c r="F28" s="201">
        <f t="shared" si="0"/>
        <v>63.72252309652756</v>
      </c>
      <c r="G28" s="199">
        <f t="shared" si="18"/>
        <v>0.98</v>
      </c>
      <c r="H28" s="212">
        <f t="shared" si="19"/>
        <v>0</v>
      </c>
      <c r="I28" s="201">
        <f t="shared" si="1"/>
        <v>64.702523096527557</v>
      </c>
      <c r="J28" s="201">
        <f t="shared" si="3"/>
        <v>243.72</v>
      </c>
      <c r="K28" s="199">
        <f t="shared" si="20"/>
        <v>0.86</v>
      </c>
      <c r="L28" s="190"/>
      <c r="P28" s="240">
        <f t="shared" si="21"/>
        <v>0</v>
      </c>
    </row>
    <row r="29" spans="2:17">
      <c r="B29" s="210">
        <f t="shared" si="2"/>
        <v>2035</v>
      </c>
      <c r="C29" s="211"/>
      <c r="D29" s="199">
        <f t="shared" ref="D29:E36" si="22">ROUND(D28*(1+$K66),2)</f>
        <v>188.02</v>
      </c>
      <c r="E29" s="199">
        <f t="shared" si="22"/>
        <v>57.53</v>
      </c>
      <c r="F29" s="201">
        <f t="shared" si="0"/>
        <v>65.187957948391215</v>
      </c>
      <c r="G29" s="199">
        <f>ROUND(G28*(1+$K66),2)</f>
        <v>1</v>
      </c>
      <c r="H29" s="212">
        <f>ROUND(H28*(1+$K66),2)</f>
        <v>0</v>
      </c>
      <c r="I29" s="201">
        <f t="shared" si="1"/>
        <v>66.187957948391215</v>
      </c>
      <c r="J29" s="201">
        <f t="shared" si="3"/>
        <v>249.32</v>
      </c>
      <c r="K29" s="199">
        <f>ROUND(K28*(1+$K66),2)</f>
        <v>0.88</v>
      </c>
      <c r="L29" s="190"/>
      <c r="P29" s="240">
        <f>ROUND(P28*(1+$K66),2)</f>
        <v>0</v>
      </c>
    </row>
    <row r="30" spans="2:17">
      <c r="B30" s="210">
        <f t="shared" si="2"/>
        <v>2036</v>
      </c>
      <c r="C30" s="211"/>
      <c r="D30" s="199">
        <f t="shared" si="22"/>
        <v>192.34</v>
      </c>
      <c r="E30" s="199">
        <f t="shared" si="22"/>
        <v>58.85</v>
      </c>
      <c r="F30" s="201">
        <f t="shared" si="0"/>
        <v>66.685250079643197</v>
      </c>
      <c r="G30" s="199">
        <f t="shared" ref="G30:G36" si="23">ROUND(G29*(1+$K67),2)</f>
        <v>1.02</v>
      </c>
      <c r="H30" s="212">
        <f t="shared" ref="H30" si="24">ROUND(H29*(1+$K67),2)</f>
        <v>0</v>
      </c>
      <c r="I30" s="201">
        <f t="shared" si="1"/>
        <v>67.705250079643193</v>
      </c>
      <c r="J30" s="201">
        <f t="shared" si="3"/>
        <v>255.03</v>
      </c>
      <c r="K30" s="199">
        <f t="shared" ref="K30:K36" si="25">ROUND(K29*(1+$K67),2)</f>
        <v>0.9</v>
      </c>
      <c r="L30" s="190"/>
      <c r="P30" s="240">
        <f t="shared" ref="P30:P36" si="26">ROUND(P29*(1+$K67),2)</f>
        <v>0</v>
      </c>
    </row>
    <row r="31" spans="2:17">
      <c r="B31" s="210">
        <f t="shared" si="2"/>
        <v>2037</v>
      </c>
      <c r="C31" s="211"/>
      <c r="D31" s="199">
        <f t="shared" si="22"/>
        <v>196.57</v>
      </c>
      <c r="E31" s="199">
        <f t="shared" si="22"/>
        <v>60.14</v>
      </c>
      <c r="F31" s="201">
        <f t="shared" si="0"/>
        <v>68.150684931506845</v>
      </c>
      <c r="G31" s="199">
        <f t="shared" si="23"/>
        <v>1.04</v>
      </c>
      <c r="H31" s="212">
        <f t="shared" ref="H31" si="27">ROUND(H30*(1+$K68),2)</f>
        <v>0</v>
      </c>
      <c r="I31" s="201">
        <f t="shared" si="1"/>
        <v>69.190684931506851</v>
      </c>
      <c r="J31" s="201">
        <f t="shared" si="3"/>
        <v>260.63</v>
      </c>
      <c r="K31" s="199">
        <f t="shared" si="25"/>
        <v>0.92</v>
      </c>
      <c r="L31" s="190"/>
      <c r="P31" s="240">
        <f t="shared" si="26"/>
        <v>0</v>
      </c>
    </row>
    <row r="32" spans="2:17">
      <c r="B32" s="210">
        <f t="shared" si="2"/>
        <v>2038</v>
      </c>
      <c r="C32" s="211"/>
      <c r="D32" s="199">
        <f t="shared" si="22"/>
        <v>200.89</v>
      </c>
      <c r="E32" s="199">
        <f t="shared" si="22"/>
        <v>61.46</v>
      </c>
      <c r="F32" s="201">
        <f t="shared" si="0"/>
        <v>69.647977062758827</v>
      </c>
      <c r="G32" s="199">
        <f t="shared" si="23"/>
        <v>1.06</v>
      </c>
      <c r="H32" s="212">
        <f t="shared" ref="H32" si="28">ROUND(H31*(1+$K69),2)</f>
        <v>0</v>
      </c>
      <c r="I32" s="201">
        <f t="shared" si="1"/>
        <v>70.707977062758829</v>
      </c>
      <c r="J32" s="201">
        <f t="shared" si="3"/>
        <v>266.33999999999997</v>
      </c>
      <c r="K32" s="199">
        <f t="shared" si="25"/>
        <v>0.94</v>
      </c>
      <c r="L32" s="190"/>
      <c r="P32" s="240">
        <f t="shared" si="26"/>
        <v>0</v>
      </c>
    </row>
    <row r="33" spans="2:16">
      <c r="B33" s="210">
        <f t="shared" si="2"/>
        <v>2039</v>
      </c>
      <c r="C33" s="211"/>
      <c r="D33" s="199">
        <f t="shared" si="22"/>
        <v>205.31</v>
      </c>
      <c r="E33" s="199">
        <f t="shared" si="22"/>
        <v>62.81</v>
      </c>
      <c r="F33" s="201">
        <f t="shared" si="0"/>
        <v>71.179781246681543</v>
      </c>
      <c r="G33" s="199">
        <f t="shared" si="23"/>
        <v>1.08</v>
      </c>
      <c r="H33" s="212">
        <f t="shared" ref="H33" si="29">ROUND(H32*(1+$K70),2)</f>
        <v>0</v>
      </c>
      <c r="I33" s="201">
        <f t="shared" si="1"/>
        <v>72.259781246681541</v>
      </c>
      <c r="J33" s="201">
        <f t="shared" si="3"/>
        <v>272.19</v>
      </c>
      <c r="K33" s="199">
        <f t="shared" si="25"/>
        <v>0.96</v>
      </c>
      <c r="L33" s="190"/>
      <c r="P33" s="240">
        <f t="shared" si="26"/>
        <v>0</v>
      </c>
    </row>
    <row r="34" spans="2:16">
      <c r="B34" s="210">
        <f t="shared" si="2"/>
        <v>2040</v>
      </c>
      <c r="C34" s="211"/>
      <c r="D34" s="199">
        <f t="shared" si="22"/>
        <v>209.83</v>
      </c>
      <c r="E34" s="199">
        <f t="shared" si="22"/>
        <v>64.19</v>
      </c>
      <c r="F34" s="201">
        <f t="shared" si="0"/>
        <v>72.746097483274923</v>
      </c>
      <c r="G34" s="199">
        <f t="shared" si="23"/>
        <v>1.1000000000000001</v>
      </c>
      <c r="H34" s="212">
        <f t="shared" ref="H34" si="30">ROUND(H33*(1+$K71),2)</f>
        <v>0</v>
      </c>
      <c r="I34" s="201">
        <f t="shared" si="1"/>
        <v>73.846097483274917</v>
      </c>
      <c r="J34" s="201">
        <f t="shared" si="3"/>
        <v>278.16000000000003</v>
      </c>
      <c r="K34" s="199">
        <f t="shared" si="25"/>
        <v>0.98</v>
      </c>
      <c r="L34" s="190"/>
      <c r="P34" s="240">
        <f t="shared" si="26"/>
        <v>0</v>
      </c>
    </row>
    <row r="35" spans="2:16">
      <c r="B35" s="210">
        <f t="shared" si="2"/>
        <v>2041</v>
      </c>
      <c r="C35" s="211"/>
      <c r="D35" s="199">
        <f t="shared" si="22"/>
        <v>214.45</v>
      </c>
      <c r="E35" s="199">
        <f t="shared" si="22"/>
        <v>65.599999999999994</v>
      </c>
      <c r="F35" s="201">
        <f t="shared" si="0"/>
        <v>74.346925772539009</v>
      </c>
      <c r="G35" s="199">
        <f t="shared" si="23"/>
        <v>1.1200000000000001</v>
      </c>
      <c r="H35" s="212">
        <f t="shared" ref="H35" si="31">ROUND(H34*(1+$K72),2)</f>
        <v>0</v>
      </c>
      <c r="I35" s="201">
        <f t="shared" si="1"/>
        <v>75.466925772539014</v>
      </c>
      <c r="J35" s="201">
        <f t="shared" si="3"/>
        <v>284.27</v>
      </c>
      <c r="K35" s="199">
        <f t="shared" si="25"/>
        <v>1</v>
      </c>
      <c r="L35" s="190"/>
      <c r="P35" s="240">
        <f t="shared" si="26"/>
        <v>0</v>
      </c>
    </row>
    <row r="36" spans="2:16">
      <c r="B36" s="210">
        <f t="shared" si="2"/>
        <v>2042</v>
      </c>
      <c r="C36" s="211"/>
      <c r="D36" s="199">
        <f t="shared" si="22"/>
        <v>219.17</v>
      </c>
      <c r="E36" s="199">
        <f t="shared" si="22"/>
        <v>67.040000000000006</v>
      </c>
      <c r="F36" s="201">
        <f t="shared" si="0"/>
        <v>75.982266114473816</v>
      </c>
      <c r="G36" s="199">
        <f t="shared" si="23"/>
        <v>1.1399999999999999</v>
      </c>
      <c r="H36" s="212">
        <f t="shared" ref="H36" si="32">ROUND(H35*(1+$K73),2)</f>
        <v>0</v>
      </c>
      <c r="I36" s="201">
        <f t="shared" si="1"/>
        <v>77.122266114473817</v>
      </c>
      <c r="J36" s="201">
        <f t="shared" si="3"/>
        <v>290.5</v>
      </c>
      <c r="K36" s="199">
        <f t="shared" si="25"/>
        <v>1.02</v>
      </c>
      <c r="L36" s="190"/>
      <c r="P36" s="240">
        <f t="shared" si="26"/>
        <v>0</v>
      </c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113</v>
      </c>
      <c r="C44" s="216" t="s">
        <v>114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115</v>
      </c>
    </row>
    <row r="46" spans="2:16">
      <c r="C46" s="216" t="str">
        <f>D7</f>
        <v>(b)</v>
      </c>
      <c r="D46" s="201" t="str">
        <f>"= "&amp;C7&amp;" x "&amp;C62</f>
        <v>= (a) x 0.0706748586244695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43.0%)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(i)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Wyoming DJ Wind Resource - 43%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116</v>
      </c>
      <c r="D53" s="222" t="s">
        <v>117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104</v>
      </c>
      <c r="C55" s="224">
        <v>1737.2476650701883</v>
      </c>
      <c r="D55" s="188" t="s">
        <v>115</v>
      </c>
      <c r="H55" s="188" t="s">
        <v>9</v>
      </c>
    </row>
    <row r="56" spans="2:24">
      <c r="B56" s="104" t="s">
        <v>104</v>
      </c>
      <c r="C56" s="225">
        <v>37.565582271006477</v>
      </c>
      <c r="D56" s="188" t="s">
        <v>118</v>
      </c>
      <c r="H56" s="188" t="s">
        <v>9</v>
      </c>
    </row>
    <row r="57" spans="2:24">
      <c r="B57" s="104" t="s">
        <v>104</v>
      </c>
      <c r="C57" s="230">
        <v>0.57299999999999995</v>
      </c>
      <c r="D57" s="188" t="s">
        <v>123</v>
      </c>
      <c r="H57" s="188" t="s">
        <v>120</v>
      </c>
    </row>
    <row r="58" spans="2:24">
      <c r="B58" s="104" t="s">
        <v>104</v>
      </c>
      <c r="C58" s="225">
        <v>0.65</v>
      </c>
      <c r="D58" s="188" t="s">
        <v>119</v>
      </c>
      <c r="H58" s="188" t="s">
        <v>120</v>
      </c>
      <c r="K58" s="190"/>
      <c r="L58" s="226"/>
      <c r="M58" s="69"/>
      <c r="N58" s="227"/>
      <c r="O58" s="69"/>
      <c r="P58" s="227"/>
      <c r="Q58" s="69"/>
      <c r="R58" s="190"/>
      <c r="S58" s="190"/>
      <c r="T58" s="190"/>
      <c r="U58" s="190"/>
      <c r="V58" s="190"/>
      <c r="W58" s="190"/>
      <c r="X58" s="190"/>
    </row>
    <row r="59" spans="2:24">
      <c r="B59" s="104" t="s">
        <v>104</v>
      </c>
      <c r="C59" s="238"/>
      <c r="D59" s="188" t="s">
        <v>121</v>
      </c>
      <c r="H59" s="188" t="s">
        <v>120</v>
      </c>
      <c r="K59" s="228"/>
      <c r="L59" s="228"/>
      <c r="M59" s="229"/>
      <c r="N59" s="230"/>
      <c r="O59" s="227"/>
      <c r="P59" s="231"/>
      <c r="Q59" s="190"/>
      <c r="R59" s="19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190"/>
      <c r="O60" s="227"/>
      <c r="P60" s="231"/>
      <c r="Q60" s="190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190"/>
      <c r="O61" s="228"/>
      <c r="P61" s="231"/>
      <c r="S61" s="190"/>
      <c r="T61" s="190"/>
      <c r="U61" s="190"/>
      <c r="V61" s="190"/>
      <c r="W61" s="190"/>
      <c r="X61" s="190"/>
    </row>
    <row r="62" spans="2:24">
      <c r="C62" s="233">
        <v>7.0674858624469455E-2</v>
      </c>
      <c r="D62" s="188" t="s">
        <v>54</v>
      </c>
      <c r="K62" s="234"/>
      <c r="L62" s="235"/>
      <c r="M62" s="235"/>
      <c r="O62" s="236"/>
    </row>
    <row r="63" spans="2:24">
      <c r="C63" s="237">
        <v>0.43</v>
      </c>
      <c r="D63" s="188" t="s">
        <v>55</v>
      </c>
    </row>
    <row r="64" spans="2:24" ht="13.5" thickBot="1">
      <c r="D64" s="231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33">C66+1</f>
        <v>2018</v>
      </c>
      <c r="D67" s="57">
        <v>1.9E-2</v>
      </c>
      <c r="E67" s="104"/>
      <c r="F67" s="129">
        <f t="shared" ref="F67:F74" si="34">F66+1</f>
        <v>2027</v>
      </c>
      <c r="G67" s="57">
        <v>2.3E-2</v>
      </c>
      <c r="H67" s="104"/>
      <c r="I67" s="129">
        <f t="shared" ref="I67:I74" si="35">I66+1</f>
        <v>2036</v>
      </c>
      <c r="J67" s="129"/>
      <c r="K67" s="57">
        <v>2.3E-2</v>
      </c>
    </row>
    <row r="68" spans="3:11">
      <c r="C68" s="129">
        <f t="shared" si="33"/>
        <v>2019</v>
      </c>
      <c r="D68" s="57">
        <v>2.1999999999999999E-2</v>
      </c>
      <c r="E68" s="104"/>
      <c r="F68" s="129">
        <f t="shared" si="34"/>
        <v>2028</v>
      </c>
      <c r="G68" s="57">
        <v>2.3E-2</v>
      </c>
      <c r="H68" s="104"/>
      <c r="I68" s="129">
        <f t="shared" si="35"/>
        <v>2037</v>
      </c>
      <c r="J68" s="129"/>
      <c r="K68" s="57">
        <v>2.1999999999999999E-2</v>
      </c>
    </row>
    <row r="69" spans="3:11">
      <c r="C69" s="129">
        <f t="shared" si="33"/>
        <v>2020</v>
      </c>
      <c r="D69" s="57">
        <v>2.5999999999999999E-2</v>
      </c>
      <c r="E69" s="104"/>
      <c r="F69" s="129">
        <f t="shared" si="34"/>
        <v>2029</v>
      </c>
      <c r="G69" s="57">
        <v>2.3E-2</v>
      </c>
      <c r="H69" s="104"/>
      <c r="I69" s="129">
        <f t="shared" si="35"/>
        <v>2038</v>
      </c>
      <c r="J69" s="129"/>
      <c r="K69" s="57">
        <v>2.1999999999999999E-2</v>
      </c>
    </row>
    <row r="70" spans="3:11">
      <c r="C70" s="129">
        <f t="shared" si="33"/>
        <v>2021</v>
      </c>
      <c r="D70" s="57">
        <v>2.4E-2</v>
      </c>
      <c r="E70" s="104"/>
      <c r="F70" s="129">
        <f t="shared" si="34"/>
        <v>2030</v>
      </c>
      <c r="G70" s="57">
        <v>2.3E-2</v>
      </c>
      <c r="H70" s="104"/>
      <c r="I70" s="129">
        <f t="shared" si="35"/>
        <v>2039</v>
      </c>
      <c r="J70" s="129"/>
      <c r="K70" s="57">
        <v>2.1999999999999999E-2</v>
      </c>
    </row>
    <row r="71" spans="3:11">
      <c r="C71" s="129">
        <f t="shared" si="33"/>
        <v>2022</v>
      </c>
      <c r="D71" s="57">
        <v>2.3E-2</v>
      </c>
      <c r="E71" s="104"/>
      <c r="F71" s="129">
        <f t="shared" si="34"/>
        <v>2031</v>
      </c>
      <c r="G71" s="57">
        <v>2.3E-2</v>
      </c>
      <c r="H71" s="104"/>
      <c r="I71" s="129">
        <f t="shared" si="35"/>
        <v>2040</v>
      </c>
      <c r="J71" s="129"/>
      <c r="K71" s="57">
        <v>2.1999999999999999E-2</v>
      </c>
    </row>
    <row r="72" spans="3:11" s="190" customFormat="1">
      <c r="C72" s="129">
        <f t="shared" si="33"/>
        <v>2023</v>
      </c>
      <c r="D72" s="57">
        <v>2.3E-2</v>
      </c>
      <c r="E72" s="106"/>
      <c r="F72" s="129">
        <f t="shared" si="34"/>
        <v>2032</v>
      </c>
      <c r="G72" s="57">
        <v>2.1999999999999999E-2</v>
      </c>
      <c r="H72" s="106"/>
      <c r="I72" s="129">
        <f t="shared" si="35"/>
        <v>2041</v>
      </c>
      <c r="J72" s="129"/>
      <c r="K72" s="57">
        <v>2.1999999999999999E-2</v>
      </c>
    </row>
    <row r="73" spans="3:11" s="190" customFormat="1">
      <c r="C73" s="129">
        <f t="shared" si="33"/>
        <v>2024</v>
      </c>
      <c r="D73" s="57">
        <v>2.3E-2</v>
      </c>
      <c r="E73" s="106"/>
      <c r="F73" s="129">
        <f t="shared" si="34"/>
        <v>2033</v>
      </c>
      <c r="G73" s="57">
        <v>2.1999999999999999E-2</v>
      </c>
      <c r="H73" s="106"/>
      <c r="I73" s="129">
        <f t="shared" si="35"/>
        <v>2042</v>
      </c>
      <c r="J73" s="129"/>
      <c r="K73" s="57">
        <v>2.1999999999999999E-2</v>
      </c>
    </row>
    <row r="74" spans="3:11" s="190" customFormat="1">
      <c r="C74" s="129">
        <f t="shared" si="33"/>
        <v>2025</v>
      </c>
      <c r="D74" s="57">
        <v>2.3E-2</v>
      </c>
      <c r="E74" s="106"/>
      <c r="F74" s="129">
        <f t="shared" si="34"/>
        <v>2034</v>
      </c>
      <c r="G74" s="57">
        <v>2.3E-2</v>
      </c>
      <c r="H74" s="106"/>
      <c r="I74" s="129">
        <f t="shared" si="35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view="pageBreakPreview" zoomScale="60" zoomScaleNormal="100" workbookViewId="0">
      <selection activeCell="L44" sqref="L44"/>
    </sheetView>
  </sheetViews>
  <sheetFormatPr defaultColWidth="9.33203125" defaultRowHeight="12.75"/>
  <cols>
    <col min="1" max="1" width="1.5" style="188" customWidth="1"/>
    <col min="2" max="2" width="10.83203125" style="188" customWidth="1"/>
    <col min="3" max="3" width="14.1640625" style="188" customWidth="1"/>
    <col min="4" max="4" width="12.33203125" style="188" customWidth="1"/>
    <col min="5" max="5" width="9.1640625" style="188" customWidth="1"/>
    <col min="6" max="6" width="9.83203125" style="188" bestFit="1" customWidth="1"/>
    <col min="7" max="7" width="9.83203125" style="188" customWidth="1"/>
    <col min="8" max="8" width="10.5" style="188" customWidth="1"/>
    <col min="9" max="10" width="12.5" style="188" customWidth="1"/>
    <col min="11" max="11" width="11.6640625" style="188" customWidth="1"/>
    <col min="12" max="15" width="9.33203125" style="188"/>
    <col min="16" max="16" width="9.33203125" style="188" customWidth="1"/>
    <col min="17" max="16384" width="9.33203125" style="188"/>
  </cols>
  <sheetData>
    <row r="1" spans="2:18" ht="15.75">
      <c r="B1" s="186" t="s">
        <v>85</v>
      </c>
      <c r="C1" s="187"/>
      <c r="D1" s="187"/>
      <c r="E1" s="187"/>
      <c r="F1" s="187"/>
      <c r="G1" s="187"/>
      <c r="H1" s="187"/>
      <c r="I1" s="187"/>
      <c r="J1" s="187"/>
    </row>
    <row r="2" spans="2:18" ht="15.75">
      <c r="B2" s="186" t="s">
        <v>158</v>
      </c>
      <c r="C2" s="187"/>
      <c r="D2" s="187"/>
      <c r="E2" s="187"/>
      <c r="F2" s="187"/>
      <c r="G2" s="187"/>
      <c r="H2" s="187"/>
      <c r="I2" s="187"/>
      <c r="J2" s="187"/>
    </row>
    <row r="3" spans="2:18" ht="15.75">
      <c r="B3" s="186" t="str">
        <f>TEXT($C$63,"0%")&amp;" Capacity Factor"</f>
        <v>31% Capacity Factor</v>
      </c>
      <c r="C3" s="187"/>
      <c r="D3" s="187"/>
      <c r="E3" s="187"/>
      <c r="F3" s="187"/>
      <c r="G3" s="187"/>
      <c r="H3" s="187"/>
      <c r="I3" s="187"/>
      <c r="J3" s="187"/>
    </row>
    <row r="4" spans="2:18">
      <c r="B4" s="189"/>
      <c r="C4" s="189"/>
      <c r="D4" s="189"/>
      <c r="E4" s="189"/>
      <c r="F4" s="189"/>
      <c r="G4" s="189"/>
      <c r="H4" s="189"/>
      <c r="I4" s="190"/>
      <c r="J4" s="190"/>
      <c r="K4" s="190"/>
      <c r="P4" s="190"/>
    </row>
    <row r="5" spans="2:18" ht="51.75" customHeight="1">
      <c r="B5" s="191" t="s">
        <v>0</v>
      </c>
      <c r="C5" s="192" t="s">
        <v>10</v>
      </c>
      <c r="D5" s="192" t="s">
        <v>11</v>
      </c>
      <c r="E5" s="192" t="s">
        <v>12</v>
      </c>
      <c r="F5" s="192" t="s">
        <v>110</v>
      </c>
      <c r="G5" s="19" t="s">
        <v>13</v>
      </c>
      <c r="H5" s="192" t="s">
        <v>111</v>
      </c>
      <c r="I5" s="19" t="s">
        <v>73</v>
      </c>
      <c r="J5" s="19" t="s">
        <v>73</v>
      </c>
      <c r="K5" s="192" t="s">
        <v>112</v>
      </c>
      <c r="P5" s="252"/>
    </row>
    <row r="6" spans="2:18" ht="24" customHeight="1">
      <c r="B6" s="193"/>
      <c r="C6" s="194" t="s">
        <v>8</v>
      </c>
      <c r="D6" s="195" t="s">
        <v>9</v>
      </c>
      <c r="E6" s="195" t="s">
        <v>9</v>
      </c>
      <c r="F6" s="194" t="s">
        <v>39</v>
      </c>
      <c r="G6" s="22" t="s">
        <v>39</v>
      </c>
      <c r="H6" s="194" t="s">
        <v>39</v>
      </c>
      <c r="I6" s="194" t="s">
        <v>39</v>
      </c>
      <c r="J6" s="23" t="s">
        <v>9</v>
      </c>
      <c r="K6" s="194" t="s">
        <v>39</v>
      </c>
    </row>
    <row r="7" spans="2:18">
      <c r="C7" s="196" t="s">
        <v>1</v>
      </c>
      <c r="D7" s="196" t="s">
        <v>2</v>
      </c>
      <c r="E7" s="196" t="s">
        <v>3</v>
      </c>
      <c r="F7" s="196" t="s">
        <v>4</v>
      </c>
      <c r="G7" s="196" t="s">
        <v>5</v>
      </c>
      <c r="H7" s="196" t="s">
        <v>7</v>
      </c>
      <c r="I7" s="196" t="s">
        <v>28</v>
      </c>
      <c r="J7" s="196" t="s">
        <v>29</v>
      </c>
      <c r="K7" s="196" t="s">
        <v>29</v>
      </c>
    </row>
    <row r="8" spans="2:18" ht="6" customHeight="1">
      <c r="K8" s="190"/>
    </row>
    <row r="9" spans="2:18" ht="15.75">
      <c r="B9" s="60" t="str">
        <f>C52</f>
        <v>2017 IRP Utah Solar Resource - 31% Capacity Factor</v>
      </c>
      <c r="C9" s="190"/>
      <c r="E9" s="190"/>
      <c r="F9" s="190"/>
      <c r="G9" s="190"/>
      <c r="H9" s="190"/>
      <c r="I9" s="190"/>
      <c r="J9" s="190"/>
      <c r="K9" s="190"/>
    </row>
    <row r="10" spans="2:18">
      <c r="B10" s="197">
        <v>2016</v>
      </c>
      <c r="C10" s="198">
        <f>C55</f>
        <v>1822.4072122157659</v>
      </c>
      <c r="D10" s="199">
        <f>C10*$C$62</f>
        <v>140.61107266637151</v>
      </c>
      <c r="E10" s="199">
        <f>C56</f>
        <v>19.693557659779859</v>
      </c>
      <c r="F10" s="200">
        <f t="shared" ref="F10:F33" si="0">(D10+E10)/(8.76*$C$63)</f>
        <v>58.84120686185063</v>
      </c>
      <c r="G10" s="200">
        <f>C58</f>
        <v>0</v>
      </c>
      <c r="H10" s="199">
        <f>C59</f>
        <v>-2.446131410134015</v>
      </c>
      <c r="I10" s="201">
        <f t="shared" ref="I10:I36" si="1">F10+H10+G10</f>
        <v>56.395075451716615</v>
      </c>
      <c r="J10" s="201">
        <f>ROUND(I10*$C$63*8.76,2)</f>
        <v>153.63999999999999</v>
      </c>
      <c r="K10" s="199">
        <f>$C$57</f>
        <v>0.60299999999999998</v>
      </c>
      <c r="N10" s="202"/>
      <c r="P10" s="240"/>
    </row>
    <row r="11" spans="2:18">
      <c r="B11" s="197">
        <f t="shared" ref="B11:B36" si="2">B10+1</f>
        <v>2017</v>
      </c>
      <c r="C11" s="203"/>
      <c r="D11" s="199">
        <f>ROUND(D10*(1+$D66),2)</f>
        <v>143.41999999999999</v>
      </c>
      <c r="E11" s="199">
        <f>ROUND(E10*(1+$D66),2)</f>
        <v>20.09</v>
      </c>
      <c r="F11" s="200">
        <f t="shared" si="0"/>
        <v>60.017765640370584</v>
      </c>
      <c r="G11" s="199">
        <f>ROUND(G10*(1+$D66),2)</f>
        <v>0</v>
      </c>
      <c r="H11" s="199">
        <f>ROUND(H10*(1+$D66),2)</f>
        <v>-2.5</v>
      </c>
      <c r="I11" s="201">
        <f t="shared" si="1"/>
        <v>57.517765640370584</v>
      </c>
      <c r="J11" s="201">
        <f t="shared" ref="J11:J36" si="3">ROUND(I11*$C$63*8.76,2)</f>
        <v>156.69999999999999</v>
      </c>
      <c r="K11" s="199">
        <f t="shared" ref="K11:K19" si="4">ROUND(K10*(1+$D66),2)</f>
        <v>0.62</v>
      </c>
      <c r="N11" s="202"/>
      <c r="P11" s="240"/>
    </row>
    <row r="12" spans="2:18">
      <c r="B12" s="210">
        <f t="shared" si="2"/>
        <v>2018</v>
      </c>
      <c r="C12" s="211"/>
      <c r="D12" s="199">
        <f t="shared" ref="D12:G19" si="5">ROUND(D11*(1+$D67),2)</f>
        <v>146.13999999999999</v>
      </c>
      <c r="E12" s="199">
        <f t="shared" si="5"/>
        <v>20.47</v>
      </c>
      <c r="F12" s="201">
        <f t="shared" si="0"/>
        <v>61.155647564932679</v>
      </c>
      <c r="G12" s="199">
        <f t="shared" si="5"/>
        <v>0</v>
      </c>
      <c r="H12" s="212">
        <f t="shared" ref="H12" si="6">ROUND(H11*(1+$D67),2)</f>
        <v>-2.5499999999999998</v>
      </c>
      <c r="I12" s="201">
        <f t="shared" si="1"/>
        <v>58.605647564932681</v>
      </c>
      <c r="J12" s="201">
        <f t="shared" si="3"/>
        <v>159.66</v>
      </c>
      <c r="K12" s="199">
        <f t="shared" si="4"/>
        <v>0.63</v>
      </c>
      <c r="L12" s="190"/>
      <c r="N12" s="202"/>
      <c r="P12" s="240"/>
    </row>
    <row r="13" spans="2:18">
      <c r="B13" s="210">
        <f t="shared" si="2"/>
        <v>2019</v>
      </c>
      <c r="C13" s="211"/>
      <c r="D13" s="199">
        <f t="shared" si="5"/>
        <v>149.36000000000001</v>
      </c>
      <c r="E13" s="199">
        <f t="shared" si="5"/>
        <v>20.92</v>
      </c>
      <c r="F13" s="201">
        <f t="shared" si="0"/>
        <v>62.502752940140084</v>
      </c>
      <c r="G13" s="199">
        <f t="shared" si="5"/>
        <v>0</v>
      </c>
      <c r="H13" s="212">
        <f t="shared" ref="H13" si="7">ROUND(H12*(1+$D68),2)</f>
        <v>-2.61</v>
      </c>
      <c r="I13" s="201">
        <f t="shared" si="1"/>
        <v>59.892752940140085</v>
      </c>
      <c r="J13" s="201">
        <f t="shared" si="3"/>
        <v>163.16999999999999</v>
      </c>
      <c r="K13" s="199">
        <f t="shared" si="4"/>
        <v>0.64</v>
      </c>
      <c r="L13" s="190"/>
      <c r="N13" s="202"/>
      <c r="P13" s="240"/>
    </row>
    <row r="14" spans="2:18">
      <c r="B14" s="210">
        <f t="shared" si="2"/>
        <v>2020</v>
      </c>
      <c r="C14" s="211"/>
      <c r="D14" s="199">
        <f t="shared" si="5"/>
        <v>153.24</v>
      </c>
      <c r="E14" s="199">
        <f t="shared" si="5"/>
        <v>21.46</v>
      </c>
      <c r="F14" s="201">
        <f t="shared" si="0"/>
        <v>64.125152329354421</v>
      </c>
      <c r="G14" s="199">
        <f t="shared" si="5"/>
        <v>0</v>
      </c>
      <c r="H14" s="212">
        <f t="shared" ref="H14" si="8">ROUND(H13*(1+$D69),2)</f>
        <v>-2.68</v>
      </c>
      <c r="I14" s="201">
        <f t="shared" si="1"/>
        <v>61.445152329354421</v>
      </c>
      <c r="J14" s="201">
        <f t="shared" si="3"/>
        <v>167.4</v>
      </c>
      <c r="K14" s="199">
        <f t="shared" si="4"/>
        <v>0.66</v>
      </c>
      <c r="L14" s="190"/>
      <c r="N14" s="202"/>
      <c r="O14" s="207"/>
      <c r="P14" s="240"/>
      <c r="Q14" s="208"/>
      <c r="R14" s="209"/>
    </row>
    <row r="15" spans="2:18">
      <c r="B15" s="210">
        <f t="shared" si="2"/>
        <v>2021</v>
      </c>
      <c r="C15" s="211"/>
      <c r="D15" s="199">
        <f t="shared" si="5"/>
        <v>156.91999999999999</v>
      </c>
      <c r="E15" s="199">
        <f t="shared" si="5"/>
        <v>21.98</v>
      </c>
      <c r="F15" s="201">
        <f t="shared" si="0"/>
        <v>65.666798807793384</v>
      </c>
      <c r="G15" s="199">
        <f t="shared" si="5"/>
        <v>0</v>
      </c>
      <c r="H15" s="212">
        <f t="shared" ref="H15" si="9">ROUND(H14*(1+$D70),2)</f>
        <v>-2.74</v>
      </c>
      <c r="I15" s="201">
        <f t="shared" si="1"/>
        <v>62.926798807793382</v>
      </c>
      <c r="J15" s="201">
        <f t="shared" si="3"/>
        <v>171.44</v>
      </c>
      <c r="K15" s="199">
        <f t="shared" si="4"/>
        <v>0.68</v>
      </c>
      <c r="L15" s="190"/>
      <c r="N15" s="208"/>
      <c r="O15" s="208"/>
      <c r="P15" s="240"/>
      <c r="Q15" s="208"/>
      <c r="R15" s="209"/>
    </row>
    <row r="16" spans="2:18">
      <c r="B16" s="210">
        <f t="shared" si="2"/>
        <v>2022</v>
      </c>
      <c r="C16" s="211"/>
      <c r="D16" s="199">
        <f t="shared" si="5"/>
        <v>160.53</v>
      </c>
      <c r="E16" s="199">
        <f t="shared" si="5"/>
        <v>22.49</v>
      </c>
      <c r="F16" s="201">
        <f t="shared" si="0"/>
        <v>67.179080591404954</v>
      </c>
      <c r="G16" s="199">
        <f t="shared" si="5"/>
        <v>0</v>
      </c>
      <c r="H16" s="212">
        <f t="shared" ref="H16" si="10">ROUND(H15*(1+$D71),2)</f>
        <v>-2.8</v>
      </c>
      <c r="I16" s="201">
        <f t="shared" si="1"/>
        <v>64.379080591404957</v>
      </c>
      <c r="J16" s="201">
        <f t="shared" si="3"/>
        <v>175.39</v>
      </c>
      <c r="K16" s="199">
        <f t="shared" si="4"/>
        <v>0.7</v>
      </c>
      <c r="L16" s="190"/>
      <c r="N16" s="202"/>
      <c r="P16" s="240"/>
    </row>
    <row r="17" spans="2:17">
      <c r="B17" s="210">
        <f t="shared" si="2"/>
        <v>2023</v>
      </c>
      <c r="C17" s="211"/>
      <c r="D17" s="199">
        <f t="shared" si="5"/>
        <v>164.22</v>
      </c>
      <c r="E17" s="199">
        <f t="shared" si="5"/>
        <v>23.01</v>
      </c>
      <c r="F17" s="201">
        <f t="shared" si="0"/>
        <v>68.724397656697349</v>
      </c>
      <c r="G17" s="199">
        <f t="shared" si="5"/>
        <v>0</v>
      </c>
      <c r="H17" s="212">
        <f t="shared" ref="H17" si="11">ROUND(H16*(1+$D72),2)</f>
        <v>-2.86</v>
      </c>
      <c r="I17" s="201">
        <f t="shared" si="1"/>
        <v>65.864397656697349</v>
      </c>
      <c r="J17" s="201">
        <f t="shared" si="3"/>
        <v>179.44</v>
      </c>
      <c r="K17" s="199">
        <f t="shared" si="4"/>
        <v>0.72</v>
      </c>
      <c r="L17" s="190"/>
      <c r="N17" s="202"/>
      <c r="O17" s="207"/>
      <c r="P17" s="240"/>
    </row>
    <row r="18" spans="2:17">
      <c r="B18" s="210">
        <f t="shared" si="2"/>
        <v>2024</v>
      </c>
      <c r="C18" s="211"/>
      <c r="D18" s="199">
        <f t="shared" si="5"/>
        <v>168</v>
      </c>
      <c r="E18" s="199">
        <f t="shared" si="5"/>
        <v>23.54</v>
      </c>
      <c r="F18" s="201">
        <f t="shared" si="0"/>
        <v>70.306420590524013</v>
      </c>
      <c r="G18" s="199">
        <f t="shared" si="5"/>
        <v>0</v>
      </c>
      <c r="H18" s="212">
        <f t="shared" ref="H18" si="12">ROUND(H17*(1+$D73),2)</f>
        <v>-2.93</v>
      </c>
      <c r="I18" s="201">
        <f t="shared" si="1"/>
        <v>67.376420590524006</v>
      </c>
      <c r="J18" s="201">
        <f t="shared" si="3"/>
        <v>183.56</v>
      </c>
      <c r="K18" s="199">
        <f t="shared" si="4"/>
        <v>0.74</v>
      </c>
      <c r="L18" s="190"/>
      <c r="P18" s="240"/>
    </row>
    <row r="19" spans="2:17">
      <c r="B19" s="210">
        <f t="shared" si="2"/>
        <v>2025</v>
      </c>
      <c r="C19" s="211"/>
      <c r="D19" s="199">
        <f t="shared" si="5"/>
        <v>171.86</v>
      </c>
      <c r="E19" s="199">
        <f t="shared" si="5"/>
        <v>24.08</v>
      </c>
      <c r="F19" s="201">
        <f t="shared" si="0"/>
        <v>71.921478806031516</v>
      </c>
      <c r="G19" s="199">
        <f t="shared" si="5"/>
        <v>0</v>
      </c>
      <c r="H19" s="212">
        <f t="shared" ref="H19" si="13">ROUND(H18*(1+$D74),2)</f>
        <v>-3</v>
      </c>
      <c r="I19" s="201">
        <f t="shared" si="1"/>
        <v>68.921478806031516</v>
      </c>
      <c r="J19" s="201">
        <f t="shared" si="3"/>
        <v>187.77</v>
      </c>
      <c r="K19" s="199">
        <f t="shared" si="4"/>
        <v>0.76</v>
      </c>
      <c r="L19" s="190"/>
      <c r="P19" s="240"/>
    </row>
    <row r="20" spans="2:17">
      <c r="B20" s="210">
        <f t="shared" si="2"/>
        <v>2026</v>
      </c>
      <c r="C20" s="211"/>
      <c r="D20" s="199">
        <f>ROUND(D19*(1+$G66),2)</f>
        <v>175.81</v>
      </c>
      <c r="E20" s="199">
        <f>ROUND(E19*(1+$G66),2)</f>
        <v>24.63</v>
      </c>
      <c r="F20" s="201">
        <f t="shared" si="0"/>
        <v>73.57324289007326</v>
      </c>
      <c r="G20" s="199">
        <f>ROUND(G19*(1+$G66),2)</f>
        <v>0</v>
      </c>
      <c r="H20" s="212">
        <f>ROUND(H19*(1+$G66),2)</f>
        <v>-3.07</v>
      </c>
      <c r="I20" s="201">
        <f t="shared" si="1"/>
        <v>70.503242890073267</v>
      </c>
      <c r="J20" s="201">
        <f t="shared" si="3"/>
        <v>192.08</v>
      </c>
      <c r="K20" s="199">
        <f t="shared" ref="K20:K28" si="14">ROUND(K19*(1+$G66),2)</f>
        <v>0.78</v>
      </c>
      <c r="L20" s="190"/>
      <c r="P20" s="240"/>
      <c r="Q20" s="241"/>
    </row>
    <row r="21" spans="2:17">
      <c r="B21" s="210">
        <f t="shared" si="2"/>
        <v>2027</v>
      </c>
      <c r="C21" s="211"/>
      <c r="D21" s="199">
        <f t="shared" ref="D21:G28" si="15">ROUND(D20*(1+$G67),2)</f>
        <v>179.85</v>
      </c>
      <c r="E21" s="199">
        <f t="shared" si="15"/>
        <v>25.2</v>
      </c>
      <c r="F21" s="201">
        <f t="shared" si="0"/>
        <v>75.265383429502705</v>
      </c>
      <c r="G21" s="199">
        <f t="shared" si="15"/>
        <v>0</v>
      </c>
      <c r="H21" s="212">
        <f t="shared" ref="H21" si="16">ROUND(H20*(1+$G67),2)</f>
        <v>-3.14</v>
      </c>
      <c r="I21" s="201">
        <f t="shared" si="1"/>
        <v>72.125383429502705</v>
      </c>
      <c r="J21" s="201">
        <f t="shared" si="3"/>
        <v>196.5</v>
      </c>
      <c r="K21" s="199">
        <f t="shared" si="14"/>
        <v>0.8</v>
      </c>
      <c r="L21" s="190"/>
      <c r="P21" s="240"/>
    </row>
    <row r="22" spans="2:17">
      <c r="B22" s="210">
        <f t="shared" si="2"/>
        <v>2028</v>
      </c>
      <c r="C22" s="211"/>
      <c r="D22" s="199">
        <f t="shared" si="15"/>
        <v>183.99</v>
      </c>
      <c r="E22" s="199">
        <f t="shared" si="15"/>
        <v>25.78</v>
      </c>
      <c r="F22" s="201">
        <f t="shared" si="0"/>
        <v>76.997900424319852</v>
      </c>
      <c r="G22" s="199">
        <f t="shared" si="15"/>
        <v>0</v>
      </c>
      <c r="H22" s="212">
        <f t="shared" ref="H22" si="17">ROUND(H21*(1+$G68),2)</f>
        <v>-3.21</v>
      </c>
      <c r="I22" s="201">
        <f t="shared" si="1"/>
        <v>73.787900424319858</v>
      </c>
      <c r="J22" s="201">
        <f t="shared" si="3"/>
        <v>201.02</v>
      </c>
      <c r="K22" s="199">
        <f t="shared" si="14"/>
        <v>0.82</v>
      </c>
      <c r="L22" s="190"/>
      <c r="P22" s="240"/>
    </row>
    <row r="23" spans="2:17">
      <c r="B23" s="210">
        <f t="shared" si="2"/>
        <v>2029</v>
      </c>
      <c r="C23" s="211"/>
      <c r="D23" s="199">
        <f t="shared" si="15"/>
        <v>188.22</v>
      </c>
      <c r="E23" s="199">
        <f t="shared" si="15"/>
        <v>26.37</v>
      </c>
      <c r="F23" s="201">
        <f t="shared" si="0"/>
        <v>78.767123287671239</v>
      </c>
      <c r="G23" s="199">
        <f t="shared" si="15"/>
        <v>0</v>
      </c>
      <c r="H23" s="212">
        <f t="shared" ref="H23" si="18">ROUND(H22*(1+$G69),2)</f>
        <v>-3.28</v>
      </c>
      <c r="I23" s="201">
        <f t="shared" si="1"/>
        <v>75.487123287671238</v>
      </c>
      <c r="J23" s="201">
        <f t="shared" si="3"/>
        <v>205.65</v>
      </c>
      <c r="K23" s="199">
        <f t="shared" si="14"/>
        <v>0.84</v>
      </c>
      <c r="L23" s="190"/>
      <c r="P23" s="240"/>
    </row>
    <row r="24" spans="2:17">
      <c r="B24" s="210">
        <f t="shared" si="2"/>
        <v>2030</v>
      </c>
      <c r="C24" s="204"/>
      <c r="D24" s="205">
        <f t="shared" si="15"/>
        <v>192.55</v>
      </c>
      <c r="E24" s="205">
        <f t="shared" si="15"/>
        <v>26.98</v>
      </c>
      <c r="F24" s="206">
        <f t="shared" si="0"/>
        <v>80.580393193263745</v>
      </c>
      <c r="G24" s="205">
        <f t="shared" si="15"/>
        <v>0</v>
      </c>
      <c r="H24" s="205">
        <f t="shared" ref="H24" si="19">ROUND(H23*(1+$G70),2)</f>
        <v>-3.36</v>
      </c>
      <c r="I24" s="206">
        <f t="shared" si="1"/>
        <v>77.220393193263746</v>
      </c>
      <c r="J24" s="206">
        <f t="shared" si="3"/>
        <v>210.38</v>
      </c>
      <c r="K24" s="205">
        <f t="shared" si="14"/>
        <v>0.86</v>
      </c>
      <c r="L24" s="190"/>
      <c r="P24" s="240"/>
    </row>
    <row r="25" spans="2:17">
      <c r="B25" s="210">
        <f t="shared" si="2"/>
        <v>2031</v>
      </c>
      <c r="C25" s="211"/>
      <c r="D25" s="199">
        <f t="shared" si="15"/>
        <v>196.98</v>
      </c>
      <c r="E25" s="199">
        <f t="shared" si="15"/>
        <v>27.6</v>
      </c>
      <c r="F25" s="201">
        <f t="shared" si="0"/>
        <v>82.434039554243924</v>
      </c>
      <c r="G25" s="199">
        <f t="shared" si="15"/>
        <v>0</v>
      </c>
      <c r="H25" s="212">
        <f t="shared" ref="H25" si="20">ROUND(H24*(1+$G71),2)</f>
        <v>-3.44</v>
      </c>
      <c r="I25" s="201">
        <f t="shared" si="1"/>
        <v>78.994039554243926</v>
      </c>
      <c r="J25" s="201">
        <f t="shared" si="3"/>
        <v>215.21</v>
      </c>
      <c r="K25" s="199">
        <f t="shared" si="14"/>
        <v>0.88</v>
      </c>
      <c r="L25" s="190"/>
      <c r="P25" s="240"/>
    </row>
    <row r="26" spans="2:17">
      <c r="B26" s="210">
        <f t="shared" si="2"/>
        <v>2032</v>
      </c>
      <c r="C26" s="211"/>
      <c r="D26" s="199">
        <f t="shared" si="15"/>
        <v>201.31</v>
      </c>
      <c r="E26" s="199">
        <f t="shared" si="15"/>
        <v>28.21</v>
      </c>
      <c r="F26" s="201">
        <f t="shared" si="0"/>
        <v>84.247309459836444</v>
      </c>
      <c r="G26" s="199">
        <f t="shared" si="15"/>
        <v>0</v>
      </c>
      <c r="H26" s="212">
        <f t="shared" ref="H26" si="21">ROUND(H25*(1+$G72),2)</f>
        <v>-3.52</v>
      </c>
      <c r="I26" s="201">
        <f t="shared" si="1"/>
        <v>80.727309459836448</v>
      </c>
      <c r="J26" s="201">
        <f t="shared" si="3"/>
        <v>219.93</v>
      </c>
      <c r="K26" s="199">
        <f t="shared" si="14"/>
        <v>0.9</v>
      </c>
      <c r="L26" s="190"/>
      <c r="P26" s="240"/>
    </row>
    <row r="27" spans="2:17">
      <c r="B27" s="210">
        <f t="shared" si="2"/>
        <v>2033</v>
      </c>
      <c r="C27" s="211"/>
      <c r="D27" s="199">
        <f t="shared" si="15"/>
        <v>205.74</v>
      </c>
      <c r="E27" s="199">
        <f t="shared" si="15"/>
        <v>28.83</v>
      </c>
      <c r="F27" s="201">
        <f t="shared" si="0"/>
        <v>86.100955820816637</v>
      </c>
      <c r="G27" s="199">
        <f t="shared" si="15"/>
        <v>0</v>
      </c>
      <c r="H27" s="212">
        <f t="shared" ref="H27" si="22">ROUND(H26*(1+$G73),2)</f>
        <v>-3.6</v>
      </c>
      <c r="I27" s="201">
        <f t="shared" si="1"/>
        <v>82.500955820816642</v>
      </c>
      <c r="J27" s="201">
        <f t="shared" si="3"/>
        <v>224.76</v>
      </c>
      <c r="K27" s="199">
        <f t="shared" si="14"/>
        <v>0.92</v>
      </c>
      <c r="L27" s="190"/>
      <c r="P27" s="240"/>
    </row>
    <row r="28" spans="2:17">
      <c r="B28" s="210">
        <f t="shared" si="2"/>
        <v>2034</v>
      </c>
      <c r="C28" s="211"/>
      <c r="D28" s="199">
        <f t="shared" si="15"/>
        <v>210.47</v>
      </c>
      <c r="E28" s="199">
        <f t="shared" si="15"/>
        <v>29.49</v>
      </c>
      <c r="F28" s="201">
        <f t="shared" si="0"/>
        <v>88.079402134813321</v>
      </c>
      <c r="G28" s="199">
        <f t="shared" si="15"/>
        <v>0</v>
      </c>
      <c r="H28" s="212">
        <f t="shared" ref="H28" si="23">ROUND(H27*(1+$G74),2)</f>
        <v>-3.68</v>
      </c>
      <c r="I28" s="201">
        <f t="shared" si="1"/>
        <v>84.399402134813315</v>
      </c>
      <c r="J28" s="201">
        <f t="shared" si="3"/>
        <v>229.93</v>
      </c>
      <c r="K28" s="199">
        <f t="shared" si="14"/>
        <v>0.94</v>
      </c>
      <c r="L28" s="190"/>
      <c r="P28" s="240"/>
    </row>
    <row r="29" spans="2:17">
      <c r="B29" s="210">
        <f t="shared" si="2"/>
        <v>2035</v>
      </c>
      <c r="C29" s="211"/>
      <c r="D29" s="199">
        <f t="shared" ref="D29:E36" si="24">ROUND(D28*(1+$K66),2)</f>
        <v>215.31</v>
      </c>
      <c r="E29" s="199">
        <f t="shared" si="24"/>
        <v>30.17</v>
      </c>
      <c r="F29" s="201">
        <f t="shared" si="0"/>
        <v>90.105566077904541</v>
      </c>
      <c r="G29" s="199">
        <f t="shared" ref="G29:H36" si="25">ROUND(G28*(1+$K66),2)</f>
        <v>0</v>
      </c>
      <c r="H29" s="212">
        <f t="shared" si="25"/>
        <v>-3.76</v>
      </c>
      <c r="I29" s="201">
        <f t="shared" si="1"/>
        <v>86.345566077904536</v>
      </c>
      <c r="J29" s="201">
        <f t="shared" si="3"/>
        <v>235.24</v>
      </c>
      <c r="K29" s="199">
        <f t="shared" ref="K29:K36" si="26">ROUND(K28*(1+$K66),2)</f>
        <v>0.96</v>
      </c>
      <c r="L29" s="190"/>
      <c r="P29" s="240"/>
    </row>
    <row r="30" spans="2:17">
      <c r="B30" s="210">
        <f t="shared" si="2"/>
        <v>2036</v>
      </c>
      <c r="C30" s="211"/>
      <c r="D30" s="199">
        <f t="shared" si="24"/>
        <v>220.26</v>
      </c>
      <c r="E30" s="199">
        <f t="shared" si="24"/>
        <v>30.86</v>
      </c>
      <c r="F30" s="201">
        <f t="shared" si="0"/>
        <v>92.175777063236879</v>
      </c>
      <c r="G30" s="199">
        <f t="shared" si="25"/>
        <v>0</v>
      </c>
      <c r="H30" s="212">
        <f t="shared" si="25"/>
        <v>-3.85</v>
      </c>
      <c r="I30" s="201">
        <f t="shared" si="1"/>
        <v>88.325777063236885</v>
      </c>
      <c r="J30" s="201">
        <f t="shared" si="3"/>
        <v>240.63</v>
      </c>
      <c r="K30" s="199">
        <f t="shared" si="26"/>
        <v>0.98</v>
      </c>
      <c r="L30" s="190"/>
      <c r="P30" s="240"/>
    </row>
    <row r="31" spans="2:17">
      <c r="B31" s="210">
        <f t="shared" si="2"/>
        <v>2037</v>
      </c>
      <c r="C31" s="211"/>
      <c r="D31" s="199">
        <f t="shared" si="24"/>
        <v>225.11</v>
      </c>
      <c r="E31" s="199">
        <f t="shared" si="24"/>
        <v>31.54</v>
      </c>
      <c r="F31" s="201">
        <f t="shared" si="0"/>
        <v>94.20561159318153</v>
      </c>
      <c r="G31" s="199">
        <f t="shared" si="25"/>
        <v>0</v>
      </c>
      <c r="H31" s="212">
        <f t="shared" si="25"/>
        <v>-3.93</v>
      </c>
      <c r="I31" s="201">
        <f t="shared" si="1"/>
        <v>90.275611593181523</v>
      </c>
      <c r="J31" s="201">
        <f t="shared" si="3"/>
        <v>245.94</v>
      </c>
      <c r="K31" s="199">
        <f t="shared" si="26"/>
        <v>1</v>
      </c>
      <c r="L31" s="190"/>
      <c r="P31" s="240"/>
    </row>
    <row r="32" spans="2:17">
      <c r="B32" s="210">
        <f t="shared" si="2"/>
        <v>2038</v>
      </c>
      <c r="C32" s="211"/>
      <c r="D32" s="199">
        <f t="shared" si="24"/>
        <v>230.06</v>
      </c>
      <c r="E32" s="199">
        <f t="shared" si="24"/>
        <v>32.229999999999997</v>
      </c>
      <c r="F32" s="201">
        <f t="shared" si="0"/>
        <v>96.275822578513868</v>
      </c>
      <c r="G32" s="199">
        <f t="shared" si="25"/>
        <v>0</v>
      </c>
      <c r="H32" s="212">
        <f t="shared" si="25"/>
        <v>-4.0199999999999996</v>
      </c>
      <c r="I32" s="201">
        <f t="shared" si="1"/>
        <v>92.255822578513872</v>
      </c>
      <c r="J32" s="201">
        <f t="shared" si="3"/>
        <v>251.34</v>
      </c>
      <c r="K32" s="199">
        <f t="shared" si="26"/>
        <v>1.02</v>
      </c>
      <c r="L32" s="190"/>
      <c r="P32" s="240"/>
    </row>
    <row r="33" spans="2:16">
      <c r="B33" s="210">
        <f t="shared" si="2"/>
        <v>2039</v>
      </c>
      <c r="C33" s="211"/>
      <c r="D33" s="199">
        <f t="shared" si="24"/>
        <v>235.12</v>
      </c>
      <c r="E33" s="199">
        <f t="shared" si="24"/>
        <v>32.94</v>
      </c>
      <c r="F33" s="201">
        <f t="shared" si="0"/>
        <v>98.393751192940726</v>
      </c>
      <c r="G33" s="199">
        <f t="shared" si="25"/>
        <v>0</v>
      </c>
      <c r="H33" s="212">
        <f t="shared" si="25"/>
        <v>-4.1100000000000003</v>
      </c>
      <c r="I33" s="201">
        <f t="shared" si="1"/>
        <v>94.283751192940727</v>
      </c>
      <c r="J33" s="201">
        <f t="shared" si="3"/>
        <v>256.86</v>
      </c>
      <c r="K33" s="199">
        <f t="shared" si="26"/>
        <v>1.04</v>
      </c>
      <c r="L33" s="190"/>
      <c r="P33" s="240"/>
    </row>
    <row r="34" spans="2:16">
      <c r="B34" s="210">
        <f t="shared" si="2"/>
        <v>2040</v>
      </c>
      <c r="C34" s="211"/>
      <c r="D34" s="199">
        <f t="shared" si="24"/>
        <v>240.29</v>
      </c>
      <c r="E34" s="199">
        <f t="shared" si="24"/>
        <v>33.659999999999997</v>
      </c>
      <c r="F34" s="201">
        <f t="shared" ref="F34:F36" si="27">(D34+E34)/(8.76*$C$63)</f>
        <v>100.55572684960872</v>
      </c>
      <c r="G34" s="199">
        <f t="shared" si="25"/>
        <v>0</v>
      </c>
      <c r="H34" s="212">
        <f t="shared" si="25"/>
        <v>-4.2</v>
      </c>
      <c r="I34" s="201">
        <f t="shared" si="1"/>
        <v>96.355726849608715</v>
      </c>
      <c r="J34" s="201">
        <f t="shared" si="3"/>
        <v>262.51</v>
      </c>
      <c r="K34" s="199">
        <f t="shared" si="26"/>
        <v>1.06</v>
      </c>
      <c r="L34" s="190"/>
      <c r="P34" s="240"/>
    </row>
    <row r="35" spans="2:16">
      <c r="B35" s="210">
        <f t="shared" si="2"/>
        <v>2041</v>
      </c>
      <c r="C35" s="211"/>
      <c r="D35" s="199">
        <f t="shared" si="24"/>
        <v>245.58</v>
      </c>
      <c r="E35" s="199">
        <f t="shared" si="24"/>
        <v>34.4</v>
      </c>
      <c r="F35" s="201">
        <f t="shared" si="27"/>
        <v>102.76909072222468</v>
      </c>
      <c r="G35" s="199">
        <f t="shared" si="25"/>
        <v>0</v>
      </c>
      <c r="H35" s="212">
        <f t="shared" si="25"/>
        <v>-4.29</v>
      </c>
      <c r="I35" s="201">
        <f t="shared" si="1"/>
        <v>98.479090722224669</v>
      </c>
      <c r="J35" s="201">
        <f t="shared" si="3"/>
        <v>268.29000000000002</v>
      </c>
      <c r="K35" s="199">
        <f t="shared" si="26"/>
        <v>1.08</v>
      </c>
      <c r="L35" s="190"/>
      <c r="P35" s="240"/>
    </row>
    <row r="36" spans="2:16">
      <c r="B36" s="210">
        <f t="shared" si="2"/>
        <v>2042</v>
      </c>
      <c r="C36" s="211"/>
      <c r="D36" s="199">
        <f t="shared" si="24"/>
        <v>250.98</v>
      </c>
      <c r="E36" s="199">
        <f t="shared" si="24"/>
        <v>35.159999999999997</v>
      </c>
      <c r="F36" s="201">
        <f t="shared" si="27"/>
        <v>105.03017222393517</v>
      </c>
      <c r="G36" s="199">
        <f t="shared" si="25"/>
        <v>0</v>
      </c>
      <c r="H36" s="212">
        <f t="shared" si="25"/>
        <v>-4.38</v>
      </c>
      <c r="I36" s="201">
        <f t="shared" si="1"/>
        <v>100.65017222393517</v>
      </c>
      <c r="J36" s="201">
        <f t="shared" si="3"/>
        <v>274.20999999999998</v>
      </c>
      <c r="K36" s="199">
        <f t="shared" si="26"/>
        <v>1.1000000000000001</v>
      </c>
      <c r="L36" s="190"/>
      <c r="P36" s="240"/>
    </row>
    <row r="37" spans="2:16">
      <c r="B37" s="210"/>
      <c r="C37" s="203"/>
      <c r="D37" s="199"/>
      <c r="E37" s="199"/>
      <c r="F37" s="200"/>
      <c r="G37" s="199"/>
      <c r="H37" s="199"/>
      <c r="I37" s="201"/>
      <c r="J37" s="201"/>
      <c r="K37" s="213"/>
    </row>
    <row r="38" spans="2:16" hidden="1">
      <c r="B38" s="197"/>
      <c r="C38" s="203"/>
      <c r="D38" s="199"/>
      <c r="E38" s="199"/>
      <c r="F38" s="200"/>
      <c r="G38" s="199"/>
      <c r="H38" s="199"/>
      <c r="I38" s="201"/>
      <c r="J38" s="201"/>
      <c r="K38" s="213"/>
    </row>
    <row r="39" spans="2:16" hidden="1">
      <c r="B39" s="197"/>
      <c r="C39" s="203"/>
      <c r="D39" s="199"/>
      <c r="E39" s="199"/>
      <c r="F39" s="200"/>
      <c r="G39" s="199"/>
      <c r="H39" s="199"/>
      <c r="I39" s="201"/>
      <c r="J39" s="201"/>
      <c r="K39" s="213"/>
    </row>
    <row r="40" spans="2:16" hidden="1">
      <c r="B40" s="197"/>
      <c r="C40" s="203"/>
      <c r="D40" s="199"/>
      <c r="E40" s="199"/>
      <c r="F40" s="200"/>
      <c r="G40" s="199"/>
      <c r="H40" s="199"/>
      <c r="I40" s="201"/>
      <c r="J40" s="201"/>
      <c r="K40" s="213"/>
    </row>
    <row r="42" spans="2:16" ht="14.25">
      <c r="B42" s="214" t="s">
        <v>31</v>
      </c>
      <c r="C42" s="215"/>
      <c r="D42" s="215"/>
      <c r="E42" s="215"/>
      <c r="F42" s="215"/>
      <c r="G42" s="215"/>
      <c r="H42" s="215"/>
    </row>
    <row r="44" spans="2:16">
      <c r="B44" s="188" t="s">
        <v>113</v>
      </c>
      <c r="C44" s="216" t="s">
        <v>114</v>
      </c>
      <c r="D44" s="217" t="str">
        <f>'Table 3 200 MW (Wyo) 2033'!E68</f>
        <v xml:space="preserve">Plant Costs  - 2017 IRP - Table 6.1 &amp; 6.2 </v>
      </c>
    </row>
    <row r="45" spans="2:16">
      <c r="C45" s="216" t="str">
        <f>C7</f>
        <v>(a)</v>
      </c>
      <c r="D45" s="188" t="s">
        <v>115</v>
      </c>
    </row>
    <row r="46" spans="2:16">
      <c r="C46" s="216" t="str">
        <f>D7</f>
        <v>(b)</v>
      </c>
      <c r="D46" s="201" t="str">
        <f>"= "&amp;C7&amp;" x "&amp;C62</f>
        <v>= (a) x 0.0771567801772526</v>
      </c>
    </row>
    <row r="47" spans="2:16">
      <c r="C47" s="216" t="str">
        <f>F7</f>
        <v>(d)</v>
      </c>
      <c r="D47" s="201" t="str">
        <f>"= ("&amp;$D$7&amp;" + "&amp;$E$7&amp;") /  (8.76 x "&amp;TEXT(C63,"0.0%")&amp;")"</f>
        <v>= ((b) + (c)) /  (8.76 x 31.1%)</v>
      </c>
    </row>
    <row r="48" spans="2:16">
      <c r="C48" s="216" t="str">
        <f>I7</f>
        <v>(g)</v>
      </c>
      <c r="D48" s="201" t="str">
        <f>"= "&amp;$F$7&amp;" + "&amp;$H$7</f>
        <v>= (d) + (f)</v>
      </c>
    </row>
    <row r="49" spans="2:24">
      <c r="C49" s="216" t="str">
        <f>K7</f>
        <v>(h)</v>
      </c>
      <c r="D49" s="104" t="str">
        <f>D44</f>
        <v xml:space="preserve">Plant Costs  - 2017 IRP - Table 6.1 &amp; 6.2 </v>
      </c>
    </row>
    <row r="50" spans="2:24">
      <c r="C50" s="216"/>
      <c r="D50" s="201"/>
    </row>
    <row r="51" spans="2:24" ht="13.5" thickBot="1"/>
    <row r="52" spans="2:24" ht="13.5" thickBot="1">
      <c r="C52" s="58" t="str">
        <f>B2&amp;" - "&amp;B3</f>
        <v>2017 IRP Utah Solar Resource - 31% Capacity Factor</v>
      </c>
      <c r="D52" s="218"/>
      <c r="E52" s="218"/>
      <c r="F52" s="218"/>
      <c r="G52" s="218"/>
      <c r="H52" s="218"/>
      <c r="I52" s="219"/>
      <c r="J52" s="219"/>
      <c r="K52" s="220"/>
    </row>
    <row r="53" spans="2:24" ht="13.5" thickBot="1">
      <c r="C53" s="221" t="s">
        <v>116</v>
      </c>
      <c r="D53" s="222" t="s">
        <v>117</v>
      </c>
      <c r="E53" s="222"/>
      <c r="F53" s="222"/>
      <c r="G53" s="222"/>
      <c r="H53" s="223"/>
      <c r="I53" s="219"/>
      <c r="J53" s="219"/>
      <c r="K53" s="220"/>
    </row>
    <row r="55" spans="2:24">
      <c r="B55" s="104" t="s">
        <v>104</v>
      </c>
      <c r="C55" s="224">
        <v>1822.4072122157659</v>
      </c>
      <c r="D55" s="188" t="s">
        <v>115</v>
      </c>
      <c r="H55" s="188" t="s">
        <v>9</v>
      </c>
    </row>
    <row r="56" spans="2:24">
      <c r="B56" s="104" t="s">
        <v>104</v>
      </c>
      <c r="C56" s="225">
        <v>19.693557659779859</v>
      </c>
      <c r="D56" s="188" t="s">
        <v>118</v>
      </c>
      <c r="H56" s="188" t="s">
        <v>9</v>
      </c>
    </row>
    <row r="57" spans="2:24">
      <c r="B57" s="104" t="s">
        <v>104</v>
      </c>
      <c r="C57" s="230">
        <v>0.60299999999999998</v>
      </c>
      <c r="D57" s="188" t="s">
        <v>123</v>
      </c>
      <c r="H57" s="188" t="s">
        <v>120</v>
      </c>
    </row>
    <row r="58" spans="2:24">
      <c r="B58" s="104" t="s">
        <v>104</v>
      </c>
      <c r="C58" s="225">
        <v>0</v>
      </c>
      <c r="D58" s="188" t="s">
        <v>119</v>
      </c>
      <c r="H58" s="188" t="s">
        <v>120</v>
      </c>
      <c r="K58" s="190"/>
      <c r="L58" s="226"/>
      <c r="M58" s="69"/>
      <c r="N58" s="227" t="s">
        <v>127</v>
      </c>
      <c r="O58" s="69" t="s">
        <v>126</v>
      </c>
      <c r="P58" s="229" t="s">
        <v>128</v>
      </c>
      <c r="Q58" s="69"/>
      <c r="S58" s="190"/>
      <c r="T58" s="190"/>
      <c r="U58" s="190"/>
      <c r="V58" s="190"/>
      <c r="W58" s="190"/>
      <c r="X58" s="190"/>
    </row>
    <row r="59" spans="2:24">
      <c r="B59" s="104" t="s">
        <v>104</v>
      </c>
      <c r="C59" s="238">
        <f>P63</f>
        <v>-2.446131410134015</v>
      </c>
      <c r="D59" s="188" t="s">
        <v>121</v>
      </c>
      <c r="H59" s="188" t="s">
        <v>120</v>
      </c>
      <c r="K59" s="228"/>
      <c r="L59" s="228"/>
      <c r="M59" s="229"/>
      <c r="N59" s="228">
        <f>C55</f>
        <v>1822.4072122157659</v>
      </c>
      <c r="O59" s="248">
        <v>6.910504691716815E-2</v>
      </c>
      <c r="P59" s="242">
        <f>O59*N59/8760/$C$63*1000-O60*N60/8760/$C$63*1000</f>
        <v>-5.386049113925985</v>
      </c>
      <c r="Q59" s="249"/>
      <c r="R59" s="230"/>
      <c r="S59" s="190"/>
      <c r="T59" s="190"/>
      <c r="U59" s="190"/>
      <c r="V59" s="190"/>
      <c r="W59" s="190"/>
      <c r="X59" s="190"/>
    </row>
    <row r="60" spans="2:24">
      <c r="K60" s="228"/>
      <c r="L60" s="228"/>
      <c r="M60" s="228"/>
      <c r="N60" s="228">
        <f>N59</f>
        <v>1822.4072122157659</v>
      </c>
      <c r="O60" s="248">
        <v>7.7156780177252568E-2</v>
      </c>
      <c r="P60" s="190"/>
      <c r="Q60" s="249"/>
      <c r="R60" s="190"/>
      <c r="S60" s="190"/>
      <c r="T60" s="190"/>
      <c r="U60" s="190"/>
      <c r="V60" s="190"/>
      <c r="W60" s="190"/>
      <c r="X60" s="190"/>
    </row>
    <row r="61" spans="2:24">
      <c r="C61" s="232"/>
      <c r="K61" s="228"/>
      <c r="L61" s="228"/>
      <c r="M61" s="228"/>
      <c r="N61" s="235"/>
      <c r="O61" s="235"/>
      <c r="S61" s="190"/>
      <c r="T61" s="190"/>
      <c r="U61" s="190"/>
      <c r="V61" s="190"/>
      <c r="W61" s="190"/>
      <c r="X61" s="190"/>
    </row>
    <row r="62" spans="2:24">
      <c r="C62" s="233">
        <v>7.7156780177252568E-2</v>
      </c>
      <c r="D62" s="188" t="s">
        <v>54</v>
      </c>
      <c r="K62" s="234"/>
      <c r="L62" s="235"/>
      <c r="M62" s="235"/>
      <c r="N62" s="227" t="s">
        <v>127</v>
      </c>
      <c r="O62" s="69" t="s">
        <v>126</v>
      </c>
      <c r="P62" s="229" t="s">
        <v>129</v>
      </c>
    </row>
    <row r="63" spans="2:24">
      <c r="C63" s="239">
        <v>0.311</v>
      </c>
      <c r="D63" s="188" t="s">
        <v>55</v>
      </c>
      <c r="N63" s="228">
        <f>N59</f>
        <v>1822.4072122157659</v>
      </c>
      <c r="O63" s="250">
        <v>7.3499999999999996E-2</v>
      </c>
      <c r="P63" s="242">
        <f>O63*N63/8760/$C$63*1000-O64*N64/8760/$C$63*1000</f>
        <v>-2.446131410134015</v>
      </c>
      <c r="R63" s="251" t="s">
        <v>130</v>
      </c>
    </row>
    <row r="64" spans="2:24" ht="13.5" thickBot="1">
      <c r="D64" s="231"/>
      <c r="N64" s="228">
        <f>N59</f>
        <v>1822.4072122157659</v>
      </c>
      <c r="O64" s="248">
        <v>7.7156780177252568E-2</v>
      </c>
      <c r="P64" s="190"/>
    </row>
    <row r="65" spans="3:11" ht="13.5" thickBot="1">
      <c r="C65" s="54" t="str">
        <f>"Company Official Inflation Forecast Dated "&amp;TEXT('Table 4'!$G$5,"mmmm dd, yyyy")</f>
        <v>Company Official Inflation Forecast Dated December 29, 2017</v>
      </c>
      <c r="D65" s="218"/>
      <c r="E65" s="218"/>
      <c r="F65" s="218"/>
      <c r="G65" s="218"/>
      <c r="H65" s="218"/>
      <c r="I65" s="218"/>
      <c r="J65" s="218"/>
      <c r="K65" s="220"/>
    </row>
    <row r="66" spans="3:11">
      <c r="C66" s="129">
        <v>2017</v>
      </c>
      <c r="D66" s="57">
        <v>0.02</v>
      </c>
      <c r="E66" s="104"/>
      <c r="F66" s="129">
        <f>C74+1</f>
        <v>2026</v>
      </c>
      <c r="G66" s="57">
        <v>2.3E-2</v>
      </c>
      <c r="H66" s="104"/>
      <c r="I66" s="129">
        <f>F74+1</f>
        <v>2035</v>
      </c>
      <c r="J66" s="129"/>
      <c r="K66" s="57">
        <v>2.3E-2</v>
      </c>
    </row>
    <row r="67" spans="3:11">
      <c r="C67" s="129">
        <f t="shared" ref="C67:C74" si="28">C66+1</f>
        <v>2018</v>
      </c>
      <c r="D67" s="57">
        <v>1.9E-2</v>
      </c>
      <c r="E67" s="104"/>
      <c r="F67" s="129">
        <f t="shared" ref="F67:F74" si="29">F66+1</f>
        <v>2027</v>
      </c>
      <c r="G67" s="57">
        <v>2.3E-2</v>
      </c>
      <c r="H67" s="104"/>
      <c r="I67" s="129">
        <f t="shared" ref="I67:I74" si="30">I66+1</f>
        <v>2036</v>
      </c>
      <c r="J67" s="129"/>
      <c r="K67" s="57">
        <v>2.3E-2</v>
      </c>
    </row>
    <row r="68" spans="3:11">
      <c r="C68" s="129">
        <f t="shared" si="28"/>
        <v>2019</v>
      </c>
      <c r="D68" s="57">
        <v>2.1999999999999999E-2</v>
      </c>
      <c r="E68" s="104"/>
      <c r="F68" s="129">
        <f t="shared" si="29"/>
        <v>2028</v>
      </c>
      <c r="G68" s="57">
        <v>2.3E-2</v>
      </c>
      <c r="H68" s="104"/>
      <c r="I68" s="129">
        <f t="shared" si="30"/>
        <v>2037</v>
      </c>
      <c r="J68" s="129"/>
      <c r="K68" s="57">
        <v>2.1999999999999999E-2</v>
      </c>
    </row>
    <row r="69" spans="3:11">
      <c r="C69" s="129">
        <f t="shared" si="28"/>
        <v>2020</v>
      </c>
      <c r="D69" s="57">
        <v>2.5999999999999999E-2</v>
      </c>
      <c r="E69" s="104"/>
      <c r="F69" s="129">
        <f t="shared" si="29"/>
        <v>2029</v>
      </c>
      <c r="G69" s="57">
        <v>2.3E-2</v>
      </c>
      <c r="H69" s="104"/>
      <c r="I69" s="129">
        <f t="shared" si="30"/>
        <v>2038</v>
      </c>
      <c r="J69" s="129"/>
      <c r="K69" s="57">
        <v>2.1999999999999999E-2</v>
      </c>
    </row>
    <row r="70" spans="3:11">
      <c r="C70" s="129">
        <f t="shared" si="28"/>
        <v>2021</v>
      </c>
      <c r="D70" s="57">
        <v>2.4E-2</v>
      </c>
      <c r="E70" s="104"/>
      <c r="F70" s="129">
        <f t="shared" si="29"/>
        <v>2030</v>
      </c>
      <c r="G70" s="57">
        <v>2.3E-2</v>
      </c>
      <c r="H70" s="104"/>
      <c r="I70" s="129">
        <f t="shared" si="30"/>
        <v>2039</v>
      </c>
      <c r="J70" s="129"/>
      <c r="K70" s="57">
        <v>2.1999999999999999E-2</v>
      </c>
    </row>
    <row r="71" spans="3:11">
      <c r="C71" s="129">
        <f t="shared" si="28"/>
        <v>2022</v>
      </c>
      <c r="D71" s="57">
        <v>2.3E-2</v>
      </c>
      <c r="E71" s="104"/>
      <c r="F71" s="129">
        <f t="shared" si="29"/>
        <v>2031</v>
      </c>
      <c r="G71" s="57">
        <v>2.3E-2</v>
      </c>
      <c r="H71" s="104"/>
      <c r="I71" s="129">
        <f t="shared" si="30"/>
        <v>2040</v>
      </c>
      <c r="J71" s="129"/>
      <c r="K71" s="57">
        <v>2.1999999999999999E-2</v>
      </c>
    </row>
    <row r="72" spans="3:11" s="190" customFormat="1">
      <c r="C72" s="129">
        <f t="shared" si="28"/>
        <v>2023</v>
      </c>
      <c r="D72" s="57">
        <v>2.3E-2</v>
      </c>
      <c r="E72" s="106"/>
      <c r="F72" s="129">
        <f t="shared" si="29"/>
        <v>2032</v>
      </c>
      <c r="G72" s="57">
        <v>2.1999999999999999E-2</v>
      </c>
      <c r="H72" s="106"/>
      <c r="I72" s="129">
        <f t="shared" si="30"/>
        <v>2041</v>
      </c>
      <c r="J72" s="129"/>
      <c r="K72" s="57">
        <v>2.1999999999999999E-2</v>
      </c>
    </row>
    <row r="73" spans="3:11" s="190" customFormat="1">
      <c r="C73" s="129">
        <f t="shared" si="28"/>
        <v>2024</v>
      </c>
      <c r="D73" s="57">
        <v>2.3E-2</v>
      </c>
      <c r="E73" s="106"/>
      <c r="F73" s="129">
        <f t="shared" si="29"/>
        <v>2033</v>
      </c>
      <c r="G73" s="57">
        <v>2.1999999999999999E-2</v>
      </c>
      <c r="H73" s="106"/>
      <c r="I73" s="129">
        <f t="shared" si="30"/>
        <v>2042</v>
      </c>
      <c r="J73" s="129"/>
      <c r="K73" s="57">
        <v>2.1999999999999999E-2</v>
      </c>
    </row>
    <row r="74" spans="3:11" s="190" customFormat="1">
      <c r="C74" s="129">
        <f t="shared" si="28"/>
        <v>2025</v>
      </c>
      <c r="D74" s="57">
        <v>2.3E-2</v>
      </c>
      <c r="E74" s="106"/>
      <c r="F74" s="129">
        <f t="shared" si="29"/>
        <v>2034</v>
      </c>
      <c r="G74" s="57">
        <v>2.3E-2</v>
      </c>
      <c r="H74" s="106"/>
      <c r="I74" s="129">
        <f t="shared" si="30"/>
        <v>2043</v>
      </c>
      <c r="J74" s="129"/>
      <c r="K74" s="57">
        <v>2.3E-2</v>
      </c>
    </row>
    <row r="75" spans="3:11" s="190" customFormat="1"/>
    <row r="76" spans="3:11" s="190" customFormat="1"/>
    <row r="93" spans="3:4">
      <c r="C93" s="227"/>
      <c r="D93" s="231"/>
    </row>
    <row r="94" spans="3:4">
      <c r="C94" s="227"/>
      <c r="D94" s="231"/>
    </row>
    <row r="95" spans="3:4">
      <c r="C95" s="227"/>
      <c r="D95" s="231"/>
    </row>
    <row r="96" spans="3:4">
      <c r="C96" s="227"/>
      <c r="D96" s="231"/>
    </row>
    <row r="97" spans="3:4">
      <c r="C97" s="227"/>
      <c r="D97" s="231"/>
    </row>
    <row r="98" spans="3:4">
      <c r="C98" s="227"/>
      <c r="D98" s="231"/>
    </row>
    <row r="99" spans="3:4">
      <c r="C99" s="227"/>
      <c r="D99" s="231"/>
    </row>
    <row r="100" spans="3:4">
      <c r="C100" s="227"/>
      <c r="D100" s="231"/>
    </row>
    <row r="101" spans="3:4">
      <c r="C101" s="227"/>
      <c r="D101" s="231"/>
    </row>
    <row r="102" spans="3:4">
      <c r="C102" s="227"/>
      <c r="D102" s="231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47</vt:i4>
      </vt:variant>
    </vt:vector>
  </HeadingPairs>
  <TitlesOfParts>
    <vt:vector size="63" baseType="lpstr">
      <vt:lpstr>Appendix B.1</vt:lpstr>
      <vt:lpstr>Table 1</vt:lpstr>
      <vt:lpstr>Table 2</vt:lpstr>
      <vt:lpstr>Table 3 TransCost D2 </vt:lpstr>
      <vt:lpstr>Table 4</vt:lpstr>
      <vt:lpstr>Table 5</vt:lpstr>
      <vt:lpstr>Table 3 WY Wind 2021</vt:lpstr>
      <vt:lpstr>Table 3 DJ Wind 2031</vt:lpstr>
      <vt:lpstr>Table 3 UT Solar 2031</vt:lpstr>
      <vt:lpstr>Table 3 Yakima Solar 2028</vt:lpstr>
      <vt:lpstr>Table 3 30 MW Geoth 2029</vt:lpstr>
      <vt:lpstr>Table 3 200 MW (UT N) 2029)</vt:lpstr>
      <vt:lpstr>Table 3 436MW (West M) 2030</vt:lpstr>
      <vt:lpstr>Table 3 477 MW (Wyo) 2033</vt:lpstr>
      <vt:lpstr>Table 3 200 MW (Wyo) 2033</vt:lpstr>
      <vt:lpstr>Table 3 ID Wind 2036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_477_CCCT_WYNE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B.1'!Print_Area</vt:lpstr>
      <vt:lpstr>'Table 1'!Print_Area</vt:lpstr>
      <vt:lpstr>'Table 2'!Print_Area</vt:lpstr>
      <vt:lpstr>'Table 3 200 MW (UT N) 2029)'!Print_Area</vt:lpstr>
      <vt:lpstr>'Table 3 200 MW (Wyo) 2033'!Print_Area</vt:lpstr>
      <vt:lpstr>'Table 3 30 MW Geoth 2029'!Print_Area</vt:lpstr>
      <vt:lpstr>'Table 3 436MW (West M) 2030'!Print_Area</vt:lpstr>
      <vt:lpstr>'Table 3 477 MW (Wyo) 2033'!Print_Area</vt:lpstr>
      <vt:lpstr>'Table 3 DJ Wind 2031'!Print_Area</vt:lpstr>
      <vt:lpstr>'Table 3 ID Wind 2036'!Print_Area</vt:lpstr>
      <vt:lpstr>'Table 3 TransCost D2 '!Print_Area</vt:lpstr>
      <vt:lpstr>'Table 3 UT Solar 2031'!Print_Area</vt:lpstr>
      <vt:lpstr>'Table 3 WY Wind 2021'!Print_Area</vt:lpstr>
      <vt:lpstr>'Table 3 Yakima Solar 2028'!Print_Area</vt:lpstr>
      <vt:lpstr>'Table 4'!Print_Area</vt:lpstr>
      <vt:lpstr>'Table 5'!Print_Area</vt:lpstr>
      <vt:lpstr>'Table 2'!Print_Titles</vt:lpstr>
      <vt:lpstr>'Table 3 200 MW (UT N) 2029)'!Print_Titles</vt:lpstr>
      <vt:lpstr>'Table 3 200 MW (Wyo) 2033'!Print_Titles</vt:lpstr>
      <vt:lpstr>'Table 3 436MW (West M) 2030'!Print_Titles</vt:lpstr>
      <vt:lpstr>'Table 3 477 MW (Wyo) 2033'!Print_Titles</vt:lpstr>
      <vt:lpstr>'Table 3 TransCost D2 '!Study_Cap_Adj</vt:lpstr>
      <vt:lpstr>Study_Cap_Adj</vt:lpstr>
      <vt:lpstr>Study_CF</vt:lpstr>
      <vt:lpstr>Study_MW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2018-02-22T22:59:42Z</dcterms:created>
  <dcterms:modified xsi:type="dcterms:W3CDTF">2018-02-22T22:59:54Z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