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never" codeName="ThisWorkbook" defaultThemeVersion="124226"/>
  <bookViews>
    <workbookView xWindow="0" yWindow="0" windowWidth="19200" windowHeight="11595" tabRatio="917"/>
  </bookViews>
  <sheets>
    <sheet name="Appendix B.3" sheetId="49" r:id="rId1"/>
    <sheet name="Table 1" sheetId="25" r:id="rId2"/>
    <sheet name="Table 2" sheetId="48" r:id="rId3"/>
    <sheet name="Table 3 UT Solar 2035" sheetId="40" r:id="rId4"/>
    <sheet name="Table 3 TransCost D2 " sheetId="47" r:id="rId5"/>
    <sheet name="Table 4" sheetId="28" r:id="rId6"/>
    <sheet name="Table 5" sheetId="31" r:id="rId7"/>
    <sheet name="Table 3 WY Wind 2021" sheetId="43" state="hidden" r:id="rId8"/>
    <sheet name="Table 3 DJ Wind 2031" sheetId="42" state="hidden" r:id="rId9"/>
    <sheet name="Table 3 Yakima Solar 2028" sheetId="41" state="hidden" r:id="rId10"/>
    <sheet name="Table 3 30 MW Geoth 2029" sheetId="46" state="hidden" r:id="rId11"/>
    <sheet name="Table 3 200 MW (UT N) 2029)" sheetId="29" state="hidden" r:id="rId12"/>
    <sheet name="Table 3 436MW (West M) 2030" sheetId="36" state="hidden" r:id="rId13"/>
    <sheet name="Table 3 477 MW (Wyo) 2033" sheetId="37" state="hidden" r:id="rId14"/>
    <sheet name="Table 3 200 MW (Wyo) 2033" sheetId="39" state="hidden" r:id="rId15"/>
    <sheet name="Table 3 ID Wind 2036" sheetId="44" state="hidden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200_SCCT_UtahN" localSheetId="2">'[1]Table 1'!$I$19</definedName>
    <definedName name="_200_SCCT_UtahN">'Table 1'!$I$19</definedName>
    <definedName name="_200_SCCT_WYNE">'Table 1'!$I$21</definedName>
    <definedName name="_30_Geo_West" localSheetId="0">'[2]Table 1'!$I$17</definedName>
    <definedName name="_30_Geo_West" localSheetId="2">'[1]Table 1'!$I$17</definedName>
    <definedName name="_30_Geo_West" localSheetId="4">'Table 1'!$I$17</definedName>
    <definedName name="_30_Geo_West">'Table 1'!$I$17</definedName>
    <definedName name="_436_CCCT_WestMain" localSheetId="0">'[2]Table 1'!$I$18</definedName>
    <definedName name="_436_CCCT_WestMain" localSheetId="2">'[1]Table 1'!$I$18</definedName>
    <definedName name="_436_CCCT_WestMain" localSheetId="4">'Table 1'!$I$18</definedName>
    <definedName name="_436_CCCT_WestMain">'Table 1'!$I$18</definedName>
    <definedName name="_477_CCCT_WestMain" localSheetId="0">'[2]Table 1'!$I$18</definedName>
    <definedName name="_477_CCCT_WestMain" localSheetId="2">'[3]Table 1'!$I$18</definedName>
    <definedName name="_477_CCCT_WestMain">'[4]Table 1'!$I$18</definedName>
    <definedName name="_477_CCCT_WYNE">'Table 1'!$I$20</definedName>
    <definedName name="_635_CCCT_UtahS" localSheetId="0">'[2]Table 1'!$I$19</definedName>
    <definedName name="_635_CCCT_UtahS" localSheetId="2">'[3]Table 1'!$I$19</definedName>
    <definedName name="_635_CCCT_UtahS">'[4]Table 1'!$I$19</definedName>
    <definedName name="_635_CCCT_WyoNE" localSheetId="0">'[2]Table 1'!$I$17</definedName>
    <definedName name="_635_CCCT_WyoNE" localSheetId="2">'[3]Table 1'!$I$17</definedName>
    <definedName name="_635_CCCT_WyoNE">'[4]Table 1'!$I$17</definedName>
    <definedName name="_774_Wind_IDGoshen">'Table 1'!$I$23</definedName>
    <definedName name="_85_Wind_DJ_2031">'Table 1'!$I$22</definedName>
    <definedName name="_j1" localSheetId="0" hidden="1">{"PRINT",#N/A,TRUE,"APPA";"PRINT",#N/A,TRUE,"APS";"PRINT",#N/A,TRUE,"BHPL";"PRINT",#N/A,TRUE,"BHPL2";"PRINT",#N/A,TRUE,"CDWR";"PRINT",#N/A,TRUE,"EWEB";"PRINT",#N/A,TRUE,"LADWP";"PRINT",#N/A,TRUE,"NEVBASE"}</definedName>
    <definedName name="_j1" localSheetId="2" hidden="1">{"PRINT",#N/A,TRUE,"APPA";"PRINT",#N/A,TRUE,"APS";"PRINT",#N/A,TRUE,"BHPL";"PRINT",#N/A,TRUE,"BHPL2";"PRINT",#N/A,TRUE,"CDWR";"PRINT",#N/A,TRUE,"EWEB";"PRINT",#N/A,TRUE,"LADWP";"PRINT",#N/A,TRUE,"NEVBASE"}</definedName>
    <definedName name="_j1" localSheetId="10" hidden="1">{"PRINT",#N/A,TRUE,"APPA";"PRINT",#N/A,TRUE,"APS";"PRINT",#N/A,TRUE,"BHPL";"PRINT",#N/A,TRUE,"BHPL2";"PRINT",#N/A,TRUE,"CDWR";"PRINT",#N/A,TRUE,"EWEB";"PRINT",#N/A,TRUE,"LADWP";"PRINT",#N/A,TRUE,"NEVBASE"}</definedName>
    <definedName name="_j1" localSheetId="8" hidden="1">{"PRINT",#N/A,TRUE,"APPA";"PRINT",#N/A,TRUE,"APS";"PRINT",#N/A,TRUE,"BHPL";"PRINT",#N/A,TRUE,"BHPL2";"PRINT",#N/A,TRUE,"CDWR";"PRINT",#N/A,TRUE,"EWEB";"PRINT",#N/A,TRUE,"LADWP";"PRINT",#N/A,TRUE,"NEVBASE"}</definedName>
    <definedName name="_j1" localSheetId="15" hidden="1">{"PRINT",#N/A,TRUE,"APPA";"PRINT",#N/A,TRUE,"APS";"PRINT",#N/A,TRUE,"BHPL";"PRINT",#N/A,TRUE,"BHPL2";"PRINT",#N/A,TRUE,"CDWR";"PRINT",#N/A,TRUE,"EWEB";"PRINT",#N/A,TRUE,"LADWP";"PRINT",#N/A,TRUE,"NEVBASE"}</definedName>
    <definedName name="_j1" localSheetId="4" hidden="1">{"PRINT",#N/A,TRUE,"APPA";"PRINT",#N/A,TRUE,"APS";"PRINT",#N/A,TRUE,"BHPL";"PRINT",#N/A,TRUE,"BHPL2";"PRINT",#N/A,TRUE,"CDWR";"PRINT",#N/A,TRUE,"EWEB";"PRINT",#N/A,TRUE,"LADWP";"PRINT",#N/A,TRUE,"NEVBASE"}</definedName>
    <definedName name="_j1" localSheetId="3" hidden="1">{"PRINT",#N/A,TRUE,"APPA";"PRINT",#N/A,TRUE,"APS";"PRINT",#N/A,TRUE,"BHPL";"PRINT",#N/A,TRUE,"BHPL2";"PRINT",#N/A,TRUE,"CDWR";"PRINT",#N/A,TRUE,"EWEB";"PRINT",#N/A,TRUE,"LADWP";"PRINT",#N/A,TRUE,"NEVBASE"}</definedName>
    <definedName name="_j1" localSheetId="7" hidden="1">{"PRINT",#N/A,TRUE,"APPA";"PRINT",#N/A,TRUE,"APS";"PRINT",#N/A,TRUE,"BHPL";"PRINT",#N/A,TRUE,"BHPL2";"PRINT",#N/A,TRUE,"CDWR";"PRINT",#N/A,TRUE,"EWEB";"PRINT",#N/A,TRUE,"LADWP";"PRINT",#N/A,TRUE,"NEVBASE"}</definedName>
    <definedName name="_j1" localSheetId="9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0" hidden="1">{"PRINT",#N/A,TRUE,"APPA";"PRINT",#N/A,TRUE,"APS";"PRINT",#N/A,TRUE,"BHPL";"PRINT",#N/A,TRUE,"BHPL2";"PRINT",#N/A,TRUE,"CDWR";"PRINT",#N/A,TRUE,"EWEB";"PRINT",#N/A,TRUE,"LADWP";"PRINT",#N/A,TRUE,"NEVBASE"}</definedName>
    <definedName name="_j2" localSheetId="2" hidden="1">{"PRINT",#N/A,TRUE,"APPA";"PRINT",#N/A,TRUE,"APS";"PRINT",#N/A,TRUE,"BHPL";"PRINT",#N/A,TRUE,"BHPL2";"PRINT",#N/A,TRUE,"CDWR";"PRINT",#N/A,TRUE,"EWEB";"PRINT",#N/A,TRUE,"LADWP";"PRINT",#N/A,TRUE,"NEVBASE"}</definedName>
    <definedName name="_j2" localSheetId="10" hidden="1">{"PRINT",#N/A,TRUE,"APPA";"PRINT",#N/A,TRUE,"APS";"PRINT",#N/A,TRUE,"BHPL";"PRINT",#N/A,TRUE,"BHPL2";"PRINT",#N/A,TRUE,"CDWR";"PRINT",#N/A,TRUE,"EWEB";"PRINT",#N/A,TRUE,"LADWP";"PRINT",#N/A,TRUE,"NEVBASE"}</definedName>
    <definedName name="_j2" localSheetId="8" hidden="1">{"PRINT",#N/A,TRUE,"APPA";"PRINT",#N/A,TRUE,"APS";"PRINT",#N/A,TRUE,"BHPL";"PRINT",#N/A,TRUE,"BHPL2";"PRINT",#N/A,TRUE,"CDWR";"PRINT",#N/A,TRUE,"EWEB";"PRINT",#N/A,TRUE,"LADWP";"PRINT",#N/A,TRUE,"NEVBASE"}</definedName>
    <definedName name="_j2" localSheetId="15" hidden="1">{"PRINT",#N/A,TRUE,"APPA";"PRINT",#N/A,TRUE,"APS";"PRINT",#N/A,TRUE,"BHPL";"PRINT",#N/A,TRUE,"BHPL2";"PRINT",#N/A,TRUE,"CDWR";"PRINT",#N/A,TRUE,"EWEB";"PRINT",#N/A,TRUE,"LADWP";"PRINT",#N/A,TRUE,"NEVBASE"}</definedName>
    <definedName name="_j2" localSheetId="4" hidden="1">{"PRINT",#N/A,TRUE,"APPA";"PRINT",#N/A,TRUE,"APS";"PRINT",#N/A,TRUE,"BHPL";"PRINT",#N/A,TRUE,"BHPL2";"PRINT",#N/A,TRUE,"CDWR";"PRINT",#N/A,TRUE,"EWEB";"PRINT",#N/A,TRUE,"LADWP";"PRINT",#N/A,TRUE,"NEVBASE"}</definedName>
    <definedName name="_j2" localSheetId="3" hidden="1">{"PRINT",#N/A,TRUE,"APPA";"PRINT",#N/A,TRUE,"APS";"PRINT",#N/A,TRUE,"BHPL";"PRINT",#N/A,TRUE,"BHPL2";"PRINT",#N/A,TRUE,"CDWR";"PRINT",#N/A,TRUE,"EWEB";"PRINT",#N/A,TRUE,"LADWP";"PRINT",#N/A,TRUE,"NEVBASE"}</definedName>
    <definedName name="_j2" localSheetId="7" hidden="1">{"PRINT",#N/A,TRUE,"APPA";"PRINT",#N/A,TRUE,"APS";"PRINT",#N/A,TRUE,"BHPL";"PRINT",#N/A,TRUE,"BHPL2";"PRINT",#N/A,TRUE,"CDWR";"PRINT",#N/A,TRUE,"EWEB";"PRINT",#N/A,TRUE,"LADWP";"PRINT",#N/A,TRUE,"NEVBASE"}</definedName>
    <definedName name="_j2" localSheetId="9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0" hidden="1">{"PRINT",#N/A,TRUE,"APPA";"PRINT",#N/A,TRUE,"APS";"PRINT",#N/A,TRUE,"BHPL";"PRINT",#N/A,TRUE,"BHPL2";"PRINT",#N/A,TRUE,"CDWR";"PRINT",#N/A,TRUE,"EWEB";"PRINT",#N/A,TRUE,"LADWP";"PRINT",#N/A,TRUE,"NEVBASE"}</definedName>
    <definedName name="_j3" localSheetId="2" hidden="1">{"PRINT",#N/A,TRUE,"APPA";"PRINT",#N/A,TRUE,"APS";"PRINT",#N/A,TRUE,"BHPL";"PRINT",#N/A,TRUE,"BHPL2";"PRINT",#N/A,TRUE,"CDWR";"PRINT",#N/A,TRUE,"EWEB";"PRINT",#N/A,TRUE,"LADWP";"PRINT",#N/A,TRUE,"NEVBASE"}</definedName>
    <definedName name="_j3" localSheetId="10" hidden="1">{"PRINT",#N/A,TRUE,"APPA";"PRINT",#N/A,TRUE,"APS";"PRINT",#N/A,TRUE,"BHPL";"PRINT",#N/A,TRUE,"BHPL2";"PRINT",#N/A,TRUE,"CDWR";"PRINT",#N/A,TRUE,"EWEB";"PRINT",#N/A,TRUE,"LADWP";"PRINT",#N/A,TRUE,"NEVBASE"}</definedName>
    <definedName name="_j3" localSheetId="8" hidden="1">{"PRINT",#N/A,TRUE,"APPA";"PRINT",#N/A,TRUE,"APS";"PRINT",#N/A,TRUE,"BHPL";"PRINT",#N/A,TRUE,"BHPL2";"PRINT",#N/A,TRUE,"CDWR";"PRINT",#N/A,TRUE,"EWEB";"PRINT",#N/A,TRUE,"LADWP";"PRINT",#N/A,TRUE,"NEVBASE"}</definedName>
    <definedName name="_j3" localSheetId="15" hidden="1">{"PRINT",#N/A,TRUE,"APPA";"PRINT",#N/A,TRUE,"APS";"PRINT",#N/A,TRUE,"BHPL";"PRINT",#N/A,TRUE,"BHPL2";"PRINT",#N/A,TRUE,"CDWR";"PRINT",#N/A,TRUE,"EWEB";"PRINT",#N/A,TRUE,"LADWP";"PRINT",#N/A,TRUE,"NEVBASE"}</definedName>
    <definedName name="_j3" localSheetId="4" hidden="1">{"PRINT",#N/A,TRUE,"APPA";"PRINT",#N/A,TRUE,"APS";"PRINT",#N/A,TRUE,"BHPL";"PRINT",#N/A,TRUE,"BHPL2";"PRINT",#N/A,TRUE,"CDWR";"PRINT",#N/A,TRUE,"EWEB";"PRINT",#N/A,TRUE,"LADWP";"PRINT",#N/A,TRUE,"NEVBASE"}</definedName>
    <definedName name="_j3" localSheetId="3" hidden="1">{"PRINT",#N/A,TRUE,"APPA";"PRINT",#N/A,TRUE,"APS";"PRINT",#N/A,TRUE,"BHPL";"PRINT",#N/A,TRUE,"BHPL2";"PRINT",#N/A,TRUE,"CDWR";"PRINT",#N/A,TRUE,"EWEB";"PRINT",#N/A,TRUE,"LADWP";"PRINT",#N/A,TRUE,"NEVBASE"}</definedName>
    <definedName name="_j3" localSheetId="7" hidden="1">{"PRINT",#N/A,TRUE,"APPA";"PRINT",#N/A,TRUE,"APS";"PRINT",#N/A,TRUE,"BHPL";"PRINT",#N/A,TRUE,"BHPL2";"PRINT",#N/A,TRUE,"CDWR";"PRINT",#N/A,TRUE,"EWEB";"PRINT",#N/A,TRUE,"LADWP";"PRINT",#N/A,TRUE,"NEVBASE"}</definedName>
    <definedName name="_j3" localSheetId="9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0" hidden="1">{"PRINT",#N/A,TRUE,"APPA";"PRINT",#N/A,TRUE,"APS";"PRINT",#N/A,TRUE,"BHPL";"PRINT",#N/A,TRUE,"BHPL2";"PRINT",#N/A,TRUE,"CDWR";"PRINT",#N/A,TRUE,"EWEB";"PRINT",#N/A,TRUE,"LADWP";"PRINT",#N/A,TRUE,"NEVBASE"}</definedName>
    <definedName name="_j4" localSheetId="2" hidden="1">{"PRINT",#N/A,TRUE,"APPA";"PRINT",#N/A,TRUE,"APS";"PRINT",#N/A,TRUE,"BHPL";"PRINT",#N/A,TRUE,"BHPL2";"PRINT",#N/A,TRUE,"CDWR";"PRINT",#N/A,TRUE,"EWEB";"PRINT",#N/A,TRUE,"LADWP";"PRINT",#N/A,TRUE,"NEVBASE"}</definedName>
    <definedName name="_j4" localSheetId="10" hidden="1">{"PRINT",#N/A,TRUE,"APPA";"PRINT",#N/A,TRUE,"APS";"PRINT",#N/A,TRUE,"BHPL";"PRINT",#N/A,TRUE,"BHPL2";"PRINT",#N/A,TRUE,"CDWR";"PRINT",#N/A,TRUE,"EWEB";"PRINT",#N/A,TRUE,"LADWP";"PRINT",#N/A,TRUE,"NEVBASE"}</definedName>
    <definedName name="_j4" localSheetId="8" hidden="1">{"PRINT",#N/A,TRUE,"APPA";"PRINT",#N/A,TRUE,"APS";"PRINT",#N/A,TRUE,"BHPL";"PRINT",#N/A,TRUE,"BHPL2";"PRINT",#N/A,TRUE,"CDWR";"PRINT",#N/A,TRUE,"EWEB";"PRINT",#N/A,TRUE,"LADWP";"PRINT",#N/A,TRUE,"NEVBASE"}</definedName>
    <definedName name="_j4" localSheetId="15" hidden="1">{"PRINT",#N/A,TRUE,"APPA";"PRINT",#N/A,TRUE,"APS";"PRINT",#N/A,TRUE,"BHPL";"PRINT",#N/A,TRUE,"BHPL2";"PRINT",#N/A,TRUE,"CDWR";"PRINT",#N/A,TRUE,"EWEB";"PRINT",#N/A,TRUE,"LADWP";"PRINT",#N/A,TRUE,"NEVBASE"}</definedName>
    <definedName name="_j4" localSheetId="4" hidden="1">{"PRINT",#N/A,TRUE,"APPA";"PRINT",#N/A,TRUE,"APS";"PRINT",#N/A,TRUE,"BHPL";"PRINT",#N/A,TRUE,"BHPL2";"PRINT",#N/A,TRUE,"CDWR";"PRINT",#N/A,TRUE,"EWEB";"PRINT",#N/A,TRUE,"LADWP";"PRINT",#N/A,TRUE,"NEVBASE"}</definedName>
    <definedName name="_j4" localSheetId="3" hidden="1">{"PRINT",#N/A,TRUE,"APPA";"PRINT",#N/A,TRUE,"APS";"PRINT",#N/A,TRUE,"BHPL";"PRINT",#N/A,TRUE,"BHPL2";"PRINT",#N/A,TRUE,"CDWR";"PRINT",#N/A,TRUE,"EWEB";"PRINT",#N/A,TRUE,"LADWP";"PRINT",#N/A,TRUE,"NEVBASE"}</definedName>
    <definedName name="_j4" localSheetId="7" hidden="1">{"PRINT",#N/A,TRUE,"APPA";"PRINT",#N/A,TRUE,"APS";"PRINT",#N/A,TRUE,"BHPL";"PRINT",#N/A,TRUE,"BHPL2";"PRINT",#N/A,TRUE,"CDWR";"PRINT",#N/A,TRUE,"EWEB";"PRINT",#N/A,TRUE,"LADWP";"PRINT",#N/A,TRUE,"NEVBASE"}</definedName>
    <definedName name="_j4" localSheetId="9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0" hidden="1">{"PRINT",#N/A,TRUE,"APPA";"PRINT",#N/A,TRUE,"APS";"PRINT",#N/A,TRUE,"BHPL";"PRINT",#N/A,TRUE,"BHPL2";"PRINT",#N/A,TRUE,"CDWR";"PRINT",#N/A,TRUE,"EWEB";"PRINT",#N/A,TRUE,"LADWP";"PRINT",#N/A,TRUE,"NEVBASE"}</definedName>
    <definedName name="_j5" localSheetId="2" hidden="1">{"PRINT",#N/A,TRUE,"APPA";"PRINT",#N/A,TRUE,"APS";"PRINT",#N/A,TRUE,"BHPL";"PRINT",#N/A,TRUE,"BHPL2";"PRINT",#N/A,TRUE,"CDWR";"PRINT",#N/A,TRUE,"EWEB";"PRINT",#N/A,TRUE,"LADWP";"PRINT",#N/A,TRUE,"NEVBASE"}</definedName>
    <definedName name="_j5" localSheetId="10" hidden="1">{"PRINT",#N/A,TRUE,"APPA";"PRINT",#N/A,TRUE,"APS";"PRINT",#N/A,TRUE,"BHPL";"PRINT",#N/A,TRUE,"BHPL2";"PRINT",#N/A,TRUE,"CDWR";"PRINT",#N/A,TRUE,"EWEB";"PRINT",#N/A,TRUE,"LADWP";"PRINT",#N/A,TRUE,"NEVBASE"}</definedName>
    <definedName name="_j5" localSheetId="8" hidden="1">{"PRINT",#N/A,TRUE,"APPA";"PRINT",#N/A,TRUE,"APS";"PRINT",#N/A,TRUE,"BHPL";"PRINT",#N/A,TRUE,"BHPL2";"PRINT",#N/A,TRUE,"CDWR";"PRINT",#N/A,TRUE,"EWEB";"PRINT",#N/A,TRUE,"LADWP";"PRINT",#N/A,TRUE,"NEVBASE"}</definedName>
    <definedName name="_j5" localSheetId="15" hidden="1">{"PRINT",#N/A,TRUE,"APPA";"PRINT",#N/A,TRUE,"APS";"PRINT",#N/A,TRUE,"BHPL";"PRINT",#N/A,TRUE,"BHPL2";"PRINT",#N/A,TRUE,"CDWR";"PRINT",#N/A,TRUE,"EWEB";"PRINT",#N/A,TRUE,"LADWP";"PRINT",#N/A,TRUE,"NEVBASE"}</definedName>
    <definedName name="_j5" localSheetId="4" hidden="1">{"PRINT",#N/A,TRUE,"APPA";"PRINT",#N/A,TRUE,"APS";"PRINT",#N/A,TRUE,"BHPL";"PRINT",#N/A,TRUE,"BHPL2";"PRINT",#N/A,TRUE,"CDWR";"PRINT",#N/A,TRUE,"EWEB";"PRINT",#N/A,TRUE,"LADWP";"PRINT",#N/A,TRUE,"NEVBASE"}</definedName>
    <definedName name="_j5" localSheetId="3" hidden="1">{"PRINT",#N/A,TRUE,"APPA";"PRINT",#N/A,TRUE,"APS";"PRINT",#N/A,TRUE,"BHPL";"PRINT",#N/A,TRUE,"BHPL2";"PRINT",#N/A,TRUE,"CDWR";"PRINT",#N/A,TRUE,"EWEB";"PRINT",#N/A,TRUE,"LADWP";"PRINT",#N/A,TRUE,"NEVBASE"}</definedName>
    <definedName name="_j5" localSheetId="7" hidden="1">{"PRINT",#N/A,TRUE,"APPA";"PRINT",#N/A,TRUE,"APS";"PRINT",#N/A,TRUE,"BHPL";"PRINT",#N/A,TRUE,"BHPL2";"PRINT",#N/A,TRUE,"CDWR";"PRINT",#N/A,TRUE,"EWEB";"PRINT",#N/A,TRUE,"LADWP";"PRINT",#N/A,TRUE,"NEVBASE"}</definedName>
    <definedName name="_j5" localSheetId="9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Order1" hidden="1">255</definedName>
    <definedName name="_Order2" hidden="1">0</definedName>
    <definedName name="_Percent_Last_CCCT" localSheetId="2">'[1]Table 1'!#REF!</definedName>
    <definedName name="_Percent_Last_CCCT">'[5]Table 1'!#REF!</definedName>
    <definedName name="_UtahS_Solar_2031">'Table 1'!$I$30</definedName>
    <definedName name="_UtahS_Solar_2032">'Table 1'!$I$31</definedName>
    <definedName name="_UtahS_Solar_2033">'Table 1'!$I$32</definedName>
    <definedName name="_UtahS_Solar_2034">'Table 1'!$I$33</definedName>
    <definedName name="_UtahS_Solar_2035">'Table 1'!$I$34</definedName>
    <definedName name="_UtahS_Solar_2036">'Table 1'!$I$35</definedName>
    <definedName name="_Yakima_Solar_2028">'Table 1'!$I$24</definedName>
    <definedName name="_Yakima_Solar_2029">'Table 1'!$I$25</definedName>
    <definedName name="_Yakima_Solar_2031">'Table 1'!$I$26</definedName>
    <definedName name="_Yakima_Solar_2032">'Table 1'!$I$27</definedName>
    <definedName name="_Yakima_Solar_2033">'Table 1'!$I$28</definedName>
    <definedName name="_Yakima_Solar_2034">'Table 1'!$I$29</definedName>
    <definedName name="dateTable">'[6]on off peak hours'!$C$15:$ED$15</definedName>
    <definedName name="Discount_Rate" localSheetId="0">'[2]Table 1'!$I$42</definedName>
    <definedName name="Discount_Rate" localSheetId="2">'[3]Table 1'!$I$35</definedName>
    <definedName name="Discount_Rate">'Table 1'!$I$39</definedName>
    <definedName name="Discount_Rate_2015_IRP" localSheetId="10">'[7]Table 7 to 8'!$AE$43</definedName>
    <definedName name="Discount_Rate_2015_IRP" localSheetId="8">'[7]Table 7 to 8'!$AE$43</definedName>
    <definedName name="Discount_Rate_2015_IRP" localSheetId="15">'[7]Table 7 to 8'!$AE$43</definedName>
    <definedName name="Discount_Rate_2015_IRP" localSheetId="4">'[7]Table 7 to 8'!$AE$43</definedName>
    <definedName name="Discount_Rate_2015_IRP" localSheetId="3">'[7]Table 7 to 8'!$AE$43</definedName>
    <definedName name="Discount_Rate_2015_IRP" localSheetId="7">'[7]Table 7 to 8'!$AE$43</definedName>
    <definedName name="Discount_Rate_2015_IRP" localSheetId="9">'[7]Table 7 to 8'!$AE$43</definedName>
    <definedName name="Discount_Rate_2015_IRP">'[8]Table 7 to 8'!$AE$43</definedName>
    <definedName name="DispatchSum">"GRID Thermal Generation!R2C1:R4C2"</definedName>
    <definedName name="FixedSolar_Capacity_Contr">'[8]Exhibit 3- Std FixedSolar QF'!$G$53</definedName>
    <definedName name="HoursHoliday">'[6]on off peak hours'!$C$16:$ED$20</definedName>
    <definedName name="Market" localSheetId="10">'[9]OFPC Source'!$J$8:$M$295</definedName>
    <definedName name="Market" localSheetId="8">'[9]OFPC Source'!$J$8:$M$295</definedName>
    <definedName name="Market" localSheetId="15">'[9]OFPC Source'!$J$8:$M$295</definedName>
    <definedName name="Market" localSheetId="4">'[9]OFPC Source'!$J$8:$M$295</definedName>
    <definedName name="Market" localSheetId="3">'[9]OFPC Source'!$J$8:$M$295</definedName>
    <definedName name="Market" localSheetId="7">'[9]OFPC Source'!$J$8:$M$295</definedName>
    <definedName name="Market" localSheetId="9">'[9]OFPC Source'!$J$8:$M$295</definedName>
    <definedName name="Market">'[8]OFPC Source'!$J$8:$M$295</definedName>
    <definedName name="MidC_Flat" localSheetId="2">[10]Market_Price!#REF!</definedName>
    <definedName name="MidC_Flat">[10]Market_Price!#REF!</definedName>
    <definedName name="OR_AC_price" localSheetId="2">#REF!</definedName>
    <definedName name="OR_AC_price">#REF!</definedName>
    <definedName name="_xlnm.Print_Area" localSheetId="0">'Appendix B.3'!$A$1:$F$37</definedName>
    <definedName name="_xlnm.Print_Area" localSheetId="1">'Table 1'!$A$1:$H$57</definedName>
    <definedName name="_xlnm.Print_Area" localSheetId="2">'Table 2'!$B$1:$P$36</definedName>
    <definedName name="_xlnm.Print_Area" localSheetId="11">'Table 3 200 MW (UT N) 2029)'!$A$1:$K$91</definedName>
    <definedName name="_xlnm.Print_Area" localSheetId="14">'Table 3 200 MW (Wyo) 2033'!$A$1:$K$91</definedName>
    <definedName name="_xlnm.Print_Area" localSheetId="10">'Table 3 30 MW Geoth 2029'!$A$1:$K$74</definedName>
    <definedName name="_xlnm.Print_Area" localSheetId="12">'Table 3 436MW (West M) 2030'!$A$1:$K$91</definedName>
    <definedName name="_xlnm.Print_Area" localSheetId="13">'Table 3 477 MW (Wyo) 2033'!$A$1:$K$91</definedName>
    <definedName name="_xlnm.Print_Area" localSheetId="8">'Table 3 DJ Wind 2031'!$A$1:$K$74</definedName>
    <definedName name="_xlnm.Print_Area" localSheetId="15">'Table 3 ID Wind 2036'!$A$1:$K$74</definedName>
    <definedName name="_xlnm.Print_Area" localSheetId="4">'Table 3 TransCost D2 '!$A$1:$K$49</definedName>
    <definedName name="_xlnm.Print_Area" localSheetId="3">'Table 3 UT Solar 2035'!$A$1:$K$74</definedName>
    <definedName name="_xlnm.Print_Area" localSheetId="7">'Table 3 WY Wind 2021'!$A$1:$L$74</definedName>
    <definedName name="_xlnm.Print_Area" localSheetId="9">'Table 3 Yakima Solar 2028'!$A$1:$K$74</definedName>
    <definedName name="_xlnm.Print_Area" localSheetId="5">'Table 4'!$A$1:$E$44</definedName>
    <definedName name="_xlnm.Print_Area" localSheetId="6">'Table 5'!$A$1:$H$266</definedName>
    <definedName name="_xlnm.Print_Titles" localSheetId="2">'Table 2'!$1:$9</definedName>
    <definedName name="_xlnm.Print_Titles" localSheetId="11">'Table 3 200 MW (UT N) 2029)'!$1:$6</definedName>
    <definedName name="_xlnm.Print_Titles" localSheetId="14">'Table 3 200 MW (Wyo) 2033'!$1:$6</definedName>
    <definedName name="_xlnm.Print_Titles" localSheetId="12">'Table 3 436MW (West M) 2030'!$1:$6</definedName>
    <definedName name="_xlnm.Print_Titles" localSheetId="13">'Table 3 477 MW (Wyo) 2033'!$1:$6</definedName>
    <definedName name="RenewableMarketShape" localSheetId="10">'[9]OFPC Source'!$P$5:$U$28</definedName>
    <definedName name="RenewableMarketShape" localSheetId="8">'[9]OFPC Source'!$P$5:$U$28</definedName>
    <definedName name="RenewableMarketShape" localSheetId="15">'[9]OFPC Source'!$P$5:$U$28</definedName>
    <definedName name="RenewableMarketShape" localSheetId="4">'[9]OFPC Source'!$P$5:$U$28</definedName>
    <definedName name="RenewableMarketShape" localSheetId="3">'[9]OFPC Source'!$P$5:$U$28</definedName>
    <definedName name="RenewableMarketShape" localSheetId="7">'[9]OFPC Source'!$P$5:$U$28</definedName>
    <definedName name="RenewableMarketShape" localSheetId="9">'[9]OFPC Source'!$P$5:$U$28</definedName>
    <definedName name="RenewableMarketShape">'[8]OFPC Source'!$P$5:$U$33</definedName>
    <definedName name="RevenueSum">"GRID Thermal Revenue!R2C1:R4C2"</definedName>
    <definedName name="Solar_Fixed_integr_cost">'[11]Table 10'!$B$46</definedName>
    <definedName name="Solar_HLH" localSheetId="10">'[9]OFPC Source'!$U$47</definedName>
    <definedName name="Solar_HLH" localSheetId="8">'[9]OFPC Source'!$U$47</definedName>
    <definedName name="Solar_HLH" localSheetId="15">'[9]OFPC Source'!$U$47</definedName>
    <definedName name="Solar_HLH" localSheetId="4">'[9]OFPC Source'!$U$47</definedName>
    <definedName name="Solar_HLH" localSheetId="3">'[9]OFPC Source'!$U$47</definedName>
    <definedName name="Solar_HLH" localSheetId="7">'[9]OFPC Source'!$U$47</definedName>
    <definedName name="Solar_HLH" localSheetId="9">'[9]OFPC Source'!$U$47</definedName>
    <definedName name="Solar_HLH">'[8]OFPC Source'!$U$48</definedName>
    <definedName name="Solar_LLH" localSheetId="10">'[9]OFPC Source'!$V$47</definedName>
    <definedName name="Solar_LLH" localSheetId="8">'[9]OFPC Source'!$V$47</definedName>
    <definedName name="Solar_LLH" localSheetId="15">'[9]OFPC Source'!$V$47</definedName>
    <definedName name="Solar_LLH" localSheetId="4">'[9]OFPC Source'!$V$47</definedName>
    <definedName name="Solar_LLH" localSheetId="3">'[9]OFPC Source'!$V$47</definedName>
    <definedName name="Solar_LLH" localSheetId="7">'[9]OFPC Source'!$V$47</definedName>
    <definedName name="Solar_LLH" localSheetId="9">'[9]OFPC Source'!$V$47</definedName>
    <definedName name="Solar_LLH">'[8]OFPC Source'!$V$48</definedName>
    <definedName name="Solar_Tracking_integr_cost">'[11]Table 10'!$B$45</definedName>
    <definedName name="Study_Cap_Adj" localSheetId="0">'[2]Table 1'!$I$8</definedName>
    <definedName name="Study_Cap_Adj" localSheetId="2">'[3]Table 1'!$I$8</definedName>
    <definedName name="Study_Cap_Adj" localSheetId="4">'Table 1'!$I$8</definedName>
    <definedName name="Study_Cap_Adj">'Table 1'!$I$8</definedName>
    <definedName name="Study_CF" localSheetId="0">'[2]Table 5'!$M$7</definedName>
    <definedName name="Study_CF" localSheetId="2">'[3]Table 5'!$M$7</definedName>
    <definedName name="Study_CF">'Table 5'!$M$7</definedName>
    <definedName name="Study_MW" localSheetId="0">'[2]Table 5'!$M$6</definedName>
    <definedName name="Study_MW" localSheetId="2">'[3]Table 5'!$M$6</definedName>
    <definedName name="Study_MW">'Table 5'!$M$6</definedName>
    <definedName name="Study_Name" localSheetId="10">[6]ImportData!$D$7</definedName>
    <definedName name="Study_Name" localSheetId="8">[6]ImportData!$D$7</definedName>
    <definedName name="Study_Name" localSheetId="15">[6]ImportData!$D$7</definedName>
    <definedName name="Study_Name" localSheetId="4">[6]ImportData!$D$7</definedName>
    <definedName name="Study_Name" localSheetId="3">[6]ImportData!$D$7</definedName>
    <definedName name="Study_Name" localSheetId="7">[6]ImportData!$D$7</definedName>
    <definedName name="Study_Name" localSheetId="9">[6]ImportData!$D$7</definedName>
    <definedName name="ValuationDate" localSheetId="2">#REF!</definedName>
    <definedName name="ValuationDate">#REF!</definedName>
    <definedName name="Wind_Capacity_Contr">'[8]Exhibit 2- Std Wind QF '!$E$57</definedName>
    <definedName name="Wind_Integration_Charge">'[8]Exhibit 2- Std Wind QF '!$E$45</definedName>
  </definedNames>
  <calcPr calcId="152511" calcOnSave="0"/>
</workbook>
</file>

<file path=xl/calcChain.xml><?xml version="1.0" encoding="utf-8"?>
<calcChain xmlns="http://schemas.openxmlformats.org/spreadsheetml/2006/main">
  <c r="F24" i="49" l="1"/>
  <c r="B22" i="49"/>
  <c r="B21" i="49"/>
  <c r="B20" i="49"/>
  <c r="B19" i="49"/>
  <c r="B18" i="49"/>
  <c r="B17" i="49"/>
  <c r="B16" i="49"/>
  <c r="B15" i="49"/>
  <c r="B14" i="49"/>
  <c r="B13" i="49"/>
  <c r="B12" i="49"/>
  <c r="B11" i="49"/>
  <c r="B10" i="49"/>
  <c r="B9" i="49"/>
  <c r="B8" i="49"/>
  <c r="B32" i="49" s="1"/>
  <c r="B33" i="49"/>
  <c r="B31" i="49"/>
  <c r="E5" i="49"/>
  <c r="B14" i="48"/>
  <c r="B15" i="48" s="1"/>
  <c r="B16" i="48" s="1"/>
  <c r="B17" i="48" s="1"/>
  <c r="B18" i="48" s="1"/>
  <c r="B19" i="48" s="1"/>
  <c r="B20" i="48" s="1"/>
  <c r="B21" i="48" s="1"/>
  <c r="B22" i="48" s="1"/>
  <c r="B23" i="48" s="1"/>
  <c r="B24" i="48" s="1"/>
  <c r="B25" i="48" s="1"/>
  <c r="B26" i="48" s="1"/>
  <c r="B27" i="48" s="1"/>
  <c r="B28" i="48" s="1"/>
  <c r="B29" i="48" s="1"/>
  <c r="B30" i="48" s="1"/>
  <c r="B31" i="48" s="1"/>
  <c r="B32" i="48" s="1"/>
  <c r="O41" i="31" l="1"/>
  <c r="O40" i="31"/>
  <c r="S41" i="31"/>
  <c r="P40" i="31"/>
  <c r="P41" i="31"/>
  <c r="S40" i="31"/>
  <c r="BM5" i="25" l="1"/>
  <c r="C11" i="47" l="1"/>
  <c r="B38" i="25" l="1"/>
  <c r="B52" i="25"/>
  <c r="B42" i="25" l="1"/>
  <c r="C43" i="47" l="1"/>
  <c r="C42" i="47"/>
  <c r="B13" i="47"/>
  <c r="B14" i="47" s="1"/>
  <c r="B15" i="47" s="1"/>
  <c r="B16" i="47" s="1"/>
  <c r="B17" i="47" s="1"/>
  <c r="B18" i="47" s="1"/>
  <c r="B19" i="47" s="1"/>
  <c r="B20" i="47" s="1"/>
  <c r="B21" i="47" s="1"/>
  <c r="B22" i="47" s="1"/>
  <c r="B23" i="47" s="1"/>
  <c r="B24" i="47" s="1"/>
  <c r="B25" i="47" s="1"/>
  <c r="B26" i="47" s="1"/>
  <c r="B27" i="47" s="1"/>
  <c r="B28" i="47" s="1"/>
  <c r="B29" i="47" s="1"/>
  <c r="B30" i="47" s="1"/>
  <c r="B31" i="47" s="1"/>
  <c r="B32" i="47" s="1"/>
  <c r="B12" i="47"/>
  <c r="E11" i="47"/>
  <c r="B11" i="47"/>
  <c r="B9" i="47"/>
  <c r="C44" i="47" l="1"/>
  <c r="H10" i="43"/>
  <c r="C10" i="47" l="1"/>
  <c r="E10" i="47" s="1"/>
  <c r="C45" i="47"/>
  <c r="H11" i="43"/>
  <c r="C40" i="47"/>
  <c r="H12" i="43" l="1"/>
  <c r="H13" i="43" s="1"/>
  <c r="H14" i="43" s="1"/>
  <c r="H15" i="43" s="1"/>
  <c r="H16" i="43" s="1"/>
  <c r="H17" i="43" s="1"/>
  <c r="H18" i="43" s="1"/>
  <c r="H19" i="43" s="1"/>
  <c r="H20" i="43" s="1"/>
  <c r="H21" i="43" s="1"/>
  <c r="H22" i="43" s="1"/>
  <c r="H23" i="43" s="1"/>
  <c r="H24" i="43" s="1"/>
  <c r="H25" i="43" s="1"/>
  <c r="H26" i="43" s="1"/>
  <c r="H27" i="43" s="1"/>
  <c r="H28" i="43" s="1"/>
  <c r="H29" i="43" s="1"/>
  <c r="H30" i="43" s="1"/>
  <c r="H31" i="43" s="1"/>
  <c r="H32" i="43" s="1"/>
  <c r="H33" i="43" s="1"/>
  <c r="H34" i="43" s="1"/>
  <c r="H35" i="43" s="1"/>
  <c r="H36" i="43" s="1"/>
  <c r="C46" i="47"/>
  <c r="C47" i="47" l="1"/>
  <c r="C12" i="47"/>
  <c r="E12" i="47" l="1"/>
  <c r="C13" i="47"/>
  <c r="C48" i="47"/>
  <c r="C10" i="25"/>
  <c r="E13" i="47" l="1"/>
  <c r="C49" i="47"/>
  <c r="C14" i="47"/>
  <c r="E14" i="47" l="1"/>
  <c r="C15" i="47"/>
  <c r="F41" i="47"/>
  <c r="E15" i="47" l="1"/>
  <c r="C16" i="47"/>
  <c r="F42" i="47"/>
  <c r="H10" i="44"/>
  <c r="H10" i="42"/>
  <c r="B3" i="46"/>
  <c r="C52" i="46" s="1"/>
  <c r="B9" i="46" s="1"/>
  <c r="D46" i="46"/>
  <c r="H10" i="46"/>
  <c r="G10" i="46"/>
  <c r="E10" i="46"/>
  <c r="C10" i="46"/>
  <c r="C67" i="46"/>
  <c r="C68" i="46" s="1"/>
  <c r="C49" i="46"/>
  <c r="D48" i="46"/>
  <c r="C48" i="46"/>
  <c r="C47" i="46"/>
  <c r="C46" i="46"/>
  <c r="C45" i="46"/>
  <c r="B11" i="46"/>
  <c r="B12" i="46" s="1"/>
  <c r="B13" i="46" s="1"/>
  <c r="B14" i="46" s="1"/>
  <c r="K10" i="44"/>
  <c r="E16" i="47" l="1"/>
  <c r="C17" i="47"/>
  <c r="F43" i="47"/>
  <c r="D10" i="46"/>
  <c r="D11" i="46" s="1"/>
  <c r="E11" i="46"/>
  <c r="C69" i="46"/>
  <c r="C70" i="46" s="1"/>
  <c r="G11" i="46"/>
  <c r="D47" i="46"/>
  <c r="H11" i="46"/>
  <c r="B15" i="46"/>
  <c r="C67" i="44"/>
  <c r="C68" i="44" s="1"/>
  <c r="H11" i="44"/>
  <c r="D47" i="44"/>
  <c r="D46" i="44"/>
  <c r="C10" i="44"/>
  <c r="C49" i="44"/>
  <c r="D48" i="44"/>
  <c r="C48" i="44"/>
  <c r="C47" i="44"/>
  <c r="C46" i="44"/>
  <c r="C45" i="44"/>
  <c r="B11" i="44"/>
  <c r="B12" i="44" s="1"/>
  <c r="B13" i="44" s="1"/>
  <c r="B14" i="44" s="1"/>
  <c r="P10" i="44"/>
  <c r="G10" i="44"/>
  <c r="E10" i="44"/>
  <c r="D46" i="43"/>
  <c r="E10" i="43"/>
  <c r="C67" i="43"/>
  <c r="C68" i="43" s="1"/>
  <c r="G10" i="43"/>
  <c r="K10" i="43"/>
  <c r="C10" i="43"/>
  <c r="C49" i="43"/>
  <c r="D48" i="43"/>
  <c r="C48" i="43"/>
  <c r="C47" i="43"/>
  <c r="C46" i="43"/>
  <c r="C45" i="43"/>
  <c r="B11" i="43"/>
  <c r="E17" i="47" l="1"/>
  <c r="F44" i="47"/>
  <c r="C18" i="47"/>
  <c r="F10" i="46"/>
  <c r="I10" i="46" s="1"/>
  <c r="J10" i="46" s="1"/>
  <c r="G12" i="46"/>
  <c r="G13" i="46" s="1"/>
  <c r="G14" i="46" s="1"/>
  <c r="E11" i="44"/>
  <c r="H12" i="46"/>
  <c r="H13" i="46" s="1"/>
  <c r="H14" i="46" s="1"/>
  <c r="K11" i="44"/>
  <c r="E12" i="46"/>
  <c r="E13" i="46" s="1"/>
  <c r="E14" i="46" s="1"/>
  <c r="K11" i="43"/>
  <c r="B3" i="44"/>
  <c r="C52" i="44" s="1"/>
  <c r="B9" i="44" s="1"/>
  <c r="G11" i="43"/>
  <c r="D10" i="44"/>
  <c r="F10" i="44" s="1"/>
  <c r="C71" i="46"/>
  <c r="D10" i="43"/>
  <c r="D11" i="43" s="1"/>
  <c r="E11" i="43"/>
  <c r="G11" i="44"/>
  <c r="C69" i="44"/>
  <c r="C70" i="44" s="1"/>
  <c r="D12" i="46"/>
  <c r="F11" i="46"/>
  <c r="B16" i="46"/>
  <c r="B15" i="44"/>
  <c r="P11" i="44"/>
  <c r="D47" i="43"/>
  <c r="B3" i="43"/>
  <c r="C52" i="43" s="1"/>
  <c r="B9" i="43" s="1"/>
  <c r="B12" i="43"/>
  <c r="C69" i="43"/>
  <c r="E18" i="47" l="1"/>
  <c r="C19" i="47"/>
  <c r="F45" i="47"/>
  <c r="K12" i="43"/>
  <c r="K13" i="43" s="1"/>
  <c r="D12" i="43"/>
  <c r="D13" i="43" s="1"/>
  <c r="K12" i="44"/>
  <c r="K13" i="44" s="1"/>
  <c r="E12" i="43"/>
  <c r="E13" i="43" s="1"/>
  <c r="D11" i="44"/>
  <c r="F11" i="44" s="1"/>
  <c r="I11" i="44" s="1"/>
  <c r="J11" i="44" s="1"/>
  <c r="E15" i="46"/>
  <c r="F10" i="43"/>
  <c r="I10" i="43" s="1"/>
  <c r="J10" i="43" s="1"/>
  <c r="F11" i="43"/>
  <c r="I11" i="43" s="1"/>
  <c r="J11" i="43" s="1"/>
  <c r="G12" i="43"/>
  <c r="G13" i="43" s="1"/>
  <c r="C71" i="44"/>
  <c r="C72" i="46"/>
  <c r="G12" i="44"/>
  <c r="G13" i="44" s="1"/>
  <c r="E12" i="44"/>
  <c r="E13" i="44" s="1"/>
  <c r="G15" i="46"/>
  <c r="H12" i="44"/>
  <c r="H13" i="44" s="1"/>
  <c r="H15" i="46"/>
  <c r="I11" i="46"/>
  <c r="J11" i="46" s="1"/>
  <c r="B17" i="46"/>
  <c r="F12" i="46"/>
  <c r="D13" i="46"/>
  <c r="P12" i="44"/>
  <c r="B16" i="44"/>
  <c r="I10" i="44"/>
  <c r="J10" i="44" s="1"/>
  <c r="C70" i="43"/>
  <c r="B13" i="43"/>
  <c r="E19" i="47" l="1"/>
  <c r="C20" i="47"/>
  <c r="F46" i="47"/>
  <c r="D12" i="44"/>
  <c r="D13" i="44" s="1"/>
  <c r="F12" i="43"/>
  <c r="I12" i="43" s="1"/>
  <c r="J12" i="43" s="1"/>
  <c r="K14" i="44"/>
  <c r="K15" i="44" s="1"/>
  <c r="E14" i="43"/>
  <c r="H14" i="44"/>
  <c r="H15" i="44" s="1"/>
  <c r="H16" i="44" s="1"/>
  <c r="G16" i="46"/>
  <c r="G14" i="44"/>
  <c r="G15" i="44" s="1"/>
  <c r="C73" i="46"/>
  <c r="E16" i="46"/>
  <c r="E14" i="44"/>
  <c r="E15" i="44" s="1"/>
  <c r="C72" i="44"/>
  <c r="H16" i="46"/>
  <c r="D14" i="46"/>
  <c r="F13" i="46"/>
  <c r="I12" i="46"/>
  <c r="J12" i="46" s="1"/>
  <c r="B18" i="46"/>
  <c r="B17" i="44"/>
  <c r="P13" i="44"/>
  <c r="C71" i="43"/>
  <c r="G14" i="43"/>
  <c r="K14" i="43"/>
  <c r="B14" i="43"/>
  <c r="F13" i="43"/>
  <c r="D14" i="43"/>
  <c r="E20" i="47" l="1"/>
  <c r="C21" i="47"/>
  <c r="F47" i="47"/>
  <c r="F12" i="44"/>
  <c r="I12" i="44" s="1"/>
  <c r="J12" i="44" s="1"/>
  <c r="K16" i="44"/>
  <c r="E15" i="43"/>
  <c r="H17" i="46"/>
  <c r="E16" i="44"/>
  <c r="G16" i="44"/>
  <c r="C73" i="44"/>
  <c r="E17" i="46"/>
  <c r="G17" i="46"/>
  <c r="C74" i="46"/>
  <c r="B19" i="46"/>
  <c r="I13" i="46"/>
  <c r="J13" i="46" s="1"/>
  <c r="D15" i="46"/>
  <c r="F14" i="46"/>
  <c r="I14" i="46" s="1"/>
  <c r="J14" i="46" s="1"/>
  <c r="D14" i="44"/>
  <c r="F13" i="44"/>
  <c r="P14" i="44"/>
  <c r="B18" i="44"/>
  <c r="B15" i="43"/>
  <c r="D15" i="43"/>
  <c r="F14" i="43"/>
  <c r="I14" i="43" s="1"/>
  <c r="J14" i="43" s="1"/>
  <c r="K15" i="43"/>
  <c r="C72" i="43"/>
  <c r="I13" i="43"/>
  <c r="J13" i="43" s="1"/>
  <c r="G15" i="43"/>
  <c r="E21" i="47" l="1"/>
  <c r="C22" i="47"/>
  <c r="F48" i="47"/>
  <c r="E16" i="43"/>
  <c r="K17" i="44"/>
  <c r="G17" i="44"/>
  <c r="H17" i="44"/>
  <c r="E18" i="46"/>
  <c r="F66" i="46"/>
  <c r="C74" i="44"/>
  <c r="G18" i="46"/>
  <c r="E17" i="44"/>
  <c r="H18" i="46"/>
  <c r="D16" i="46"/>
  <c r="F15" i="46"/>
  <c r="B20" i="46"/>
  <c r="B19" i="44"/>
  <c r="I13" i="44"/>
  <c r="J13" i="44" s="1"/>
  <c r="P15" i="44"/>
  <c r="D15" i="44"/>
  <c r="F14" i="44"/>
  <c r="I14" i="44" s="1"/>
  <c r="J14" i="44" s="1"/>
  <c r="F15" i="43"/>
  <c r="D16" i="43"/>
  <c r="C73" i="43"/>
  <c r="G16" i="43"/>
  <c r="K16" i="43"/>
  <c r="B16" i="43"/>
  <c r="E22" i="47" l="1"/>
  <c r="C23" i="47"/>
  <c r="F49" i="47"/>
  <c r="E17" i="43"/>
  <c r="E18" i="44"/>
  <c r="K18" i="44"/>
  <c r="K17" i="43"/>
  <c r="E19" i="46"/>
  <c r="G18" i="44"/>
  <c r="G17" i="43"/>
  <c r="G19" i="46"/>
  <c r="H18" i="44"/>
  <c r="H19" i="46"/>
  <c r="F67" i="46"/>
  <c r="F66" i="44"/>
  <c r="F16" i="46"/>
  <c r="D17" i="46"/>
  <c r="B21" i="46"/>
  <c r="I15" i="46"/>
  <c r="J15" i="46" s="1"/>
  <c r="D16" i="44"/>
  <c r="F15" i="44"/>
  <c r="B20" i="44"/>
  <c r="P16" i="44"/>
  <c r="B17" i="43"/>
  <c r="C74" i="43"/>
  <c r="D17" i="43"/>
  <c r="F16" i="43"/>
  <c r="I15" i="43"/>
  <c r="J15" i="43" s="1"/>
  <c r="E23" i="47" l="1"/>
  <c r="I41" i="47"/>
  <c r="C24" i="47"/>
  <c r="K18" i="43"/>
  <c r="E19" i="44"/>
  <c r="K19" i="44"/>
  <c r="G18" i="43"/>
  <c r="G19" i="44"/>
  <c r="H19" i="44"/>
  <c r="E20" i="46"/>
  <c r="F67" i="44"/>
  <c r="F68" i="46"/>
  <c r="H20" i="46"/>
  <c r="G20" i="46"/>
  <c r="E18" i="43"/>
  <c r="D18" i="46"/>
  <c r="F17" i="46"/>
  <c r="B22" i="46"/>
  <c r="I16" i="46"/>
  <c r="J16" i="46" s="1"/>
  <c r="F16" i="44"/>
  <c r="D17" i="44"/>
  <c r="B21" i="44"/>
  <c r="P17" i="44"/>
  <c r="I15" i="44"/>
  <c r="J15" i="44" s="1"/>
  <c r="F17" i="43"/>
  <c r="D18" i="43"/>
  <c r="F66" i="43"/>
  <c r="I16" i="43"/>
  <c r="J16" i="43" s="1"/>
  <c r="B18" i="43"/>
  <c r="E24" i="47" l="1"/>
  <c r="C25" i="47"/>
  <c r="I42" i="47"/>
  <c r="E20" i="44"/>
  <c r="K20" i="44"/>
  <c r="G21" i="46"/>
  <c r="H20" i="44"/>
  <c r="E19" i="43"/>
  <c r="E21" i="46"/>
  <c r="G20" i="44"/>
  <c r="F69" i="46"/>
  <c r="F68" i="44"/>
  <c r="H21" i="46"/>
  <c r="K19" i="43"/>
  <c r="G19" i="43"/>
  <c r="I17" i="46"/>
  <c r="J17" i="46" s="1"/>
  <c r="D19" i="46"/>
  <c r="F18" i="46"/>
  <c r="B23" i="46"/>
  <c r="D18" i="44"/>
  <c r="F17" i="44"/>
  <c r="B22" i="44"/>
  <c r="I16" i="44"/>
  <c r="J16" i="44" s="1"/>
  <c r="P18" i="44"/>
  <c r="F67" i="43"/>
  <c r="D19" i="43"/>
  <c r="F18" i="43"/>
  <c r="B19" i="43"/>
  <c r="I17" i="43"/>
  <c r="J17" i="43" s="1"/>
  <c r="E25" i="47" l="1"/>
  <c r="C26" i="47"/>
  <c r="I43" i="47"/>
  <c r="E22" i="46"/>
  <c r="E23" i="46" s="1"/>
  <c r="E21" i="44"/>
  <c r="K21" i="44"/>
  <c r="E20" i="43"/>
  <c r="K20" i="43"/>
  <c r="F69" i="44"/>
  <c r="F70" i="46"/>
  <c r="G22" i="46"/>
  <c r="H22" i="46"/>
  <c r="G21" i="44"/>
  <c r="H21" i="44"/>
  <c r="F19" i="46"/>
  <c r="D20" i="46"/>
  <c r="B24" i="46"/>
  <c r="I18" i="46"/>
  <c r="J18" i="46" s="1"/>
  <c r="P19" i="44"/>
  <c r="I17" i="44"/>
  <c r="J17" i="44" s="1"/>
  <c r="D19" i="44"/>
  <c r="F18" i="44"/>
  <c r="B23" i="44"/>
  <c r="F68" i="43"/>
  <c r="F19" i="43"/>
  <c r="D20" i="43"/>
  <c r="G20" i="43"/>
  <c r="I18" i="43"/>
  <c r="J18" i="43" s="1"/>
  <c r="B20" i="43"/>
  <c r="E26" i="47" l="1"/>
  <c r="C27" i="47"/>
  <c r="I44" i="47"/>
  <c r="E22" i="44"/>
  <c r="E21" i="43"/>
  <c r="E22" i="43" s="1"/>
  <c r="H23" i="46"/>
  <c r="K22" i="44"/>
  <c r="H22" i="44"/>
  <c r="E24" i="46"/>
  <c r="F71" i="46"/>
  <c r="G23" i="46"/>
  <c r="G22" i="44"/>
  <c r="F70" i="44"/>
  <c r="G21" i="43"/>
  <c r="K21" i="43"/>
  <c r="I19" i="46"/>
  <c r="J19" i="46" s="1"/>
  <c r="F20" i="46"/>
  <c r="D21" i="46"/>
  <c r="B25" i="46"/>
  <c r="F19" i="44"/>
  <c r="I19" i="44" s="1"/>
  <c r="J19" i="44" s="1"/>
  <c r="D20" i="44"/>
  <c r="B24" i="44"/>
  <c r="P20" i="44"/>
  <c r="I18" i="44"/>
  <c r="J18" i="44" s="1"/>
  <c r="I19" i="43"/>
  <c r="J19" i="43" s="1"/>
  <c r="B21" i="43"/>
  <c r="D21" i="43"/>
  <c r="F20" i="43"/>
  <c r="F69" i="43"/>
  <c r="E27" i="47" l="1"/>
  <c r="I45" i="47"/>
  <c r="C28" i="47"/>
  <c r="E23" i="44"/>
  <c r="E24" i="44" s="1"/>
  <c r="K23" i="44"/>
  <c r="K22" i="43"/>
  <c r="G23" i="44"/>
  <c r="E25" i="46"/>
  <c r="F72" i="46"/>
  <c r="F71" i="44"/>
  <c r="G24" i="46"/>
  <c r="H23" i="44"/>
  <c r="H24" i="46"/>
  <c r="G22" i="43"/>
  <c r="B26" i="46"/>
  <c r="D22" i="46"/>
  <c r="F21" i="46"/>
  <c r="I20" i="46"/>
  <c r="J20" i="46" s="1"/>
  <c r="P21" i="44"/>
  <c r="F20" i="44"/>
  <c r="D21" i="44"/>
  <c r="B25" i="44"/>
  <c r="I20" i="43"/>
  <c r="J20" i="43" s="1"/>
  <c r="F70" i="43"/>
  <c r="E23" i="43"/>
  <c r="B22" i="43"/>
  <c r="F21" i="43"/>
  <c r="I21" i="43" s="1"/>
  <c r="J21" i="43" s="1"/>
  <c r="D22" i="43"/>
  <c r="C29" i="47" l="1"/>
  <c r="E28" i="47"/>
  <c r="I46" i="47"/>
  <c r="K24" i="44"/>
  <c r="H24" i="44"/>
  <c r="H25" i="46"/>
  <c r="G24" i="44"/>
  <c r="G25" i="46"/>
  <c r="F73" i="46"/>
  <c r="E26" i="46"/>
  <c r="E25" i="44"/>
  <c r="F72" i="44"/>
  <c r="G23" i="43"/>
  <c r="I21" i="46"/>
  <c r="J21" i="46" s="1"/>
  <c r="B27" i="46"/>
  <c r="F22" i="46"/>
  <c r="D23" i="46"/>
  <c r="B26" i="44"/>
  <c r="D22" i="44"/>
  <c r="F21" i="44"/>
  <c r="I21" i="44" s="1"/>
  <c r="J21" i="44" s="1"/>
  <c r="P22" i="44"/>
  <c r="I20" i="44"/>
  <c r="J20" i="44" s="1"/>
  <c r="B23" i="43"/>
  <c r="K23" i="43"/>
  <c r="F71" i="43"/>
  <c r="E24" i="43"/>
  <c r="D23" i="43"/>
  <c r="F22" i="43"/>
  <c r="E29" i="47" l="1"/>
  <c r="C30" i="47"/>
  <c r="I47" i="47"/>
  <c r="K25" i="44"/>
  <c r="H25" i="44"/>
  <c r="G26" i="46"/>
  <c r="F73" i="44"/>
  <c r="E26" i="44"/>
  <c r="H26" i="46"/>
  <c r="E27" i="46"/>
  <c r="F74" i="46"/>
  <c r="G25" i="44"/>
  <c r="I22" i="46"/>
  <c r="J22" i="46" s="1"/>
  <c r="B28" i="46"/>
  <c r="D24" i="46"/>
  <c r="F23" i="46"/>
  <c r="P23" i="44"/>
  <c r="B27" i="44"/>
  <c r="F22" i="44"/>
  <c r="I22" i="44" s="1"/>
  <c r="J22" i="44" s="1"/>
  <c r="D23" i="44"/>
  <c r="I22" i="43"/>
  <c r="J22" i="43" s="1"/>
  <c r="K24" i="43"/>
  <c r="B24" i="43"/>
  <c r="G24" i="43"/>
  <c r="F72" i="43"/>
  <c r="E25" i="43"/>
  <c r="F23" i="43"/>
  <c r="I23" i="43" s="1"/>
  <c r="J23" i="43" s="1"/>
  <c r="D24" i="43"/>
  <c r="E30" i="47" l="1"/>
  <c r="C31" i="47"/>
  <c r="I48" i="47"/>
  <c r="K26" i="44"/>
  <c r="G26" i="44"/>
  <c r="H27" i="46"/>
  <c r="E28" i="46"/>
  <c r="I66" i="46"/>
  <c r="E27" i="44"/>
  <c r="F74" i="44"/>
  <c r="G27" i="46"/>
  <c r="H26" i="44"/>
  <c r="I23" i="46"/>
  <c r="J23" i="46" s="1"/>
  <c r="B29" i="46"/>
  <c r="F24" i="46"/>
  <c r="D25" i="46"/>
  <c r="B28" i="44"/>
  <c r="P24" i="44"/>
  <c r="D24" i="44"/>
  <c r="F23" i="44"/>
  <c r="I23" i="44" s="1"/>
  <c r="J23" i="44" s="1"/>
  <c r="B25" i="43"/>
  <c r="F73" i="43"/>
  <c r="E26" i="43"/>
  <c r="K25" i="43"/>
  <c r="D25" i="43"/>
  <c r="F24" i="43"/>
  <c r="I24" i="43" s="1"/>
  <c r="J24" i="43" s="1"/>
  <c r="G25" i="43"/>
  <c r="E31" i="47" l="1"/>
  <c r="C32" i="47"/>
  <c r="E32" i="47" s="1"/>
  <c r="I49" i="47"/>
  <c r="K27" i="44"/>
  <c r="H27" i="44"/>
  <c r="K26" i="43"/>
  <c r="G27" i="44"/>
  <c r="G28" i="46"/>
  <c r="E28" i="44"/>
  <c r="I66" i="44"/>
  <c r="I67" i="46"/>
  <c r="E29" i="46"/>
  <c r="H28" i="46"/>
  <c r="G26" i="43"/>
  <c r="I24" i="46"/>
  <c r="J24" i="46" s="1"/>
  <c r="B30" i="46"/>
  <c r="D26" i="46"/>
  <c r="F25" i="46"/>
  <c r="P25" i="44"/>
  <c r="B29" i="44"/>
  <c r="F24" i="44"/>
  <c r="I24" i="44" s="1"/>
  <c r="J24" i="44" s="1"/>
  <c r="D25" i="44"/>
  <c r="F74" i="43"/>
  <c r="F25" i="43"/>
  <c r="D26" i="43"/>
  <c r="B26" i="43"/>
  <c r="K27" i="43" l="1"/>
  <c r="K28" i="44"/>
  <c r="K29" i="44" s="1"/>
  <c r="H29" i="46"/>
  <c r="H28" i="44"/>
  <c r="G28" i="44"/>
  <c r="G29" i="46"/>
  <c r="E30" i="46"/>
  <c r="I68" i="46"/>
  <c r="E29" i="44"/>
  <c r="I67" i="44"/>
  <c r="G27" i="43"/>
  <c r="E27" i="43"/>
  <c r="I25" i="46"/>
  <c r="J25" i="46" s="1"/>
  <c r="D27" i="46"/>
  <c r="F26" i="46"/>
  <c r="B31" i="46"/>
  <c r="B30" i="44"/>
  <c r="P26" i="44"/>
  <c r="D26" i="44"/>
  <c r="F25" i="44"/>
  <c r="I25" i="43"/>
  <c r="J25" i="43" s="1"/>
  <c r="B27" i="43"/>
  <c r="D27" i="43"/>
  <c r="F26" i="43"/>
  <c r="I66" i="43"/>
  <c r="G28" i="43" l="1"/>
  <c r="K30" i="44"/>
  <c r="H30" i="46"/>
  <c r="I68" i="44"/>
  <c r="E30" i="44"/>
  <c r="E28" i="43"/>
  <c r="H29" i="44"/>
  <c r="I69" i="46"/>
  <c r="G30" i="46"/>
  <c r="G29" i="44"/>
  <c r="B32" i="46"/>
  <c r="I26" i="46"/>
  <c r="J26" i="46" s="1"/>
  <c r="D28" i="46"/>
  <c r="F27" i="46"/>
  <c r="P27" i="44"/>
  <c r="I25" i="44"/>
  <c r="J25" i="44" s="1"/>
  <c r="D27" i="44"/>
  <c r="F26" i="44"/>
  <c r="B31" i="44"/>
  <c r="I26" i="43"/>
  <c r="J26" i="43" s="1"/>
  <c r="B28" i="43"/>
  <c r="K28" i="43"/>
  <c r="F27" i="43"/>
  <c r="I27" i="43" s="1"/>
  <c r="J27" i="43" s="1"/>
  <c r="D28" i="43"/>
  <c r="I67" i="43"/>
  <c r="G29" i="43" l="1"/>
  <c r="H31" i="46"/>
  <c r="K31" i="44"/>
  <c r="G30" i="44"/>
  <c r="I70" i="46"/>
  <c r="E31" i="46"/>
  <c r="G31" i="46"/>
  <c r="H30" i="44"/>
  <c r="E31" i="44"/>
  <c r="I69" i="44"/>
  <c r="E29" i="43"/>
  <c r="I27" i="46"/>
  <c r="J27" i="46" s="1"/>
  <c r="B33" i="46"/>
  <c r="F28" i="46"/>
  <c r="D29" i="46"/>
  <c r="B32" i="44"/>
  <c r="P28" i="44"/>
  <c r="I26" i="44"/>
  <c r="J26" i="44" s="1"/>
  <c r="D28" i="44"/>
  <c r="F27" i="44"/>
  <c r="I27" i="44" s="1"/>
  <c r="J27" i="44" s="1"/>
  <c r="B29" i="43"/>
  <c r="K29" i="43"/>
  <c r="D29" i="43"/>
  <c r="F28" i="43"/>
  <c r="I68" i="43"/>
  <c r="G30" i="43" l="1"/>
  <c r="E32" i="46"/>
  <c r="K32" i="44"/>
  <c r="H31" i="44"/>
  <c r="I71" i="46"/>
  <c r="H32" i="46"/>
  <c r="G31" i="44"/>
  <c r="I70" i="44"/>
  <c r="E32" i="44"/>
  <c r="G32" i="46"/>
  <c r="E30" i="43"/>
  <c r="B34" i="46"/>
  <c r="D30" i="46"/>
  <c r="F29" i="46"/>
  <c r="I28" i="46"/>
  <c r="J28" i="46" s="1"/>
  <c r="B33" i="44"/>
  <c r="F28" i="44"/>
  <c r="D29" i="44"/>
  <c r="P29" i="44"/>
  <c r="I28" i="43"/>
  <c r="J28" i="43" s="1"/>
  <c r="B30" i="43"/>
  <c r="F29" i="43"/>
  <c r="D30" i="43"/>
  <c r="I69" i="43"/>
  <c r="K30" i="43"/>
  <c r="E33" i="46" l="1"/>
  <c r="E34" i="46" s="1"/>
  <c r="G31" i="43"/>
  <c r="K33" i="44"/>
  <c r="G32" i="44"/>
  <c r="H32" i="44"/>
  <c r="E33" i="44"/>
  <c r="I71" i="44"/>
  <c r="I72" i="46"/>
  <c r="G33" i="46"/>
  <c r="H33" i="46"/>
  <c r="K31" i="43"/>
  <c r="B35" i="46"/>
  <c r="I29" i="46"/>
  <c r="J29" i="46" s="1"/>
  <c r="D31" i="46"/>
  <c r="F30" i="46"/>
  <c r="B34" i="44"/>
  <c r="D30" i="44"/>
  <c r="F29" i="44"/>
  <c r="P30" i="44"/>
  <c r="I28" i="44"/>
  <c r="J28" i="44" s="1"/>
  <c r="I70" i="43"/>
  <c r="B31" i="43"/>
  <c r="I29" i="43"/>
  <c r="J29" i="43" s="1"/>
  <c r="D31" i="43"/>
  <c r="F30" i="43"/>
  <c r="E31" i="43"/>
  <c r="G32" i="43" l="1"/>
  <c r="K34" i="44"/>
  <c r="H33" i="44"/>
  <c r="E35" i="46"/>
  <c r="I73" i="46"/>
  <c r="I72" i="44"/>
  <c r="E34" i="44"/>
  <c r="H34" i="46"/>
  <c r="G33" i="44"/>
  <c r="G34" i="46"/>
  <c r="I30" i="46"/>
  <c r="J30" i="46" s="1"/>
  <c r="D32" i="46"/>
  <c r="F31" i="46"/>
  <c r="B36" i="46"/>
  <c r="B35" i="44"/>
  <c r="I29" i="44"/>
  <c r="J29" i="44" s="1"/>
  <c r="P31" i="44"/>
  <c r="D31" i="44"/>
  <c r="F30" i="44"/>
  <c r="I30" i="44" s="1"/>
  <c r="J30" i="44" s="1"/>
  <c r="B32" i="43"/>
  <c r="E32" i="43"/>
  <c r="I30" i="43"/>
  <c r="J30" i="43" s="1"/>
  <c r="K32" i="43"/>
  <c r="I71" i="43"/>
  <c r="F31" i="43"/>
  <c r="D32" i="43"/>
  <c r="G33" i="43" l="1"/>
  <c r="K35" i="44"/>
  <c r="G34" i="44"/>
  <c r="G35" i="46"/>
  <c r="H35" i="46"/>
  <c r="I73" i="44"/>
  <c r="E35" i="44"/>
  <c r="E36" i="46"/>
  <c r="I74" i="46"/>
  <c r="H34" i="44"/>
  <c r="I31" i="46"/>
  <c r="J31" i="46" s="1"/>
  <c r="F32" i="46"/>
  <c r="D33" i="46"/>
  <c r="D32" i="44"/>
  <c r="F31" i="44"/>
  <c r="P32" i="44"/>
  <c r="B36" i="44"/>
  <c r="E33" i="43"/>
  <c r="D33" i="43"/>
  <c r="F32" i="43"/>
  <c r="I72" i="43"/>
  <c r="I31" i="43"/>
  <c r="J31" i="43" s="1"/>
  <c r="K33" i="43"/>
  <c r="B33" i="43"/>
  <c r="G34" i="43" l="1"/>
  <c r="K36" i="44"/>
  <c r="H36" i="46"/>
  <c r="K34" i="43"/>
  <c r="H35" i="44"/>
  <c r="G36" i="46"/>
  <c r="G35" i="44"/>
  <c r="E36" i="44"/>
  <c r="I74" i="44"/>
  <c r="D34" i="46"/>
  <c r="F33" i="46"/>
  <c r="I32" i="46"/>
  <c r="J32" i="46" s="1"/>
  <c r="P33" i="44"/>
  <c r="I31" i="44"/>
  <c r="J31" i="44" s="1"/>
  <c r="F32" i="44"/>
  <c r="D33" i="44"/>
  <c r="I32" i="43"/>
  <c r="J32" i="43" s="1"/>
  <c r="E34" i="43"/>
  <c r="F33" i="43"/>
  <c r="D34" i="43"/>
  <c r="B34" i="43"/>
  <c r="I73" i="43"/>
  <c r="G35" i="43" l="1"/>
  <c r="G36" i="44"/>
  <c r="H36" i="44"/>
  <c r="I33" i="46"/>
  <c r="J33" i="46" s="1"/>
  <c r="D35" i="46"/>
  <c r="F34" i="46"/>
  <c r="D34" i="44"/>
  <c r="F33" i="44"/>
  <c r="I33" i="44" s="1"/>
  <c r="J33" i="44" s="1"/>
  <c r="I32" i="44"/>
  <c r="J32" i="44" s="1"/>
  <c r="P34" i="44"/>
  <c r="E35" i="43"/>
  <c r="B35" i="43"/>
  <c r="K35" i="43"/>
  <c r="D35" i="43"/>
  <c r="F34" i="43"/>
  <c r="I74" i="43"/>
  <c r="I33" i="43"/>
  <c r="J33" i="43" s="1"/>
  <c r="G36" i="43" l="1"/>
  <c r="I34" i="46"/>
  <c r="J34" i="46" s="1"/>
  <c r="F35" i="46"/>
  <c r="D36" i="46"/>
  <c r="F36" i="46" s="1"/>
  <c r="P35" i="44"/>
  <c r="D35" i="44"/>
  <c r="F34" i="44"/>
  <c r="I34" i="44" s="1"/>
  <c r="J34" i="44" s="1"/>
  <c r="F35" i="43"/>
  <c r="D36" i="43"/>
  <c r="K36" i="43"/>
  <c r="E36" i="43"/>
  <c r="I34" i="43"/>
  <c r="J34" i="43" s="1"/>
  <c r="B36" i="43"/>
  <c r="I36" i="46" l="1"/>
  <c r="J36" i="46" s="1"/>
  <c r="I35" i="46"/>
  <c r="J35" i="46" s="1"/>
  <c r="F35" i="44"/>
  <c r="D36" i="44"/>
  <c r="F36" i="44" s="1"/>
  <c r="P36" i="44"/>
  <c r="F36" i="43"/>
  <c r="I36" i="43" s="1"/>
  <c r="J36" i="43" s="1"/>
  <c r="I35" i="43"/>
  <c r="J35" i="43" s="1"/>
  <c r="I36" i="44" l="1"/>
  <c r="J36" i="44" s="1"/>
  <c r="I35" i="44"/>
  <c r="J35" i="44" s="1"/>
  <c r="C67" i="42" l="1"/>
  <c r="C68" i="42" s="1"/>
  <c r="H11" i="42"/>
  <c r="E10" i="42"/>
  <c r="C49" i="42"/>
  <c r="D48" i="42"/>
  <c r="C48" i="42"/>
  <c r="C47" i="42"/>
  <c r="D46" i="42"/>
  <c r="C46" i="42"/>
  <c r="C45" i="42"/>
  <c r="B11" i="42"/>
  <c r="B12" i="42" s="1"/>
  <c r="B13" i="42" s="1"/>
  <c r="B14" i="42" s="1"/>
  <c r="B15" i="42" s="1"/>
  <c r="B16" i="42" s="1"/>
  <c r="B17" i="42" s="1"/>
  <c r="B18" i="42" s="1"/>
  <c r="B19" i="42" s="1"/>
  <c r="B20" i="42" s="1"/>
  <c r="B21" i="42" s="1"/>
  <c r="B22" i="42" s="1"/>
  <c r="B23" i="42" s="1"/>
  <c r="B24" i="42" s="1"/>
  <c r="B25" i="42" s="1"/>
  <c r="P10" i="42"/>
  <c r="K10" i="42"/>
  <c r="G10" i="42"/>
  <c r="C10" i="42"/>
  <c r="D10" i="42" s="1"/>
  <c r="P11" i="42" l="1"/>
  <c r="K11" i="42"/>
  <c r="E11" i="42"/>
  <c r="G11" i="42"/>
  <c r="G12" i="42" s="1"/>
  <c r="G13" i="42" s="1"/>
  <c r="B26" i="42"/>
  <c r="F10" i="42"/>
  <c r="I10" i="42" s="1"/>
  <c r="D11" i="42"/>
  <c r="C69" i="42"/>
  <c r="B3" i="42"/>
  <c r="C52" i="42" s="1"/>
  <c r="B9" i="42" s="1"/>
  <c r="D47" i="42"/>
  <c r="J10" i="42" l="1"/>
  <c r="E12" i="42"/>
  <c r="E13" i="42" s="1"/>
  <c r="H12" i="42"/>
  <c r="H13" i="42" s="1"/>
  <c r="P12" i="42"/>
  <c r="D12" i="42"/>
  <c r="F11" i="42"/>
  <c r="I11" i="42" s="1"/>
  <c r="K12" i="42"/>
  <c r="K13" i="42" s="1"/>
  <c r="C70" i="42"/>
  <c r="G14" i="42"/>
  <c r="B27" i="42"/>
  <c r="J11" i="42" l="1"/>
  <c r="H14" i="42"/>
  <c r="P13" i="42"/>
  <c r="P14" i="42" s="1"/>
  <c r="K14" i="42"/>
  <c r="G15" i="42"/>
  <c r="C71" i="42"/>
  <c r="D13" i="42"/>
  <c r="F12" i="42"/>
  <c r="B28" i="42"/>
  <c r="E14" i="42"/>
  <c r="K15" i="42" l="1"/>
  <c r="E15" i="42"/>
  <c r="H15" i="42"/>
  <c r="I12" i="42"/>
  <c r="C72" i="42"/>
  <c r="G16" i="42"/>
  <c r="D14" i="42"/>
  <c r="F13" i="42"/>
  <c r="I13" i="42" s="1"/>
  <c r="B29" i="42"/>
  <c r="P15" i="42"/>
  <c r="J13" i="42" l="1"/>
  <c r="J12" i="42"/>
  <c r="H16" i="42"/>
  <c r="E16" i="42"/>
  <c r="K16" i="42"/>
  <c r="P16" i="42"/>
  <c r="G17" i="42"/>
  <c r="C73" i="42"/>
  <c r="B30" i="42"/>
  <c r="D15" i="42"/>
  <c r="F14" i="42"/>
  <c r="I14" i="42" s="1"/>
  <c r="D46" i="41"/>
  <c r="K10" i="41"/>
  <c r="E10" i="41"/>
  <c r="C67" i="41"/>
  <c r="C49" i="41"/>
  <c r="D48" i="41"/>
  <c r="C48" i="41"/>
  <c r="C47" i="41"/>
  <c r="C46" i="41"/>
  <c r="C45" i="41"/>
  <c r="B11" i="41"/>
  <c r="B12" i="41" s="1"/>
  <c r="B13" i="41" s="1"/>
  <c r="B14" i="41" s="1"/>
  <c r="B15" i="41" s="1"/>
  <c r="B16" i="41" s="1"/>
  <c r="B17" i="41" s="1"/>
  <c r="B18" i="41" s="1"/>
  <c r="B19" i="41" s="1"/>
  <c r="B20" i="41" s="1"/>
  <c r="B21" i="41" s="1"/>
  <c r="B22" i="41" s="1"/>
  <c r="B23" i="41" s="1"/>
  <c r="B24" i="41" s="1"/>
  <c r="B25" i="41" s="1"/>
  <c r="G10" i="41"/>
  <c r="J14" i="42" l="1"/>
  <c r="C68" i="41"/>
  <c r="E17" i="42"/>
  <c r="C10" i="41"/>
  <c r="D10" i="41" s="1"/>
  <c r="F10" i="41" s="1"/>
  <c r="N59" i="41"/>
  <c r="G11" i="41"/>
  <c r="G12" i="41" s="1"/>
  <c r="G13" i="41" s="1"/>
  <c r="E11" i="41"/>
  <c r="E12" i="41" s="1"/>
  <c r="K11" i="41"/>
  <c r="K12" i="41" s="1"/>
  <c r="H17" i="42"/>
  <c r="P17" i="42"/>
  <c r="C74" i="42"/>
  <c r="G18" i="42"/>
  <c r="B31" i="42"/>
  <c r="K17" i="42"/>
  <c r="D16" i="42"/>
  <c r="F15" i="42"/>
  <c r="I15" i="42" s="1"/>
  <c r="B26" i="41"/>
  <c r="B3" i="41"/>
  <c r="C52" i="41" s="1"/>
  <c r="B9" i="41" s="1"/>
  <c r="D47" i="41"/>
  <c r="C69" i="41"/>
  <c r="K10" i="40"/>
  <c r="J15" i="42" l="1"/>
  <c r="K13" i="41"/>
  <c r="D11" i="41"/>
  <c r="F11" i="41" s="1"/>
  <c r="H18" i="42"/>
  <c r="E13" i="41"/>
  <c r="N60" i="41"/>
  <c r="P59" i="41" s="1"/>
  <c r="N64" i="41"/>
  <c r="N63" i="41"/>
  <c r="P18" i="42"/>
  <c r="E18" i="42"/>
  <c r="K18" i="42"/>
  <c r="G19" i="42"/>
  <c r="F66" i="42"/>
  <c r="D17" i="42"/>
  <c r="F16" i="42"/>
  <c r="I16" i="42" s="1"/>
  <c r="B32" i="42"/>
  <c r="C70" i="41"/>
  <c r="G14" i="41"/>
  <c r="B27" i="41"/>
  <c r="J16" i="42" l="1"/>
  <c r="D12" i="41"/>
  <c r="F12" i="41" s="1"/>
  <c r="P63" i="41"/>
  <c r="C59" i="41" s="1"/>
  <c r="H10" i="41" s="1"/>
  <c r="H11" i="41" s="1"/>
  <c r="H12" i="41" s="1"/>
  <c r="H13" i="41" s="1"/>
  <c r="H14" i="41" s="1"/>
  <c r="E19" i="42"/>
  <c r="K19" i="42"/>
  <c r="H19" i="42"/>
  <c r="F67" i="42"/>
  <c r="G20" i="42"/>
  <c r="P19" i="42"/>
  <c r="D18" i="42"/>
  <c r="F17" i="42"/>
  <c r="I17" i="42" s="1"/>
  <c r="B33" i="42"/>
  <c r="E14" i="41"/>
  <c r="G15" i="41"/>
  <c r="C71" i="41"/>
  <c r="B28" i="41"/>
  <c r="K14" i="41"/>
  <c r="J17" i="42" l="1"/>
  <c r="D13" i="41"/>
  <c r="D14" i="41" s="1"/>
  <c r="I12" i="41"/>
  <c r="J12" i="41" s="1"/>
  <c r="H20" i="42"/>
  <c r="I10" i="41"/>
  <c r="J10" i="41" s="1"/>
  <c r="I11" i="41"/>
  <c r="J11" i="41" s="1"/>
  <c r="H15" i="41"/>
  <c r="G21" i="42"/>
  <c r="F68" i="42"/>
  <c r="D19" i="42"/>
  <c r="F18" i="42"/>
  <c r="I18" i="42" s="1"/>
  <c r="E20" i="42"/>
  <c r="P20" i="42"/>
  <c r="K20" i="42"/>
  <c r="B34" i="42"/>
  <c r="B29" i="41"/>
  <c r="C72" i="41"/>
  <c r="G16" i="41"/>
  <c r="K15" i="41"/>
  <c r="E15" i="41"/>
  <c r="F13" i="41" l="1"/>
  <c r="I13" i="41" s="1"/>
  <c r="J13" i="41" s="1"/>
  <c r="J18" i="42"/>
  <c r="E21" i="42"/>
  <c r="E16" i="41"/>
  <c r="H16" i="41"/>
  <c r="K16" i="41"/>
  <c r="H21" i="42"/>
  <c r="P21" i="42"/>
  <c r="B35" i="42"/>
  <c r="K21" i="42"/>
  <c r="D20" i="42"/>
  <c r="F19" i="42"/>
  <c r="I19" i="42" s="1"/>
  <c r="F69" i="42"/>
  <c r="G22" i="42"/>
  <c r="G17" i="41"/>
  <c r="C73" i="41"/>
  <c r="F14" i="41"/>
  <c r="I14" i="41" s="1"/>
  <c r="J14" i="41" s="1"/>
  <c r="D15" i="41"/>
  <c r="B30" i="41"/>
  <c r="J19" i="42" l="1"/>
  <c r="H22" i="42"/>
  <c r="H17" i="41"/>
  <c r="B36" i="42"/>
  <c r="G23" i="42"/>
  <c r="F70" i="42"/>
  <c r="E22" i="42"/>
  <c r="D21" i="42"/>
  <c r="F20" i="42"/>
  <c r="I20" i="42" s="1"/>
  <c r="P22" i="42"/>
  <c r="K22" i="42"/>
  <c r="C74" i="41"/>
  <c r="G18" i="41"/>
  <c r="F15" i="41"/>
  <c r="I15" i="41" s="1"/>
  <c r="J15" i="41" s="1"/>
  <c r="D16" i="41"/>
  <c r="K17" i="41"/>
  <c r="E17" i="41"/>
  <c r="B31" i="41"/>
  <c r="J20" i="42" l="1"/>
  <c r="K23" i="42"/>
  <c r="E23" i="42"/>
  <c r="H18" i="41"/>
  <c r="H23" i="42"/>
  <c r="P23" i="42"/>
  <c r="D22" i="42"/>
  <c r="F21" i="42"/>
  <c r="I21" i="42" s="1"/>
  <c r="F71" i="42"/>
  <c r="G24" i="42"/>
  <c r="K18" i="41"/>
  <c r="G19" i="41"/>
  <c r="F66" i="41"/>
  <c r="B32" i="41"/>
  <c r="E18" i="41"/>
  <c r="F16" i="41"/>
  <c r="I16" i="41" s="1"/>
  <c r="J16" i="41" s="1"/>
  <c r="D17" i="41"/>
  <c r="J21" i="42" l="1"/>
  <c r="H24" i="42"/>
  <c r="H19" i="41"/>
  <c r="E19" i="41"/>
  <c r="K19" i="41"/>
  <c r="E24" i="42"/>
  <c r="K24" i="42"/>
  <c r="P24" i="42"/>
  <c r="G25" i="42"/>
  <c r="F72" i="42"/>
  <c r="D23" i="42"/>
  <c r="F22" i="42"/>
  <c r="I22" i="42" s="1"/>
  <c r="F17" i="41"/>
  <c r="I17" i="41" s="1"/>
  <c r="J17" i="41" s="1"/>
  <c r="D18" i="41"/>
  <c r="B33" i="41"/>
  <c r="F67" i="41"/>
  <c r="G20" i="41"/>
  <c r="J22" i="42" l="1"/>
  <c r="K20" i="41"/>
  <c r="E25" i="42"/>
  <c r="K25" i="42"/>
  <c r="H20" i="41"/>
  <c r="H25" i="42"/>
  <c r="D24" i="42"/>
  <c r="F23" i="42"/>
  <c r="I23" i="42" s="1"/>
  <c r="F73" i="42"/>
  <c r="G26" i="42"/>
  <c r="P25" i="42"/>
  <c r="B34" i="41"/>
  <c r="E20" i="41"/>
  <c r="G21" i="41"/>
  <c r="F68" i="41"/>
  <c r="F18" i="41"/>
  <c r="I18" i="41" s="1"/>
  <c r="J18" i="41" s="1"/>
  <c r="D19" i="41"/>
  <c r="J23" i="42" l="1"/>
  <c r="K26" i="42"/>
  <c r="H26" i="42"/>
  <c r="H21" i="41"/>
  <c r="P26" i="42"/>
  <c r="D25" i="42"/>
  <c r="F24" i="42"/>
  <c r="I24" i="42" s="1"/>
  <c r="E26" i="42"/>
  <c r="G27" i="42"/>
  <c r="F74" i="42"/>
  <c r="F69" i="41"/>
  <c r="G22" i="41"/>
  <c r="B35" i="41"/>
  <c r="F19" i="41"/>
  <c r="I19" i="41" s="1"/>
  <c r="J19" i="41" s="1"/>
  <c r="D20" i="41"/>
  <c r="K21" i="41"/>
  <c r="E21" i="41"/>
  <c r="J24" i="42" l="1"/>
  <c r="H22" i="41"/>
  <c r="H27" i="42"/>
  <c r="K27" i="42"/>
  <c r="E27" i="42"/>
  <c r="P27" i="42"/>
  <c r="I66" i="42"/>
  <c r="G28" i="42"/>
  <c r="D26" i="42"/>
  <c r="F25" i="42"/>
  <c r="I25" i="42" s="1"/>
  <c r="E22" i="41"/>
  <c r="G23" i="41"/>
  <c r="F70" i="41"/>
  <c r="K22" i="41"/>
  <c r="B36" i="41"/>
  <c r="F20" i="41"/>
  <c r="I20" i="41" s="1"/>
  <c r="J20" i="41" s="1"/>
  <c r="D21" i="41"/>
  <c r="J25" i="42" l="1"/>
  <c r="H28" i="42"/>
  <c r="H23" i="41"/>
  <c r="G29" i="42"/>
  <c r="I67" i="42"/>
  <c r="K28" i="42"/>
  <c r="F26" i="42"/>
  <c r="I26" i="42" s="1"/>
  <c r="D27" i="42"/>
  <c r="P28" i="42"/>
  <c r="E28" i="42"/>
  <c r="F71" i="41"/>
  <c r="G24" i="41"/>
  <c r="E23" i="41"/>
  <c r="F21" i="41"/>
  <c r="I21" i="41" s="1"/>
  <c r="J21" i="41" s="1"/>
  <c r="D22" i="41"/>
  <c r="K23" i="41"/>
  <c r="J26" i="42" l="1"/>
  <c r="E24" i="41"/>
  <c r="H24" i="41"/>
  <c r="H29" i="42"/>
  <c r="K29" i="42"/>
  <c r="P29" i="42"/>
  <c r="I68" i="42"/>
  <c r="G30" i="42"/>
  <c r="F27" i="42"/>
  <c r="I27" i="42" s="1"/>
  <c r="D28" i="42"/>
  <c r="E29" i="42"/>
  <c r="G25" i="41"/>
  <c r="F72" i="41"/>
  <c r="F22" i="41"/>
  <c r="I22" i="41" s="1"/>
  <c r="J22" i="41" s="1"/>
  <c r="D23" i="41"/>
  <c r="K24" i="41"/>
  <c r="J27" i="42" l="1"/>
  <c r="K25" i="41"/>
  <c r="E25" i="41"/>
  <c r="H30" i="42"/>
  <c r="E30" i="42"/>
  <c r="H25" i="41"/>
  <c r="P30" i="42"/>
  <c r="F28" i="42"/>
  <c r="I28" i="42" s="1"/>
  <c r="D29" i="42"/>
  <c r="K30" i="42"/>
  <c r="G31" i="42"/>
  <c r="I69" i="42"/>
  <c r="F73" i="41"/>
  <c r="G26" i="41"/>
  <c r="F23" i="41"/>
  <c r="I23" i="41" s="1"/>
  <c r="J23" i="41" s="1"/>
  <c r="D24" i="41"/>
  <c r="J28" i="42" l="1"/>
  <c r="H26" i="41"/>
  <c r="H31" i="42"/>
  <c r="E31" i="42"/>
  <c r="K31" i="42"/>
  <c r="P31" i="42"/>
  <c r="I70" i="42"/>
  <c r="G32" i="42"/>
  <c r="D30" i="42"/>
  <c r="F29" i="42"/>
  <c r="I29" i="42" s="1"/>
  <c r="E26" i="41"/>
  <c r="G27" i="41"/>
  <c r="F74" i="41"/>
  <c r="K26" i="41"/>
  <c r="F24" i="41"/>
  <c r="I24" i="41" s="1"/>
  <c r="J24" i="41" s="1"/>
  <c r="D25" i="41"/>
  <c r="J29" i="42" l="1"/>
  <c r="E27" i="41"/>
  <c r="H32" i="42"/>
  <c r="K27" i="41"/>
  <c r="H27" i="41"/>
  <c r="D31" i="42"/>
  <c r="F30" i="42"/>
  <c r="I30" i="42" s="1"/>
  <c r="P32" i="42"/>
  <c r="K32" i="42"/>
  <c r="G33" i="42"/>
  <c r="I71" i="42"/>
  <c r="E32" i="42"/>
  <c r="D26" i="41"/>
  <c r="F25" i="41"/>
  <c r="I25" i="41" s="1"/>
  <c r="J25" i="41" s="1"/>
  <c r="I66" i="41"/>
  <c r="G28" i="41"/>
  <c r="J30" i="42" l="1"/>
  <c r="H28" i="41"/>
  <c r="H33" i="42"/>
  <c r="I72" i="42"/>
  <c r="G34" i="42"/>
  <c r="P33" i="42"/>
  <c r="K33" i="42"/>
  <c r="F31" i="42"/>
  <c r="I31" i="42" s="1"/>
  <c r="D32" i="42"/>
  <c r="E33" i="42"/>
  <c r="K28" i="41"/>
  <c r="E28" i="41"/>
  <c r="G29" i="41"/>
  <c r="I67" i="41"/>
  <c r="D27" i="41"/>
  <c r="F26" i="41"/>
  <c r="I26" i="41" s="1"/>
  <c r="J26" i="41" s="1"/>
  <c r="J31" i="42" l="1"/>
  <c r="H34" i="42"/>
  <c r="H29" i="41"/>
  <c r="F32" i="42"/>
  <c r="I32" i="42" s="1"/>
  <c r="D33" i="42"/>
  <c r="P34" i="42"/>
  <c r="K34" i="42"/>
  <c r="G35" i="42"/>
  <c r="I73" i="42"/>
  <c r="E34" i="42"/>
  <c r="I68" i="41"/>
  <c r="G30" i="41"/>
  <c r="F27" i="41"/>
  <c r="I27" i="41" s="1"/>
  <c r="J27" i="41" s="1"/>
  <c r="D28" i="41"/>
  <c r="K29" i="41"/>
  <c r="E29" i="41"/>
  <c r="J32" i="42" l="1"/>
  <c r="H30" i="41"/>
  <c r="H35" i="42"/>
  <c r="D34" i="42"/>
  <c r="F33" i="42"/>
  <c r="I33" i="42" s="1"/>
  <c r="K35" i="42"/>
  <c r="I74" i="42"/>
  <c r="G36" i="42"/>
  <c r="P35" i="42"/>
  <c r="E35" i="42"/>
  <c r="K30" i="41"/>
  <c r="G31" i="41"/>
  <c r="I69" i="41"/>
  <c r="E30" i="41"/>
  <c r="F28" i="41"/>
  <c r="I28" i="41" s="1"/>
  <c r="J28" i="41" s="1"/>
  <c r="D29" i="41"/>
  <c r="J33" i="42" l="1"/>
  <c r="E31" i="41"/>
  <c r="E36" i="42"/>
  <c r="H36" i="42"/>
  <c r="H31" i="41"/>
  <c r="K36" i="42"/>
  <c r="P36" i="42"/>
  <c r="F34" i="42"/>
  <c r="I34" i="42" s="1"/>
  <c r="D35" i="42"/>
  <c r="I70" i="41"/>
  <c r="G32" i="41"/>
  <c r="K31" i="41"/>
  <c r="D30" i="41"/>
  <c r="F29" i="41"/>
  <c r="I29" i="41" s="1"/>
  <c r="J29" i="41" s="1"/>
  <c r="J34" i="42" l="1"/>
  <c r="H32" i="41"/>
  <c r="K32" i="41"/>
  <c r="F35" i="42"/>
  <c r="I35" i="42" s="1"/>
  <c r="D36" i="42"/>
  <c r="F36" i="42" s="1"/>
  <c r="I36" i="42" s="1"/>
  <c r="D31" i="41"/>
  <c r="F30" i="41"/>
  <c r="I30" i="41" s="1"/>
  <c r="J30" i="41" s="1"/>
  <c r="E32" i="41"/>
  <c r="G33" i="41"/>
  <c r="I71" i="41"/>
  <c r="J36" i="42" l="1"/>
  <c r="J35" i="42"/>
  <c r="H33" i="41"/>
  <c r="K33" i="41"/>
  <c r="E33" i="41"/>
  <c r="D32" i="41"/>
  <c r="F31" i="41"/>
  <c r="I31" i="41" s="1"/>
  <c r="J31" i="41" s="1"/>
  <c r="I72" i="41"/>
  <c r="G34" i="41"/>
  <c r="H34" i="41" l="1"/>
  <c r="E34" i="41"/>
  <c r="G35" i="41"/>
  <c r="I73" i="41"/>
  <c r="F32" i="41"/>
  <c r="I32" i="41" s="1"/>
  <c r="J32" i="41" s="1"/>
  <c r="D33" i="41"/>
  <c r="K34" i="41"/>
  <c r="H35" i="41" l="1"/>
  <c r="D34" i="41"/>
  <c r="F33" i="41"/>
  <c r="I33" i="41" s="1"/>
  <c r="J33" i="41" s="1"/>
  <c r="I74" i="41"/>
  <c r="G36" i="41"/>
  <c r="E35" i="41"/>
  <c r="K35" i="41"/>
  <c r="K36" i="41" l="1"/>
  <c r="H36" i="41"/>
  <c r="E36" i="41"/>
  <c r="D35" i="41"/>
  <c r="F34" i="41"/>
  <c r="I34" i="41" s="1"/>
  <c r="J34" i="41" s="1"/>
  <c r="F35" i="41" l="1"/>
  <c r="I35" i="41" s="1"/>
  <c r="J35" i="41" s="1"/>
  <c r="D36" i="41"/>
  <c r="F36" i="41" s="1"/>
  <c r="I36" i="41" s="1"/>
  <c r="J36" i="41" s="1"/>
  <c r="E10" i="40" l="1"/>
  <c r="C67" i="40"/>
  <c r="C68" i="40" s="1"/>
  <c r="C49" i="40"/>
  <c r="D48" i="40"/>
  <c r="C48" i="40"/>
  <c r="D47" i="40"/>
  <c r="C47" i="40"/>
  <c r="D46" i="40"/>
  <c r="C46" i="40"/>
  <c r="C45" i="40"/>
  <c r="B11" i="40"/>
  <c r="B12" i="40" s="1"/>
  <c r="B13" i="40" s="1"/>
  <c r="B14" i="40" s="1"/>
  <c r="B15" i="40" s="1"/>
  <c r="B16" i="40" s="1"/>
  <c r="B17" i="40" s="1"/>
  <c r="B18" i="40" s="1"/>
  <c r="B19" i="40" s="1"/>
  <c r="B20" i="40" s="1"/>
  <c r="B21" i="40" s="1"/>
  <c r="B22" i="40" s="1"/>
  <c r="B23" i="40" s="1"/>
  <c r="B24" i="40" s="1"/>
  <c r="B25" i="40" s="1"/>
  <c r="G10" i="40"/>
  <c r="B3" i="40"/>
  <c r="C52" i="40" s="1"/>
  <c r="B9" i="40" s="1"/>
  <c r="C10" i="40" l="1"/>
  <c r="D10" i="40" s="1"/>
  <c r="D11" i="40" s="1"/>
  <c r="N59" i="40"/>
  <c r="G11" i="40"/>
  <c r="K11" i="40"/>
  <c r="B26" i="40"/>
  <c r="E11" i="40"/>
  <c r="C69" i="40"/>
  <c r="G12" i="40" l="1"/>
  <c r="G13" i="40" s="1"/>
  <c r="N63" i="40"/>
  <c r="N60" i="40"/>
  <c r="P59" i="40" s="1"/>
  <c r="N64" i="40"/>
  <c r="B27" i="40"/>
  <c r="E12" i="40"/>
  <c r="E13" i="40" s="1"/>
  <c r="D12" i="40"/>
  <c r="D13" i="40" s="1"/>
  <c r="K12" i="40"/>
  <c r="K13" i="40" s="1"/>
  <c r="F11" i="40"/>
  <c r="F10" i="40"/>
  <c r="C70" i="40"/>
  <c r="G14" i="40" l="1"/>
  <c r="P63" i="40"/>
  <c r="C59" i="40" s="1"/>
  <c r="H10" i="40" s="1"/>
  <c r="H11" i="40" s="1"/>
  <c r="H12" i="40" s="1"/>
  <c r="H13" i="40" s="1"/>
  <c r="H14" i="40" s="1"/>
  <c r="F12" i="40"/>
  <c r="E14" i="40"/>
  <c r="K14" i="40"/>
  <c r="D14" i="40"/>
  <c r="B28" i="40"/>
  <c r="C71" i="40"/>
  <c r="G15" i="40" l="1"/>
  <c r="H15" i="40"/>
  <c r="I11" i="40"/>
  <c r="J11" i="40" s="1"/>
  <c r="I10" i="40"/>
  <c r="J10" i="40" s="1"/>
  <c r="I12" i="40"/>
  <c r="J12" i="40" s="1"/>
  <c r="D15" i="40"/>
  <c r="K15" i="40"/>
  <c r="E15" i="40"/>
  <c r="B29" i="40"/>
  <c r="F13" i="40"/>
  <c r="I13" i="40" s="1"/>
  <c r="J13" i="40" s="1"/>
  <c r="C72" i="40"/>
  <c r="F14" i="40"/>
  <c r="G16" i="40" l="1"/>
  <c r="H16" i="40"/>
  <c r="I14" i="40"/>
  <c r="J14" i="40" s="1"/>
  <c r="K16" i="40"/>
  <c r="D16" i="40"/>
  <c r="B30" i="40"/>
  <c r="E16" i="40"/>
  <c r="C73" i="40"/>
  <c r="F15" i="40"/>
  <c r="I15" i="40" s="1"/>
  <c r="J15" i="40" s="1"/>
  <c r="G17" i="40" l="1"/>
  <c r="H17" i="40"/>
  <c r="D17" i="40"/>
  <c r="E17" i="40"/>
  <c r="K17" i="40"/>
  <c r="B31" i="40"/>
  <c r="C74" i="40"/>
  <c r="F16" i="40"/>
  <c r="G18" i="40" l="1"/>
  <c r="H18" i="40"/>
  <c r="I16" i="40"/>
  <c r="J16" i="40" s="1"/>
  <c r="E18" i="40"/>
  <c r="B32" i="40"/>
  <c r="D18" i="40"/>
  <c r="K18" i="40"/>
  <c r="F66" i="40"/>
  <c r="F17" i="40"/>
  <c r="I17" i="40" s="1"/>
  <c r="J17" i="40" s="1"/>
  <c r="G19" i="40" l="1"/>
  <c r="H19" i="40"/>
  <c r="B33" i="40"/>
  <c r="K19" i="40"/>
  <c r="E19" i="40"/>
  <c r="D19" i="40"/>
  <c r="F67" i="40"/>
  <c r="F18" i="40"/>
  <c r="I18" i="40" s="1"/>
  <c r="J18" i="40" s="1"/>
  <c r="G20" i="40" l="1"/>
  <c r="H20" i="40"/>
  <c r="K20" i="40"/>
  <c r="D20" i="40"/>
  <c r="B34" i="40"/>
  <c r="E20" i="40"/>
  <c r="F68" i="40"/>
  <c r="F19" i="40"/>
  <c r="I19" i="40" s="1"/>
  <c r="J19" i="40" s="1"/>
  <c r="G21" i="40" l="1"/>
  <c r="G22" i="40" s="1"/>
  <c r="H21" i="40"/>
  <c r="D21" i="40"/>
  <c r="E21" i="40"/>
  <c r="K21" i="40"/>
  <c r="B35" i="40"/>
  <c r="F69" i="40"/>
  <c r="F20" i="40"/>
  <c r="I20" i="40" s="1"/>
  <c r="J20" i="40" s="1"/>
  <c r="H22" i="40" l="1"/>
  <c r="E22" i="40"/>
  <c r="B36" i="40"/>
  <c r="D22" i="40"/>
  <c r="K22" i="40"/>
  <c r="G23" i="40"/>
  <c r="F70" i="40"/>
  <c r="F21" i="40"/>
  <c r="I21" i="40" s="1"/>
  <c r="J21" i="40" s="1"/>
  <c r="H23" i="40" l="1"/>
  <c r="K23" i="40"/>
  <c r="E23" i="40"/>
  <c r="D23" i="40"/>
  <c r="F71" i="40"/>
  <c r="G24" i="40"/>
  <c r="H24" i="40" l="1"/>
  <c r="D24" i="40"/>
  <c r="E24" i="40"/>
  <c r="K24" i="40"/>
  <c r="G25" i="40"/>
  <c r="F72" i="40"/>
  <c r="H25" i="40" l="1"/>
  <c r="K25" i="40"/>
  <c r="E25" i="40"/>
  <c r="D25" i="40"/>
  <c r="F73" i="40"/>
  <c r="G26" i="40"/>
  <c r="H26" i="40" l="1"/>
  <c r="D26" i="40"/>
  <c r="E26" i="40"/>
  <c r="K26" i="40"/>
  <c r="F22" i="40"/>
  <c r="I22" i="40" s="1"/>
  <c r="J22" i="40" s="1"/>
  <c r="G27" i="40"/>
  <c r="F74" i="40"/>
  <c r="H27" i="40" l="1"/>
  <c r="K27" i="40"/>
  <c r="E27" i="40"/>
  <c r="D27" i="40"/>
  <c r="I66" i="40"/>
  <c r="G28" i="40"/>
  <c r="F23" i="40"/>
  <c r="I23" i="40" s="1"/>
  <c r="J23" i="40" s="1"/>
  <c r="H28" i="40" l="1"/>
  <c r="D28" i="40"/>
  <c r="E28" i="40"/>
  <c r="K28" i="40"/>
  <c r="F24" i="40"/>
  <c r="I24" i="40" s="1"/>
  <c r="J24" i="40" s="1"/>
  <c r="G29" i="40"/>
  <c r="I67" i="40"/>
  <c r="H29" i="40" l="1"/>
  <c r="K29" i="40"/>
  <c r="E29" i="40"/>
  <c r="D29" i="40"/>
  <c r="I68" i="40"/>
  <c r="G30" i="40"/>
  <c r="F25" i="40"/>
  <c r="I25" i="40" s="1"/>
  <c r="J25" i="40" s="1"/>
  <c r="H30" i="40" l="1"/>
  <c r="D30" i="40"/>
  <c r="E30" i="40"/>
  <c r="K30" i="40"/>
  <c r="F26" i="40"/>
  <c r="I26" i="40" s="1"/>
  <c r="J26" i="40" s="1"/>
  <c r="G31" i="40"/>
  <c r="I69" i="40"/>
  <c r="H31" i="40" l="1"/>
  <c r="K31" i="40"/>
  <c r="E31" i="40"/>
  <c r="D31" i="40"/>
  <c r="I70" i="40"/>
  <c r="G32" i="40"/>
  <c r="F27" i="40"/>
  <c r="I27" i="40" s="1"/>
  <c r="J27" i="40" s="1"/>
  <c r="H32" i="40" l="1"/>
  <c r="D32" i="40"/>
  <c r="E32" i="40"/>
  <c r="K32" i="40"/>
  <c r="G33" i="40"/>
  <c r="I71" i="40"/>
  <c r="F28" i="40"/>
  <c r="I28" i="40" s="1"/>
  <c r="J28" i="40" s="1"/>
  <c r="H33" i="40" l="1"/>
  <c r="K33" i="40"/>
  <c r="E33" i="40"/>
  <c r="D33" i="40"/>
  <c r="F29" i="40"/>
  <c r="I29" i="40" s="1"/>
  <c r="J29" i="40" s="1"/>
  <c r="I72" i="40"/>
  <c r="G34" i="40"/>
  <c r="H34" i="40" l="1"/>
  <c r="D34" i="40"/>
  <c r="E34" i="40"/>
  <c r="K34" i="40"/>
  <c r="G35" i="40"/>
  <c r="I73" i="40"/>
  <c r="F30" i="40"/>
  <c r="I30" i="40" s="1"/>
  <c r="J30" i="40" s="1"/>
  <c r="H35" i="40" l="1"/>
  <c r="K35" i="40"/>
  <c r="E35" i="40"/>
  <c r="F34" i="40"/>
  <c r="D35" i="40"/>
  <c r="F31" i="40"/>
  <c r="I31" i="40" s="1"/>
  <c r="J31" i="40" s="1"/>
  <c r="I74" i="40"/>
  <c r="G36" i="40"/>
  <c r="H36" i="40" l="1"/>
  <c r="I34" i="40"/>
  <c r="J34" i="40" s="1"/>
  <c r="E36" i="40"/>
  <c r="K36" i="40"/>
  <c r="F35" i="40"/>
  <c r="D36" i="40"/>
  <c r="F33" i="40"/>
  <c r="I33" i="40" s="1"/>
  <c r="J33" i="40" s="1"/>
  <c r="F32" i="40"/>
  <c r="I32" i="40" s="1"/>
  <c r="J32" i="40" s="1"/>
  <c r="F36" i="40" l="1"/>
  <c r="I36" i="40" s="1"/>
  <c r="J36" i="40" s="1"/>
  <c r="I35" i="40"/>
  <c r="J35" i="40" s="1"/>
  <c r="G63" i="39"/>
  <c r="D47" i="39"/>
  <c r="K63" i="39"/>
  <c r="J63" i="39"/>
  <c r="H58" i="39"/>
  <c r="C84" i="39"/>
  <c r="F63" i="39"/>
  <c r="K64" i="39"/>
  <c r="J64" i="39"/>
  <c r="G64" i="39"/>
  <c r="F64" i="39"/>
  <c r="C64" i="39"/>
  <c r="C63" i="39"/>
  <c r="I59" i="39"/>
  <c r="H59" i="39"/>
  <c r="F59" i="39"/>
  <c r="D52" i="39"/>
  <c r="C52" i="39"/>
  <c r="C51" i="39"/>
  <c r="D50" i="39"/>
  <c r="C50" i="39"/>
  <c r="D49" i="39"/>
  <c r="C49" i="39"/>
  <c r="C48" i="39"/>
  <c r="C47" i="39"/>
  <c r="D46" i="39"/>
  <c r="E68" i="39" s="1"/>
  <c r="B15" i="39"/>
  <c r="B16" i="39" s="1"/>
  <c r="B17" i="39" s="1"/>
  <c r="B18" i="39" s="1"/>
  <c r="B19" i="39" s="1"/>
  <c r="B20" i="39" s="1"/>
  <c r="B21" i="39" s="1"/>
  <c r="B22" i="39" s="1"/>
  <c r="B23" i="39" s="1"/>
  <c r="B24" i="39" s="1"/>
  <c r="B25" i="39" s="1"/>
  <c r="B26" i="39" s="1"/>
  <c r="B27" i="39" s="1"/>
  <c r="B28" i="39" s="1"/>
  <c r="B12" i="39"/>
  <c r="B5" i="39"/>
  <c r="D9" i="28"/>
  <c r="E9" i="28"/>
  <c r="F58" i="39" l="1"/>
  <c r="F60" i="39" s="1"/>
  <c r="H60" i="39" s="1"/>
  <c r="C14" i="39" s="1"/>
  <c r="D14" i="39" s="1"/>
  <c r="C73" i="39"/>
  <c r="I58" i="39" s="1"/>
  <c r="K343" i="28"/>
  <c r="F65" i="39"/>
  <c r="K341" i="28"/>
  <c r="D44" i="46"/>
  <c r="D49" i="46" s="1"/>
  <c r="D44" i="43"/>
  <c r="D49" i="43" s="1"/>
  <c r="D44" i="44"/>
  <c r="D49" i="44" s="1"/>
  <c r="D44" i="42"/>
  <c r="D49" i="42" s="1"/>
  <c r="D44" i="41"/>
  <c r="D49" i="41" s="1"/>
  <c r="D44" i="40"/>
  <c r="D49" i="40" s="1"/>
  <c r="B29" i="39"/>
  <c r="C85" i="39"/>
  <c r="H64" i="39"/>
  <c r="H63" i="39"/>
  <c r="K342" i="28"/>
  <c r="I60" i="39" l="1"/>
  <c r="E14" i="39" s="1"/>
  <c r="E15" i="39" s="1"/>
  <c r="E16" i="39" s="1"/>
  <c r="G58" i="39"/>
  <c r="G59" i="39" s="1"/>
  <c r="G60" i="39" s="1"/>
  <c r="H65" i="39"/>
  <c r="I63" i="39" s="1"/>
  <c r="D15" i="39"/>
  <c r="C86" i="39"/>
  <c r="B30" i="39"/>
  <c r="C65" i="46" l="1"/>
  <c r="C65" i="44"/>
  <c r="C65" i="43"/>
  <c r="C65" i="42"/>
  <c r="C65" i="41"/>
  <c r="C65" i="40"/>
  <c r="C82" i="39"/>
  <c r="E17" i="39"/>
  <c r="D16" i="39"/>
  <c r="I64" i="39"/>
  <c r="J65" i="39" s="1"/>
  <c r="F14" i="39" s="1"/>
  <c r="C87" i="39"/>
  <c r="B31" i="39"/>
  <c r="G65" i="39"/>
  <c r="D48" i="39" s="1"/>
  <c r="D78" i="39"/>
  <c r="K340" i="28"/>
  <c r="K339" i="28"/>
  <c r="K338" i="28"/>
  <c r="K337" i="28"/>
  <c r="K336" i="28"/>
  <c r="K335" i="28"/>
  <c r="K334" i="28"/>
  <c r="K333" i="28"/>
  <c r="K332" i="28"/>
  <c r="K331" i="28"/>
  <c r="K330" i="28"/>
  <c r="K329" i="28"/>
  <c r="E18" i="39" l="1"/>
  <c r="G14" i="39"/>
  <c r="H14" i="39" s="1"/>
  <c r="F15" i="39"/>
  <c r="C88" i="39"/>
  <c r="K65" i="39"/>
  <c r="B32" i="39"/>
  <c r="I65" i="39"/>
  <c r="D17" i="39"/>
  <c r="E19" i="39" l="1"/>
  <c r="E20" i="39" s="1"/>
  <c r="D18" i="39"/>
  <c r="D51" i="39"/>
  <c r="C89" i="39"/>
  <c r="B33" i="39"/>
  <c r="G15" i="39"/>
  <c r="H15" i="39" s="1"/>
  <c r="F16" i="39"/>
  <c r="D19" i="39" l="1"/>
  <c r="F17" i="39"/>
  <c r="G16" i="39"/>
  <c r="H16" i="39" s="1"/>
  <c r="B34" i="39"/>
  <c r="C90" i="39"/>
  <c r="E21" i="39"/>
  <c r="B35" i="39" l="1"/>
  <c r="D20" i="39"/>
  <c r="C91" i="39"/>
  <c r="E22" i="39"/>
  <c r="G17" i="39"/>
  <c r="H17" i="39" s="1"/>
  <c r="F18" i="39"/>
  <c r="E23" i="39" l="1"/>
  <c r="F83" i="39"/>
  <c r="B36" i="39"/>
  <c r="F19" i="39"/>
  <c r="G18" i="39"/>
  <c r="H18" i="39" s="1"/>
  <c r="D21" i="39"/>
  <c r="F84" i="39" l="1"/>
  <c r="E24" i="39"/>
  <c r="G19" i="39"/>
  <c r="H19" i="39" s="1"/>
  <c r="F20" i="39"/>
  <c r="D22" i="39"/>
  <c r="B37" i="39"/>
  <c r="D23" i="39" l="1"/>
  <c r="B38" i="39"/>
  <c r="F21" i="39"/>
  <c r="G20" i="39"/>
  <c r="H20" i="39" s="1"/>
  <c r="E25" i="39"/>
  <c r="F85" i="39"/>
  <c r="B39" i="39" l="1"/>
  <c r="G21" i="39"/>
  <c r="H21" i="39" s="1"/>
  <c r="F22" i="39"/>
  <c r="D24" i="39"/>
  <c r="F86" i="39"/>
  <c r="E26" i="39"/>
  <c r="F23" i="39" l="1"/>
  <c r="G22" i="39"/>
  <c r="H22" i="39" s="1"/>
  <c r="E27" i="39"/>
  <c r="F87" i="39"/>
  <c r="D25" i="39"/>
  <c r="B40" i="39"/>
  <c r="D26" i="39" l="1"/>
  <c r="G23" i="39"/>
  <c r="H23" i="39" s="1"/>
  <c r="F24" i="39"/>
  <c r="F88" i="39"/>
  <c r="E28" i="39"/>
  <c r="F25" i="39" l="1"/>
  <c r="G24" i="39"/>
  <c r="H24" i="39" s="1"/>
  <c r="F89" i="39"/>
  <c r="E29" i="39"/>
  <c r="D27" i="39"/>
  <c r="G25" i="39" l="1"/>
  <c r="H25" i="39" s="1"/>
  <c r="F26" i="39"/>
  <c r="D28" i="39"/>
  <c r="F90" i="39"/>
  <c r="E30" i="39"/>
  <c r="F91" i="39" l="1"/>
  <c r="E31" i="39"/>
  <c r="D29" i="39"/>
  <c r="F27" i="39"/>
  <c r="G26" i="39"/>
  <c r="H26" i="39" s="1"/>
  <c r="G27" i="39" l="1"/>
  <c r="H27" i="39" s="1"/>
  <c r="F28" i="39"/>
  <c r="I83" i="39"/>
  <c r="E32" i="39"/>
  <c r="D30" i="39"/>
  <c r="E33" i="39" l="1"/>
  <c r="I84" i="39"/>
  <c r="D31" i="39"/>
  <c r="G28" i="39"/>
  <c r="H28" i="39" s="1"/>
  <c r="F29" i="39"/>
  <c r="D32" i="39" l="1"/>
  <c r="G29" i="39"/>
  <c r="H29" i="39" s="1"/>
  <c r="F30" i="39"/>
  <c r="I85" i="39"/>
  <c r="E34" i="39"/>
  <c r="E35" i="39" l="1"/>
  <c r="I86" i="39"/>
  <c r="D33" i="39"/>
  <c r="F31" i="39"/>
  <c r="G30" i="39"/>
  <c r="H30" i="39" s="1"/>
  <c r="I87" i="39" l="1"/>
  <c r="E36" i="39"/>
  <c r="G31" i="39"/>
  <c r="H31" i="39" s="1"/>
  <c r="F32" i="39"/>
  <c r="D34" i="39"/>
  <c r="D35" i="39" l="1"/>
  <c r="E37" i="39"/>
  <c r="I88" i="39"/>
  <c r="G32" i="39"/>
  <c r="H32" i="39" s="1"/>
  <c r="F33" i="39"/>
  <c r="I89" i="39" l="1"/>
  <c r="E38" i="39"/>
  <c r="D36" i="39"/>
  <c r="F34" i="39"/>
  <c r="G33" i="39"/>
  <c r="H33" i="39" s="1"/>
  <c r="D37" i="39" l="1"/>
  <c r="F35" i="39"/>
  <c r="G34" i="39"/>
  <c r="H34" i="39" s="1"/>
  <c r="I90" i="39"/>
  <c r="E39" i="39"/>
  <c r="G35" i="39" l="1"/>
  <c r="H35" i="39" s="1"/>
  <c r="F36" i="39"/>
  <c r="I91" i="39"/>
  <c r="E40" i="39"/>
  <c r="D38" i="39"/>
  <c r="D39" i="39" l="1"/>
  <c r="F37" i="39"/>
  <c r="G36" i="39"/>
  <c r="H36" i="39" s="1"/>
  <c r="F38" i="39" l="1"/>
  <c r="G37" i="39"/>
  <c r="H37" i="39" s="1"/>
  <c r="D40" i="39"/>
  <c r="F39" i="39" l="1"/>
  <c r="G38" i="39"/>
  <c r="H38" i="39" s="1"/>
  <c r="F40" i="39" l="1"/>
  <c r="G39" i="39"/>
  <c r="H39" i="39" s="1"/>
  <c r="G40" i="39" l="1"/>
  <c r="H40" i="39" s="1"/>
  <c r="D46" i="29" l="1"/>
  <c r="B56" i="25" l="1"/>
  <c r="B44" i="28" l="1"/>
  <c r="K302" i="28" l="1"/>
  <c r="K301" i="28"/>
  <c r="K300" i="28"/>
  <c r="K298" i="28"/>
  <c r="K297" i="28"/>
  <c r="K296" i="28"/>
  <c r="K294" i="28"/>
  <c r="K293" i="28"/>
  <c r="K292" i="28"/>
  <c r="K290" i="28"/>
  <c r="K289" i="28"/>
  <c r="K288" i="28"/>
  <c r="K286" i="28"/>
  <c r="K285" i="28"/>
  <c r="K284" i="28"/>
  <c r="K282" i="28"/>
  <c r="K281" i="28"/>
  <c r="K304" i="28"/>
  <c r="C84" i="37"/>
  <c r="J63" i="37"/>
  <c r="D73" i="37"/>
  <c r="I59" i="37" s="1"/>
  <c r="C73" i="37"/>
  <c r="I58" i="37" s="1"/>
  <c r="H59" i="37"/>
  <c r="H58" i="37"/>
  <c r="F64" i="37"/>
  <c r="F58" i="37"/>
  <c r="E68" i="37"/>
  <c r="K64" i="37"/>
  <c r="J64" i="37"/>
  <c r="G64" i="37"/>
  <c r="C64" i="37"/>
  <c r="K63" i="37"/>
  <c r="G63" i="37"/>
  <c r="C63" i="37"/>
  <c r="D52" i="37"/>
  <c r="C52" i="37"/>
  <c r="C51" i="37"/>
  <c r="D50" i="37"/>
  <c r="C50" i="37"/>
  <c r="D49" i="37"/>
  <c r="C49" i="37"/>
  <c r="C48" i="37"/>
  <c r="D47" i="37"/>
  <c r="C47" i="37"/>
  <c r="B15" i="37"/>
  <c r="B16" i="37" s="1"/>
  <c r="B17" i="37" s="1"/>
  <c r="B18" i="37" s="1"/>
  <c r="B19" i="37" s="1"/>
  <c r="B20" i="37" s="1"/>
  <c r="B21" i="37" s="1"/>
  <c r="B22" i="37" s="1"/>
  <c r="B23" i="37" s="1"/>
  <c r="B24" i="37" s="1"/>
  <c r="B25" i="37" s="1"/>
  <c r="B26" i="37" s="1"/>
  <c r="B27" i="37" s="1"/>
  <c r="B28" i="37" s="1"/>
  <c r="B29" i="37" s="1"/>
  <c r="B12" i="37"/>
  <c r="B5" i="37"/>
  <c r="F63" i="37" l="1"/>
  <c r="H63" i="37" s="1"/>
  <c r="F59" i="37"/>
  <c r="F60" i="37" s="1"/>
  <c r="H60" i="37" s="1"/>
  <c r="C14" i="37" s="1"/>
  <c r="D14" i="37" s="1"/>
  <c r="D15" i="37" s="1"/>
  <c r="K283" i="28"/>
  <c r="K287" i="28"/>
  <c r="K291" i="28"/>
  <c r="K295" i="28"/>
  <c r="K299" i="28"/>
  <c r="K303" i="28"/>
  <c r="B30" i="37"/>
  <c r="H64" i="37"/>
  <c r="C85" i="37"/>
  <c r="F65" i="37" l="1"/>
  <c r="H65" i="37"/>
  <c r="G58" i="37"/>
  <c r="G59" i="37" s="1"/>
  <c r="G60" i="37" s="1"/>
  <c r="I60" i="37"/>
  <c r="E14" i="37" s="1"/>
  <c r="E15" i="37" s="1"/>
  <c r="E16" i="37" s="1"/>
  <c r="E17" i="37" s="1"/>
  <c r="D16" i="37"/>
  <c r="C86" i="37"/>
  <c r="B31" i="37"/>
  <c r="D78" i="37" l="1"/>
  <c r="I63" i="37"/>
  <c r="G65" i="37"/>
  <c r="D48" i="37" s="1"/>
  <c r="D17" i="37"/>
  <c r="C87" i="37"/>
  <c r="E18" i="37"/>
  <c r="B32" i="37"/>
  <c r="I64" i="37" l="1"/>
  <c r="I65" i="37" s="1"/>
  <c r="D18" i="37"/>
  <c r="B33" i="37"/>
  <c r="E19" i="37"/>
  <c r="C88" i="37"/>
  <c r="J65" i="37" l="1"/>
  <c r="F14" i="37" s="1"/>
  <c r="F15" i="37" s="1"/>
  <c r="F16" i="37" s="1"/>
  <c r="F17" i="37" s="1"/>
  <c r="F18" i="37" s="1"/>
  <c r="F19" i="37" s="1"/>
  <c r="K65" i="37"/>
  <c r="D51" i="37" s="1"/>
  <c r="D19" i="37"/>
  <c r="C89" i="37"/>
  <c r="E20" i="37"/>
  <c r="B34" i="37"/>
  <c r="G14" i="37" l="1"/>
  <c r="H14" i="37" s="1"/>
  <c r="G18" i="37"/>
  <c r="H18" i="37" s="1"/>
  <c r="D20" i="37"/>
  <c r="F20" i="37"/>
  <c r="G19" i="37"/>
  <c r="H19" i="37" s="1"/>
  <c r="E21" i="37"/>
  <c r="C90" i="37"/>
  <c r="B35" i="37"/>
  <c r="G15" i="37"/>
  <c r="H15" i="37" s="1"/>
  <c r="D21" i="37" l="1"/>
  <c r="F21" i="37"/>
  <c r="G20" i="37"/>
  <c r="H20" i="37" s="1"/>
  <c r="G16" i="37"/>
  <c r="H16" i="37" s="1"/>
  <c r="B36" i="37"/>
  <c r="C91" i="37"/>
  <c r="E22" i="37"/>
  <c r="F22" i="37" l="1"/>
  <c r="G21" i="37"/>
  <c r="H21" i="37" s="1"/>
  <c r="D22" i="37"/>
  <c r="E23" i="37"/>
  <c r="F83" i="37"/>
  <c r="B37" i="37"/>
  <c r="G17" i="37"/>
  <c r="H17" i="37" s="1"/>
  <c r="D23" i="37" l="1"/>
  <c r="F23" i="37"/>
  <c r="G22" i="37"/>
  <c r="H22" i="37" s="1"/>
  <c r="F84" i="37"/>
  <c r="E24" i="37"/>
  <c r="B38" i="37"/>
  <c r="G23" i="37" l="1"/>
  <c r="H23" i="37" s="1"/>
  <c r="F24" i="37"/>
  <c r="D24" i="37"/>
  <c r="B39" i="37"/>
  <c r="E25" i="37"/>
  <c r="F85" i="37"/>
  <c r="D25" i="37" l="1"/>
  <c r="D26" i="37" s="1"/>
  <c r="F25" i="37"/>
  <c r="B40" i="37"/>
  <c r="F86" i="37"/>
  <c r="E26" i="37" l="1"/>
  <c r="F26" i="37"/>
  <c r="G25" i="37"/>
  <c r="H25" i="37" s="1"/>
  <c r="D27" i="37"/>
  <c r="F87" i="37"/>
  <c r="E27" i="37" l="1"/>
  <c r="F27" i="37"/>
  <c r="G26" i="37"/>
  <c r="H26" i="37" s="1"/>
  <c r="F88" i="37"/>
  <c r="D28" i="37"/>
  <c r="E28" i="37" l="1"/>
  <c r="F28" i="37"/>
  <c r="G27" i="37"/>
  <c r="H27" i="37" s="1"/>
  <c r="D29" i="37"/>
  <c r="F89" i="37"/>
  <c r="E29" i="37" l="1"/>
  <c r="F29" i="37"/>
  <c r="G28" i="37"/>
  <c r="H28" i="37" s="1"/>
  <c r="G24" i="37"/>
  <c r="H24" i="37" s="1"/>
  <c r="F90" i="37"/>
  <c r="D30" i="37"/>
  <c r="G29" i="37" l="1"/>
  <c r="H29" i="37" s="1"/>
  <c r="F30" i="37"/>
  <c r="E30" i="37"/>
  <c r="D31" i="37"/>
  <c r="F91" i="37"/>
  <c r="E31" i="37" l="1"/>
  <c r="F31" i="37"/>
  <c r="G30" i="37"/>
  <c r="H30" i="37" s="1"/>
  <c r="I83" i="37"/>
  <c r="D32" i="37"/>
  <c r="F32" i="37" l="1"/>
  <c r="G31" i="37"/>
  <c r="H31" i="37" s="1"/>
  <c r="E32" i="37"/>
  <c r="D33" i="37"/>
  <c r="I84" i="37"/>
  <c r="E33" i="37" l="1"/>
  <c r="F33" i="37"/>
  <c r="G32" i="37"/>
  <c r="H32" i="37" s="1"/>
  <c r="I85" i="37"/>
  <c r="D34" i="37"/>
  <c r="F34" i="37" l="1"/>
  <c r="G33" i="37"/>
  <c r="H33" i="37" s="1"/>
  <c r="E34" i="37"/>
  <c r="D35" i="37"/>
  <c r="I86" i="37"/>
  <c r="E35" i="37" l="1"/>
  <c r="F35" i="37"/>
  <c r="G34" i="37"/>
  <c r="H34" i="37" s="1"/>
  <c r="I87" i="37"/>
  <c r="D36" i="37"/>
  <c r="F36" i="37" l="1"/>
  <c r="G35" i="37"/>
  <c r="H35" i="37" s="1"/>
  <c r="E36" i="37"/>
  <c r="D37" i="37"/>
  <c r="I88" i="37"/>
  <c r="E37" i="37" l="1"/>
  <c r="F37" i="37"/>
  <c r="G36" i="37"/>
  <c r="H36" i="37" s="1"/>
  <c r="I89" i="37"/>
  <c r="D38" i="37"/>
  <c r="F38" i="37" l="1"/>
  <c r="G37" i="37"/>
  <c r="H37" i="37" s="1"/>
  <c r="E38" i="37"/>
  <c r="D39" i="37"/>
  <c r="I90" i="37"/>
  <c r="E39" i="37" l="1"/>
  <c r="F39" i="37"/>
  <c r="G38" i="37"/>
  <c r="H38" i="37" s="1"/>
  <c r="I91" i="37"/>
  <c r="D40" i="37"/>
  <c r="F40" i="37" l="1"/>
  <c r="G39" i="37"/>
  <c r="H39" i="37" s="1"/>
  <c r="E40" i="37"/>
  <c r="G40" i="37" l="1"/>
  <c r="H40" i="37" s="1"/>
  <c r="C82" i="37" l="1"/>
  <c r="H59" i="36" l="1"/>
  <c r="H58" i="36"/>
  <c r="F59" i="36"/>
  <c r="F58" i="36"/>
  <c r="K328" i="28" l="1"/>
  <c r="K327" i="28"/>
  <c r="K326" i="28"/>
  <c r="K324" i="28"/>
  <c r="K323" i="28"/>
  <c r="K322" i="28"/>
  <c r="K320" i="28"/>
  <c r="K319" i="28"/>
  <c r="K318" i="28"/>
  <c r="K316" i="28"/>
  <c r="K315" i="28"/>
  <c r="K314" i="28"/>
  <c r="K312" i="28"/>
  <c r="K311" i="28"/>
  <c r="K310" i="28"/>
  <c r="K308" i="28"/>
  <c r="K307" i="28"/>
  <c r="K306" i="28"/>
  <c r="K280" i="28"/>
  <c r="K279" i="28"/>
  <c r="K278" i="28"/>
  <c r="K276" i="28"/>
  <c r="K275" i="28"/>
  <c r="K274" i="28"/>
  <c r="K272" i="28"/>
  <c r="K271" i="28"/>
  <c r="K270" i="28"/>
  <c r="K268" i="28"/>
  <c r="K267" i="28"/>
  <c r="K266" i="28"/>
  <c r="K264" i="28"/>
  <c r="K263" i="28"/>
  <c r="K262" i="28"/>
  <c r="K260" i="28"/>
  <c r="K259" i="28"/>
  <c r="K258" i="28"/>
  <c r="K256" i="28"/>
  <c r="K255" i="28"/>
  <c r="K254" i="28"/>
  <c r="K251" i="28"/>
  <c r="K250" i="28"/>
  <c r="K249" i="28"/>
  <c r="K247" i="28"/>
  <c r="K246" i="28"/>
  <c r="K245" i="28"/>
  <c r="K243" i="28"/>
  <c r="K242" i="28"/>
  <c r="K241" i="28"/>
  <c r="K239" i="28"/>
  <c r="K238" i="28"/>
  <c r="K237" i="28"/>
  <c r="K235" i="28"/>
  <c r="K234" i="28"/>
  <c r="K233" i="28"/>
  <c r="K231" i="28"/>
  <c r="K230" i="28"/>
  <c r="K229" i="28"/>
  <c r="K227" i="28"/>
  <c r="K226" i="28"/>
  <c r="K225" i="28"/>
  <c r="K223" i="28"/>
  <c r="K222" i="28"/>
  <c r="K221" i="28"/>
  <c r="K219" i="28"/>
  <c r="K218" i="28"/>
  <c r="K217" i="28"/>
  <c r="K215" i="28"/>
  <c r="K214" i="28"/>
  <c r="K213" i="28"/>
  <c r="K211" i="28"/>
  <c r="K210" i="28"/>
  <c r="K209" i="28"/>
  <c r="K207" i="28"/>
  <c r="K206" i="28"/>
  <c r="K205" i="28"/>
  <c r="K203" i="28"/>
  <c r="K202" i="28"/>
  <c r="K201" i="28"/>
  <c r="K199" i="28"/>
  <c r="K197" i="28"/>
  <c r="K195" i="28"/>
  <c r="K193" i="28"/>
  <c r="K191" i="28"/>
  <c r="K190" i="28"/>
  <c r="K189" i="28"/>
  <c r="K187" i="28"/>
  <c r="K185" i="28"/>
  <c r="K183" i="28"/>
  <c r="K181" i="28"/>
  <c r="K179" i="28"/>
  <c r="K178" i="28"/>
  <c r="K177" i="28"/>
  <c r="K175" i="28"/>
  <c r="K174" i="28"/>
  <c r="K173" i="28"/>
  <c r="K171" i="28"/>
  <c r="K169" i="28"/>
  <c r="K167" i="28"/>
  <c r="K166" i="28"/>
  <c r="K165" i="28"/>
  <c r="K163" i="28"/>
  <c r="K161" i="28"/>
  <c r="K186" i="28" l="1"/>
  <c r="K162" i="28"/>
  <c r="K194" i="28"/>
  <c r="K170" i="28"/>
  <c r="K224" i="28"/>
  <c r="K253" i="28"/>
  <c r="K265" i="28"/>
  <c r="K273" i="28"/>
  <c r="K305" i="28"/>
  <c r="K325" i="28"/>
  <c r="K172" i="28"/>
  <c r="K196" i="28"/>
  <c r="K244" i="28"/>
  <c r="K182" i="28"/>
  <c r="K198" i="28"/>
  <c r="K200" i="28"/>
  <c r="K248" i="28"/>
  <c r="K208" i="28"/>
  <c r="K240" i="28"/>
  <c r="K257" i="28"/>
  <c r="K261" i="28"/>
  <c r="K269" i="28"/>
  <c r="K277" i="28"/>
  <c r="K309" i="28"/>
  <c r="K313" i="28"/>
  <c r="K317" i="28"/>
  <c r="K321" i="28"/>
  <c r="K164" i="28"/>
  <c r="K180" i="28"/>
  <c r="K188" i="28"/>
  <c r="K212" i="28"/>
  <c r="K228" i="28"/>
  <c r="K216" i="28"/>
  <c r="K232" i="28"/>
  <c r="K168" i="28"/>
  <c r="K176" i="28"/>
  <c r="K184" i="28"/>
  <c r="K192" i="28"/>
  <c r="K204" i="28"/>
  <c r="K220" i="28"/>
  <c r="K236" i="28"/>
  <c r="K252" i="28"/>
  <c r="B15" i="28" l="1"/>
  <c r="B16" i="28" l="1"/>
  <c r="B17" i="28" l="1"/>
  <c r="C84" i="36"/>
  <c r="D73" i="36"/>
  <c r="I59" i="36" s="1"/>
  <c r="C73" i="36"/>
  <c r="I58" i="36" s="1"/>
  <c r="E68" i="36"/>
  <c r="K64" i="36"/>
  <c r="J64" i="36"/>
  <c r="G64" i="36"/>
  <c r="F64" i="36"/>
  <c r="C64" i="36"/>
  <c r="K63" i="36"/>
  <c r="J63" i="36"/>
  <c r="G63" i="36"/>
  <c r="F63" i="36"/>
  <c r="C63" i="36"/>
  <c r="F60" i="36"/>
  <c r="H60" i="36" s="1"/>
  <c r="C14" i="36" s="1"/>
  <c r="D14" i="36" s="1"/>
  <c r="D15" i="36" s="1"/>
  <c r="D52" i="36"/>
  <c r="C52" i="36"/>
  <c r="C51" i="36"/>
  <c r="D50" i="36"/>
  <c r="C50" i="36"/>
  <c r="D49" i="36"/>
  <c r="C49" i="36"/>
  <c r="C48" i="36"/>
  <c r="D47" i="36"/>
  <c r="C47" i="36"/>
  <c r="B15" i="36"/>
  <c r="B16" i="36" s="1"/>
  <c r="B17" i="36" s="1"/>
  <c r="B18" i="36" s="1"/>
  <c r="B19" i="36" s="1"/>
  <c r="B20" i="36" s="1"/>
  <c r="B21" i="36" s="1"/>
  <c r="B22" i="36" s="1"/>
  <c r="B23" i="36" s="1"/>
  <c r="B24" i="36" s="1"/>
  <c r="B25" i="36" s="1"/>
  <c r="B26" i="36" s="1"/>
  <c r="B27" i="36" s="1"/>
  <c r="B28" i="36" s="1"/>
  <c r="B29" i="36" s="1"/>
  <c r="B30" i="36" s="1"/>
  <c r="B12" i="36"/>
  <c r="B5" i="36"/>
  <c r="B18" i="28" l="1"/>
  <c r="D16" i="36"/>
  <c r="C85" i="36"/>
  <c r="H64" i="36"/>
  <c r="F65" i="36"/>
  <c r="H63" i="36"/>
  <c r="G58" i="36"/>
  <c r="G59" i="36" s="1"/>
  <c r="I60" i="36"/>
  <c r="E14" i="36" s="1"/>
  <c r="E15" i="36" s="1"/>
  <c r="E16" i="36" s="1"/>
  <c r="B31" i="36"/>
  <c r="B19" i="28" l="1"/>
  <c r="E17" i="36"/>
  <c r="D17" i="36"/>
  <c r="C86" i="36"/>
  <c r="H65" i="36"/>
  <c r="I63" i="36" s="1"/>
  <c r="G60" i="36"/>
  <c r="C82" i="36"/>
  <c r="B32" i="36"/>
  <c r="B20" i="28" l="1"/>
  <c r="I64" i="36"/>
  <c r="K65" i="36" s="1"/>
  <c r="D51" i="36" s="1"/>
  <c r="C87" i="36"/>
  <c r="E18" i="36"/>
  <c r="D78" i="36"/>
  <c r="D18" i="36"/>
  <c r="G65" i="36"/>
  <c r="D48" i="36" s="1"/>
  <c r="C88" i="36"/>
  <c r="B33" i="36"/>
  <c r="I65" i="36" l="1"/>
  <c r="J65" i="36"/>
  <c r="F14" i="36" s="1"/>
  <c r="F15" i="36" s="1"/>
  <c r="F16" i="36" s="1"/>
  <c r="F17" i="36" s="1"/>
  <c r="F18" i="36" s="1"/>
  <c r="G18" i="36" s="1"/>
  <c r="H18" i="36" s="1"/>
  <c r="B21" i="28"/>
  <c r="E19" i="36"/>
  <c r="E20" i="36" s="1"/>
  <c r="D19" i="36"/>
  <c r="B34" i="36"/>
  <c r="C89" i="36"/>
  <c r="B3" i="31"/>
  <c r="G14" i="36" l="1"/>
  <c r="H14" i="36" s="1"/>
  <c r="F19" i="36"/>
  <c r="G19" i="36" s="1"/>
  <c r="H19" i="36" s="1"/>
  <c r="B22" i="28"/>
  <c r="G15" i="36"/>
  <c r="H15" i="36" s="1"/>
  <c r="E21" i="36"/>
  <c r="D20" i="36"/>
  <c r="G16" i="36"/>
  <c r="H16" i="36" s="1"/>
  <c r="B35" i="36"/>
  <c r="C90" i="36"/>
  <c r="F20" i="36" l="1"/>
  <c r="F21" i="36" s="1"/>
  <c r="B23" i="28"/>
  <c r="E22" i="36"/>
  <c r="D21" i="36"/>
  <c r="C91" i="36"/>
  <c r="B36" i="36"/>
  <c r="G17" i="36"/>
  <c r="H17" i="36" s="1"/>
  <c r="G20" i="36" l="1"/>
  <c r="H20" i="36" s="1"/>
  <c r="B24" i="28"/>
  <c r="E23" i="36"/>
  <c r="F22" i="36"/>
  <c r="G21" i="36"/>
  <c r="H21" i="36" s="1"/>
  <c r="D22" i="36"/>
  <c r="B37" i="36"/>
  <c r="F83" i="36"/>
  <c r="B25" i="28" l="1"/>
  <c r="E24" i="36"/>
  <c r="F23" i="36"/>
  <c r="G22" i="36"/>
  <c r="H22" i="36" s="1"/>
  <c r="D23" i="36"/>
  <c r="F84" i="36"/>
  <c r="B38" i="36"/>
  <c r="B26" i="28" l="1"/>
  <c r="E25" i="36"/>
  <c r="G23" i="36"/>
  <c r="H23" i="36" s="1"/>
  <c r="F24" i="36"/>
  <c r="F25" i="36" s="1"/>
  <c r="D24" i="36"/>
  <c r="B39" i="36"/>
  <c r="F85" i="36"/>
  <c r="B27" i="28" l="1"/>
  <c r="E26" i="36"/>
  <c r="F26" i="36"/>
  <c r="G25" i="36"/>
  <c r="D25" i="36"/>
  <c r="F86" i="36"/>
  <c r="B40" i="36"/>
  <c r="B28" i="28" l="1"/>
  <c r="E27" i="36"/>
  <c r="F27" i="36"/>
  <c r="G26" i="36"/>
  <c r="D26" i="36"/>
  <c r="H25" i="36"/>
  <c r="F87" i="36"/>
  <c r="B29" i="28" l="1"/>
  <c r="E28" i="36"/>
  <c r="F28" i="36"/>
  <c r="G27" i="36"/>
  <c r="D27" i="36"/>
  <c r="D28" i="36" s="1"/>
  <c r="H26" i="36"/>
  <c r="F88" i="36"/>
  <c r="B30" i="28" l="1"/>
  <c r="E29" i="36"/>
  <c r="G28" i="36"/>
  <c r="H28" i="36" s="1"/>
  <c r="F29" i="36"/>
  <c r="D29" i="36"/>
  <c r="H27" i="36"/>
  <c r="F89" i="36"/>
  <c r="G24" i="36"/>
  <c r="H24" i="36" s="1"/>
  <c r="B31" i="28" l="1"/>
  <c r="E30" i="36"/>
  <c r="G29" i="36"/>
  <c r="H29" i="36" s="1"/>
  <c r="F30" i="36"/>
  <c r="F90" i="36"/>
  <c r="B32" i="28" l="1"/>
  <c r="E31" i="36"/>
  <c r="F31" i="36"/>
  <c r="G30" i="36"/>
  <c r="D30" i="36"/>
  <c r="D31" i="36" s="1"/>
  <c r="F91" i="36"/>
  <c r="B33" i="28" l="1"/>
  <c r="G31" i="36"/>
  <c r="H31" i="36" s="1"/>
  <c r="E32" i="36"/>
  <c r="F32" i="36"/>
  <c r="D32" i="36"/>
  <c r="H30" i="36"/>
  <c r="I83" i="36"/>
  <c r="B34" i="28" l="1"/>
  <c r="G32" i="36"/>
  <c r="H32" i="36" s="1"/>
  <c r="E33" i="36"/>
  <c r="F33" i="36"/>
  <c r="I84" i="36"/>
  <c r="B35" i="28" l="1"/>
  <c r="E34" i="36"/>
  <c r="G33" i="36"/>
  <c r="F34" i="36"/>
  <c r="D33" i="36"/>
  <c r="I85" i="36"/>
  <c r="B36" i="28" l="1"/>
  <c r="E35" i="36"/>
  <c r="F35" i="36"/>
  <c r="G34" i="36"/>
  <c r="D34" i="36"/>
  <c r="H33" i="36"/>
  <c r="I86" i="36"/>
  <c r="B37" i="28" l="1"/>
  <c r="E36" i="36"/>
  <c r="F36" i="36"/>
  <c r="G35" i="36"/>
  <c r="D35" i="36"/>
  <c r="H34" i="36"/>
  <c r="I87" i="36"/>
  <c r="B38" i="28" l="1"/>
  <c r="E37" i="36"/>
  <c r="G36" i="36"/>
  <c r="D36" i="36"/>
  <c r="H35" i="36"/>
  <c r="I88" i="36"/>
  <c r="B39" i="28" l="1"/>
  <c r="F37" i="36"/>
  <c r="G37" i="36" s="1"/>
  <c r="E38" i="36"/>
  <c r="D37" i="36"/>
  <c r="H36" i="36"/>
  <c r="I89" i="36"/>
  <c r="B40" i="28" l="1"/>
  <c r="F38" i="36"/>
  <c r="G38" i="36" s="1"/>
  <c r="E39" i="36"/>
  <c r="D38" i="36"/>
  <c r="H37" i="36"/>
  <c r="I90" i="36"/>
  <c r="E40" i="36" l="1"/>
  <c r="F39" i="36"/>
  <c r="D39" i="36"/>
  <c r="D40" i="36" s="1"/>
  <c r="H38" i="36"/>
  <c r="I91" i="36"/>
  <c r="G39" i="36" l="1"/>
  <c r="H39" i="36" s="1"/>
  <c r="F40" i="36"/>
  <c r="G40" i="36" s="1"/>
  <c r="H40" i="36" s="1"/>
  <c r="K148" i="28" l="1"/>
  <c r="K147" i="28"/>
  <c r="K146" i="28"/>
  <c r="K145" i="28"/>
  <c r="K144" i="28"/>
  <c r="K143" i="28"/>
  <c r="K141" i="28"/>
  <c r="K140" i="28"/>
  <c r="K139" i="28"/>
  <c r="K138" i="28"/>
  <c r="K137" i="28"/>
  <c r="K142" i="28"/>
  <c r="C64" i="29" l="1"/>
  <c r="C63" i="29"/>
  <c r="C73" i="29"/>
  <c r="E68" i="29"/>
  <c r="K160" i="28" l="1"/>
  <c r="K159" i="28"/>
  <c r="K158" i="28"/>
  <c r="K157" i="28"/>
  <c r="K156" i="28"/>
  <c r="K155" i="28"/>
  <c r="K154" i="28"/>
  <c r="K153" i="28"/>
  <c r="K152" i="28"/>
  <c r="K151" i="28"/>
  <c r="K150" i="28"/>
  <c r="K149" i="28"/>
  <c r="K136" i="28"/>
  <c r="K135" i="28"/>
  <c r="K134" i="28"/>
  <c r="K132" i="28"/>
  <c r="K131" i="28"/>
  <c r="K130" i="28"/>
  <c r="K129" i="28"/>
  <c r="K128" i="28"/>
  <c r="K127" i="28"/>
  <c r="K126" i="28"/>
  <c r="K125" i="28"/>
  <c r="K124" i="28"/>
  <c r="K122" i="28"/>
  <c r="K121" i="28"/>
  <c r="K120" i="28"/>
  <c r="K118" i="28"/>
  <c r="K117" i="28"/>
  <c r="K116" i="28"/>
  <c r="K115" i="28"/>
  <c r="K114" i="28"/>
  <c r="K113" i="28" l="1"/>
  <c r="K119" i="28"/>
  <c r="K123" i="28"/>
  <c r="K133" i="28"/>
  <c r="I59" i="29" l="1"/>
  <c r="I58" i="29"/>
  <c r="F63" i="29"/>
  <c r="K64" i="29"/>
  <c r="J64" i="29"/>
  <c r="G64" i="29"/>
  <c r="F64" i="29"/>
  <c r="K63" i="29"/>
  <c r="J63" i="29"/>
  <c r="G63" i="29"/>
  <c r="H59" i="29"/>
  <c r="F59" i="29"/>
  <c r="H58" i="29"/>
  <c r="D52" i="29"/>
  <c r="C52" i="29"/>
  <c r="C51" i="29"/>
  <c r="C50" i="29"/>
  <c r="D49" i="29"/>
  <c r="C49" i="29"/>
  <c r="C48" i="29"/>
  <c r="D47" i="29"/>
  <c r="C47" i="29"/>
  <c r="B15" i="29"/>
  <c r="B16" i="29" s="1"/>
  <c r="B17" i="29" s="1"/>
  <c r="B18" i="29" s="1"/>
  <c r="B19" i="29" s="1"/>
  <c r="B20" i="29" s="1"/>
  <c r="B21" i="29" s="1"/>
  <c r="B22" i="29" s="1"/>
  <c r="B23" i="29" s="1"/>
  <c r="B24" i="29" s="1"/>
  <c r="B25" i="29" s="1"/>
  <c r="B26" i="29" s="1"/>
  <c r="B27" i="29" s="1"/>
  <c r="B12" i="29"/>
  <c r="B5" i="29"/>
  <c r="B28" i="29" l="1"/>
  <c r="H64" i="29"/>
  <c r="F65" i="29"/>
  <c r="F58" i="29"/>
  <c r="F60" i="29" s="1"/>
  <c r="G58" i="29" s="1"/>
  <c r="H63" i="29"/>
  <c r="B29" i="29" l="1"/>
  <c r="B30" i="29" s="1"/>
  <c r="B31" i="29" s="1"/>
  <c r="H65" i="29"/>
  <c r="D78" i="29" s="1"/>
  <c r="G59" i="29"/>
  <c r="G60" i="29" s="1"/>
  <c r="I60" i="29"/>
  <c r="E14" i="29" s="1"/>
  <c r="E15" i="29" s="1"/>
  <c r="H60" i="29"/>
  <c r="C14" i="29" s="1"/>
  <c r="D14" i="29" s="1"/>
  <c r="D15" i="29" s="1"/>
  <c r="G65" i="29" l="1"/>
  <c r="D48" i="29" s="1"/>
  <c r="I63" i="29"/>
  <c r="B32" i="29"/>
  <c r="I64" i="29" l="1"/>
  <c r="K65" i="29" s="1"/>
  <c r="B33" i="29"/>
  <c r="J65" i="29" l="1"/>
  <c r="F14" i="29" s="1"/>
  <c r="F15" i="29" s="1"/>
  <c r="I65" i="29"/>
  <c r="D51" i="29"/>
  <c r="B34" i="29"/>
  <c r="G14" i="29" l="1"/>
  <c r="H14" i="29" s="1"/>
  <c r="B35" i="29"/>
  <c r="B36" i="29" l="1"/>
  <c r="B37" i="29" l="1"/>
  <c r="B38" i="29" l="1"/>
  <c r="B39" i="29" l="1"/>
  <c r="B40" i="29" l="1"/>
  <c r="C82" i="29" l="1"/>
  <c r="C84" i="29"/>
  <c r="F16" i="29" l="1"/>
  <c r="E16" i="29"/>
  <c r="D16" i="29"/>
  <c r="C85" i="29"/>
  <c r="D17" i="29" l="1"/>
  <c r="E17" i="29"/>
  <c r="F17" i="29"/>
  <c r="C86" i="29"/>
  <c r="G15" i="29"/>
  <c r="H15" i="29" s="1"/>
  <c r="D18" i="29" l="1"/>
  <c r="F18" i="29"/>
  <c r="E18" i="29"/>
  <c r="C87" i="29"/>
  <c r="G16" i="29"/>
  <c r="H16" i="29" s="1"/>
  <c r="D19" i="29" l="1"/>
  <c r="E19" i="29"/>
  <c r="F19" i="29"/>
  <c r="G18" i="29"/>
  <c r="H18" i="29" s="1"/>
  <c r="C88" i="29"/>
  <c r="G17" i="29"/>
  <c r="H17" i="29" s="1"/>
  <c r="K112" i="28"/>
  <c r="K111" i="28"/>
  <c r="K110" i="28"/>
  <c r="K109" i="28"/>
  <c r="K108" i="28"/>
  <c r="K107" i="28"/>
  <c r="K106" i="28"/>
  <c r="K105" i="28"/>
  <c r="K104" i="28"/>
  <c r="K103" i="28"/>
  <c r="K102" i="28"/>
  <c r="K101" i="28"/>
  <c r="K100" i="28"/>
  <c r="K99" i="28"/>
  <c r="K98" i="28"/>
  <c r="K97" i="28"/>
  <c r="K96" i="28"/>
  <c r="K95" i="28"/>
  <c r="K94" i="28"/>
  <c r="K93" i="28"/>
  <c r="K92" i="28"/>
  <c r="K91" i="28"/>
  <c r="K90" i="28"/>
  <c r="K89" i="28"/>
  <c r="K88" i="28"/>
  <c r="K87" i="28"/>
  <c r="K86" i="28"/>
  <c r="K85" i="28"/>
  <c r="K84" i="28"/>
  <c r="K83" i="28"/>
  <c r="K82" i="28"/>
  <c r="K81" i="28"/>
  <c r="K80" i="28"/>
  <c r="K79" i="28"/>
  <c r="K78" i="28"/>
  <c r="K77" i="28"/>
  <c r="K76" i="28"/>
  <c r="K75" i="28"/>
  <c r="K74" i="28"/>
  <c r="K73" i="28"/>
  <c r="K72" i="28"/>
  <c r="K71" i="28"/>
  <c r="K70" i="28"/>
  <c r="K69" i="28"/>
  <c r="K68" i="28"/>
  <c r="K67" i="28"/>
  <c r="K66" i="28"/>
  <c r="K65" i="28"/>
  <c r="K64" i="28"/>
  <c r="K63" i="28"/>
  <c r="K62" i="28"/>
  <c r="K61" i="28"/>
  <c r="K60" i="28"/>
  <c r="K59" i="28"/>
  <c r="K58" i="28"/>
  <c r="K57" i="28"/>
  <c r="K56" i="28"/>
  <c r="K55" i="28"/>
  <c r="K54" i="28"/>
  <c r="K53" i="28"/>
  <c r="K52" i="28"/>
  <c r="K51" i="28"/>
  <c r="K50" i="28"/>
  <c r="K49" i="28"/>
  <c r="K48" i="28"/>
  <c r="K47" i="28"/>
  <c r="K46" i="28"/>
  <c r="K45" i="28"/>
  <c r="K43" i="28"/>
  <c r="K41" i="28"/>
  <c r="K39" i="28"/>
  <c r="K37" i="28"/>
  <c r="K35" i="28"/>
  <c r="K33" i="28"/>
  <c r="K31" i="28"/>
  <c r="K29" i="28"/>
  <c r="K27" i="28"/>
  <c r="K25" i="28"/>
  <c r="K23" i="28"/>
  <c r="K21" i="28"/>
  <c r="K19" i="28"/>
  <c r="K17" i="28"/>
  <c r="D20" i="29" l="1"/>
  <c r="E20" i="29"/>
  <c r="G19" i="29"/>
  <c r="H19" i="29" s="1"/>
  <c r="F20" i="29"/>
  <c r="C89" i="29"/>
  <c r="K18" i="28"/>
  <c r="K20" i="28"/>
  <c r="K22" i="28"/>
  <c r="K24" i="28"/>
  <c r="K26" i="28"/>
  <c r="K28" i="28"/>
  <c r="K30" i="28"/>
  <c r="K32" i="28"/>
  <c r="K34" i="28"/>
  <c r="K36" i="28"/>
  <c r="K38" i="28"/>
  <c r="K40" i="28"/>
  <c r="K42" i="28"/>
  <c r="K44" i="28"/>
  <c r="E14" i="28" l="1"/>
  <c r="E39" i="28"/>
  <c r="D37" i="28"/>
  <c r="E35" i="28"/>
  <c r="E33" i="28"/>
  <c r="E31" i="28"/>
  <c r="D29" i="28"/>
  <c r="E27" i="28"/>
  <c r="E25" i="28"/>
  <c r="E23" i="28"/>
  <c r="D21" i="28"/>
  <c r="E19" i="28"/>
  <c r="E17" i="28"/>
  <c r="E15" i="28"/>
  <c r="D39" i="28"/>
  <c r="E37" i="28"/>
  <c r="D35" i="28"/>
  <c r="D33" i="28"/>
  <c r="D31" i="28"/>
  <c r="E29" i="28"/>
  <c r="D27" i="28"/>
  <c r="D25" i="28"/>
  <c r="D23" i="28"/>
  <c r="E21" i="28"/>
  <c r="D19" i="28"/>
  <c r="D17" i="28"/>
  <c r="D15" i="28"/>
  <c r="E40" i="28"/>
  <c r="E38" i="28"/>
  <c r="E36" i="28"/>
  <c r="E34" i="28"/>
  <c r="E32" i="28"/>
  <c r="E30" i="28"/>
  <c r="E28" i="28"/>
  <c r="E26" i="28"/>
  <c r="E24" i="28"/>
  <c r="E22" i="28"/>
  <c r="D20" i="28"/>
  <c r="E18" i="28"/>
  <c r="E16" i="28"/>
  <c r="D14" i="28"/>
  <c r="D40" i="28"/>
  <c r="D38" i="28"/>
  <c r="D36" i="28"/>
  <c r="D34" i="28"/>
  <c r="D32" i="28"/>
  <c r="D30" i="28"/>
  <c r="D28" i="28"/>
  <c r="I28" i="29" s="1"/>
  <c r="D26" i="28"/>
  <c r="D24" i="28"/>
  <c r="D22" i="28"/>
  <c r="E20" i="28"/>
  <c r="D18" i="28"/>
  <c r="D16" i="28"/>
  <c r="C90" i="29"/>
  <c r="D21" i="29"/>
  <c r="E21" i="29"/>
  <c r="F21" i="29"/>
  <c r="G20" i="29"/>
  <c r="H20" i="29" s="1"/>
  <c r="I40" i="37" l="1"/>
  <c r="I36" i="37"/>
  <c r="I32" i="37"/>
  <c r="I38" i="39"/>
  <c r="I32" i="39"/>
  <c r="I34" i="39"/>
  <c r="I39" i="37"/>
  <c r="I35" i="37"/>
  <c r="I31" i="37"/>
  <c r="I37" i="39"/>
  <c r="I33" i="39"/>
  <c r="I37" i="37"/>
  <c r="I33" i="37"/>
  <c r="I39" i="39"/>
  <c r="I35" i="39"/>
  <c r="I31" i="39"/>
  <c r="I38" i="37"/>
  <c r="I36" i="39"/>
  <c r="I40" i="39"/>
  <c r="I34" i="37"/>
  <c r="I30" i="36"/>
  <c r="I32" i="36"/>
  <c r="I31" i="36"/>
  <c r="I33" i="36"/>
  <c r="I34" i="36"/>
  <c r="I36" i="36"/>
  <c r="I35" i="36"/>
  <c r="I37" i="36"/>
  <c r="I38" i="36"/>
  <c r="I39" i="36"/>
  <c r="I40" i="36"/>
  <c r="C91" i="29"/>
  <c r="E22" i="29"/>
  <c r="D22" i="29"/>
  <c r="G21" i="29"/>
  <c r="H21" i="29" s="1"/>
  <c r="F22" i="29"/>
  <c r="D23" i="29" l="1"/>
  <c r="F83" i="29"/>
  <c r="E23" i="29"/>
  <c r="F23" i="29"/>
  <c r="G22" i="29"/>
  <c r="H22" i="29" s="1"/>
  <c r="F84" i="29"/>
  <c r="E24" i="29" l="1"/>
  <c r="E25" i="29" s="1"/>
  <c r="D24" i="29"/>
  <c r="D25" i="29" s="1"/>
  <c r="G23" i="29"/>
  <c r="H23" i="29" s="1"/>
  <c r="F24" i="29"/>
  <c r="F25" i="29" s="1"/>
  <c r="F85" i="29"/>
  <c r="D26" i="29" l="1"/>
  <c r="F26" i="29"/>
  <c r="G25" i="29"/>
  <c r="H25" i="29" s="1"/>
  <c r="E26" i="29"/>
  <c r="F86" i="29"/>
  <c r="D27" i="29" l="1"/>
  <c r="F27" i="29"/>
  <c r="G26" i="29"/>
  <c r="H26" i="29" s="1"/>
  <c r="E27" i="29"/>
  <c r="G24" i="29"/>
  <c r="H24" i="29" s="1"/>
  <c r="F87" i="29"/>
  <c r="D28" i="29" l="1"/>
  <c r="E28" i="29"/>
  <c r="F28" i="29"/>
  <c r="G27" i="29"/>
  <c r="H27" i="29" s="1"/>
  <c r="F88" i="29"/>
  <c r="D29" i="29" l="1"/>
  <c r="E29" i="29"/>
  <c r="G28" i="29"/>
  <c r="H28" i="29" s="1"/>
  <c r="F29" i="29"/>
  <c r="F89" i="29"/>
  <c r="D30" i="29" l="1"/>
  <c r="E30" i="29"/>
  <c r="G29" i="29"/>
  <c r="H29" i="29" s="1"/>
  <c r="F30" i="29"/>
  <c r="F90" i="29"/>
  <c r="J9" i="31"/>
  <c r="B8" i="31" s="1"/>
  <c r="D31" i="29" l="1"/>
  <c r="G30" i="29"/>
  <c r="H30" i="29" s="1"/>
  <c r="F91" i="29"/>
  <c r="E31" i="29" l="1"/>
  <c r="F31" i="29"/>
  <c r="D32" i="29"/>
  <c r="I83" i="29"/>
  <c r="J8" i="31"/>
  <c r="G31" i="29" l="1"/>
  <c r="H31" i="29" s="1"/>
  <c r="F32" i="29"/>
  <c r="E32" i="29"/>
  <c r="D33" i="29"/>
  <c r="I84" i="29"/>
  <c r="I133" i="31"/>
  <c r="I253" i="31" s="1"/>
  <c r="I25" i="31"/>
  <c r="I14" i="31"/>
  <c r="K9" i="31"/>
  <c r="G32" i="29" l="1"/>
  <c r="H32" i="29" s="1"/>
  <c r="D34" i="29"/>
  <c r="E33" i="29"/>
  <c r="F33" i="29"/>
  <c r="I85" i="29"/>
  <c r="I134" i="31"/>
  <c r="I254" i="31" s="1"/>
  <c r="I145" i="31"/>
  <c r="I26" i="31"/>
  <c r="I15" i="31"/>
  <c r="I37" i="31"/>
  <c r="F34" i="29" l="1"/>
  <c r="E34" i="29"/>
  <c r="G33" i="29"/>
  <c r="H33" i="29" s="1"/>
  <c r="D35" i="29"/>
  <c r="I86" i="29"/>
  <c r="I157" i="31"/>
  <c r="I49" i="31"/>
  <c r="I146" i="31"/>
  <c r="I38" i="31"/>
  <c r="I135" i="31"/>
  <c r="I255" i="31" s="1"/>
  <c r="I27" i="31"/>
  <c r="I16" i="31"/>
  <c r="G34" i="29" l="1"/>
  <c r="H34" i="29" s="1"/>
  <c r="F35" i="29"/>
  <c r="E35" i="29"/>
  <c r="D36" i="29"/>
  <c r="I87" i="29"/>
  <c r="I147" i="31"/>
  <c r="I39" i="31"/>
  <c r="I169" i="31"/>
  <c r="I61" i="31"/>
  <c r="I136" i="31"/>
  <c r="I256" i="31" s="1"/>
  <c r="I17" i="31"/>
  <c r="I28" i="31"/>
  <c r="I158" i="31"/>
  <c r="I50" i="31"/>
  <c r="G35" i="29" l="1"/>
  <c r="H35" i="29" s="1"/>
  <c r="E36" i="29"/>
  <c r="F36" i="29"/>
  <c r="D37" i="29"/>
  <c r="I88" i="29"/>
  <c r="I170" i="31"/>
  <c r="I62" i="31"/>
  <c r="I148" i="31"/>
  <c r="I40" i="31"/>
  <c r="I159" i="31"/>
  <c r="I51" i="31"/>
  <c r="I137" i="31"/>
  <c r="I257" i="31" s="1"/>
  <c r="I29" i="31"/>
  <c r="I18" i="31"/>
  <c r="I181" i="31"/>
  <c r="I73" i="31"/>
  <c r="G36" i="29" l="1"/>
  <c r="H36" i="29" s="1"/>
  <c r="F37" i="29"/>
  <c r="E37" i="29"/>
  <c r="D38" i="29"/>
  <c r="I89" i="29"/>
  <c r="I138" i="31"/>
  <c r="I258" i="31" s="1"/>
  <c r="I19" i="31"/>
  <c r="I30" i="31"/>
  <c r="I182" i="31"/>
  <c r="I74" i="31"/>
  <c r="I193" i="31"/>
  <c r="I85" i="31"/>
  <c r="I149" i="31"/>
  <c r="I41" i="31"/>
  <c r="I171" i="31"/>
  <c r="I63" i="31"/>
  <c r="I160" i="31"/>
  <c r="I52" i="31"/>
  <c r="G37" i="29" l="1"/>
  <c r="H37" i="29" s="1"/>
  <c r="F38" i="29"/>
  <c r="E38" i="29"/>
  <c r="D39" i="29"/>
  <c r="I90" i="29"/>
  <c r="I172" i="31"/>
  <c r="I64" i="31"/>
  <c r="I161" i="31"/>
  <c r="I53" i="31"/>
  <c r="I205" i="31"/>
  <c r="I97" i="31"/>
  <c r="I217" i="31" s="1"/>
  <c r="I150" i="31"/>
  <c r="I42" i="31"/>
  <c r="I183" i="31"/>
  <c r="I75" i="31"/>
  <c r="I194" i="31"/>
  <c r="I86" i="31"/>
  <c r="I139" i="31"/>
  <c r="I259" i="31" s="1"/>
  <c r="I31" i="31"/>
  <c r="I20" i="31"/>
  <c r="G38" i="29" l="1"/>
  <c r="H38" i="29" s="1"/>
  <c r="E39" i="29"/>
  <c r="F39" i="29"/>
  <c r="D40" i="29"/>
  <c r="I91" i="29"/>
  <c r="I151" i="31"/>
  <c r="I43" i="31"/>
  <c r="I195" i="31"/>
  <c r="I87" i="31"/>
  <c r="I162" i="31"/>
  <c r="I54" i="31"/>
  <c r="I109" i="31"/>
  <c r="I229" i="31" s="1"/>
  <c r="I184" i="31"/>
  <c r="I76" i="31"/>
  <c r="I140" i="31"/>
  <c r="I260" i="31" s="1"/>
  <c r="I21" i="31"/>
  <c r="I32" i="31"/>
  <c r="I206" i="31"/>
  <c r="I98" i="31"/>
  <c r="I218" i="31" s="1"/>
  <c r="I173" i="31"/>
  <c r="I65" i="31"/>
  <c r="G39" i="29" l="1"/>
  <c r="H39" i="29" s="1"/>
  <c r="F40" i="29"/>
  <c r="E40" i="29"/>
  <c r="I152" i="31"/>
  <c r="I44" i="31"/>
  <c r="I174" i="31"/>
  <c r="I66" i="31"/>
  <c r="I185" i="31"/>
  <c r="I77" i="31"/>
  <c r="I110" i="31"/>
  <c r="I230" i="31" s="1"/>
  <c r="I141" i="31"/>
  <c r="I261" i="31" s="1"/>
  <c r="I33" i="31"/>
  <c r="I22" i="31"/>
  <c r="I196" i="31"/>
  <c r="I88" i="31"/>
  <c r="I121" i="31"/>
  <c r="I207" i="31"/>
  <c r="I99" i="31"/>
  <c r="I219" i="31" s="1"/>
  <c r="I163" i="31"/>
  <c r="I55" i="31"/>
  <c r="G40" i="29" l="1"/>
  <c r="H40" i="29" s="1"/>
  <c r="I175" i="31"/>
  <c r="I67" i="31"/>
  <c r="I208" i="31"/>
  <c r="I100" i="31"/>
  <c r="I220" i="31" s="1"/>
  <c r="I153" i="31"/>
  <c r="I45" i="31"/>
  <c r="I122" i="31"/>
  <c r="I164" i="31"/>
  <c r="I56" i="31"/>
  <c r="I111" i="31"/>
  <c r="I231" i="31" s="1"/>
  <c r="I241" i="31"/>
  <c r="I142" i="31"/>
  <c r="I262" i="31" s="1"/>
  <c r="I23" i="31"/>
  <c r="I34" i="31"/>
  <c r="I197" i="31"/>
  <c r="I89" i="31"/>
  <c r="I186" i="31"/>
  <c r="I78" i="31"/>
  <c r="I198" i="31" l="1"/>
  <c r="I90" i="31"/>
  <c r="I143" i="31"/>
  <c r="I263" i="31" s="1"/>
  <c r="I35" i="31"/>
  <c r="I24" i="31"/>
  <c r="I123" i="31"/>
  <c r="I242" i="31"/>
  <c r="I187" i="31"/>
  <c r="I79" i="31"/>
  <c r="I209" i="31"/>
  <c r="I101" i="31"/>
  <c r="I221" i="31" s="1"/>
  <c r="I154" i="31"/>
  <c r="I46" i="31"/>
  <c r="I176" i="31"/>
  <c r="I68" i="31"/>
  <c r="I165" i="31"/>
  <c r="I57" i="31"/>
  <c r="I112" i="31"/>
  <c r="I232" i="31" s="1"/>
  <c r="I177" i="31" l="1"/>
  <c r="I69" i="31"/>
  <c r="I188" i="31"/>
  <c r="I80" i="31"/>
  <c r="I113" i="31"/>
  <c r="I233" i="31" s="1"/>
  <c r="I199" i="31"/>
  <c r="I91" i="31"/>
  <c r="I243" i="31"/>
  <c r="I155" i="31"/>
  <c r="I47" i="31"/>
  <c r="I124" i="31"/>
  <c r="I166" i="31"/>
  <c r="I58" i="31"/>
  <c r="I144" i="31"/>
  <c r="I264" i="31" s="1"/>
  <c r="I36" i="31"/>
  <c r="I210" i="31"/>
  <c r="I102" i="31"/>
  <c r="I222" i="31" s="1"/>
  <c r="I114" i="31" l="1"/>
  <c r="I234" i="31" s="1"/>
  <c r="I211" i="31"/>
  <c r="I103" i="31"/>
  <c r="I223" i="31" s="1"/>
  <c r="I189" i="31"/>
  <c r="I81" i="31"/>
  <c r="I156" i="31"/>
  <c r="I48" i="31"/>
  <c r="I178" i="31"/>
  <c r="I70" i="31"/>
  <c r="I244" i="31"/>
  <c r="I167" i="31"/>
  <c r="I59" i="31"/>
  <c r="I125" i="31"/>
  <c r="I200" i="31"/>
  <c r="I92" i="31"/>
  <c r="I212" i="31" l="1"/>
  <c r="I104" i="31"/>
  <c r="I224" i="31" s="1"/>
  <c r="I190" i="31"/>
  <c r="I82" i="31"/>
  <c r="I201" i="31"/>
  <c r="I93" i="31"/>
  <c r="I245" i="31"/>
  <c r="I179" i="31"/>
  <c r="I71" i="31"/>
  <c r="I168" i="31"/>
  <c r="I60" i="31"/>
  <c r="I115" i="31"/>
  <c r="I235" i="31" s="1"/>
  <c r="I126" i="31"/>
  <c r="I127" i="31" l="1"/>
  <c r="I246" i="31"/>
  <c r="I191" i="31"/>
  <c r="I83" i="31"/>
  <c r="I213" i="31"/>
  <c r="I105" i="31"/>
  <c r="I225" i="31" s="1"/>
  <c r="I202" i="31"/>
  <c r="I94" i="31"/>
  <c r="I180" i="31"/>
  <c r="I72" i="31"/>
  <c r="I116" i="31"/>
  <c r="I236" i="31" s="1"/>
  <c r="I117" i="31" l="1"/>
  <c r="I237" i="31" s="1"/>
  <c r="I203" i="31"/>
  <c r="I95" i="31"/>
  <c r="I128" i="31"/>
  <c r="I192" i="31"/>
  <c r="I84" i="31"/>
  <c r="I214" i="31"/>
  <c r="I106" i="31"/>
  <c r="I226" i="31" s="1"/>
  <c r="I247" i="31"/>
  <c r="I118" i="31" l="1"/>
  <c r="I238" i="31" s="1"/>
  <c r="I248" i="31"/>
  <c r="I215" i="31"/>
  <c r="I107" i="31"/>
  <c r="I227" i="31" s="1"/>
  <c r="I204" i="31"/>
  <c r="I96" i="31"/>
  <c r="I129" i="31"/>
  <c r="I249" i="31" l="1"/>
  <c r="I119" i="31"/>
  <c r="I239" i="31" s="1"/>
  <c r="I216" i="31"/>
  <c r="I108" i="31"/>
  <c r="I228" i="31" s="1"/>
  <c r="I130" i="31"/>
  <c r="I250" i="31" l="1"/>
  <c r="I131" i="31"/>
  <c r="I120" i="31"/>
  <c r="I240" i="31" s="1"/>
  <c r="I251" i="31" l="1"/>
  <c r="I132" i="31"/>
  <c r="I252" i="31" l="1"/>
  <c r="D50" i="29" l="1"/>
  <c r="J39" i="39" l="1"/>
  <c r="K39" i="39" s="1"/>
  <c r="J40" i="39"/>
  <c r="K40" i="39" s="1"/>
  <c r="J34" i="39"/>
  <c r="K34" i="39" s="1"/>
  <c r="J31" i="39"/>
  <c r="K31" i="39" s="1"/>
  <c r="J37" i="39"/>
  <c r="K37" i="39" s="1"/>
  <c r="J33" i="39"/>
  <c r="K33" i="39" s="1"/>
  <c r="J38" i="39"/>
  <c r="K38" i="39" s="1"/>
  <c r="J32" i="39"/>
  <c r="K32" i="39" s="1"/>
  <c r="J35" i="39"/>
  <c r="K35" i="39" s="1"/>
  <c r="J36" i="39"/>
  <c r="K36" i="39" s="1"/>
  <c r="J32" i="37"/>
  <c r="K32" i="37" s="1"/>
  <c r="J40" i="36" l="1"/>
  <c r="K40" i="36" s="1"/>
  <c r="J32" i="36"/>
  <c r="K32" i="36" s="1"/>
  <c r="J34" i="37"/>
  <c r="K34" i="37" s="1"/>
  <c r="J34" i="36"/>
  <c r="J39" i="37"/>
  <c r="K39" i="37" s="1"/>
  <c r="J39" i="36"/>
  <c r="K39" i="36" s="1"/>
  <c r="J28" i="29"/>
  <c r="K28" i="29" s="1"/>
  <c r="J37" i="37"/>
  <c r="K37" i="37" s="1"/>
  <c r="J37" i="36"/>
  <c r="J40" i="37"/>
  <c r="K40" i="37" s="1"/>
  <c r="J38" i="37"/>
  <c r="K38" i="37" s="1"/>
  <c r="J38" i="36"/>
  <c r="K38" i="36" s="1"/>
  <c r="J30" i="36"/>
  <c r="J33" i="36"/>
  <c r="J33" i="37"/>
  <c r="K33" i="37" s="1"/>
  <c r="J35" i="36"/>
  <c r="J35" i="37"/>
  <c r="K35" i="37" s="1"/>
  <c r="J31" i="37"/>
  <c r="K31" i="37" s="1"/>
  <c r="J31" i="36"/>
  <c r="J36" i="37"/>
  <c r="K36" i="37" s="1"/>
  <c r="J36" i="36"/>
  <c r="K37" i="36" l="1"/>
  <c r="K36" i="36"/>
  <c r="K33" i="36"/>
  <c r="K30" i="36"/>
  <c r="K31" i="36"/>
  <c r="K34" i="36"/>
  <c r="K35" i="36"/>
  <c r="B59" i="25" l="1"/>
  <c r="M16" i="28" l="1"/>
  <c r="B60" i="25"/>
  <c r="C9" i="28" l="1"/>
  <c r="C29" i="28" l="1"/>
  <c r="I29" i="29" s="1"/>
  <c r="J29" i="29" s="1"/>
  <c r="K29" i="29" s="1"/>
  <c r="C26" i="28"/>
  <c r="C36" i="28"/>
  <c r="I36" i="29" s="1"/>
  <c r="J36" i="29" s="1"/>
  <c r="K36" i="29" s="1"/>
  <c r="C39" i="28"/>
  <c r="I39" i="29" s="1"/>
  <c r="J39" i="29" s="1"/>
  <c r="K39" i="29" s="1"/>
  <c r="C31" i="28"/>
  <c r="I31" i="29" s="1"/>
  <c r="J31" i="29" s="1"/>
  <c r="K31" i="29" s="1"/>
  <c r="C17" i="28"/>
  <c r="C18" i="28"/>
  <c r="C20" i="28"/>
  <c r="C32" i="28"/>
  <c r="I32" i="29" s="1"/>
  <c r="J32" i="29" s="1"/>
  <c r="K32" i="29" s="1"/>
  <c r="C25" i="28"/>
  <c r="C38" i="28"/>
  <c r="I38" i="29" s="1"/>
  <c r="J38" i="29" s="1"/>
  <c r="K38" i="29" s="1"/>
  <c r="C24" i="28"/>
  <c r="C27" i="28"/>
  <c r="I27" i="29" s="1"/>
  <c r="J27" i="29" s="1"/>
  <c r="K27" i="29" s="1"/>
  <c r="C40" i="28"/>
  <c r="I40" i="29" s="1"/>
  <c r="J40" i="29" s="1"/>
  <c r="K40" i="29" s="1"/>
  <c r="C35" i="28"/>
  <c r="I35" i="29" s="1"/>
  <c r="J35" i="29" s="1"/>
  <c r="K35" i="29" s="1"/>
  <c r="C16" i="28"/>
  <c r="C34" i="28"/>
  <c r="I34" i="29" s="1"/>
  <c r="J34" i="29" s="1"/>
  <c r="K34" i="29" s="1"/>
  <c r="C22" i="28"/>
  <c r="C14" i="28"/>
  <c r="C19" i="28"/>
  <c r="C15" i="28"/>
  <c r="C33" i="28"/>
  <c r="I33" i="29" s="1"/>
  <c r="J33" i="29" s="1"/>
  <c r="K33" i="29" s="1"/>
  <c r="C30" i="28"/>
  <c r="I30" i="29" s="1"/>
  <c r="J30" i="29" s="1"/>
  <c r="K30" i="29" s="1"/>
  <c r="C37" i="28"/>
  <c r="I37" i="29" s="1"/>
  <c r="J37" i="29" s="1"/>
  <c r="K37" i="29" s="1"/>
  <c r="C28" i="28"/>
  <c r="C21" i="28"/>
  <c r="C23" i="28"/>
  <c r="J13" i="31" l="1"/>
  <c r="B13" i="25" s="1"/>
  <c r="B14" i="31"/>
  <c r="L16" i="31"/>
  <c r="O13" i="25" l="1"/>
  <c r="B14" i="25"/>
  <c r="L17" i="31"/>
  <c r="L18" i="31" s="1"/>
  <c r="L19" i="31" s="1"/>
  <c r="L20" i="31" s="1"/>
  <c r="L21" i="31" s="1"/>
  <c r="L22" i="31" s="1"/>
  <c r="L23" i="31" s="1"/>
  <c r="L24" i="31" s="1"/>
  <c r="L25" i="31" s="1"/>
  <c r="L26" i="31" s="1"/>
  <c r="L27" i="31" s="1"/>
  <c r="L28" i="31" s="1"/>
  <c r="L29" i="31" s="1"/>
  <c r="L30" i="31" s="1"/>
  <c r="L31" i="31" s="1"/>
  <c r="L32" i="31" s="1"/>
  <c r="L33" i="31" s="1"/>
  <c r="L34" i="31" s="1"/>
  <c r="L35" i="31" s="1"/>
  <c r="L36" i="31" s="1"/>
  <c r="J14" i="31"/>
  <c r="B15" i="31"/>
  <c r="AJ13" i="25" l="1"/>
  <c r="AK13" i="25"/>
  <c r="AG13" i="25"/>
  <c r="AC13" i="25"/>
  <c r="BL13" i="25"/>
  <c r="BM13" i="25" s="1"/>
  <c r="BN13" i="25" s="1"/>
  <c r="AI13" i="25"/>
  <c r="AH13" i="25"/>
  <c r="AD13" i="25"/>
  <c r="B15" i="25"/>
  <c r="O14" i="25"/>
  <c r="B16" i="31"/>
  <c r="J15" i="31"/>
  <c r="AF13" i="25"/>
  <c r="AP13" i="25"/>
  <c r="AO13" i="25"/>
  <c r="AV13" i="25"/>
  <c r="AT13" i="25"/>
  <c r="AU13" i="25"/>
  <c r="AS13" i="25"/>
  <c r="AN13" i="25"/>
  <c r="AQ13" i="25"/>
  <c r="AW13" i="25"/>
  <c r="AR13" i="25"/>
  <c r="AG14" i="25" l="1"/>
  <c r="AF14" i="25"/>
  <c r="AB14" i="25"/>
  <c r="BL14" i="25"/>
  <c r="BM14" i="25" s="1"/>
  <c r="BN14" i="25" s="1"/>
  <c r="AK14" i="25"/>
  <c r="AC14" i="25"/>
  <c r="AH14" i="25"/>
  <c r="AD14" i="25"/>
  <c r="AE14" i="25"/>
  <c r="AJ14" i="25"/>
  <c r="AI14" i="25"/>
  <c r="AE13" i="25"/>
  <c r="BA13" i="25"/>
  <c r="AB13" i="25"/>
  <c r="BG13" i="25"/>
  <c r="J16" i="31"/>
  <c r="B17" i="31"/>
  <c r="BF13" i="25"/>
  <c r="BE13" i="25"/>
  <c r="BD13" i="25"/>
  <c r="AV14" i="25"/>
  <c r="AN14" i="25"/>
  <c r="AP14" i="25"/>
  <c r="AO14" i="25"/>
  <c r="AQ14" i="25"/>
  <c r="AU14" i="25"/>
  <c r="AS14" i="25"/>
  <c r="AR14" i="25"/>
  <c r="AW14" i="25"/>
  <c r="AT14" i="25"/>
  <c r="BH13" i="25"/>
  <c r="BB13" i="25"/>
  <c r="BI13" i="25"/>
  <c r="B16" i="25"/>
  <c r="O15" i="25"/>
  <c r="AI15" i="25" l="1"/>
  <c r="AH15" i="25"/>
  <c r="AD15" i="25"/>
  <c r="AK15" i="25"/>
  <c r="AC15" i="25"/>
  <c r="BI14" i="25"/>
  <c r="BF14" i="25"/>
  <c r="BL15" i="25"/>
  <c r="BM15" i="25" s="1"/>
  <c r="AJ15" i="25"/>
  <c r="AF15" i="25"/>
  <c r="AE15" i="25"/>
  <c r="AG15" i="25"/>
  <c r="BH14" i="25"/>
  <c r="BE14" i="25"/>
  <c r="BD14" i="25"/>
  <c r="BG14" i="25"/>
  <c r="BA14" i="25"/>
  <c r="BB14" i="25"/>
  <c r="O16" i="25"/>
  <c r="B17" i="25"/>
  <c r="AQ15" i="25"/>
  <c r="AW15" i="25"/>
  <c r="AV15" i="25"/>
  <c r="AP15" i="25"/>
  <c r="AU15" i="25"/>
  <c r="AT15" i="25"/>
  <c r="AO15" i="25"/>
  <c r="AR15" i="25"/>
  <c r="AN15" i="25"/>
  <c r="AS15" i="25"/>
  <c r="B18" i="31"/>
  <c r="J17" i="31"/>
  <c r="AZ13" i="25"/>
  <c r="AZ14" i="25"/>
  <c r="BC13" i="25"/>
  <c r="BC14" i="25"/>
  <c r="AH16" i="25" l="1"/>
  <c r="AG16" i="25"/>
  <c r="AC16" i="25"/>
  <c r="AJ16" i="25"/>
  <c r="AI16" i="25"/>
  <c r="BD15" i="25"/>
  <c r="AB15" i="25"/>
  <c r="AZ15" i="25" s="1"/>
  <c r="BL16" i="25"/>
  <c r="BM16" i="25" s="1"/>
  <c r="AD16" i="25"/>
  <c r="AE16" i="25"/>
  <c r="AB16" i="25"/>
  <c r="AF16" i="25"/>
  <c r="BE15" i="25"/>
  <c r="BF15" i="25"/>
  <c r="BI15" i="25"/>
  <c r="BB15" i="25"/>
  <c r="BC15" i="25"/>
  <c r="BJ14" i="25"/>
  <c r="C14" i="25" s="1"/>
  <c r="BA15" i="25"/>
  <c r="BJ13" i="25"/>
  <c r="C13" i="25" s="1"/>
  <c r="BH15" i="25"/>
  <c r="BG15" i="25"/>
  <c r="J18" i="31"/>
  <c r="B19" i="31"/>
  <c r="B18" i="25"/>
  <c r="O17" i="25"/>
  <c r="AS16" i="25"/>
  <c r="AW16" i="25"/>
  <c r="AP16" i="25"/>
  <c r="AK16" i="25"/>
  <c r="AV16" i="25"/>
  <c r="AT16" i="25"/>
  <c r="AQ16" i="25"/>
  <c r="AU16" i="25"/>
  <c r="AN16" i="25"/>
  <c r="AO16" i="25"/>
  <c r="AR16" i="25"/>
  <c r="AF17" i="25" l="1"/>
  <c r="AB17" i="25"/>
  <c r="AI17" i="25"/>
  <c r="AE17" i="25"/>
  <c r="AK17" i="25"/>
  <c r="AG17" i="25"/>
  <c r="AC17" i="25"/>
  <c r="BL17" i="25"/>
  <c r="BM17" i="25" s="1"/>
  <c r="AJ17" i="25"/>
  <c r="AH17" i="25"/>
  <c r="AD17" i="25"/>
  <c r="BG16" i="25"/>
  <c r="AZ16" i="25"/>
  <c r="BH16" i="25"/>
  <c r="BC16" i="25"/>
  <c r="BJ15" i="25"/>
  <c r="BA16" i="25"/>
  <c r="BI16" i="25"/>
  <c r="BB16" i="25"/>
  <c r="BD16" i="25"/>
  <c r="BE16" i="25"/>
  <c r="BF16" i="25"/>
  <c r="AP17" i="25"/>
  <c r="AV17" i="25"/>
  <c r="AQ17" i="25"/>
  <c r="AS17" i="25"/>
  <c r="AW17" i="25"/>
  <c r="AU17" i="25"/>
  <c r="AO17" i="25"/>
  <c r="AR17" i="25"/>
  <c r="AT17" i="25"/>
  <c r="AN17" i="25"/>
  <c r="O18" i="25"/>
  <c r="B19" i="25"/>
  <c r="B20" i="31"/>
  <c r="J19" i="31"/>
  <c r="AK18" i="25" l="1"/>
  <c r="AG18" i="25"/>
  <c r="AC18" i="25"/>
  <c r="AJ18" i="25"/>
  <c r="AB18" i="25"/>
  <c r="BL18" i="25"/>
  <c r="BM18" i="25" s="1"/>
  <c r="AH18" i="25"/>
  <c r="AF18" i="25"/>
  <c r="AI18" i="25"/>
  <c r="BE17" i="25"/>
  <c r="BF17" i="25"/>
  <c r="BJ16" i="25"/>
  <c r="AZ17" i="25"/>
  <c r="BB17" i="25"/>
  <c r="BD17" i="25"/>
  <c r="BG17" i="25"/>
  <c r="BA17" i="25"/>
  <c r="BI17" i="25"/>
  <c r="BC17" i="25"/>
  <c r="BH17" i="25"/>
  <c r="J20" i="31"/>
  <c r="B21" i="31"/>
  <c r="B20" i="25"/>
  <c r="O19" i="25"/>
  <c r="AS18" i="25"/>
  <c r="AQ18" i="25"/>
  <c r="AN18" i="25"/>
  <c r="AW18" i="25"/>
  <c r="AE18" i="25"/>
  <c r="AO18" i="25"/>
  <c r="AT18" i="25"/>
  <c r="AU18" i="25"/>
  <c r="AP18" i="25"/>
  <c r="AV18" i="25"/>
  <c r="AD18" i="25"/>
  <c r="AR18" i="25"/>
  <c r="AJ19" i="25" l="1"/>
  <c r="AF19" i="25"/>
  <c r="AI19" i="25"/>
  <c r="AE19" i="25"/>
  <c r="AH19" i="25"/>
  <c r="AK19" i="25"/>
  <c r="AG19" i="25"/>
  <c r="BB18" i="25"/>
  <c r="BD18" i="25"/>
  <c r="BL19" i="25"/>
  <c r="BM19" i="25" s="1"/>
  <c r="AB19" i="25"/>
  <c r="AD19" i="25"/>
  <c r="AC19" i="25"/>
  <c r="BH18" i="25"/>
  <c r="BF18" i="25"/>
  <c r="BE18" i="25"/>
  <c r="BJ17" i="25"/>
  <c r="BG18" i="25"/>
  <c r="AZ18" i="25"/>
  <c r="BC18" i="25"/>
  <c r="BA18" i="25"/>
  <c r="BI18" i="25"/>
  <c r="AU19" i="25"/>
  <c r="AW19" i="25"/>
  <c r="AT19" i="25"/>
  <c r="AN19" i="25"/>
  <c r="AR19" i="25"/>
  <c r="AQ19" i="25"/>
  <c r="AV19" i="25"/>
  <c r="AO19" i="25"/>
  <c r="AP19" i="25"/>
  <c r="AS19" i="25"/>
  <c r="O20" i="25"/>
  <c r="B21" i="25"/>
  <c r="J21" i="31"/>
  <c r="B22" i="31"/>
  <c r="AH20" i="25" l="1"/>
  <c r="AD20" i="25"/>
  <c r="AK20" i="25"/>
  <c r="AG20" i="25"/>
  <c r="AC20" i="25"/>
  <c r="AB20" i="25"/>
  <c r="AI20" i="25"/>
  <c r="AE20" i="25"/>
  <c r="BI19" i="25"/>
  <c r="BH19" i="25"/>
  <c r="BL20" i="25"/>
  <c r="BM20" i="25" s="1"/>
  <c r="AF20" i="25"/>
  <c r="AJ20" i="25"/>
  <c r="BB19" i="25"/>
  <c r="BD19" i="25"/>
  <c r="BE19" i="25"/>
  <c r="AZ19" i="25"/>
  <c r="BF19" i="25"/>
  <c r="BA19" i="25"/>
  <c r="BC19" i="25"/>
  <c r="BG19" i="25"/>
  <c r="BJ18" i="25"/>
  <c r="J22" i="31"/>
  <c r="B23" i="31"/>
  <c r="O21" i="25"/>
  <c r="B22" i="25"/>
  <c r="AN20" i="25"/>
  <c r="AR20" i="25"/>
  <c r="AT20" i="25"/>
  <c r="AQ20" i="25"/>
  <c r="AP20" i="25"/>
  <c r="AS20" i="25"/>
  <c r="AW20" i="25"/>
  <c r="AO20" i="25"/>
  <c r="AU20" i="25"/>
  <c r="AV20" i="25"/>
  <c r="AJ21" i="25" l="1"/>
  <c r="AI21" i="25"/>
  <c r="AE21" i="25"/>
  <c r="AK21" i="25"/>
  <c r="AG21" i="25"/>
  <c r="BL21" i="25"/>
  <c r="BM21" i="25" s="1"/>
  <c r="AB21" i="25"/>
  <c r="AH21" i="25"/>
  <c r="AD21" i="25"/>
  <c r="BE20" i="25"/>
  <c r="BC20" i="25"/>
  <c r="BF20" i="25"/>
  <c r="BD20" i="25"/>
  <c r="BI20" i="25"/>
  <c r="BH20" i="25"/>
  <c r="AZ20" i="25"/>
  <c r="BG20" i="25"/>
  <c r="BB20" i="25"/>
  <c r="BA20" i="25"/>
  <c r="BJ19" i="25"/>
  <c r="AF21" i="25"/>
  <c r="AS21" i="25"/>
  <c r="AV21" i="25"/>
  <c r="AP21" i="25"/>
  <c r="AO21" i="25"/>
  <c r="AQ21" i="25"/>
  <c r="AU21" i="25"/>
  <c r="AT21" i="25"/>
  <c r="AC21" i="25"/>
  <c r="AW21" i="25"/>
  <c r="AN21" i="25"/>
  <c r="AR21" i="25"/>
  <c r="J23" i="31"/>
  <c r="B24" i="31"/>
  <c r="O22" i="25"/>
  <c r="B23" i="25"/>
  <c r="AH22" i="25" l="1"/>
  <c r="AK22" i="25"/>
  <c r="AG22" i="25"/>
  <c r="AF22" i="25"/>
  <c r="AB22" i="25"/>
  <c r="BI21" i="25"/>
  <c r="BL22" i="25"/>
  <c r="BM22" i="25" s="1"/>
  <c r="AC22" i="25"/>
  <c r="AD22" i="25"/>
  <c r="AJ22" i="25"/>
  <c r="AI22" i="25"/>
  <c r="AE22" i="25"/>
  <c r="AZ21" i="25"/>
  <c r="BF21" i="25"/>
  <c r="BC21" i="25"/>
  <c r="BB21" i="25"/>
  <c r="BG21" i="25"/>
  <c r="BH21" i="25"/>
  <c r="BD21" i="25"/>
  <c r="BE21" i="25"/>
  <c r="BJ20" i="25"/>
  <c r="BA21" i="25"/>
  <c r="O23" i="25"/>
  <c r="B24" i="25"/>
  <c r="AT22" i="25"/>
  <c r="AU22" i="25"/>
  <c r="AP22" i="25"/>
  <c r="AW22" i="25"/>
  <c r="AO22" i="25"/>
  <c r="AS22" i="25"/>
  <c r="AV22" i="25"/>
  <c r="AN22" i="25"/>
  <c r="AQ22" i="25"/>
  <c r="AR22" i="25"/>
  <c r="J24" i="31"/>
  <c r="B25" i="31"/>
  <c r="AD23" i="25" l="1"/>
  <c r="AK23" i="25"/>
  <c r="AG23" i="25"/>
  <c r="BD22" i="25"/>
  <c r="BL23" i="25"/>
  <c r="BM23" i="25" s="1"/>
  <c r="AJ23" i="25"/>
  <c r="AF23" i="25"/>
  <c r="AB23" i="25"/>
  <c r="AI23" i="25"/>
  <c r="AE23" i="25"/>
  <c r="AC23" i="25"/>
  <c r="AH23" i="25"/>
  <c r="AZ22" i="25"/>
  <c r="BG22" i="25"/>
  <c r="BC22" i="25"/>
  <c r="BH22" i="25"/>
  <c r="BJ21" i="25"/>
  <c r="BE22" i="25"/>
  <c r="BA22" i="25"/>
  <c r="BI22" i="25"/>
  <c r="BF22" i="25"/>
  <c r="BB22" i="25"/>
  <c r="O24" i="25"/>
  <c r="B25" i="25"/>
  <c r="B26" i="31"/>
  <c r="J25" i="31"/>
  <c r="AR23" i="25"/>
  <c r="AN23" i="25"/>
  <c r="AS23" i="25"/>
  <c r="AO23" i="25"/>
  <c r="AT23" i="25"/>
  <c r="AQ23" i="25"/>
  <c r="AW23" i="25"/>
  <c r="AU23" i="25"/>
  <c r="AP23" i="25"/>
  <c r="AV23" i="25"/>
  <c r="AG24" i="25" l="1"/>
  <c r="AC24" i="25"/>
  <c r="AB24" i="25"/>
  <c r="AI24" i="25"/>
  <c r="BL24" i="25"/>
  <c r="BM24" i="25" s="1"/>
  <c r="AH24" i="25"/>
  <c r="AD24" i="25"/>
  <c r="AK24" i="25"/>
  <c r="AF24" i="25"/>
  <c r="AJ24" i="25"/>
  <c r="AE24" i="25"/>
  <c r="BC23" i="25"/>
  <c r="BH23" i="25"/>
  <c r="BD23" i="25"/>
  <c r="BF23" i="25"/>
  <c r="BG23" i="25"/>
  <c r="AZ23" i="25"/>
  <c r="BJ22" i="25"/>
  <c r="BI23" i="25"/>
  <c r="BB23" i="25"/>
  <c r="BA23" i="25"/>
  <c r="BE23" i="25"/>
  <c r="J26" i="31"/>
  <c r="B27" i="31"/>
  <c r="B26" i="25"/>
  <c r="O25" i="25"/>
  <c r="AV24" i="25"/>
  <c r="AO24" i="25"/>
  <c r="AQ24" i="25"/>
  <c r="AT24" i="25"/>
  <c r="AN24" i="25"/>
  <c r="AR24" i="25"/>
  <c r="AW24" i="25"/>
  <c r="AU24" i="25"/>
  <c r="AP24" i="25"/>
  <c r="AS24" i="25"/>
  <c r="AJ25" i="25" l="1"/>
  <c r="AI25" i="25"/>
  <c r="AD25" i="25"/>
  <c r="AK25" i="25"/>
  <c r="AG25" i="25"/>
  <c r="BI24" i="25"/>
  <c r="BL25" i="25"/>
  <c r="BM25" i="25" s="1"/>
  <c r="AE25" i="25"/>
  <c r="AF25" i="25"/>
  <c r="AB25" i="25"/>
  <c r="AC25" i="25"/>
  <c r="AH25" i="25"/>
  <c r="BJ23" i="25"/>
  <c r="BD24" i="25"/>
  <c r="AZ24" i="25"/>
  <c r="BA24" i="25"/>
  <c r="BE24" i="25"/>
  <c r="BF24" i="25"/>
  <c r="BH24" i="25"/>
  <c r="BG24" i="25"/>
  <c r="BB24" i="25"/>
  <c r="BC24" i="25"/>
  <c r="AV25" i="25"/>
  <c r="AW25" i="25"/>
  <c r="AR25" i="25"/>
  <c r="AP25" i="25"/>
  <c r="AQ25" i="25"/>
  <c r="AN25" i="25"/>
  <c r="AT25" i="25"/>
  <c r="AS25" i="25"/>
  <c r="AU25" i="25"/>
  <c r="AO25" i="25"/>
  <c r="B27" i="25"/>
  <c r="O26" i="25"/>
  <c r="B28" i="31"/>
  <c r="J27" i="31"/>
  <c r="AH26" i="25" l="1"/>
  <c r="AG26" i="25"/>
  <c r="AF26" i="25"/>
  <c r="AB26" i="25"/>
  <c r="BA25" i="25"/>
  <c r="BE25" i="25"/>
  <c r="BL26" i="25"/>
  <c r="BM26" i="25" s="1"/>
  <c r="AD26" i="25"/>
  <c r="AK26" i="25"/>
  <c r="AE26" i="25"/>
  <c r="AJ26" i="25"/>
  <c r="AI26" i="25"/>
  <c r="BF25" i="25"/>
  <c r="AZ25" i="25"/>
  <c r="BI25" i="25"/>
  <c r="BD25" i="25"/>
  <c r="BJ24" i="25"/>
  <c r="BG25" i="25"/>
  <c r="BC25" i="25"/>
  <c r="BH25" i="25"/>
  <c r="BB25" i="25"/>
  <c r="AR26" i="25"/>
  <c r="AO26" i="25"/>
  <c r="AU26" i="25"/>
  <c r="AV26" i="25"/>
  <c r="AQ26" i="25"/>
  <c r="AT26" i="25"/>
  <c r="AP26" i="25"/>
  <c r="AC26" i="25"/>
  <c r="AN26" i="25"/>
  <c r="AS26" i="25"/>
  <c r="AW26" i="25"/>
  <c r="B29" i="31"/>
  <c r="J28" i="31"/>
  <c r="B28" i="25"/>
  <c r="O27" i="25"/>
  <c r="AF27" i="25" l="1"/>
  <c r="AB27" i="25"/>
  <c r="AI27" i="25"/>
  <c r="AH27" i="25"/>
  <c r="AD27" i="25"/>
  <c r="AK27" i="25"/>
  <c r="AC27" i="25"/>
  <c r="BG26" i="25"/>
  <c r="BE26" i="25"/>
  <c r="BL27" i="25"/>
  <c r="BM27" i="25" s="1"/>
  <c r="AJ27" i="25"/>
  <c r="AE27" i="25"/>
  <c r="AG27" i="25"/>
  <c r="BB26" i="25"/>
  <c r="BI26" i="25"/>
  <c r="BJ25" i="25"/>
  <c r="BH26" i="25"/>
  <c r="AZ26" i="25"/>
  <c r="BF26" i="25"/>
  <c r="BC26" i="25"/>
  <c r="BA26" i="25"/>
  <c r="BD26" i="25"/>
  <c r="B29" i="25"/>
  <c r="O28" i="25"/>
  <c r="AS27" i="25"/>
  <c r="AV27" i="25"/>
  <c r="AN27" i="25"/>
  <c r="AW27" i="25"/>
  <c r="AP27" i="25"/>
  <c r="AT27" i="25"/>
  <c r="AQ27" i="25"/>
  <c r="AU27" i="25"/>
  <c r="AR27" i="25"/>
  <c r="AO27" i="25"/>
  <c r="B30" i="31"/>
  <c r="J29" i="31"/>
  <c r="AD28" i="25" l="1"/>
  <c r="AG28" i="25"/>
  <c r="AJ28" i="25"/>
  <c r="AB28" i="25"/>
  <c r="AE28" i="25"/>
  <c r="BF27" i="25"/>
  <c r="BD27" i="25"/>
  <c r="BL28" i="25"/>
  <c r="BM28" i="25" s="1"/>
  <c r="AK28" i="25"/>
  <c r="AH28" i="25"/>
  <c r="AC28" i="25"/>
  <c r="AI28" i="25"/>
  <c r="AF28" i="25"/>
  <c r="BI27" i="25"/>
  <c r="BB27" i="25"/>
  <c r="BE27" i="25"/>
  <c r="BA27" i="25"/>
  <c r="BJ26" i="25"/>
  <c r="BG27" i="25"/>
  <c r="AZ27" i="25"/>
  <c r="BC27" i="25"/>
  <c r="BH27" i="25"/>
  <c r="B31" i="31"/>
  <c r="J30" i="31"/>
  <c r="AT28" i="25"/>
  <c r="AW28" i="25"/>
  <c r="AO28" i="25"/>
  <c r="AP28" i="25"/>
  <c r="AR28" i="25"/>
  <c r="AQ28" i="25"/>
  <c r="AS28" i="25"/>
  <c r="AN28" i="25"/>
  <c r="AU28" i="25"/>
  <c r="AV28" i="25"/>
  <c r="B30" i="25"/>
  <c r="O29" i="25"/>
  <c r="AF29" i="25" l="1"/>
  <c r="AI29" i="25"/>
  <c r="AD29" i="25"/>
  <c r="AK29" i="25"/>
  <c r="BG28" i="25"/>
  <c r="BC28" i="25"/>
  <c r="BL29" i="25"/>
  <c r="BM29" i="25" s="1"/>
  <c r="AJ29" i="25"/>
  <c r="AB29" i="25"/>
  <c r="AH29" i="25"/>
  <c r="AG29" i="25"/>
  <c r="AC29" i="25"/>
  <c r="BI28" i="25"/>
  <c r="BE28" i="25"/>
  <c r="BH28" i="25"/>
  <c r="BA28" i="25"/>
  <c r="BJ27" i="25"/>
  <c r="AZ28" i="25"/>
  <c r="BD28" i="25"/>
  <c r="BB28" i="25"/>
  <c r="BF28" i="25"/>
  <c r="B31" i="25"/>
  <c r="O30" i="25"/>
  <c r="AP29" i="25"/>
  <c r="AS29" i="25"/>
  <c r="AQ29" i="25"/>
  <c r="AE29" i="25"/>
  <c r="AR29" i="25"/>
  <c r="AO29" i="25"/>
  <c r="AV29" i="25"/>
  <c r="AN29" i="25"/>
  <c r="AW29" i="25"/>
  <c r="AT29" i="25"/>
  <c r="AU29" i="25"/>
  <c r="B32" i="31"/>
  <c r="J31" i="31"/>
  <c r="AD30" i="25" l="1"/>
  <c r="AK30" i="25"/>
  <c r="AG30" i="25"/>
  <c r="AC30" i="25"/>
  <c r="AJ30" i="25"/>
  <c r="AF30" i="25"/>
  <c r="AB30" i="25"/>
  <c r="AE30" i="25"/>
  <c r="BI29" i="25"/>
  <c r="BF29" i="25"/>
  <c r="BL30" i="25"/>
  <c r="BM30" i="25" s="1"/>
  <c r="AH30" i="25"/>
  <c r="AI30" i="25"/>
  <c r="AZ29" i="25"/>
  <c r="BA29" i="25"/>
  <c r="BD29" i="25"/>
  <c r="BH29" i="25"/>
  <c r="BC29" i="25"/>
  <c r="BE29" i="25"/>
  <c r="BJ28" i="25"/>
  <c r="BG29" i="25"/>
  <c r="BB29" i="25"/>
  <c r="AT30" i="25"/>
  <c r="AU30" i="25"/>
  <c r="AV30" i="25"/>
  <c r="AQ30" i="25"/>
  <c r="AS30" i="25"/>
  <c r="AP30" i="25"/>
  <c r="AW30" i="25"/>
  <c r="AN30" i="25"/>
  <c r="AO30" i="25"/>
  <c r="AR30" i="25"/>
  <c r="B33" i="31"/>
  <c r="J32" i="31"/>
  <c r="B32" i="25"/>
  <c r="O31" i="25"/>
  <c r="B33" i="25" l="1"/>
  <c r="AE31" i="25"/>
  <c r="AH31" i="25"/>
  <c r="AD31" i="25"/>
  <c r="AG31" i="25"/>
  <c r="AC31" i="25"/>
  <c r="BI30" i="25"/>
  <c r="BL31" i="25"/>
  <c r="BM31" i="25" s="1"/>
  <c r="AI31" i="25"/>
  <c r="AJ31" i="25"/>
  <c r="AB31" i="25"/>
  <c r="AK31" i="25"/>
  <c r="AZ30" i="25"/>
  <c r="BB30" i="25"/>
  <c r="BG30" i="25"/>
  <c r="BA30" i="25"/>
  <c r="BC30" i="25"/>
  <c r="BJ29" i="25"/>
  <c r="BH30" i="25"/>
  <c r="BE30" i="25"/>
  <c r="BD30" i="25"/>
  <c r="BF30" i="25"/>
  <c r="O32" i="25"/>
  <c r="J33" i="31"/>
  <c r="B34" i="31"/>
  <c r="AF31" i="25"/>
  <c r="AO31" i="25"/>
  <c r="AP31" i="25"/>
  <c r="AS31" i="25"/>
  <c r="AN31" i="25"/>
  <c r="AT31" i="25"/>
  <c r="AQ31" i="25"/>
  <c r="AU31" i="25"/>
  <c r="AR31" i="25"/>
  <c r="AV31" i="25"/>
  <c r="AW31" i="25"/>
  <c r="O33" i="25" l="1"/>
  <c r="AH32" i="25"/>
  <c r="AD32" i="25"/>
  <c r="AK32" i="25"/>
  <c r="AG32" i="25"/>
  <c r="AC32" i="25"/>
  <c r="AF32" i="25"/>
  <c r="AB32" i="25"/>
  <c r="AI32" i="25"/>
  <c r="AE32" i="25"/>
  <c r="BH31" i="25"/>
  <c r="BL32" i="25"/>
  <c r="BM32" i="25" s="1"/>
  <c r="AJ32" i="25"/>
  <c r="BJ30" i="25"/>
  <c r="BI31" i="25"/>
  <c r="BG31" i="25"/>
  <c r="BF31" i="25"/>
  <c r="BE31" i="25"/>
  <c r="BD31" i="25"/>
  <c r="BC31" i="25"/>
  <c r="BB31" i="25"/>
  <c r="AZ31" i="25"/>
  <c r="BA31" i="25"/>
  <c r="B35" i="31"/>
  <c r="J34" i="31"/>
  <c r="AP32" i="25"/>
  <c r="AO32" i="25"/>
  <c r="AU32" i="25"/>
  <c r="AT32" i="25"/>
  <c r="AN32" i="25"/>
  <c r="AS32" i="25"/>
  <c r="AQ32" i="25"/>
  <c r="AW32" i="25"/>
  <c r="AR32" i="25"/>
  <c r="AV32" i="25"/>
  <c r="AB33" i="25" l="1"/>
  <c r="AI33" i="25"/>
  <c r="AK33" i="25"/>
  <c r="BI33" i="25" s="1"/>
  <c r="AC33" i="25"/>
  <c r="AF33" i="25"/>
  <c r="AH33" i="25"/>
  <c r="AT33" i="25"/>
  <c r="AW33" i="25"/>
  <c r="AD33" i="25"/>
  <c r="BL33" i="25"/>
  <c r="BM33" i="25" s="1"/>
  <c r="AV33" i="25"/>
  <c r="AR33" i="25"/>
  <c r="AQ33" i="25"/>
  <c r="AN33" i="25"/>
  <c r="AS33" i="25"/>
  <c r="AJ33" i="25"/>
  <c r="AE33" i="25"/>
  <c r="AG33" i="25"/>
  <c r="AU33" i="25"/>
  <c r="AP33" i="25"/>
  <c r="AO33" i="25"/>
  <c r="BC32" i="25"/>
  <c r="BG32" i="25"/>
  <c r="BI32" i="25"/>
  <c r="BD32" i="25"/>
  <c r="BH32" i="25"/>
  <c r="BF32" i="25"/>
  <c r="BB32" i="25"/>
  <c r="BJ31" i="25"/>
  <c r="BE32" i="25"/>
  <c r="AZ32" i="25"/>
  <c r="BA32" i="25"/>
  <c r="B36" i="31"/>
  <c r="J35" i="31"/>
  <c r="BG33" i="25" l="1"/>
  <c r="BC33" i="25"/>
  <c r="AZ33" i="25"/>
  <c r="BE33" i="25"/>
  <c r="BB33" i="25"/>
  <c r="BH33" i="25"/>
  <c r="BD33" i="25"/>
  <c r="BF33" i="25"/>
  <c r="BA33" i="25"/>
  <c r="A63" i="25"/>
  <c r="A62" i="25"/>
  <c r="BJ32" i="25"/>
  <c r="J36" i="31"/>
  <c r="B37" i="31"/>
  <c r="BJ33" i="25" l="1"/>
  <c r="B38" i="31"/>
  <c r="J37" i="31"/>
  <c r="B39" i="31" l="1"/>
  <c r="J38" i="31"/>
  <c r="J39" i="31" l="1"/>
  <c r="B40" i="31"/>
  <c r="B41" i="31" l="1"/>
  <c r="J40" i="31"/>
  <c r="J41" i="31" l="1"/>
  <c r="B42" i="31"/>
  <c r="J42" i="31" l="1"/>
  <c r="B43" i="31"/>
  <c r="B44" i="31" l="1"/>
  <c r="J43" i="31"/>
  <c r="J44" i="31" l="1"/>
  <c r="B45" i="31"/>
  <c r="B46" i="31" l="1"/>
  <c r="J45" i="31"/>
  <c r="J46" i="31" l="1"/>
  <c r="B47" i="31"/>
  <c r="J47" i="31" l="1"/>
  <c r="B48" i="31"/>
  <c r="B49" i="31" l="1"/>
  <c r="J48" i="31"/>
  <c r="B50" i="31" l="1"/>
  <c r="J49" i="31"/>
  <c r="B51" i="31" l="1"/>
  <c r="J50" i="31"/>
  <c r="J51" i="31" l="1"/>
  <c r="B52" i="31"/>
  <c r="J52" i="31" l="1"/>
  <c r="B53" i="31"/>
  <c r="B54" i="31" l="1"/>
  <c r="J53" i="31"/>
  <c r="J54" i="31" l="1"/>
  <c r="B55" i="31"/>
  <c r="J55" i="31" l="1"/>
  <c r="B56" i="31"/>
  <c r="B57" i="31" l="1"/>
  <c r="J56" i="31"/>
  <c r="J57" i="31" l="1"/>
  <c r="B58" i="31"/>
  <c r="J58" i="31" l="1"/>
  <c r="B59" i="31"/>
  <c r="B60" i="31" l="1"/>
  <c r="J59" i="31"/>
  <c r="J60" i="31" l="1"/>
  <c r="B61" i="31"/>
  <c r="J61" i="31" l="1"/>
  <c r="B62" i="31"/>
  <c r="J62" i="31" l="1"/>
  <c r="B63" i="31"/>
  <c r="B64" i="31" l="1"/>
  <c r="J63" i="31"/>
  <c r="J64" i="31" l="1"/>
  <c r="B65" i="31"/>
  <c r="J65" i="31" l="1"/>
  <c r="B66" i="31"/>
  <c r="J66" i="31" l="1"/>
  <c r="B67" i="31"/>
  <c r="J67" i="31" l="1"/>
  <c r="B68" i="31"/>
  <c r="J68" i="31" l="1"/>
  <c r="B69" i="31"/>
  <c r="J69" i="31" l="1"/>
  <c r="B70" i="31"/>
  <c r="J70" i="31" l="1"/>
  <c r="B71" i="31"/>
  <c r="J71" i="31" l="1"/>
  <c r="B72" i="31"/>
  <c r="B73" i="31" l="1"/>
  <c r="J72" i="31"/>
  <c r="J73" i="31" l="1"/>
  <c r="B74" i="31"/>
  <c r="J74" i="31" l="1"/>
  <c r="B75" i="31"/>
  <c r="B76" i="31" l="1"/>
  <c r="J75" i="31"/>
  <c r="J76" i="31" l="1"/>
  <c r="B77" i="31"/>
  <c r="J77" i="31" l="1"/>
  <c r="B78" i="31"/>
  <c r="J78" i="31" l="1"/>
  <c r="B79" i="31"/>
  <c r="J79" i="31" l="1"/>
  <c r="B80" i="31"/>
  <c r="J80" i="31" l="1"/>
  <c r="B81" i="31"/>
  <c r="J81" i="31" l="1"/>
  <c r="B82" i="31"/>
  <c r="J82" i="31" l="1"/>
  <c r="B83" i="31"/>
  <c r="J83" i="31" l="1"/>
  <c r="B84" i="31"/>
  <c r="J84" i="31" l="1"/>
  <c r="B85" i="31"/>
  <c r="B86" i="31" l="1"/>
  <c r="J85" i="31"/>
  <c r="B87" i="31" l="1"/>
  <c r="J86" i="31"/>
  <c r="J87" i="31" l="1"/>
  <c r="B88" i="31"/>
  <c r="J88" i="31" l="1"/>
  <c r="B89" i="31"/>
  <c r="B90" i="31" l="1"/>
  <c r="J89" i="31"/>
  <c r="B91" i="31" l="1"/>
  <c r="J90" i="31"/>
  <c r="J91" i="31" l="1"/>
  <c r="B92" i="31"/>
  <c r="J92" i="31" l="1"/>
  <c r="B93" i="31"/>
  <c r="B94" i="31" l="1"/>
  <c r="J93" i="31"/>
  <c r="J94" i="31" l="1"/>
  <c r="B95" i="31"/>
  <c r="J95" i="31" l="1"/>
  <c r="B96" i="31"/>
  <c r="J96" i="31" l="1"/>
  <c r="B97" i="31"/>
  <c r="B98" i="31" l="1"/>
  <c r="J97" i="31"/>
  <c r="J98" i="31" l="1"/>
  <c r="B99" i="31"/>
  <c r="J99" i="31" l="1"/>
  <c r="B100" i="31"/>
  <c r="J100" i="31" l="1"/>
  <c r="B101" i="31"/>
  <c r="J101" i="31" l="1"/>
  <c r="B102" i="31"/>
  <c r="J102" i="31" l="1"/>
  <c r="B103" i="31"/>
  <c r="J103" i="31" l="1"/>
  <c r="B104" i="31"/>
  <c r="J104" i="31" l="1"/>
  <c r="B105" i="31"/>
  <c r="B106" i="31" l="1"/>
  <c r="J105" i="31"/>
  <c r="J106" i="31" l="1"/>
  <c r="B107" i="31"/>
  <c r="B108" i="31" l="1"/>
  <c r="J107" i="31"/>
  <c r="J108" i="31" l="1"/>
  <c r="B109" i="31"/>
  <c r="B110" i="31" l="1"/>
  <c r="J109" i="31"/>
  <c r="J110" i="31" l="1"/>
  <c r="B111" i="31"/>
  <c r="J111" i="31" l="1"/>
  <c r="B112" i="31"/>
  <c r="B113" i="31" l="1"/>
  <c r="J112" i="31"/>
  <c r="J113" i="31" l="1"/>
  <c r="B114" i="31"/>
  <c r="B115" i="31" l="1"/>
  <c r="J114" i="31"/>
  <c r="J115" i="31" l="1"/>
  <c r="B116" i="31"/>
  <c r="J116" i="31" l="1"/>
  <c r="B117" i="31"/>
  <c r="J117" i="31" l="1"/>
  <c r="B118" i="31"/>
  <c r="J118" i="31" l="1"/>
  <c r="B119" i="31"/>
  <c r="B120" i="31" l="1"/>
  <c r="J119" i="31"/>
  <c r="J120" i="31" l="1"/>
  <c r="B121" i="31"/>
  <c r="J121" i="31" l="1"/>
  <c r="B122" i="31"/>
  <c r="J122" i="31" l="1"/>
  <c r="B123" i="31"/>
  <c r="B124" i="31" l="1"/>
  <c r="J123" i="31"/>
  <c r="J124" i="31" l="1"/>
  <c r="B125" i="31"/>
  <c r="J125" i="31" l="1"/>
  <c r="B126" i="31"/>
  <c r="B127" i="31" l="1"/>
  <c r="J126" i="31"/>
  <c r="J127" i="31" l="1"/>
  <c r="B128" i="31"/>
  <c r="B129" i="31" l="1"/>
  <c r="J128" i="31"/>
  <c r="J129" i="31" l="1"/>
  <c r="B130" i="31"/>
  <c r="B131" i="31" l="1"/>
  <c r="J130" i="31"/>
  <c r="J131" i="31" l="1"/>
  <c r="B132" i="31"/>
  <c r="J132" i="31" l="1"/>
  <c r="B133" i="31"/>
  <c r="J133" i="31" l="1"/>
  <c r="B134" i="31"/>
  <c r="B135" i="31" l="1"/>
  <c r="J134" i="31"/>
  <c r="J135" i="31" l="1"/>
  <c r="B136" i="31"/>
  <c r="J136" i="31" l="1"/>
  <c r="B137" i="31"/>
  <c r="J137" i="31" l="1"/>
  <c r="B138" i="31"/>
  <c r="J138" i="31" l="1"/>
  <c r="B139" i="31"/>
  <c r="J139" i="31" l="1"/>
  <c r="B140" i="31"/>
  <c r="J140" i="31" l="1"/>
  <c r="B141" i="31"/>
  <c r="J141" i="31" l="1"/>
  <c r="B142" i="31"/>
  <c r="B143" i="31" l="1"/>
  <c r="J142" i="31"/>
  <c r="J143" i="31" l="1"/>
  <c r="B144" i="31"/>
  <c r="J144" i="31" l="1"/>
  <c r="B145" i="31"/>
  <c r="B146" i="31" l="1"/>
  <c r="J145" i="31"/>
  <c r="J146" i="31" l="1"/>
  <c r="B147" i="31"/>
  <c r="J147" i="31" l="1"/>
  <c r="B148" i="31"/>
  <c r="B149" i="31" l="1"/>
  <c r="J148" i="31"/>
  <c r="B150" i="31" l="1"/>
  <c r="J149" i="31"/>
  <c r="B151" i="31" l="1"/>
  <c r="J150" i="31"/>
  <c r="J151" i="31" l="1"/>
  <c r="B152" i="31"/>
  <c r="J152" i="31" l="1"/>
  <c r="B153" i="31"/>
  <c r="J153" i="31" l="1"/>
  <c r="B154" i="31"/>
  <c r="J154" i="31" l="1"/>
  <c r="B155" i="31"/>
  <c r="B156" i="31" l="1"/>
  <c r="J155" i="31"/>
  <c r="J156" i="31" l="1"/>
  <c r="B157" i="31"/>
  <c r="J157" i="31" l="1"/>
  <c r="B158" i="31"/>
  <c r="J158" i="31" l="1"/>
  <c r="B159" i="31"/>
  <c r="B160" i="31" l="1"/>
  <c r="J159" i="31"/>
  <c r="J160" i="31" l="1"/>
  <c r="B161" i="31"/>
  <c r="B162" i="31" l="1"/>
  <c r="J161" i="31"/>
  <c r="J162" i="31" l="1"/>
  <c r="B163" i="31"/>
  <c r="B164" i="31" l="1"/>
  <c r="J163" i="31"/>
  <c r="B165" i="31" l="1"/>
  <c r="J164" i="31"/>
  <c r="J165" i="31" l="1"/>
  <c r="B166" i="31"/>
  <c r="J166" i="31" l="1"/>
  <c r="B167" i="31"/>
  <c r="B168" i="31" l="1"/>
  <c r="J167" i="31"/>
  <c r="J168" i="31" l="1"/>
  <c r="B169" i="31"/>
  <c r="J169" i="31" l="1"/>
  <c r="B170" i="31"/>
  <c r="B171" i="31" l="1"/>
  <c r="J170" i="31"/>
  <c r="J171" i="31" l="1"/>
  <c r="B172" i="31"/>
  <c r="B173" i="31" l="1"/>
  <c r="J172" i="31"/>
  <c r="J173" i="31" l="1"/>
  <c r="B174" i="31"/>
  <c r="J174" i="31" l="1"/>
  <c r="B175" i="31"/>
  <c r="B176" i="31" l="1"/>
  <c r="J175" i="31"/>
  <c r="J176" i="31" l="1"/>
  <c r="B177" i="31"/>
  <c r="J177" i="31" l="1"/>
  <c r="B178" i="31"/>
  <c r="J178" i="31" l="1"/>
  <c r="B179" i="31"/>
  <c r="J179" i="31" l="1"/>
  <c r="B180" i="31"/>
  <c r="J180" i="31" l="1"/>
  <c r="B181" i="31"/>
  <c r="B182" i="31" l="1"/>
  <c r="J181" i="31"/>
  <c r="J182" i="31" l="1"/>
  <c r="B183" i="31"/>
  <c r="B184" i="31" l="1"/>
  <c r="J183" i="31"/>
  <c r="J184" i="31" l="1"/>
  <c r="B185" i="31"/>
  <c r="B186" i="31" l="1"/>
  <c r="J185" i="31"/>
  <c r="J186" i="31" l="1"/>
  <c r="B187" i="31"/>
  <c r="J187" i="31" l="1"/>
  <c r="B188" i="31"/>
  <c r="B189" i="31" l="1"/>
  <c r="J188" i="31"/>
  <c r="J189" i="31" l="1"/>
  <c r="B190" i="31"/>
  <c r="J190" i="31" l="1"/>
  <c r="B191" i="31"/>
  <c r="B192" i="31" l="1"/>
  <c r="J191" i="31"/>
  <c r="J192" i="31" l="1"/>
  <c r="B193" i="31"/>
  <c r="B194" i="31" l="1"/>
  <c r="J193" i="31"/>
  <c r="J194" i="31" l="1"/>
  <c r="B195" i="31"/>
  <c r="B196" i="31" l="1"/>
  <c r="J195" i="31"/>
  <c r="J196" i="31" l="1"/>
  <c r="B197" i="31"/>
  <c r="J197" i="31" l="1"/>
  <c r="B198" i="31"/>
  <c r="J198" i="31" l="1"/>
  <c r="B199" i="31"/>
  <c r="J199" i="31" l="1"/>
  <c r="B200" i="31"/>
  <c r="J200" i="31" l="1"/>
  <c r="B201" i="31"/>
  <c r="J201" i="31" l="1"/>
  <c r="B202" i="31"/>
  <c r="J202" i="31" l="1"/>
  <c r="B203" i="31"/>
  <c r="J203" i="31" l="1"/>
  <c r="B204" i="31"/>
  <c r="B205" i="31" l="1"/>
  <c r="J204" i="31"/>
  <c r="J205" i="31" l="1"/>
  <c r="B206" i="31"/>
  <c r="J206" i="31" l="1"/>
  <c r="B207" i="31"/>
  <c r="B208" i="31" l="1"/>
  <c r="J207" i="31"/>
  <c r="J208" i="31" l="1"/>
  <c r="B209" i="31"/>
  <c r="J209" i="31" l="1"/>
  <c r="B210" i="31"/>
  <c r="B211" i="31" l="1"/>
  <c r="J210" i="31"/>
  <c r="J211" i="31" l="1"/>
  <c r="B212" i="31"/>
  <c r="J212" i="31" l="1"/>
  <c r="B213" i="31"/>
  <c r="B214" i="31" l="1"/>
  <c r="J213" i="31"/>
  <c r="J214" i="31" l="1"/>
  <c r="B215" i="31"/>
  <c r="J215" i="31" l="1"/>
  <c r="B216" i="31"/>
  <c r="B217" i="31" s="1"/>
  <c r="B218" i="31" l="1"/>
  <c r="J217" i="31"/>
  <c r="J216" i="31"/>
  <c r="B219" i="31" l="1"/>
  <c r="J218" i="31"/>
  <c r="J219" i="31" l="1"/>
  <c r="B220" i="31"/>
  <c r="J220" i="31" l="1"/>
  <c r="B221" i="31"/>
  <c r="B222" i="31" l="1"/>
  <c r="J221" i="31"/>
  <c r="B223" i="31" l="1"/>
  <c r="J222" i="31"/>
  <c r="J223" i="31" l="1"/>
  <c r="B224" i="31"/>
  <c r="J224" i="31" l="1"/>
  <c r="B225" i="31"/>
  <c r="B226" i="31" l="1"/>
  <c r="J225" i="31"/>
  <c r="B227" i="31" l="1"/>
  <c r="J226" i="31"/>
  <c r="J227" i="31" l="1"/>
  <c r="B228" i="31"/>
  <c r="J228" i="31" l="1"/>
  <c r="B229" i="31"/>
  <c r="B230" i="31" l="1"/>
  <c r="J229" i="31"/>
  <c r="B231" i="31" l="1"/>
  <c r="J230" i="31"/>
  <c r="B232" i="31" l="1"/>
  <c r="J231" i="31"/>
  <c r="J232" i="31" l="1"/>
  <c r="B233" i="31"/>
  <c r="B234" i="31" l="1"/>
  <c r="J233" i="31"/>
  <c r="B235" i="31" l="1"/>
  <c r="J234" i="31"/>
  <c r="B236" i="31" l="1"/>
  <c r="J235" i="31"/>
  <c r="J236" i="31" l="1"/>
  <c r="B237" i="31"/>
  <c r="J237" i="31" l="1"/>
  <c r="B238" i="31"/>
  <c r="B239" i="31" l="1"/>
  <c r="J238" i="31"/>
  <c r="B240" i="31" l="1"/>
  <c r="J240" i="31" s="1"/>
  <c r="J239" i="31"/>
  <c r="B241" i="31" l="1"/>
  <c r="B242" i="31" l="1"/>
  <c r="J241" i="31"/>
  <c r="J242" i="31" l="1"/>
  <c r="B243" i="31"/>
  <c r="B244" i="31" l="1"/>
  <c r="J243" i="31"/>
  <c r="J244" i="31" l="1"/>
  <c r="B245" i="31"/>
  <c r="B246" i="31" l="1"/>
  <c r="J245" i="31"/>
  <c r="J246" i="31" l="1"/>
  <c r="B247" i="31"/>
  <c r="J247" i="31" l="1"/>
  <c r="B248" i="31"/>
  <c r="B249" i="31" l="1"/>
  <c r="J248" i="31"/>
  <c r="J249" i="31" l="1"/>
  <c r="B250" i="31"/>
  <c r="J250" i="31" l="1"/>
  <c r="B251" i="31"/>
  <c r="B252" i="31" l="1"/>
  <c r="J251" i="31"/>
  <c r="B253" i="31" l="1"/>
  <c r="J252" i="31"/>
  <c r="B254" i="31" l="1"/>
  <c r="J253" i="31"/>
  <c r="B266" i="31"/>
  <c r="J254" i="31" l="1"/>
  <c r="B255" i="31"/>
  <c r="J255" i="31" l="1"/>
  <c r="B256" i="31"/>
  <c r="J256" i="31" l="1"/>
  <c r="B257" i="31"/>
  <c r="J257" i="31" l="1"/>
  <c r="B258" i="31"/>
  <c r="J258" i="31" l="1"/>
  <c r="B259" i="31"/>
  <c r="J259" i="31" l="1"/>
  <c r="B260" i="31"/>
  <c r="J260" i="31" l="1"/>
  <c r="B261" i="31"/>
  <c r="B262" i="31" l="1"/>
  <c r="J261" i="31"/>
  <c r="J262" i="31" l="1"/>
  <c r="B263" i="31"/>
  <c r="J263" i="31" l="1"/>
  <c r="B264" i="31"/>
  <c r="J264" i="31" l="1"/>
  <c r="BN16" i="25" l="1"/>
  <c r="C16" i="25" s="1"/>
  <c r="BN15" i="25" l="1"/>
  <c r="C15" i="25" s="1"/>
  <c r="BN17" i="25" l="1"/>
  <c r="C17" i="25" s="1"/>
  <c r="BN18" i="25" l="1"/>
  <c r="C18" i="25" s="1"/>
  <c r="BN19" i="25" l="1"/>
  <c r="C19" i="25" s="1"/>
  <c r="BN20" i="25" l="1"/>
  <c r="C20" i="25" s="1"/>
  <c r="BN21" i="25" l="1"/>
  <c r="C21" i="25" s="1"/>
  <c r="BN22" i="25" l="1"/>
  <c r="C22" i="25" s="1"/>
  <c r="BN23" i="25" l="1"/>
  <c r="C23" i="25" s="1"/>
  <c r="BN24" i="25" l="1"/>
  <c r="C24" i="25" s="1"/>
  <c r="BN25" i="25" l="1"/>
  <c r="C25" i="25" s="1"/>
  <c r="BN26" i="25" l="1"/>
  <c r="C26" i="25" s="1"/>
  <c r="BN27" i="25" l="1"/>
  <c r="C27" i="25" s="1"/>
  <c r="BN28" i="25" l="1"/>
  <c r="C28" i="25" s="1"/>
  <c r="BN29" i="25" l="1"/>
  <c r="C29" i="25" s="1"/>
  <c r="BN30" i="25" l="1"/>
  <c r="C30" i="25" s="1"/>
  <c r="BN31" i="25" l="1"/>
  <c r="BN32" i="25" l="1"/>
  <c r="C32" i="25" s="1"/>
  <c r="BN33" i="25" l="1"/>
  <c r="C31" i="25" l="1"/>
  <c r="C33" i="25"/>
  <c r="K161" i="31" l="1"/>
  <c r="D161" i="31"/>
  <c r="O27" i="31"/>
  <c r="K145" i="31"/>
  <c r="D145" i="31"/>
  <c r="K190" i="31"/>
  <c r="D190" i="31"/>
  <c r="K154" i="31"/>
  <c r="D154" i="31"/>
  <c r="K144" i="31"/>
  <c r="D144" i="31"/>
  <c r="K155" i="31"/>
  <c r="D155" i="31"/>
  <c r="K187" i="31"/>
  <c r="D187" i="31"/>
  <c r="O33" i="31"/>
  <c r="K217" i="31"/>
  <c r="D217" i="31"/>
  <c r="K194" i="31"/>
  <c r="D194" i="31"/>
  <c r="K158" i="31"/>
  <c r="D158" i="31"/>
  <c r="K152" i="31"/>
  <c r="D152" i="31"/>
  <c r="O29" i="31"/>
  <c r="K169" i="31"/>
  <c r="D169" i="31"/>
  <c r="K156" i="31"/>
  <c r="D156" i="31"/>
  <c r="K215" i="31"/>
  <c r="D215" i="31"/>
  <c r="K188" i="31"/>
  <c r="D188" i="31"/>
  <c r="K199" i="31"/>
  <c r="D199" i="31"/>
  <c r="K173" i="31"/>
  <c r="D173" i="31"/>
  <c r="K206" i="31"/>
  <c r="D206" i="31"/>
  <c r="K153" i="31"/>
  <c r="D153" i="31"/>
  <c r="K224" i="31"/>
  <c r="D224" i="31"/>
  <c r="K165" i="31"/>
  <c r="D165" i="31"/>
  <c r="K138" i="31"/>
  <c r="D138" i="31"/>
  <c r="K233" i="31"/>
  <c r="K140" i="31"/>
  <c r="D140" i="31"/>
  <c r="O28" i="31"/>
  <c r="K157" i="31"/>
  <c r="D157" i="31"/>
  <c r="K214" i="31"/>
  <c r="D214" i="31"/>
  <c r="K146" i="31"/>
  <c r="D146" i="31"/>
  <c r="K143" i="31"/>
  <c r="D143" i="31"/>
  <c r="K139" i="31"/>
  <c r="D139" i="31"/>
  <c r="K164" i="31"/>
  <c r="D164" i="31"/>
  <c r="K167" i="31"/>
  <c r="D167" i="31"/>
  <c r="K237" i="31"/>
  <c r="K202" i="31"/>
  <c r="D202" i="31"/>
  <c r="K186" i="31"/>
  <c r="D186" i="31"/>
  <c r="O31" i="31"/>
  <c r="K193" i="31"/>
  <c r="D193" i="31"/>
  <c r="K185" i="31"/>
  <c r="D185" i="31"/>
  <c r="K159" i="31"/>
  <c r="D159" i="31"/>
  <c r="K200" i="31"/>
  <c r="D200" i="31"/>
  <c r="K171" i="31"/>
  <c r="D171" i="31"/>
  <c r="K147" i="31"/>
  <c r="D147" i="31"/>
  <c r="K216" i="31"/>
  <c r="D216" i="31"/>
  <c r="K178" i="31"/>
  <c r="D178" i="31"/>
  <c r="K222" i="31"/>
  <c r="D222" i="31"/>
  <c r="K179" i="31"/>
  <c r="D179" i="31"/>
  <c r="K197" i="31"/>
  <c r="D197" i="31"/>
  <c r="K239" i="31"/>
  <c r="K141" i="31"/>
  <c r="D141" i="31"/>
  <c r="K205" i="31"/>
  <c r="O32" i="31"/>
  <c r="D205" i="31"/>
  <c r="K180" i="31"/>
  <c r="D180" i="31"/>
  <c r="K181" i="31"/>
  <c r="O30" i="31"/>
  <c r="D181" i="31"/>
  <c r="K207" i="31"/>
  <c r="D207" i="31"/>
  <c r="K196" i="31"/>
  <c r="D196" i="31"/>
  <c r="K135" i="31"/>
  <c r="D135" i="31"/>
  <c r="K137" i="31"/>
  <c r="D137" i="31"/>
  <c r="D230" i="31"/>
  <c r="K229" i="31"/>
  <c r="O34" i="31"/>
  <c r="D229" i="31"/>
  <c r="K209" i="31"/>
  <c r="D209" i="31"/>
  <c r="K142" i="31"/>
  <c r="D142" i="31"/>
  <c r="K176" i="31"/>
  <c r="D176" i="31"/>
  <c r="K160" i="31"/>
  <c r="D160" i="31"/>
  <c r="K230" i="31"/>
  <c r="K203" i="31"/>
  <c r="D203" i="31"/>
  <c r="K213" i="31"/>
  <c r="D213" i="31"/>
  <c r="K212" i="31"/>
  <c r="D212" i="31"/>
  <c r="K210" i="31"/>
  <c r="D210" i="31"/>
  <c r="K235" i="31"/>
  <c r="K198" i="31"/>
  <c r="D198" i="31"/>
  <c r="K189" i="31"/>
  <c r="D189" i="31"/>
  <c r="K150" i="31"/>
  <c r="D150" i="31"/>
  <c r="K223" i="31"/>
  <c r="D223" i="31"/>
  <c r="K240" i="31"/>
  <c r="K163" i="31"/>
  <c r="D163" i="31"/>
  <c r="K174" i="31"/>
  <c r="D174" i="31"/>
  <c r="K236" i="31"/>
  <c r="K136" i="31"/>
  <c r="D136" i="31"/>
  <c r="K177" i="31"/>
  <c r="D177" i="31"/>
  <c r="K166" i="31"/>
  <c r="D166" i="31"/>
  <c r="K218" i="31"/>
  <c r="D218" i="31"/>
  <c r="K211" i="31"/>
  <c r="D211" i="31"/>
  <c r="K204" i="31"/>
  <c r="D204" i="31"/>
  <c r="K234" i="31"/>
  <c r="K220" i="31"/>
  <c r="D220" i="31"/>
  <c r="K149" i="31"/>
  <c r="D149" i="31"/>
  <c r="K191" i="31"/>
  <c r="D191" i="31"/>
  <c r="K226" i="31"/>
  <c r="D226" i="31"/>
  <c r="K172" i="31"/>
  <c r="D172" i="31"/>
  <c r="K184" i="31"/>
  <c r="D184" i="31"/>
  <c r="K192" i="31"/>
  <c r="D192" i="31"/>
  <c r="K162" i="31"/>
  <c r="D162" i="31"/>
  <c r="K201" i="31"/>
  <c r="D201" i="31"/>
  <c r="K228" i="31"/>
  <c r="D228" i="31"/>
  <c r="K134" i="31"/>
  <c r="D134" i="31"/>
  <c r="K227" i="31"/>
  <c r="D227" i="31"/>
  <c r="K151" i="31"/>
  <c r="D151" i="31"/>
  <c r="K225" i="31"/>
  <c r="D225" i="31"/>
  <c r="K175" i="31"/>
  <c r="D175" i="31"/>
  <c r="K170" i="31"/>
  <c r="D170" i="31"/>
  <c r="K219" i="31"/>
  <c r="D219" i="31"/>
  <c r="K168" i="31"/>
  <c r="D168" i="31"/>
  <c r="K232" i="31"/>
  <c r="K133" i="31"/>
  <c r="O26" i="31"/>
  <c r="D133" i="31"/>
  <c r="K208" i="31"/>
  <c r="D208" i="31"/>
  <c r="K231" i="31"/>
  <c r="K183" i="31"/>
  <c r="D183" i="31"/>
  <c r="K238" i="31"/>
  <c r="K182" i="31"/>
  <c r="D182" i="31"/>
  <c r="K221" i="31"/>
  <c r="D221" i="31"/>
  <c r="K148" i="31"/>
  <c r="D148" i="31"/>
  <c r="K195" i="31"/>
  <c r="D195" i="31"/>
  <c r="N26" i="31" l="1"/>
  <c r="D233" i="31"/>
  <c r="D238" i="31"/>
  <c r="D231" i="31"/>
  <c r="D232" i="31"/>
  <c r="K250" i="31"/>
  <c r="N32" i="31"/>
  <c r="N29" i="31"/>
  <c r="K246" i="31"/>
  <c r="D236" i="31"/>
  <c r="K252" i="31"/>
  <c r="K247" i="31"/>
  <c r="K242" i="31"/>
  <c r="N30" i="31"/>
  <c r="K251" i="31"/>
  <c r="N31" i="31"/>
  <c r="K249" i="31"/>
  <c r="N33" i="31"/>
  <c r="N27" i="31"/>
  <c r="O35" i="31"/>
  <c r="K241" i="31"/>
  <c r="D241" i="31"/>
  <c r="N28" i="31"/>
  <c r="K243" i="31"/>
  <c r="K244" i="31"/>
  <c r="D234" i="31"/>
  <c r="K248" i="31"/>
  <c r="D240" i="31"/>
  <c r="D235" i="31"/>
  <c r="D239" i="31"/>
  <c r="D237" i="31"/>
  <c r="K245" i="31"/>
  <c r="R33" i="31" l="1"/>
  <c r="R29" i="31"/>
  <c r="R26" i="31"/>
  <c r="R32" i="31"/>
  <c r="R28" i="31"/>
  <c r="R30" i="31"/>
  <c r="R27" i="31"/>
  <c r="R31" i="31"/>
  <c r="N34" i="31"/>
  <c r="D252" i="31"/>
  <c r="D245" i="31"/>
  <c r="K260" i="31"/>
  <c r="D260" i="31"/>
  <c r="D244" i="31"/>
  <c r="K263" i="31"/>
  <c r="D263" i="31"/>
  <c r="K262" i="31"/>
  <c r="D262" i="31"/>
  <c r="K255" i="31"/>
  <c r="D255" i="31"/>
  <c r="K261" i="31"/>
  <c r="D261" i="31"/>
  <c r="D242" i="31"/>
  <c r="D247" i="31"/>
  <c r="K258" i="31"/>
  <c r="D258" i="31"/>
  <c r="K257" i="31"/>
  <c r="D257" i="31"/>
  <c r="D248" i="31"/>
  <c r="K256" i="31"/>
  <c r="D256" i="31"/>
  <c r="O36" i="31"/>
  <c r="K253" i="31"/>
  <c r="D253" i="31"/>
  <c r="D251" i="31"/>
  <c r="D250" i="31"/>
  <c r="D243" i="31"/>
  <c r="D249" i="31"/>
  <c r="K254" i="31"/>
  <c r="D254" i="31"/>
  <c r="K259" i="31"/>
  <c r="D259" i="31"/>
  <c r="K264" i="31"/>
  <c r="D264" i="31"/>
  <c r="D246" i="31"/>
  <c r="R34" i="31" l="1"/>
  <c r="N35" i="31"/>
  <c r="N36" i="31"/>
  <c r="R36" i="31" l="1"/>
  <c r="R35" i="31"/>
  <c r="E191" i="31"/>
  <c r="E166" i="31"/>
  <c r="E198" i="31"/>
  <c r="E152" i="31"/>
  <c r="E224" i="31"/>
  <c r="E228" i="31"/>
  <c r="E195" i="31"/>
  <c r="E154" i="31"/>
  <c r="E214" i="31"/>
  <c r="E168" i="31"/>
  <c r="E160" i="31"/>
  <c r="E158" i="31"/>
  <c r="E227" i="31"/>
  <c r="E170" i="31"/>
  <c r="E202" i="31"/>
  <c r="E222" i="31"/>
  <c r="E164" i="31"/>
  <c r="E178" i="31"/>
  <c r="E144" i="31"/>
  <c r="E197" i="31"/>
  <c r="E226" i="31"/>
  <c r="E190" i="31"/>
  <c r="E223" i="31"/>
  <c r="E163" i="31"/>
  <c r="E196" i="31"/>
  <c r="E184" i="31"/>
  <c r="E201" i="31"/>
  <c r="E153" i="31"/>
  <c r="E155" i="31"/>
  <c r="E171" i="31"/>
  <c r="E208" i="31"/>
  <c r="E135" i="31"/>
  <c r="E138" i="31"/>
  <c r="E182" i="31"/>
  <c r="E225" i="31"/>
  <c r="E213" i="31"/>
  <c r="E194" i="31"/>
  <c r="E185" i="31"/>
  <c r="E134" i="31"/>
  <c r="E218" i="31"/>
  <c r="E220" i="31"/>
  <c r="E162" i="31"/>
  <c r="E210" i="31"/>
  <c r="G213" i="31" l="1"/>
  <c r="G210" i="31"/>
  <c r="G220" i="31"/>
  <c r="G155" i="31"/>
  <c r="G153" i="31"/>
  <c r="G196" i="31"/>
  <c r="G222" i="31"/>
  <c r="G202" i="31"/>
  <c r="G170" i="31"/>
  <c r="G158" i="31"/>
  <c r="G168" i="31"/>
  <c r="G154" i="31"/>
  <c r="G152" i="31"/>
  <c r="G191" i="31"/>
  <c r="G162" i="31"/>
  <c r="G194" i="31"/>
  <c r="G225" i="31"/>
  <c r="G171" i="31"/>
  <c r="G184" i="31"/>
  <c r="G197" i="31"/>
  <c r="G144" i="31"/>
  <c r="G228" i="31"/>
  <c r="G134" i="31"/>
  <c r="G135" i="31"/>
  <c r="G163" i="31"/>
  <c r="G223" i="31"/>
  <c r="G190" i="31"/>
  <c r="G164" i="31"/>
  <c r="G160" i="31"/>
  <c r="G198" i="31"/>
  <c r="G185" i="31"/>
  <c r="G218" i="31"/>
  <c r="G182" i="31"/>
  <c r="G138" i="31"/>
  <c r="G208" i="31"/>
  <c r="G201" i="31"/>
  <c r="G226" i="31"/>
  <c r="G178" i="31"/>
  <c r="G227" i="31"/>
  <c r="G214" i="31"/>
  <c r="G195" i="31"/>
  <c r="G224" i="31"/>
  <c r="G166" i="31"/>
  <c r="C251" i="31"/>
  <c r="E239" i="31"/>
  <c r="C242" i="31"/>
  <c r="E230" i="31"/>
  <c r="C247" i="31"/>
  <c r="E235" i="31"/>
  <c r="C243" i="31"/>
  <c r="E231" i="31"/>
  <c r="C244" i="31"/>
  <c r="E232" i="31"/>
  <c r="C245" i="31"/>
  <c r="E233" i="31"/>
  <c r="E147" i="31"/>
  <c r="E186" i="31"/>
  <c r="E176" i="31"/>
  <c r="E146" i="31"/>
  <c r="E151" i="31"/>
  <c r="E187" i="31"/>
  <c r="E143" i="31"/>
  <c r="E142" i="31"/>
  <c r="E175" i="31"/>
  <c r="E174" i="31"/>
  <c r="E188" i="31"/>
  <c r="E216" i="31"/>
  <c r="E161" i="31"/>
  <c r="E192" i="31"/>
  <c r="E211" i="31"/>
  <c r="E189" i="31"/>
  <c r="E221" i="31"/>
  <c r="E165" i="31"/>
  <c r="E207" i="31"/>
  <c r="E183" i="31"/>
  <c r="E203" i="31"/>
  <c r="E204" i="31"/>
  <c r="E173" i="31"/>
  <c r="E206" i="31"/>
  <c r="E200" i="31"/>
  <c r="E159" i="31"/>
  <c r="E149" i="31"/>
  <c r="E148" i="31"/>
  <c r="E177" i="31"/>
  <c r="E156" i="31"/>
  <c r="E219" i="31"/>
  <c r="E212" i="31"/>
  <c r="E199" i="31"/>
  <c r="E150" i="31"/>
  <c r="E140" i="31"/>
  <c r="E139" i="31"/>
  <c r="E180" i="31"/>
  <c r="E172" i="31"/>
  <c r="E179" i="31"/>
  <c r="E167" i="31"/>
  <c r="E137" i="31"/>
  <c r="E136" i="31"/>
  <c r="E141" i="31"/>
  <c r="E215" i="31"/>
  <c r="E209" i="31"/>
  <c r="G150" i="31" l="1"/>
  <c r="G159" i="31"/>
  <c r="G204" i="31"/>
  <c r="G211" i="31"/>
  <c r="G175" i="31"/>
  <c r="G142" i="31"/>
  <c r="G176" i="31"/>
  <c r="G186" i="31"/>
  <c r="G147" i="31"/>
  <c r="G215" i="31"/>
  <c r="G172" i="31"/>
  <c r="G212" i="31"/>
  <c r="G148" i="31"/>
  <c r="G200" i="31"/>
  <c r="G183" i="31"/>
  <c r="G165" i="31"/>
  <c r="G161" i="31"/>
  <c r="G188" i="31"/>
  <c r="G143" i="31"/>
  <c r="G232" i="31"/>
  <c r="G235" i="31"/>
  <c r="G239" i="31"/>
  <c r="G140" i="31"/>
  <c r="G199" i="31"/>
  <c r="G156" i="31"/>
  <c r="G173" i="31"/>
  <c r="G207" i="31"/>
  <c r="G221" i="31"/>
  <c r="G192" i="31"/>
  <c r="G187" i="31"/>
  <c r="G137" i="31"/>
  <c r="G180" i="31"/>
  <c r="G141" i="31"/>
  <c r="G136" i="31"/>
  <c r="G209" i="31"/>
  <c r="G167" i="31"/>
  <c r="G179" i="31"/>
  <c r="G139" i="31"/>
  <c r="G219" i="31"/>
  <c r="G177" i="31"/>
  <c r="G149" i="31"/>
  <c r="G206" i="31"/>
  <c r="G203" i="31"/>
  <c r="G189" i="31"/>
  <c r="G216" i="31"/>
  <c r="G174" i="31"/>
  <c r="G151" i="31"/>
  <c r="G146" i="31"/>
  <c r="G233" i="31"/>
  <c r="G231" i="31"/>
  <c r="G230" i="31"/>
  <c r="C249" i="31"/>
  <c r="E237" i="31"/>
  <c r="C252" i="31"/>
  <c r="E240" i="31"/>
  <c r="C257" i="31"/>
  <c r="E257" i="31" s="1"/>
  <c r="E245" i="31"/>
  <c r="C255" i="31"/>
  <c r="E255" i="31" s="1"/>
  <c r="E243" i="31"/>
  <c r="C254" i="31"/>
  <c r="E254" i="31" s="1"/>
  <c r="E242" i="31"/>
  <c r="C246" i="31"/>
  <c r="E234" i="31"/>
  <c r="M28" i="31"/>
  <c r="E157" i="31"/>
  <c r="C250" i="31"/>
  <c r="E238" i="31"/>
  <c r="M27" i="31"/>
  <c r="E145" i="31"/>
  <c r="M30" i="31"/>
  <c r="E181" i="31"/>
  <c r="M32" i="31"/>
  <c r="E205" i="31"/>
  <c r="M31" i="31"/>
  <c r="E193" i="31"/>
  <c r="C248" i="31"/>
  <c r="E236" i="31"/>
  <c r="C256" i="31"/>
  <c r="E256" i="31" s="1"/>
  <c r="E244" i="31"/>
  <c r="C259" i="31"/>
  <c r="E259" i="31" s="1"/>
  <c r="E247" i="31"/>
  <c r="C263" i="31"/>
  <c r="E263" i="31" s="1"/>
  <c r="E251" i="31"/>
  <c r="G263" i="31" l="1"/>
  <c r="G256" i="31"/>
  <c r="G255" i="31"/>
  <c r="G247" i="31"/>
  <c r="G236" i="31"/>
  <c r="G205" i="31"/>
  <c r="G145" i="31"/>
  <c r="G157" i="31"/>
  <c r="G242" i="31"/>
  <c r="G245" i="31"/>
  <c r="G237" i="31"/>
  <c r="G259" i="31"/>
  <c r="G254" i="31"/>
  <c r="G257" i="31"/>
  <c r="G251" i="31"/>
  <c r="G244" i="31"/>
  <c r="G193" i="31"/>
  <c r="G181" i="31"/>
  <c r="G238" i="31"/>
  <c r="G234" i="31"/>
  <c r="G243" i="31"/>
  <c r="G240" i="31"/>
  <c r="M34" i="31"/>
  <c r="C241" i="31"/>
  <c r="E229" i="31"/>
  <c r="Q31" i="31"/>
  <c r="P31" i="31"/>
  <c r="Q30" i="31"/>
  <c r="P30" i="31"/>
  <c r="C262" i="31"/>
  <c r="E262" i="31" s="1"/>
  <c r="E250" i="31"/>
  <c r="C258" i="31"/>
  <c r="E258" i="31" s="1"/>
  <c r="E246" i="31"/>
  <c r="C264" i="31"/>
  <c r="E264" i="31" s="1"/>
  <c r="E252" i="31"/>
  <c r="M33" i="31"/>
  <c r="E217" i="31"/>
  <c r="M29" i="31"/>
  <c r="E169" i="31"/>
  <c r="M26" i="31"/>
  <c r="E133" i="31"/>
  <c r="C260" i="31"/>
  <c r="E260" i="31" s="1"/>
  <c r="E248" i="31"/>
  <c r="Q32" i="31"/>
  <c r="P32" i="31"/>
  <c r="Q27" i="31"/>
  <c r="P27" i="31"/>
  <c r="Q28" i="31"/>
  <c r="P28" i="31"/>
  <c r="C261" i="31"/>
  <c r="E261" i="31" s="1"/>
  <c r="E249" i="31"/>
  <c r="G249" i="31" l="1"/>
  <c r="G248" i="31"/>
  <c r="G169" i="31"/>
  <c r="G252" i="31"/>
  <c r="G250" i="31"/>
  <c r="G261" i="31"/>
  <c r="G260" i="31"/>
  <c r="G264" i="31"/>
  <c r="G262" i="31"/>
  <c r="G133" i="31"/>
  <c r="G217" i="31"/>
  <c r="G246" i="31"/>
  <c r="G229" i="31"/>
  <c r="G258" i="31"/>
  <c r="Q29" i="31"/>
  <c r="P29" i="31"/>
  <c r="Q26" i="31"/>
  <c r="P26" i="31"/>
  <c r="Q33" i="31"/>
  <c r="P33" i="31"/>
  <c r="C253" i="31"/>
  <c r="M35" i="31"/>
  <c r="E241" i="31"/>
  <c r="Q34" i="31"/>
  <c r="P34" i="31"/>
  <c r="G241" i="31" l="1"/>
  <c r="Q35" i="31"/>
  <c r="P35" i="31"/>
  <c r="M36" i="31"/>
  <c r="E253" i="31"/>
  <c r="G253" i="31" l="1"/>
  <c r="Q36" i="31"/>
  <c r="P36" i="31"/>
  <c r="D22" i="31" l="1"/>
  <c r="K22" i="31"/>
  <c r="K54" i="31"/>
  <c r="D54" i="31"/>
  <c r="K99" i="31"/>
  <c r="D99" i="31"/>
  <c r="D32" i="31"/>
  <c r="K32" i="31"/>
  <c r="O20" i="31"/>
  <c r="K61" i="31"/>
  <c r="D61" i="31"/>
  <c r="K106" i="31"/>
  <c r="D106" i="31"/>
  <c r="K46" i="31"/>
  <c r="D46" i="31"/>
  <c r="K74" i="31"/>
  <c r="D74" i="31"/>
  <c r="K120" i="31"/>
  <c r="D120" i="31"/>
  <c r="K45" i="31"/>
  <c r="D45" i="31"/>
  <c r="K82" i="31"/>
  <c r="D82" i="31"/>
  <c r="K126" i="31"/>
  <c r="D126" i="31"/>
  <c r="K131" i="31"/>
  <c r="D131" i="31"/>
  <c r="K24" i="31"/>
  <c r="D24" i="31"/>
  <c r="K40" i="31"/>
  <c r="D40" i="31"/>
  <c r="K59" i="31"/>
  <c r="D59" i="31"/>
  <c r="K72" i="31"/>
  <c r="D72" i="31"/>
  <c r="K102" i="31"/>
  <c r="D102" i="31"/>
  <c r="K129" i="31"/>
  <c r="D129" i="31"/>
  <c r="D21" i="31"/>
  <c r="K21" i="31"/>
  <c r="K38" i="31"/>
  <c r="D38" i="31"/>
  <c r="K55" i="31"/>
  <c r="D55" i="31"/>
  <c r="K64" i="31"/>
  <c r="D64" i="31"/>
  <c r="K80" i="31"/>
  <c r="D80" i="31"/>
  <c r="K113" i="31"/>
  <c r="D113" i="31"/>
  <c r="K20" i="31"/>
  <c r="D20" i="31"/>
  <c r="O18" i="31"/>
  <c r="K37" i="31"/>
  <c r="D37" i="31"/>
  <c r="K48" i="31"/>
  <c r="D48" i="31"/>
  <c r="K79" i="31"/>
  <c r="D79" i="31"/>
  <c r="K90" i="31"/>
  <c r="D90" i="31"/>
  <c r="K101" i="31"/>
  <c r="D101" i="31"/>
  <c r="K125" i="31"/>
  <c r="D125" i="31"/>
  <c r="D23" i="31"/>
  <c r="K23" i="31"/>
  <c r="K35" i="31"/>
  <c r="D35" i="31"/>
  <c r="K52" i="31"/>
  <c r="D52" i="31"/>
  <c r="K70" i="31"/>
  <c r="D70" i="31"/>
  <c r="K84" i="31"/>
  <c r="D84" i="31"/>
  <c r="K109" i="31"/>
  <c r="O24" i="31"/>
  <c r="D109" i="31"/>
  <c r="K111" i="31"/>
  <c r="D111" i="31"/>
  <c r="K130" i="31"/>
  <c r="D130" i="31"/>
  <c r="K105" i="31"/>
  <c r="D105" i="31"/>
  <c r="K119" i="31"/>
  <c r="D119" i="31"/>
  <c r="K69" i="31"/>
  <c r="D69" i="31"/>
  <c r="K123" i="31"/>
  <c r="D123" i="31"/>
  <c r="K51" i="31"/>
  <c r="D51" i="31"/>
  <c r="K95" i="31"/>
  <c r="D95" i="31"/>
  <c r="D34" i="31"/>
  <c r="K34" i="31"/>
  <c r="K86" i="31"/>
  <c r="D86" i="31"/>
  <c r="K97" i="31"/>
  <c r="O23" i="31"/>
  <c r="D97" i="31"/>
  <c r="D31" i="31"/>
  <c r="K31" i="31"/>
  <c r="K98" i="31"/>
  <c r="D98" i="31"/>
  <c r="K116" i="31"/>
  <c r="D116" i="31"/>
  <c r="D14" i="31"/>
  <c r="K14" i="31"/>
  <c r="K28" i="31"/>
  <c r="D28" i="31"/>
  <c r="K44" i="31"/>
  <c r="D44" i="31"/>
  <c r="K62" i="31"/>
  <c r="D62" i="31"/>
  <c r="K73" i="31"/>
  <c r="O21" i="31"/>
  <c r="D73" i="31"/>
  <c r="K88" i="31"/>
  <c r="D88" i="31"/>
  <c r="K108" i="31"/>
  <c r="D108" i="31"/>
  <c r="K43" i="31"/>
  <c r="D43" i="31"/>
  <c r="K58" i="31"/>
  <c r="D58" i="31"/>
  <c r="K71" i="31"/>
  <c r="D71" i="31"/>
  <c r="K87" i="31"/>
  <c r="D87" i="31"/>
  <c r="K100" i="31"/>
  <c r="D100" i="31"/>
  <c r="D27" i="31"/>
  <c r="K27" i="31"/>
  <c r="K39" i="31"/>
  <c r="D39" i="31"/>
  <c r="O19" i="31"/>
  <c r="K49" i="31"/>
  <c r="D49" i="31"/>
  <c r="K65" i="31"/>
  <c r="D65" i="31"/>
  <c r="K83" i="31"/>
  <c r="D83" i="31"/>
  <c r="K94" i="31"/>
  <c r="D94" i="31"/>
  <c r="K104" i="31"/>
  <c r="D104" i="31"/>
  <c r="O17" i="31"/>
  <c r="K25" i="31"/>
  <c r="D25" i="31"/>
  <c r="D12" i="31"/>
  <c r="G12" i="31" s="1"/>
  <c r="D36" i="31"/>
  <c r="K36" i="31"/>
  <c r="K56" i="31"/>
  <c r="D56" i="31"/>
  <c r="K75" i="31"/>
  <c r="D75" i="31"/>
  <c r="K89" i="31"/>
  <c r="D89" i="31"/>
  <c r="K117" i="31"/>
  <c r="D117" i="31"/>
  <c r="K114" i="31"/>
  <c r="D114" i="31"/>
  <c r="K132" i="31"/>
  <c r="D132" i="31"/>
  <c r="K107" i="31"/>
  <c r="D107" i="31"/>
  <c r="K122" i="31"/>
  <c r="D122" i="31"/>
  <c r="K81" i="31"/>
  <c r="D81" i="31"/>
  <c r="K18" i="31"/>
  <c r="D18" i="31"/>
  <c r="K76" i="31"/>
  <c r="D76" i="31"/>
  <c r="D16" i="31"/>
  <c r="K16" i="31"/>
  <c r="K57" i="31"/>
  <c r="D57" i="31"/>
  <c r="K19" i="31"/>
  <c r="D19" i="31"/>
  <c r="K67" i="31"/>
  <c r="D67" i="31"/>
  <c r="K124" i="31"/>
  <c r="D124" i="31"/>
  <c r="D17" i="31"/>
  <c r="K17" i="31"/>
  <c r="D33" i="31"/>
  <c r="K33" i="31"/>
  <c r="K50" i="31"/>
  <c r="D50" i="31"/>
  <c r="K66" i="31"/>
  <c r="D66" i="31"/>
  <c r="K77" i="31"/>
  <c r="D77" i="31"/>
  <c r="K93" i="31"/>
  <c r="D93" i="31"/>
  <c r="K115" i="31"/>
  <c r="D115" i="31"/>
  <c r="K13" i="31"/>
  <c r="D13" i="31"/>
  <c r="O16" i="31"/>
  <c r="K29" i="31"/>
  <c r="D29" i="31"/>
  <c r="K47" i="31"/>
  <c r="D47" i="31"/>
  <c r="K60" i="31"/>
  <c r="D60" i="31"/>
  <c r="K91" i="31"/>
  <c r="D91" i="31"/>
  <c r="K103" i="31"/>
  <c r="D103" i="31"/>
  <c r="K128" i="31"/>
  <c r="D128" i="31"/>
  <c r="D30" i="31"/>
  <c r="K30" i="31"/>
  <c r="K42" i="31"/>
  <c r="D42" i="31"/>
  <c r="K53" i="31"/>
  <c r="D53" i="31"/>
  <c r="K68" i="31"/>
  <c r="D68" i="31"/>
  <c r="O22" i="31"/>
  <c r="K85" i="31"/>
  <c r="D85" i="31"/>
  <c r="K96" i="31"/>
  <c r="D96" i="31"/>
  <c r="K110" i="31"/>
  <c r="D110" i="31"/>
  <c r="K15" i="31"/>
  <c r="D15" i="31"/>
  <c r="K26" i="31"/>
  <c r="D26" i="31"/>
  <c r="K41" i="31"/>
  <c r="D41" i="31"/>
  <c r="K63" i="31"/>
  <c r="D63" i="31"/>
  <c r="K78" i="31"/>
  <c r="D78" i="31"/>
  <c r="K92" i="31"/>
  <c r="D92" i="31"/>
  <c r="O25" i="31"/>
  <c r="K121" i="31"/>
  <c r="D121" i="31"/>
  <c r="K118" i="31"/>
  <c r="D118" i="31"/>
  <c r="K112" i="31"/>
  <c r="D112" i="31"/>
  <c r="K127" i="31"/>
  <c r="D127" i="31"/>
  <c r="Q41" i="31"/>
  <c r="Q40" i="31"/>
  <c r="N16" i="31" l="1"/>
  <c r="K5" i="31"/>
  <c r="N21" i="31"/>
  <c r="N19" i="31"/>
  <c r="N22" i="31"/>
  <c r="N23" i="31"/>
  <c r="N24" i="31"/>
  <c r="N20" i="31"/>
  <c r="N25" i="31"/>
  <c r="N17" i="31"/>
  <c r="N18" i="31"/>
  <c r="R18" i="31" l="1"/>
  <c r="R24" i="31"/>
  <c r="R21" i="31"/>
  <c r="R22" i="31"/>
  <c r="R17" i="31"/>
  <c r="R23" i="31"/>
  <c r="R25" i="31"/>
  <c r="R16" i="31"/>
  <c r="R20" i="31"/>
  <c r="R19" i="31"/>
  <c r="P5" i="31"/>
  <c r="A10" i="31"/>
  <c r="A51" i="25" s="1"/>
  <c r="A9" i="31"/>
  <c r="A37" i="25" s="1"/>
  <c r="A7" i="31"/>
  <c r="A41" i="25" s="1"/>
  <c r="K3" i="25"/>
  <c r="M7" i="31"/>
  <c r="K6" i="31"/>
  <c r="K4" i="25" s="1"/>
  <c r="B5" i="31" l="1"/>
  <c r="G9" i="25"/>
  <c r="B5" i="25"/>
  <c r="P6" i="31"/>
  <c r="Q6" i="31" s="1"/>
  <c r="R6" i="31" s="1"/>
  <c r="Q5" i="31"/>
  <c r="E25" i="25"/>
  <c r="E26" i="25"/>
  <c r="F9" i="31"/>
  <c r="E24" i="25"/>
  <c r="G28" i="25"/>
  <c r="G32" i="25"/>
  <c r="E31" i="25"/>
  <c r="E33" i="25"/>
  <c r="G31" i="25"/>
  <c r="E27" i="25"/>
  <c r="G27" i="25"/>
  <c r="D9" i="31"/>
  <c r="G29" i="25"/>
  <c r="G25" i="25"/>
  <c r="G24" i="25"/>
  <c r="E29" i="25"/>
  <c r="E30" i="25"/>
  <c r="G33" i="25"/>
  <c r="G23" i="25"/>
  <c r="E32" i="25"/>
  <c r="G26" i="25"/>
  <c r="E23" i="25"/>
  <c r="G30" i="25"/>
  <c r="E28" i="25"/>
  <c r="C22" i="49" l="1"/>
  <c r="E22" i="49" s="1"/>
  <c r="C19" i="49"/>
  <c r="E19" i="49" s="1"/>
  <c r="C21" i="49"/>
  <c r="E21" i="49" s="1"/>
  <c r="C20" i="49"/>
  <c r="E20" i="49" s="1"/>
  <c r="C18" i="49"/>
  <c r="E18" i="49" s="1"/>
  <c r="C39" i="25"/>
  <c r="B4" i="31"/>
  <c r="B5" i="28"/>
  <c r="R5" i="31"/>
  <c r="F7" i="31"/>
  <c r="D7" i="31"/>
  <c r="C43" i="25" l="1"/>
  <c r="F10" i="31"/>
  <c r="D10" i="31"/>
  <c r="C53" i="25" l="1"/>
  <c r="E94" i="31" l="1"/>
  <c r="E118" i="31"/>
  <c r="E80" i="31"/>
  <c r="E68" i="31"/>
  <c r="E108" i="31"/>
  <c r="E101" i="31"/>
  <c r="E32" i="31"/>
  <c r="E71" i="31"/>
  <c r="E92" i="31"/>
  <c r="E23" i="31"/>
  <c r="E122" i="31"/>
  <c r="E89" i="31"/>
  <c r="E55" i="31"/>
  <c r="E115" i="31"/>
  <c r="E56" i="31"/>
  <c r="E17" i="31"/>
  <c r="E51" i="31"/>
  <c r="E77" i="31"/>
  <c r="E99" i="31"/>
  <c r="E53" i="31"/>
  <c r="E128" i="31"/>
  <c r="E59" i="31"/>
  <c r="E105" i="31"/>
  <c r="E79" i="31"/>
  <c r="E31" i="31"/>
  <c r="E36" i="31"/>
  <c r="E91" i="31"/>
  <c r="E124" i="31"/>
  <c r="E14" i="31"/>
  <c r="E123" i="31"/>
  <c r="E52" i="31"/>
  <c r="E76" i="31"/>
  <c r="E117" i="31"/>
  <c r="E72" i="31"/>
  <c r="E70" i="31"/>
  <c r="E93" i="31"/>
  <c r="E26" i="31"/>
  <c r="E127" i="31"/>
  <c r="E86" i="31"/>
  <c r="E87" i="31"/>
  <c r="E30" i="31"/>
  <c r="E39" i="31"/>
  <c r="E44" i="31"/>
  <c r="E100" i="31"/>
  <c r="E132" i="31"/>
  <c r="E29" i="31"/>
  <c r="E120" i="31"/>
  <c r="E22" i="31"/>
  <c r="E112" i="31"/>
  <c r="E82" i="31"/>
  <c r="E78" i="31"/>
  <c r="E33" i="31"/>
  <c r="E28" i="31"/>
  <c r="E125" i="31"/>
  <c r="E107" i="31"/>
  <c r="E54" i="31"/>
  <c r="E103" i="31"/>
  <c r="E46" i="31"/>
  <c r="E64" i="31"/>
  <c r="E19" i="31"/>
  <c r="E21" i="31"/>
  <c r="E88" i="31"/>
  <c r="E58" i="31"/>
  <c r="E110" i="31"/>
  <c r="E106" i="31"/>
  <c r="E47" i="31"/>
  <c r="E42" i="31"/>
  <c r="E24" i="31"/>
  <c r="E102" i="31"/>
  <c r="E111" i="31"/>
  <c r="E84" i="31"/>
  <c r="E45" i="31"/>
  <c r="E50" i="31"/>
  <c r="E104" i="31"/>
  <c r="E113" i="31"/>
  <c r="E66" i="31"/>
  <c r="E38" i="31"/>
  <c r="E75" i="31"/>
  <c r="E116" i="31"/>
  <c r="E20" i="31"/>
  <c r="E15" i="31"/>
  <c r="E57" i="31"/>
  <c r="E96" i="31"/>
  <c r="E131" i="31"/>
  <c r="E67" i="31"/>
  <c r="E41" i="31"/>
  <c r="E74" i="31"/>
  <c r="E95" i="31"/>
  <c r="E98" i="31"/>
  <c r="E114" i="31"/>
  <c r="E65" i="31"/>
  <c r="E35" i="31"/>
  <c r="E119" i="31"/>
  <c r="E27" i="31"/>
  <c r="E43" i="31"/>
  <c r="E130" i="31"/>
  <c r="E81" i="31"/>
  <c r="E34" i="31"/>
  <c r="E63" i="31"/>
  <c r="E18" i="31"/>
  <c r="E16" i="31"/>
  <c r="E69" i="31"/>
  <c r="E83" i="31"/>
  <c r="E90" i="31"/>
  <c r="E60" i="31"/>
  <c r="E126" i="31"/>
  <c r="E129" i="31"/>
  <c r="E48" i="31"/>
  <c r="E62" i="31"/>
  <c r="E40" i="31"/>
  <c r="G18" i="31" l="1"/>
  <c r="G130" i="31"/>
  <c r="G27" i="31"/>
  <c r="G95" i="31"/>
  <c r="G131" i="31"/>
  <c r="G20" i="31"/>
  <c r="G66" i="31"/>
  <c r="G45" i="31"/>
  <c r="G24" i="31"/>
  <c r="G110" i="31"/>
  <c r="G19" i="31"/>
  <c r="G46" i="31"/>
  <c r="G54" i="31"/>
  <c r="G125" i="31"/>
  <c r="G33" i="31"/>
  <c r="G82" i="31"/>
  <c r="G22" i="31"/>
  <c r="G29" i="31"/>
  <c r="G48" i="31"/>
  <c r="G69" i="31"/>
  <c r="G34" i="31"/>
  <c r="G35" i="31"/>
  <c r="G114" i="31"/>
  <c r="G41" i="31"/>
  <c r="G57" i="31"/>
  <c r="G75" i="31"/>
  <c r="G104" i="31"/>
  <c r="G111" i="31"/>
  <c r="G47" i="31"/>
  <c r="G88" i="31"/>
  <c r="G132" i="31"/>
  <c r="G44" i="31"/>
  <c r="G30" i="31"/>
  <c r="G86" i="31"/>
  <c r="G26" i="31"/>
  <c r="G70" i="31"/>
  <c r="G117" i="31"/>
  <c r="G52" i="31"/>
  <c r="G14" i="31"/>
  <c r="G91" i="31"/>
  <c r="G31" i="31"/>
  <c r="G105" i="31"/>
  <c r="G128" i="31"/>
  <c r="G99" i="31"/>
  <c r="G51" i="31"/>
  <c r="G56" i="31"/>
  <c r="G55" i="31"/>
  <c r="G122" i="31"/>
  <c r="G92" i="31"/>
  <c r="G32" i="31"/>
  <c r="G108" i="31"/>
  <c r="G80" i="31"/>
  <c r="G94" i="31"/>
  <c r="G126" i="31"/>
  <c r="G129" i="31"/>
  <c r="G16" i="31"/>
  <c r="G81" i="31"/>
  <c r="G43" i="31"/>
  <c r="G119" i="31"/>
  <c r="G65" i="31"/>
  <c r="G98" i="31"/>
  <c r="G74" i="31"/>
  <c r="G67" i="31"/>
  <c r="G96" i="31"/>
  <c r="G15" i="31"/>
  <c r="G116" i="31"/>
  <c r="G38" i="31"/>
  <c r="G113" i="31"/>
  <c r="G50" i="31"/>
  <c r="G84" i="31"/>
  <c r="G102" i="31"/>
  <c r="G42" i="31"/>
  <c r="G106" i="31"/>
  <c r="G58" i="31"/>
  <c r="G21" i="31"/>
  <c r="G64" i="31"/>
  <c r="G103" i="31"/>
  <c r="G107" i="31"/>
  <c r="G28" i="31"/>
  <c r="G78" i="31"/>
  <c r="G112" i="31"/>
  <c r="G120" i="31"/>
  <c r="G90" i="31"/>
  <c r="G62" i="31"/>
  <c r="G60" i="31"/>
  <c r="G83" i="31"/>
  <c r="G63" i="31"/>
  <c r="G40" i="31"/>
  <c r="G100" i="31"/>
  <c r="G39" i="31"/>
  <c r="G87" i="31"/>
  <c r="G127" i="31"/>
  <c r="G93" i="31"/>
  <c r="G72" i="31"/>
  <c r="G76" i="31"/>
  <c r="G123" i="31"/>
  <c r="G124" i="31"/>
  <c r="G36" i="31"/>
  <c r="G79" i="31"/>
  <c r="G59" i="31"/>
  <c r="G53" i="31"/>
  <c r="G77" i="31"/>
  <c r="G17" i="31"/>
  <c r="G115" i="31"/>
  <c r="G89" i="31"/>
  <c r="G23" i="31"/>
  <c r="G71" i="31"/>
  <c r="G101" i="31"/>
  <c r="G68" i="31"/>
  <c r="G118" i="31"/>
  <c r="C7" i="31"/>
  <c r="E20" i="25"/>
  <c r="E19" i="25"/>
  <c r="E16" i="25"/>
  <c r="E15" i="25"/>
  <c r="C9" i="31"/>
  <c r="E14" i="25"/>
  <c r="E21" i="25"/>
  <c r="E13" i="25"/>
  <c r="E18" i="25"/>
  <c r="E17" i="25"/>
  <c r="E22" i="25"/>
  <c r="C10" i="31"/>
  <c r="E40" i="25" l="1"/>
  <c r="G9" i="31"/>
  <c r="G40" i="25" s="1"/>
  <c r="C25" i="49" s="1"/>
  <c r="E25" i="49" s="1"/>
  <c r="E44" i="25"/>
  <c r="G7" i="31"/>
  <c r="G44" i="25" s="1"/>
  <c r="E54" i="25"/>
  <c r="G10" i="31"/>
  <c r="G54" i="25" s="1"/>
  <c r="M20" i="31"/>
  <c r="E61" i="31"/>
  <c r="M25" i="31"/>
  <c r="E121" i="31"/>
  <c r="M18" i="31"/>
  <c r="E37" i="31"/>
  <c r="M21" i="31"/>
  <c r="E73" i="31"/>
  <c r="M22" i="31"/>
  <c r="E85" i="31"/>
  <c r="M19" i="31"/>
  <c r="E49" i="31"/>
  <c r="M23" i="31"/>
  <c r="E97" i="31"/>
  <c r="M16" i="31"/>
  <c r="E13" i="31"/>
  <c r="M24" i="31"/>
  <c r="E109" i="31"/>
  <c r="E25" i="31"/>
  <c r="M17" i="31"/>
  <c r="G22" i="25"/>
  <c r="R40" i="31"/>
  <c r="G15" i="25"/>
  <c r="G16" i="25"/>
  <c r="G20" i="25"/>
  <c r="G18" i="25"/>
  <c r="G13" i="25"/>
  <c r="E7" i="31"/>
  <c r="E10" i="31"/>
  <c r="G17" i="25"/>
  <c r="G19" i="25"/>
  <c r="G21" i="25"/>
  <c r="R41" i="31"/>
  <c r="G14" i="25"/>
  <c r="E9" i="31"/>
  <c r="C10" i="49" l="1"/>
  <c r="E10" i="49" s="1"/>
  <c r="C16" i="49"/>
  <c r="E16" i="49" s="1"/>
  <c r="C8" i="49"/>
  <c r="E8" i="49" s="1"/>
  <c r="C15" i="49"/>
  <c r="E15" i="49" s="1"/>
  <c r="C14" i="49"/>
  <c r="E14" i="49" s="1"/>
  <c r="C11" i="49"/>
  <c r="E11" i="49" s="1"/>
  <c r="C12" i="49"/>
  <c r="E12" i="49" s="1"/>
  <c r="C17" i="49"/>
  <c r="E17" i="49" s="1"/>
  <c r="C13" i="49"/>
  <c r="E13" i="49" s="1"/>
  <c r="C9" i="49"/>
  <c r="E9" i="49" s="1"/>
  <c r="T40" i="31"/>
  <c r="T41" i="31"/>
  <c r="I66" i="25"/>
  <c r="I65" i="25"/>
  <c r="Q24" i="31"/>
  <c r="P24" i="31"/>
  <c r="Q18" i="31"/>
  <c r="P18" i="31"/>
  <c r="G25" i="31"/>
  <c r="Q21" i="31"/>
  <c r="P21" i="31"/>
  <c r="G109" i="31"/>
  <c r="G97" i="31"/>
  <c r="G85" i="31"/>
  <c r="G37" i="31"/>
  <c r="G61" i="31"/>
  <c r="Q23" i="31"/>
  <c r="P23" i="31"/>
  <c r="Q20" i="31"/>
  <c r="P20" i="31"/>
  <c r="Q17" i="31"/>
  <c r="P17" i="31"/>
  <c r="G13" i="31"/>
  <c r="G49" i="31"/>
  <c r="G73" i="31"/>
  <c r="G121" i="31"/>
  <c r="Q22" i="31"/>
  <c r="P22" i="31"/>
  <c r="Q16" i="31"/>
  <c r="P16" i="31"/>
  <c r="Q19" i="31"/>
  <c r="P19" i="31"/>
  <c r="Q25" i="31"/>
  <c r="P25" i="31"/>
</calcChain>
</file>

<file path=xl/comments1.xml><?xml version="1.0" encoding="utf-8"?>
<comments xmlns="http://schemas.openxmlformats.org/spreadsheetml/2006/main">
  <authors>
    <author>Author</author>
  </authors>
  <commentList>
    <comment ref="G5" authorId="0" shape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Date that deal is evaluated.</t>
        </r>
      </text>
    </comment>
  </commentList>
</comments>
</file>

<file path=xl/sharedStrings.xml><?xml version="1.0" encoding="utf-8"?>
<sst xmlns="http://schemas.openxmlformats.org/spreadsheetml/2006/main" count="835" uniqueCount="209">
  <si>
    <t>Year</t>
  </si>
  <si>
    <t>(a)</t>
  </si>
  <si>
    <t>(b)</t>
  </si>
  <si>
    <t>(c)</t>
  </si>
  <si>
    <t>(d)</t>
  </si>
  <si>
    <t>(e)</t>
  </si>
  <si>
    <t>Capacity</t>
  </si>
  <si>
    <t>(f)</t>
  </si>
  <si>
    <t>$/kW</t>
  </si>
  <si>
    <t>$/kW-yr</t>
  </si>
  <si>
    <t>Estimated Capital Cost</t>
  </si>
  <si>
    <t>Fixed Capital Cost at Real Levelized Rate</t>
  </si>
  <si>
    <t>Fixed O&amp;M</t>
  </si>
  <si>
    <t>Variable O&amp;M</t>
  </si>
  <si>
    <t>Total O&amp;M at Expected CF</t>
  </si>
  <si>
    <t>Total Resource Fixed Costs</t>
  </si>
  <si>
    <t>Source: (a)(c)(d)</t>
  </si>
  <si>
    <t>Total Price @</t>
  </si>
  <si>
    <t>Capacity Factor</t>
  </si>
  <si>
    <t>Footnotes:</t>
  </si>
  <si>
    <t xml:space="preserve"> $/kW-yr</t>
  </si>
  <si>
    <t>Avoided Cost Prices</t>
  </si>
  <si>
    <t>Energy</t>
  </si>
  <si>
    <t>Only Price</t>
  </si>
  <si>
    <t>Table 1</t>
  </si>
  <si>
    <t>(2)   'Energy Only' is the GRID calculated costs and includes some capacity costs.</t>
  </si>
  <si>
    <t>Fuel Cost</t>
  </si>
  <si>
    <t>$/MMBtu</t>
  </si>
  <si>
    <t>(g)</t>
  </si>
  <si>
    <t>(h)</t>
  </si>
  <si>
    <t>(i)</t>
  </si>
  <si>
    <t>Sources, Inputs and Assumptions</t>
  </si>
  <si>
    <t>PacifiCorp</t>
  </si>
  <si>
    <t>Delivered</t>
  </si>
  <si>
    <t>CCCT</t>
  </si>
  <si>
    <t>Duct Firing</t>
  </si>
  <si>
    <t>Peak Type:</t>
  </si>
  <si>
    <t>Quote Date</t>
  </si>
  <si>
    <t>Burnertip Natural Gas Price Forecast</t>
  </si>
  <si>
    <t>$/MWh</t>
  </si>
  <si>
    <t>CCCT Statistics</t>
  </si>
  <si>
    <t>MW</t>
  </si>
  <si>
    <t>Percent</t>
  </si>
  <si>
    <t>Cap Cost</t>
  </si>
  <si>
    <t>Fixed</t>
  </si>
  <si>
    <t>Capacity Weighted</t>
  </si>
  <si>
    <t>CF</t>
  </si>
  <si>
    <t>aMW</t>
  </si>
  <si>
    <t>Variable</t>
  </si>
  <si>
    <t>Heat Rate</t>
  </si>
  <si>
    <t>Energy Weighted</t>
  </si>
  <si>
    <t>Rounded</t>
  </si>
  <si>
    <t>Appendix B</t>
  </si>
  <si>
    <t xml:space="preserve">  Heat Rate in btu/kWh</t>
  </si>
  <si>
    <t xml:space="preserve">  Payment Factor</t>
  </si>
  <si>
    <t xml:space="preserve">  Capacity Factor</t>
  </si>
  <si>
    <t xml:space="preserve">  Energy Weighted Capacity Factor</t>
  </si>
  <si>
    <t>Start</t>
  </si>
  <si>
    <t>Resource Capacity</t>
  </si>
  <si>
    <t>Nominal Avoided Costs Calculated Monthly</t>
  </si>
  <si>
    <t>End</t>
  </si>
  <si>
    <t>Capacity $</t>
  </si>
  <si>
    <t>Total</t>
  </si>
  <si>
    <t>Month</t>
  </si>
  <si>
    <t>Avoided $</t>
  </si>
  <si>
    <t>MWH</t>
  </si>
  <si>
    <t>Offset</t>
  </si>
  <si>
    <t>Date Test</t>
  </si>
  <si>
    <t>Net Power Cost</t>
  </si>
  <si>
    <t>Dollars</t>
  </si>
  <si>
    <t>AC Price</t>
  </si>
  <si>
    <t>East</t>
  </si>
  <si>
    <t>Total Resource Energy Cost</t>
  </si>
  <si>
    <t>Total Resource Costs</t>
  </si>
  <si>
    <r>
      <t>$/MWh</t>
    </r>
    <r>
      <rPr>
        <vertAlign val="superscript"/>
        <sz val="9"/>
        <rFont val="Times New Roman"/>
        <family val="1"/>
      </rPr>
      <t xml:space="preserve"> (2)</t>
    </r>
  </si>
  <si>
    <t xml:space="preserve">  Fixed Pipeline</t>
  </si>
  <si>
    <t>Study_Name:</t>
  </si>
  <si>
    <t xml:space="preserve">  MW Plant Capacity</t>
  </si>
  <si>
    <t xml:space="preserve">  Plant Capacity Cost</t>
  </si>
  <si>
    <t xml:space="preserve">  Fixed O&amp;M &amp; Capitalized O&amp;M</t>
  </si>
  <si>
    <t xml:space="preserve">  Fixed O&amp;M Including Fixed Pipeline &amp; Capitalized O&amp;M ($/kW-Yr)</t>
  </si>
  <si>
    <t xml:space="preserve">  Variable O&amp;M Costs &amp; Capitalized Variable O&amp;M ($/MWh)</t>
  </si>
  <si>
    <t>CCCT Dry "J" - Turbine</t>
  </si>
  <si>
    <t>CCCT Dry "J" - Duct Firing</t>
  </si>
  <si>
    <t>Table 4</t>
  </si>
  <si>
    <t>Table 3</t>
  </si>
  <si>
    <t>&lt;---- Calculated Monthly</t>
  </si>
  <si>
    <t>Plant Costs  - 2015 IRP - Table 6.1 &amp; 6.2 - Page 92</t>
  </si>
  <si>
    <t>Capacity Contribution</t>
  </si>
  <si>
    <t>Type</t>
  </si>
  <si>
    <t xml:space="preserve">Wind </t>
  </si>
  <si>
    <t>Tracking</t>
  </si>
  <si>
    <t xml:space="preserve">Gas </t>
  </si>
  <si>
    <t xml:space="preserve">Hydro </t>
  </si>
  <si>
    <t/>
  </si>
  <si>
    <t>CCCT Resource Costs - 2017 Integrated Resource Plan</t>
  </si>
  <si>
    <t>Willamette Valley - 436 MW - CCCT Dry "G/H", 1x1 - West Side Resource (1,500')</t>
  </si>
  <si>
    <t>CCCT Dry "G/H", 1x1 - Turbine</t>
  </si>
  <si>
    <t>CCCT Dry "G/H", 1x1 - Duct Firing</t>
  </si>
  <si>
    <t>Discount Rate - 2017 IRP</t>
  </si>
  <si>
    <t>IRP - Utah Greenfield</t>
  </si>
  <si>
    <t>IRP West Side</t>
  </si>
  <si>
    <t>Pacific NW</t>
  </si>
  <si>
    <t>IRP - Wyo NE</t>
  </si>
  <si>
    <t xml:space="preserve">Plant Costs  - 2017 IRP - Table 6.1 &amp; 6.2 </t>
  </si>
  <si>
    <t>2016 $</t>
  </si>
  <si>
    <t>UT N - 200 MW - SCCT Frame "F" x1 - East Side Resource (5,050')</t>
  </si>
  <si>
    <t>SCCT</t>
  </si>
  <si>
    <t>SCCT Dry "F" - Turbine</t>
  </si>
  <si>
    <t>WYNE  DJohns - 477 MW - CCCT Dry "J/HA.02", 1x1 - East Side Resource (5,050')</t>
  </si>
  <si>
    <t>WYNE DJohns- 200 MW - SCCT Frame "F" x1 - East Side Resource (5,050')</t>
  </si>
  <si>
    <t>Fixed Costs</t>
  </si>
  <si>
    <t>Tax Credit</t>
  </si>
  <si>
    <t>Wind Integration Cost</t>
  </si>
  <si>
    <t>Source:</t>
  </si>
  <si>
    <t>(c)(f)</t>
  </si>
  <si>
    <t xml:space="preserve">  Plant capacity cost</t>
  </si>
  <si>
    <t>Wind</t>
  </si>
  <si>
    <t>Cost and Input Assumptions</t>
  </si>
  <si>
    <t xml:space="preserve">  Fixed O&amp;M, plus on-going capital cost</t>
  </si>
  <si>
    <t xml:space="preserve">  Variable O&amp;M</t>
  </si>
  <si>
    <t>$/MWH</t>
  </si>
  <si>
    <t xml:space="preserve">  Tax Credit $/MWh</t>
  </si>
  <si>
    <t>Solar</t>
  </si>
  <si>
    <t>Integration Cost</t>
  </si>
  <si>
    <t>Avoided Cost (before Integration Cost)</t>
  </si>
  <si>
    <t>mainly due to gas tranposrtation cost</t>
  </si>
  <si>
    <t>Payment Factor</t>
  </si>
  <si>
    <t>Total Capital Cost</t>
  </si>
  <si>
    <t>22% ITC assumption</t>
  </si>
  <si>
    <t>10% ITC assumption</t>
  </si>
  <si>
    <t>Per Dan Swan Payment Factor Corresponding to 10% ITC is 7.350%</t>
  </si>
  <si>
    <t>IRP17 - 2033 - 200 MW SCCT - Wyo NE</t>
  </si>
  <si>
    <t>IRP17 - 2033 - 477 MW CCCT - Wyo NE</t>
  </si>
  <si>
    <t>energy</t>
  </si>
  <si>
    <t>capacity</t>
  </si>
  <si>
    <t>IRP17 Dave Johnston Wind</t>
  </si>
  <si>
    <t>IRP17 Goshen Wind 2</t>
  </si>
  <si>
    <t>Total Resource Cost</t>
  </si>
  <si>
    <t>IRP17 Yakima Solar</t>
  </si>
  <si>
    <t>IRP17 Utah South Solar</t>
  </si>
  <si>
    <t>IRP17 Aeolus Wind</t>
  </si>
  <si>
    <t>IRP17 - 2029 - 30 MW Geothermal West</t>
  </si>
  <si>
    <t>IRP17 - 2029 - 200 MW SCCT - Utah N</t>
  </si>
  <si>
    <t>IRP17 - 2030 - 436 MW CCCT - West M</t>
  </si>
  <si>
    <t>Deferral (Capacity Contribution MW)</t>
  </si>
  <si>
    <t>Deferral (Nameplate MW)</t>
  </si>
  <si>
    <t>Resource Cost ($/kw-year)</t>
  </si>
  <si>
    <t>Deferred Cost (Millions $/year)</t>
  </si>
  <si>
    <t>West</t>
  </si>
  <si>
    <t>Total Capacity Deferral</t>
  </si>
  <si>
    <t>$/kw-year</t>
  </si>
  <si>
    <t>Millions $/year</t>
  </si>
  <si>
    <t>IRP2017 Chapter 8, page 220</t>
  </si>
  <si>
    <t>Corrected</t>
  </si>
  <si>
    <t xml:space="preserve">start </t>
  </si>
  <si>
    <t>end</t>
  </si>
  <si>
    <t>2017 IRP Wyoming Wind Resource</t>
  </si>
  <si>
    <t>2017 IRP Wyoming DJ Wind Resource</t>
  </si>
  <si>
    <t>2017 IRP Utah Solar Resource</t>
  </si>
  <si>
    <t>2017 IRP Yakima Solar Resource</t>
  </si>
  <si>
    <t>2017 IRP Geothermal PPA West Side Resource</t>
  </si>
  <si>
    <t>SCCT Resource Costs - 2017 Integrated Resource Plan</t>
  </si>
  <si>
    <t>2017 IRP ID Wind Resource</t>
  </si>
  <si>
    <t>2017 IRP Aeolus-Bridger/Anticline Transmission</t>
  </si>
  <si>
    <t>Months In Service</t>
  </si>
  <si>
    <t>#</t>
  </si>
  <si>
    <t>Transfer Capacity (MW)</t>
  </si>
  <si>
    <t>15 Year Starting 2018</t>
  </si>
  <si>
    <t>15 Year Starting 2019</t>
  </si>
  <si>
    <t>20 Year Starting 2019</t>
  </si>
  <si>
    <t>Retail Revenue Requirement
($/kW-year, 2021$)</t>
  </si>
  <si>
    <t>Retail Revenue Requirement</t>
  </si>
  <si>
    <t>Transmission Deferral (MW)</t>
  </si>
  <si>
    <t>IRP17 Aeolus Trans</t>
  </si>
  <si>
    <t>Transmission Deferral %</t>
  </si>
  <si>
    <t>Transmission Upgrade Capacity</t>
  </si>
  <si>
    <t>Table 2</t>
  </si>
  <si>
    <t>Avoided Energy Costs - Scheduled Hours ($/MWh)</t>
  </si>
  <si>
    <t>Winter Season</t>
  </si>
  <si>
    <t>Summer Season</t>
  </si>
  <si>
    <t>Annual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</si>
  <si>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</si>
  <si>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</si>
  <si>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</si>
  <si>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</si>
  <si>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</si>
  <si>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</si>
  <si>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</si>
  <si>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</si>
  <si>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</si>
  <si>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</si>
  <si>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</si>
  <si>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</si>
  <si>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Energy Only</t>
  </si>
  <si>
    <t>Avoided Cost Prices $/MWh</t>
  </si>
  <si>
    <t>Utah 2017.Q4 Sch 38</t>
  </si>
  <si>
    <t>Solar Tracking</t>
  </si>
  <si>
    <t>Avoided Cost at</t>
  </si>
  <si>
    <t>UT 2017.Q3</t>
  </si>
  <si>
    <t>31.1% CF (2)</t>
  </si>
  <si>
    <t>Filing</t>
  </si>
  <si>
    <t>Difference</t>
  </si>
  <si>
    <t>2018-2032</t>
  </si>
  <si>
    <t>Utah 2017.Q4_Solar</t>
  </si>
  <si>
    <t>Utah 2017.Q4_Solar - 80.0 MW and 31.1% CF</t>
  </si>
  <si>
    <t>QF - Sch38 - UT - Solar T</t>
  </si>
  <si>
    <t>15-Year Levelized Prices (Nominal) @ 6.570% Discount Rate (1) (3)</t>
  </si>
  <si>
    <t>Appendix B.3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</si>
</sst>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&quot;$&quot;#,##0.00"/>
    <numFmt numFmtId="167" formatCode="0.0%"/>
    <numFmt numFmtId="168" formatCode="_(* #,##0.00_);_(* \(#,##0.00\);_(* &quot;-&quot;_);_(@_)"/>
    <numFmt numFmtId="169" formatCode="_(* #,##0.000_);_(* \(#,##0.000\);_(* &quot;-&quot;_);_(@_)"/>
    <numFmt numFmtId="170" formatCode="_(&quot;$&quot;* #,##0_);_(&quot;$&quot;* \(#,##0\);_(&quot;$&quot;* &quot;-&quot;??_);_(@_)"/>
    <numFmt numFmtId="171" formatCode="mmm\ yyyy&quot;   &quot;"/>
    <numFmt numFmtId="172" formatCode="_(* #,##0_);[Red]_(* \(#,##0\);_(* &quot;-&quot;_);_(@_)"/>
    <numFmt numFmtId="173" formatCode="_(* #,##0.00_);[Red]_(* \(#,##0.00\);_(* &quot;-&quot;_);_(@_)"/>
    <numFmt numFmtId="174" formatCode="_(* #,##0.0_);[Red]_(* \(#,##0.0\);_(* &quot;-&quot;_);_(@_)"/>
    <numFmt numFmtId="175" formatCode="0.000%"/>
    <numFmt numFmtId="176" formatCode="&quot;$&quot;###0;[Red]\(&quot;$&quot;###0\)"/>
    <numFmt numFmtId="177" formatCode="0.0"/>
    <numFmt numFmtId="178" formatCode="&quot;$&quot;#,##0.00_)\(\5\)"/>
    <numFmt numFmtId="179" formatCode="&quot;$&quot;#,##0.000_);[Red]\(&quot;$&quot;#,##0.000\)"/>
    <numFmt numFmtId="180" formatCode="#,##0\ ;\(#,##0\)"/>
    <numFmt numFmtId="181" formatCode="_(* #,##0.0000_);_(* \(#,##0.0000\);_(* &quot;-&quot;??_);_(@_)"/>
    <numFmt numFmtId="182" formatCode="_(* #,##0.000_);[Red]_(* \(#,##0.000\);_(* &quot;-&quot;_);_(@_)"/>
    <numFmt numFmtId="183" formatCode="&quot;$&quot;#,##0.00_)"/>
    <numFmt numFmtId="184" formatCode="&quot;$&quot;#,##0.00_)\(\4\)"/>
  </numFmts>
  <fonts count="37"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i/>
      <sz val="8"/>
      <color indexed="18"/>
      <name val="Helv"/>
    </font>
    <font>
      <vertAlign val="superscript"/>
      <sz val="9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u/>
      <sz val="10"/>
      <name val="Times New Roman"/>
      <family val="1"/>
    </font>
    <font>
      <sz val="9"/>
      <name val="Arial"/>
      <family val="2"/>
    </font>
    <font>
      <b/>
      <u/>
      <sz val="12"/>
      <name val="Times New Roman"/>
      <family val="1"/>
    </font>
    <font>
      <sz val="8"/>
      <color indexed="12"/>
      <name val="Arial"/>
      <family val="2"/>
    </font>
    <font>
      <sz val="8"/>
      <color indexed="48"/>
      <name val="Arial"/>
      <family val="2"/>
    </font>
    <font>
      <sz val="9"/>
      <name val="Times New Roman"/>
      <family val="1"/>
    </font>
    <font>
      <sz val="8"/>
      <name val="Helv"/>
    </font>
    <font>
      <b/>
      <sz val="12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Arial"/>
      <family val="2"/>
    </font>
    <font>
      <u/>
      <sz val="7.5"/>
      <color indexed="12"/>
      <name val="Arial"/>
      <family val="2"/>
    </font>
    <font>
      <b/>
      <sz val="9"/>
      <name val="CS Times"/>
    </font>
    <font>
      <sz val="9"/>
      <color indexed="12"/>
      <name val="CS Times"/>
    </font>
    <font>
      <sz val="11"/>
      <color theme="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sz val="10"/>
      <color rgb="FFCCECFF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1">
    <xf numFmtId="172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9" fillId="0" borderId="0" applyNumberFormat="0" applyFill="0" applyBorder="0" applyAlignment="0">
      <protection locked="0"/>
    </xf>
    <xf numFmtId="41" fontId="4" fillId="0" borderId="0"/>
    <xf numFmtId="172" fontId="4" fillId="0" borderId="0"/>
    <xf numFmtId="0" fontId="2" fillId="0" borderId="0"/>
    <xf numFmtId="0" fontId="4" fillId="0" borderId="0"/>
    <xf numFmtId="9" fontId="2" fillId="0" borderId="0" applyFont="0" applyFill="0" applyBorder="0" applyAlignment="0" applyProtection="0"/>
    <xf numFmtId="167" fontId="2" fillId="0" borderId="0"/>
    <xf numFmtId="167" fontId="2" fillId="0" borderId="0"/>
    <xf numFmtId="41" fontId="4" fillId="0" borderId="0"/>
    <xf numFmtId="172" fontId="4" fillId="0" borderId="0"/>
    <xf numFmtId="172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6" fontId="24" fillId="0" borderId="0" applyFont="0" applyFill="0" applyBorder="0" applyProtection="0">
      <alignment horizontal="right"/>
    </xf>
    <xf numFmtId="177" fontId="15" fillId="0" borderId="0" applyNumberFormat="0" applyFill="0" applyBorder="0" applyAlignment="0" applyProtection="0"/>
    <xf numFmtId="0" fontId="13" fillId="0" borderId="21" applyNumberFormat="0" applyBorder="0" applyAlignment="0"/>
    <xf numFmtId="12" fontId="25" fillId="7" borderId="20">
      <alignment horizontal="left"/>
    </xf>
    <xf numFmtId="37" fontId="13" fillId="8" borderId="0" applyNumberFormat="0" applyBorder="0" applyAlignment="0" applyProtection="0"/>
    <xf numFmtId="37" fontId="13" fillId="0" borderId="0"/>
    <xf numFmtId="3" fontId="21" fillId="9" borderId="22" applyProtection="0"/>
    <xf numFmtId="172" fontId="2" fillId="0" borderId="0"/>
    <xf numFmtId="9" fontId="2" fillId="0" borderId="0" applyFont="0" applyFill="0" applyBorder="0" applyAlignment="0" applyProtection="0"/>
    <xf numFmtId="172" fontId="4" fillId="0" borderId="0"/>
    <xf numFmtId="0" fontId="2" fillId="0" borderId="0"/>
    <xf numFmtId="172" fontId="2" fillId="0" borderId="0"/>
    <xf numFmtId="0" fontId="29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0" fontId="2" fillId="0" borderId="0"/>
  </cellStyleXfs>
  <cellXfs count="381">
    <xf numFmtId="172" fontId="0" fillId="0" borderId="0" xfId="0"/>
    <xf numFmtId="172" fontId="5" fillId="0" borderId="0" xfId="0" applyFont="1" applyFill="1" applyAlignment="1">
      <alignment horizontal="centerContinuous"/>
    </xf>
    <xf numFmtId="172" fontId="7" fillId="0" borderId="0" xfId="0" quotePrefix="1" applyFont="1" applyFill="1" applyBorder="1" applyAlignment="1">
      <alignment horizontal="center"/>
    </xf>
    <xf numFmtId="172" fontId="8" fillId="0" borderId="0" xfId="0" applyFont="1" applyFill="1" applyAlignment="1">
      <alignment horizontal="centerContinuous"/>
    </xf>
    <xf numFmtId="172" fontId="4" fillId="0" borderId="0" xfId="0" applyFont="1" applyFill="1"/>
    <xf numFmtId="172" fontId="6" fillId="0" borderId="0" xfId="0" applyFont="1" applyFill="1" applyAlignment="1">
      <alignment horizontal="centerContinuous"/>
    </xf>
    <xf numFmtId="172" fontId="4" fillId="0" borderId="0" xfId="0" applyFont="1" applyFill="1" applyBorder="1"/>
    <xf numFmtId="172" fontId="4" fillId="0" borderId="0" xfId="0" applyFont="1" applyFill="1" applyAlignment="1">
      <alignment horizontal="center"/>
    </xf>
    <xf numFmtId="8" fontId="4" fillId="0" borderId="0" xfId="0" applyNumberFormat="1" applyFont="1" applyFill="1"/>
    <xf numFmtId="8" fontId="4" fillId="0" borderId="2" xfId="0" applyNumberFormat="1" applyFont="1" applyFill="1" applyBorder="1" applyAlignment="1">
      <alignment horizontal="center"/>
    </xf>
    <xf numFmtId="8" fontId="4" fillId="0" borderId="0" xfId="0" applyNumberFormat="1" applyFont="1" applyFill="1" applyBorder="1" applyAlignment="1">
      <alignment horizontal="center"/>
    </xf>
    <xf numFmtId="172" fontId="4" fillId="0" borderId="0" xfId="0" quotePrefix="1" applyFont="1" applyFill="1"/>
    <xf numFmtId="172" fontId="4" fillId="0" borderId="0" xfId="0" applyFont="1" applyFill="1" applyAlignment="1">
      <alignment horizontal="centerContinuous"/>
    </xf>
    <xf numFmtId="172" fontId="4" fillId="0" borderId="0" xfId="0" applyFont="1" applyFill="1" applyBorder="1" applyAlignment="1">
      <alignment horizontal="center"/>
    </xf>
    <xf numFmtId="8" fontId="4" fillId="0" borderId="8" xfId="0" applyNumberFormat="1" applyFont="1" applyFill="1" applyBorder="1" applyAlignment="1">
      <alignment horizontal="center"/>
    </xf>
    <xf numFmtId="8" fontId="4" fillId="0" borderId="11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172" fontId="3" fillId="0" borderId="0" xfId="0" applyFont="1" applyFill="1" applyAlignment="1">
      <alignment horizontal="right"/>
    </xf>
    <xf numFmtId="172" fontId="3" fillId="0" borderId="5" xfId="0" applyFont="1" applyFill="1" applyBorder="1" applyAlignment="1">
      <alignment horizontal="center"/>
    </xf>
    <xf numFmtId="172" fontId="3" fillId="0" borderId="5" xfId="0" applyFont="1" applyFill="1" applyBorder="1" applyAlignment="1">
      <alignment horizontal="center" wrapText="1"/>
    </xf>
    <xf numFmtId="172" fontId="3" fillId="0" borderId="5" xfId="0" applyFont="1" applyFill="1" applyBorder="1" applyAlignment="1">
      <alignment horizontal="centerContinuous" wrapText="1"/>
    </xf>
    <xf numFmtId="172" fontId="8" fillId="0" borderId="6" xfId="0" applyFont="1" applyFill="1" applyBorder="1" applyAlignment="1">
      <alignment horizontal="centerContinuous"/>
    </xf>
    <xf numFmtId="172" fontId="11" fillId="0" borderId="6" xfId="0" quotePrefix="1" applyFont="1" applyFill="1" applyBorder="1" applyAlignment="1">
      <alignment horizontal="center" wrapText="1"/>
    </xf>
    <xf numFmtId="172" fontId="11" fillId="0" borderId="6" xfId="0" applyFont="1" applyFill="1" applyBorder="1" applyAlignment="1">
      <alignment horizontal="center" wrapText="1"/>
    </xf>
    <xf numFmtId="172" fontId="3" fillId="0" borderId="0" xfId="0" applyFont="1" applyFill="1" applyAlignment="1">
      <alignment horizontal="centerContinuous"/>
    </xf>
    <xf numFmtId="172" fontId="3" fillId="0" borderId="5" xfId="0" applyFont="1" applyFill="1" applyBorder="1"/>
    <xf numFmtId="172" fontId="3" fillId="0" borderId="13" xfId="0" applyFont="1" applyFill="1" applyBorder="1" applyAlignment="1">
      <alignment horizontal="center"/>
    </xf>
    <xf numFmtId="172" fontId="3" fillId="0" borderId="6" xfId="0" applyFont="1" applyFill="1" applyBorder="1"/>
    <xf numFmtId="172" fontId="3" fillId="0" borderId="6" xfId="0" applyFont="1" applyFill="1" applyBorder="1" applyAlignment="1">
      <alignment horizontal="center"/>
    </xf>
    <xf numFmtId="8" fontId="12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172" fontId="3" fillId="0" borderId="9" xfId="0" applyFont="1" applyFill="1" applyBorder="1" applyAlignment="1">
      <alignment horizontal="centerContinuous"/>
    </xf>
    <xf numFmtId="172" fontId="6" fillId="0" borderId="7" xfId="0" applyFont="1" applyFill="1" applyBorder="1" applyAlignment="1">
      <alignment horizontal="centerContinuous"/>
    </xf>
    <xf numFmtId="172" fontId="13" fillId="2" borderId="0" xfId="0" applyFont="1" applyFill="1" applyAlignment="1">
      <alignment horizontal="centerContinuous"/>
    </xf>
    <xf numFmtId="172" fontId="15" fillId="2" borderId="0" xfId="0" applyFont="1" applyFill="1" applyBorder="1" applyAlignment="1">
      <alignment horizontal="centerContinuous"/>
    </xf>
    <xf numFmtId="171" fontId="13" fillId="2" borderId="0" xfId="1" applyNumberFormat="1" applyFont="1" applyFill="1" applyAlignment="1">
      <alignment horizontal="centerContinuous"/>
    </xf>
    <xf numFmtId="172" fontId="13" fillId="0" borderId="0" xfId="0" applyFont="1" applyFill="1" applyBorder="1"/>
    <xf numFmtId="172" fontId="15" fillId="0" borderId="0" xfId="0" applyFont="1" applyFill="1" applyBorder="1" applyAlignment="1">
      <alignment wrapText="1"/>
    </xf>
    <xf numFmtId="172" fontId="13" fillId="0" borderId="0" xfId="0" applyFont="1" applyFill="1" applyBorder="1" applyAlignment="1">
      <alignment horizontal="center"/>
    </xf>
    <xf numFmtId="168" fontId="13" fillId="0" borderId="0" xfId="0" applyNumberFormat="1" applyFont="1" applyFill="1" applyBorder="1"/>
    <xf numFmtId="172" fontId="3" fillId="0" borderId="7" xfId="0" applyFont="1" applyFill="1" applyBorder="1" applyAlignment="1">
      <alignment horizontal="center"/>
    </xf>
    <xf numFmtId="172" fontId="3" fillId="0" borderId="7" xfId="0" applyFont="1" applyFill="1" applyBorder="1" applyAlignment="1">
      <alignment horizontal="centerContinuous"/>
    </xf>
    <xf numFmtId="172" fontId="18" fillId="0" borderId="0" xfId="0" applyFont="1" applyFill="1"/>
    <xf numFmtId="167" fontId="18" fillId="0" borderId="0" xfId="8" applyNumberFormat="1" applyFont="1" applyFill="1"/>
    <xf numFmtId="43" fontId="18" fillId="0" borderId="0" xfId="2" applyNumberFormat="1" applyFont="1" applyFill="1"/>
    <xf numFmtId="164" fontId="18" fillId="0" borderId="0" xfId="0" applyNumberFormat="1" applyFont="1" applyFill="1" applyAlignment="1">
      <alignment horizontal="center"/>
    </xf>
    <xf numFmtId="164" fontId="7" fillId="0" borderId="0" xfId="0" applyNumberFormat="1" applyFont="1" applyFill="1" applyAlignment="1">
      <alignment horizontal="right"/>
    </xf>
    <xf numFmtId="41" fontId="18" fillId="0" borderId="0" xfId="0" applyNumberFormat="1" applyFont="1" applyFill="1"/>
    <xf numFmtId="8" fontId="18" fillId="0" borderId="0" xfId="2" applyNumberFormat="1" applyFont="1" applyFill="1"/>
    <xf numFmtId="2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39" fontId="4" fillId="0" borderId="0" xfId="0" applyNumberFormat="1" applyFont="1" applyFill="1" applyBorder="1" applyAlignment="1">
      <alignment horizontal="center"/>
    </xf>
    <xf numFmtId="172" fontId="3" fillId="0" borderId="0" xfId="0" applyFont="1" applyFill="1" applyBorder="1" applyAlignment="1">
      <alignment horizontal="center"/>
    </xf>
    <xf numFmtId="172" fontId="3" fillId="0" borderId="16" xfId="0" applyFont="1" applyFill="1" applyBorder="1" applyAlignment="1">
      <alignment horizontal="centerContinuous"/>
    </xf>
    <xf numFmtId="172" fontId="3" fillId="0" borderId="17" xfId="0" applyFont="1" applyFill="1" applyBorder="1" applyAlignment="1">
      <alignment horizontal="centerContinuous"/>
    </xf>
    <xf numFmtId="172" fontId="3" fillId="0" borderId="18" xfId="0" applyFont="1" applyFill="1" applyBorder="1" applyAlignment="1">
      <alignment horizontal="centerContinuous"/>
    </xf>
    <xf numFmtId="167" fontId="0" fillId="0" borderId="0" xfId="8" applyNumberFormat="1" applyFont="1" applyFill="1"/>
    <xf numFmtId="172" fontId="3" fillId="0" borderId="16" xfId="5" applyFont="1" applyFill="1" applyBorder="1" applyAlignment="1">
      <alignment horizontal="centerContinuous"/>
    </xf>
    <xf numFmtId="172" fontId="3" fillId="0" borderId="3" xfId="5" applyFont="1" applyFill="1" applyBorder="1" applyAlignment="1">
      <alignment horizontal="centerContinuous"/>
    </xf>
    <xf numFmtId="172" fontId="20" fillId="0" borderId="0" xfId="5" applyFont="1" applyFill="1" applyBorder="1"/>
    <xf numFmtId="2" fontId="4" fillId="0" borderId="2" xfId="0" applyNumberFormat="1" applyFont="1" applyFill="1" applyBorder="1" applyAlignment="1">
      <alignment horizontal="center"/>
    </xf>
    <xf numFmtId="8" fontId="4" fillId="0" borderId="0" xfId="0" quotePrefix="1" applyNumberFormat="1" applyFont="1" applyFill="1" applyBorder="1" applyAlignment="1">
      <alignment horizontal="center"/>
    </xf>
    <xf numFmtId="172" fontId="13" fillId="0" borderId="0" xfId="0" applyFont="1" applyFill="1" applyAlignment="1">
      <alignment horizontal="centerContinuous"/>
    </xf>
    <xf numFmtId="172" fontId="4" fillId="0" borderId="0" xfId="0" applyFont="1" applyFill="1" applyBorder="1" applyAlignment="1">
      <alignment horizontal="left" indent="1"/>
    </xf>
    <xf numFmtId="172" fontId="4" fillId="0" borderId="0" xfId="0" applyFont="1" applyFill="1" applyAlignment="1">
      <alignment horizontal="left" indent="1"/>
    </xf>
    <xf numFmtId="172" fontId="0" fillId="0" borderId="0" xfId="0" applyFill="1"/>
    <xf numFmtId="43" fontId="0" fillId="0" borderId="0" xfId="1" applyFont="1" applyFill="1"/>
    <xf numFmtId="172" fontId="0" fillId="0" borderId="0" xfId="0" quotePrefix="1" applyFont="1" applyFill="1"/>
    <xf numFmtId="167" fontId="4" fillId="0" borderId="0" xfId="8" applyNumberFormat="1" applyFont="1" applyFill="1" applyAlignment="1">
      <alignment horizontal="center"/>
    </xf>
    <xf numFmtId="41" fontId="4" fillId="0" borderId="0" xfId="11"/>
    <xf numFmtId="41" fontId="4" fillId="0" borderId="0" xfId="11" applyFont="1" applyFill="1"/>
    <xf numFmtId="0" fontId="0" fillId="0" borderId="0" xfId="11" applyNumberFormat="1" applyFont="1" applyFill="1" applyAlignment="1">
      <alignment horizontal="left"/>
    </xf>
    <xf numFmtId="172" fontId="2" fillId="0" borderId="0" xfId="10" applyNumberFormat="1" applyFont="1"/>
    <xf numFmtId="174" fontId="2" fillId="5" borderId="0" xfId="10" applyNumberFormat="1" applyFont="1" applyFill="1"/>
    <xf numFmtId="170" fontId="2" fillId="0" borderId="0" xfId="2" applyNumberFormat="1" applyFont="1"/>
    <xf numFmtId="10" fontId="2" fillId="0" borderId="0" xfId="8" applyNumberFormat="1" applyFont="1"/>
    <xf numFmtId="172" fontId="2" fillId="0" borderId="5" xfId="10" applyNumberFormat="1" applyFont="1" applyBorder="1"/>
    <xf numFmtId="172" fontId="2" fillId="0" borderId="7" xfId="10" applyNumberFormat="1" applyFont="1" applyBorder="1" applyAlignment="1">
      <alignment horizontal="center"/>
    </xf>
    <xf numFmtId="172" fontId="2" fillId="0" borderId="3" xfId="10" applyNumberFormat="1" applyFont="1" applyBorder="1" applyAlignment="1">
      <alignment horizontal="centerContinuous"/>
    </xf>
    <xf numFmtId="172" fontId="2" fillId="0" borderId="4" xfId="10" applyNumberFormat="1" applyFont="1" applyBorder="1" applyAlignment="1">
      <alignment horizontal="centerContinuous"/>
    </xf>
    <xf numFmtId="172" fontId="2" fillId="0" borderId="6" xfId="10" applyNumberFormat="1" applyFont="1" applyBorder="1"/>
    <xf numFmtId="172" fontId="2" fillId="0" borderId="4" xfId="10" applyNumberFormat="1" applyFont="1" applyBorder="1" applyAlignment="1">
      <alignment horizontal="center"/>
    </xf>
    <xf numFmtId="172" fontId="2" fillId="0" borderId="3" xfId="10" applyNumberFormat="1" applyFont="1" applyBorder="1" applyAlignment="1">
      <alignment horizontal="center"/>
    </xf>
    <xf numFmtId="172" fontId="2" fillId="0" borderId="6" xfId="10" applyNumberFormat="1" applyFont="1" applyBorder="1" applyAlignment="1">
      <alignment horizontal="center"/>
    </xf>
    <xf numFmtId="172" fontId="2" fillId="0" borderId="9" xfId="10" applyNumberFormat="1" applyFont="1" applyBorder="1" applyAlignment="1">
      <alignment horizontal="centerContinuous"/>
    </xf>
    <xf numFmtId="172" fontId="2" fillId="0" borderId="2" xfId="10" applyNumberFormat="1" applyFont="1" applyBorder="1"/>
    <xf numFmtId="41" fontId="2" fillId="0" borderId="8" xfId="10" applyNumberFormat="1" applyFont="1" applyBorder="1"/>
    <xf numFmtId="41" fontId="2" fillId="0" borderId="11" xfId="10" applyNumberFormat="1" applyFont="1" applyBorder="1"/>
    <xf numFmtId="168" fontId="2" fillId="0" borderId="8" xfId="10" applyNumberFormat="1" applyFont="1" applyBorder="1"/>
    <xf numFmtId="0" fontId="2" fillId="0" borderId="0" xfId="10" applyNumberFormat="1" applyFont="1"/>
    <xf numFmtId="17" fontId="2" fillId="0" borderId="5" xfId="10" applyNumberFormat="1" applyFont="1" applyBorder="1" applyAlignment="1">
      <alignment horizontal="center"/>
    </xf>
    <xf numFmtId="172" fontId="2" fillId="0" borderId="0" xfId="10" applyNumberFormat="1" applyFont="1" applyBorder="1"/>
    <xf numFmtId="168" fontId="2" fillId="0" borderId="11" xfId="10" applyNumberFormat="1" applyFont="1" applyBorder="1"/>
    <xf numFmtId="172" fontId="2" fillId="0" borderId="13" xfId="10" applyNumberFormat="1" applyFont="1" applyBorder="1"/>
    <xf numFmtId="17" fontId="2" fillId="0" borderId="13" xfId="10" applyNumberFormat="1" applyFont="1" applyBorder="1" applyAlignment="1">
      <alignment horizontal="center"/>
    </xf>
    <xf numFmtId="172" fontId="2" fillId="0" borderId="1" xfId="10" applyNumberFormat="1" applyFont="1" applyBorder="1"/>
    <xf numFmtId="41" fontId="2" fillId="0" borderId="12" xfId="10" applyNumberFormat="1" applyFont="1" applyBorder="1"/>
    <xf numFmtId="168" fontId="2" fillId="0" borderId="12" xfId="10" applyNumberFormat="1" applyFont="1" applyBorder="1"/>
    <xf numFmtId="17" fontId="2" fillId="0" borderId="6" xfId="10" applyNumberFormat="1" applyFont="1" applyBorder="1" applyAlignment="1">
      <alignment horizontal="center"/>
    </xf>
    <xf numFmtId="172" fontId="2" fillId="0" borderId="0" xfId="10" applyNumberFormat="1" applyFont="1" applyAlignment="1">
      <alignment horizontal="center"/>
    </xf>
    <xf numFmtId="172" fontId="14" fillId="0" borderId="0" xfId="10" applyNumberFormat="1" applyFont="1" applyAlignment="1">
      <alignment horizontal="centerContinuous"/>
    </xf>
    <xf numFmtId="0" fontId="0" fillId="0" borderId="0" xfId="7" applyFont="1" applyFill="1" applyBorder="1" applyAlignment="1">
      <alignment horizontal="center"/>
    </xf>
    <xf numFmtId="172" fontId="0" fillId="0" borderId="0" xfId="0" applyFont="1" applyFill="1" applyAlignment="1">
      <alignment horizontal="centerContinuous"/>
    </xf>
    <xf numFmtId="172" fontId="0" fillId="0" borderId="0" xfId="0" applyFont="1" applyFill="1"/>
    <xf numFmtId="172" fontId="0" fillId="0" borderId="0" xfId="0" applyFont="1" applyFill="1" applyBorder="1" applyAlignment="1">
      <alignment horizontal="centerContinuous"/>
    </xf>
    <xf numFmtId="172" fontId="0" fillId="0" borderId="0" xfId="0" applyFont="1" applyFill="1" applyBorder="1"/>
    <xf numFmtId="0" fontId="0" fillId="0" borderId="0" xfId="0" applyNumberFormat="1" applyFont="1" applyFill="1"/>
    <xf numFmtId="6" fontId="0" fillId="0" borderId="0" xfId="0" applyNumberFormat="1" applyFont="1" applyFill="1" applyAlignment="1">
      <alignment horizontal="right"/>
    </xf>
    <xf numFmtId="8" fontId="0" fillId="0" borderId="0" xfId="0" applyNumberFormat="1" applyFont="1" applyFill="1" applyAlignment="1">
      <alignment horizontal="right"/>
    </xf>
    <xf numFmtId="8" fontId="0" fillId="0" borderId="0" xfId="0" applyNumberFormat="1" applyFont="1" applyFill="1"/>
    <xf numFmtId="8" fontId="0" fillId="0" borderId="0" xfId="0" applyNumberFormat="1" applyFont="1" applyFill="1" applyBorder="1"/>
    <xf numFmtId="165" fontId="0" fillId="0" borderId="0" xfId="0" applyNumberFormat="1" applyFont="1" applyFill="1" applyAlignment="1">
      <alignment horizontal="center"/>
    </xf>
    <xf numFmtId="8" fontId="0" fillId="0" borderId="0" xfId="0" applyNumberFormat="1" applyFont="1" applyFill="1" applyBorder="1" applyAlignment="1">
      <alignment horizontal="right"/>
    </xf>
    <xf numFmtId="169" fontId="0" fillId="0" borderId="0" xfId="0" applyNumberFormat="1" applyFont="1" applyFill="1"/>
    <xf numFmtId="41" fontId="0" fillId="0" borderId="0" xfId="4" applyFont="1" applyFill="1"/>
    <xf numFmtId="172" fontId="0" fillId="0" borderId="0" xfId="0" applyFont="1" applyFill="1" applyAlignment="1">
      <alignment horizontal="center"/>
    </xf>
    <xf numFmtId="172" fontId="0" fillId="0" borderId="19" xfId="0" applyFont="1" applyFill="1" applyBorder="1" applyAlignment="1">
      <alignment horizontal="centerContinuous"/>
    </xf>
    <xf numFmtId="41" fontId="0" fillId="0" borderId="0" xfId="0" applyNumberFormat="1" applyFont="1" applyFill="1"/>
    <xf numFmtId="6" fontId="0" fillId="0" borderId="0" xfId="2" applyNumberFormat="1" applyFont="1" applyFill="1"/>
    <xf numFmtId="8" fontId="0" fillId="0" borderId="0" xfId="2" applyNumberFormat="1" applyFont="1" applyFill="1"/>
    <xf numFmtId="172" fontId="0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 horizontal="center"/>
    </xf>
    <xf numFmtId="167" fontId="0" fillId="0" borderId="0" xfId="0" applyNumberFormat="1" applyFont="1" applyFill="1"/>
    <xf numFmtId="164" fontId="0" fillId="0" borderId="0" xfId="0" applyNumberFormat="1" applyFont="1" applyFill="1"/>
    <xf numFmtId="172" fontId="0" fillId="0" borderId="9" xfId="0" applyFont="1" applyFill="1" applyBorder="1" applyAlignment="1">
      <alignment horizontal="centerContinuous"/>
    </xf>
    <xf numFmtId="172" fontId="0" fillId="0" borderId="4" xfId="0" applyFont="1" applyFill="1" applyBorder="1" applyAlignment="1">
      <alignment horizontal="centerContinuous"/>
    </xf>
    <xf numFmtId="170" fontId="0" fillId="0" borderId="0" xfId="2" applyNumberFormat="1" applyFont="1" applyFill="1"/>
    <xf numFmtId="9" fontId="0" fillId="0" borderId="0" xfId="0" applyNumberFormat="1" applyFont="1" applyFill="1"/>
    <xf numFmtId="1" fontId="0" fillId="0" borderId="0" xfId="6" applyNumberFormat="1" applyFont="1" applyFill="1" applyAlignment="1" applyProtection="1">
      <alignment horizontal="center"/>
      <protection locked="0"/>
    </xf>
    <xf numFmtId="172" fontId="4" fillId="0" borderId="0" xfId="10" applyNumberFormat="1" applyFont="1"/>
    <xf numFmtId="173" fontId="0" fillId="0" borderId="0" xfId="0" applyNumberFormat="1"/>
    <xf numFmtId="6" fontId="0" fillId="0" borderId="0" xfId="2" applyNumberFormat="1" applyFont="1" applyFill="1" applyAlignment="1">
      <alignment horizontal="center"/>
    </xf>
    <xf numFmtId="6" fontId="18" fillId="0" borderId="0" xfId="2" applyNumberFormat="1" applyFont="1" applyFill="1" applyAlignment="1">
      <alignment horizontal="center"/>
    </xf>
    <xf numFmtId="8" fontId="0" fillId="0" borderId="0" xfId="2" applyNumberFormat="1" applyFont="1" applyFill="1" applyAlignment="1">
      <alignment horizontal="center"/>
    </xf>
    <xf numFmtId="8" fontId="18" fillId="0" borderId="0" xfId="2" applyNumberFormat="1" applyFont="1" applyFill="1" applyAlignment="1">
      <alignment horizontal="center"/>
    </xf>
    <xf numFmtId="10" fontId="0" fillId="0" borderId="0" xfId="8" applyNumberFormat="1" applyFont="1" applyFill="1"/>
    <xf numFmtId="172" fontId="19" fillId="6" borderId="0" xfId="10" applyNumberFormat="1" applyFont="1" applyFill="1"/>
    <xf numFmtId="8" fontId="0" fillId="0" borderId="20" xfId="0" applyNumberFormat="1" applyFont="1" applyFill="1" applyBorder="1"/>
    <xf numFmtId="7" fontId="2" fillId="0" borderId="0" xfId="2" applyNumberFormat="1" applyFont="1"/>
    <xf numFmtId="172" fontId="2" fillId="0" borderId="5" xfId="10" applyNumberFormat="1" applyFont="1" applyBorder="1" applyAlignment="1">
      <alignment horizontal="center"/>
    </xf>
    <xf numFmtId="175" fontId="2" fillId="0" borderId="0" xfId="8" applyNumberFormat="1" applyFont="1"/>
    <xf numFmtId="175" fontId="0" fillId="0" borderId="0" xfId="0" applyNumberFormat="1" applyFont="1" applyFill="1" applyBorder="1"/>
    <xf numFmtId="8" fontId="0" fillId="0" borderId="0" xfId="5" applyNumberFormat="1" applyFont="1" applyFill="1" applyBorder="1"/>
    <xf numFmtId="41" fontId="0" fillId="0" borderId="0" xfId="5" applyNumberFormat="1" applyFont="1" applyFill="1" applyBorder="1"/>
    <xf numFmtId="172" fontId="0" fillId="0" borderId="0" xfId="5" applyFont="1" applyFill="1"/>
    <xf numFmtId="172" fontId="3" fillId="0" borderId="7" xfId="5" applyFont="1" applyFill="1" applyBorder="1" applyAlignment="1">
      <alignment horizontal="centerContinuous"/>
    </xf>
    <xf numFmtId="172" fontId="0" fillId="0" borderId="0" xfId="5" applyFont="1" applyFill="1" applyAlignment="1">
      <alignment horizontal="left"/>
    </xf>
    <xf numFmtId="0" fontId="0" fillId="0" borderId="0" xfId="5" applyNumberFormat="1" applyFont="1" applyFill="1"/>
    <xf numFmtId="165" fontId="0" fillId="0" borderId="0" xfId="5" applyNumberFormat="1" applyFont="1" applyFill="1" applyAlignment="1">
      <alignment horizontal="center"/>
    </xf>
    <xf numFmtId="172" fontId="7" fillId="0" borderId="0" xfId="0" applyFont="1" applyFill="1"/>
    <xf numFmtId="172" fontId="15" fillId="2" borderId="0" xfId="0" applyFont="1" applyFill="1" applyBorder="1" applyAlignment="1">
      <alignment horizontal="center"/>
    </xf>
    <xf numFmtId="14" fontId="21" fillId="3" borderId="7" xfId="0" applyNumberFormat="1" applyFont="1" applyFill="1" applyBorder="1" applyAlignment="1">
      <alignment horizontal="center"/>
    </xf>
    <xf numFmtId="172" fontId="15" fillId="2" borderId="0" xfId="0" applyFont="1" applyFill="1" applyAlignment="1">
      <alignment horizontal="centerContinuous"/>
    </xf>
    <xf numFmtId="172" fontId="7" fillId="0" borderId="0" xfId="0" applyFont="1" applyFill="1" applyBorder="1"/>
    <xf numFmtId="14" fontId="22" fillId="2" borderId="0" xfId="0" applyNumberFormat="1" applyFont="1" applyFill="1" applyBorder="1" applyAlignment="1">
      <alignment horizontal="centerContinuous" vertical="center"/>
    </xf>
    <xf numFmtId="172" fontId="7" fillId="0" borderId="0" xfId="0" applyFont="1" applyFill="1" applyBorder="1" applyAlignment="1">
      <alignment horizontal="center"/>
    </xf>
    <xf numFmtId="172" fontId="13" fillId="2" borderId="0" xfId="0" applyFont="1" applyFill="1" applyBorder="1" applyAlignment="1">
      <alignment horizontal="centerContinuous" wrapText="1"/>
    </xf>
    <xf numFmtId="172" fontId="7" fillId="0" borderId="0" xfId="0" applyFont="1" applyFill="1" applyAlignment="1">
      <alignment horizontal="center"/>
    </xf>
    <xf numFmtId="172" fontId="13" fillId="0" borderId="15" xfId="0" applyFont="1" applyBorder="1" applyAlignment="1">
      <alignment horizontal="center"/>
    </xf>
    <xf numFmtId="0" fontId="7" fillId="0" borderId="0" xfId="0" applyNumberFormat="1" applyFont="1" applyFill="1" applyAlignment="1">
      <alignment horizontal="center"/>
    </xf>
    <xf numFmtId="172" fontId="7" fillId="4" borderId="14" xfId="0" applyFont="1" applyFill="1" applyBorder="1"/>
    <xf numFmtId="0" fontId="3" fillId="0" borderId="0" xfId="0" applyNumberFormat="1" applyFont="1" applyFill="1" applyAlignment="1"/>
    <xf numFmtId="172" fontId="14" fillId="0" borderId="0" xfId="10" applyNumberFormat="1" applyFont="1"/>
    <xf numFmtId="8" fontId="0" fillId="0" borderId="20" xfId="0" applyNumberFormat="1" applyFont="1" applyFill="1" applyBorder="1" applyAlignment="1">
      <alignment horizontal="right"/>
    </xf>
    <xf numFmtId="178" fontId="4" fillId="0" borderId="0" xfId="0" applyNumberFormat="1" applyFont="1" applyFill="1" applyBorder="1" applyAlignment="1">
      <alignment horizontal="center"/>
    </xf>
    <xf numFmtId="10" fontId="0" fillId="5" borderId="0" xfId="8" applyNumberFormat="1" applyFont="1" applyFill="1"/>
    <xf numFmtId="10" fontId="2" fillId="0" borderId="0" xfId="10" applyNumberFormat="1" applyFont="1"/>
    <xf numFmtId="174" fontId="0" fillId="0" borderId="0" xfId="0" applyNumberFormat="1" applyFont="1" applyFill="1"/>
    <xf numFmtId="174" fontId="18" fillId="0" borderId="0" xfId="0" applyNumberFormat="1" applyFont="1" applyFill="1"/>
    <xf numFmtId="167" fontId="2" fillId="5" borderId="0" xfId="8" applyNumberFormat="1" applyFont="1" applyFill="1"/>
    <xf numFmtId="172" fontId="14" fillId="0" borderId="7" xfId="23" applyFont="1" applyFill="1" applyBorder="1" applyAlignment="1">
      <alignment horizontal="centerContinuous"/>
    </xf>
    <xf numFmtId="172" fontId="27" fillId="0" borderId="6" xfId="0" applyFont="1" applyBorder="1" applyAlignment="1">
      <alignment horizontal="center"/>
    </xf>
    <xf numFmtId="172" fontId="27" fillId="0" borderId="0" xfId="0" applyFont="1"/>
    <xf numFmtId="172" fontId="27" fillId="0" borderId="7" xfId="0" applyFont="1" applyBorder="1"/>
    <xf numFmtId="167" fontId="26" fillId="0" borderId="7" xfId="24" applyNumberFormat="1" applyFont="1" applyFill="1" applyBorder="1"/>
    <xf numFmtId="0" fontId="0" fillId="0" borderId="20" xfId="0" applyNumberFormat="1" applyFont="1" applyFill="1" applyBorder="1"/>
    <xf numFmtId="165" fontId="0" fillId="0" borderId="20" xfId="0" applyNumberFormat="1" applyFont="1" applyFill="1" applyBorder="1" applyAlignment="1">
      <alignment horizontal="center"/>
    </xf>
    <xf numFmtId="172" fontId="26" fillId="0" borderId="0" xfId="0" applyFont="1"/>
    <xf numFmtId="9" fontId="26" fillId="0" borderId="0" xfId="8" applyFont="1"/>
    <xf numFmtId="43" fontId="2" fillId="0" borderId="0" xfId="10" applyNumberFormat="1" applyFont="1"/>
    <xf numFmtId="172" fontId="28" fillId="0" borderId="0" xfId="10" applyNumberFormat="1" applyFont="1"/>
    <xf numFmtId="173" fontId="0" fillId="0" borderId="0" xfId="0" applyNumberFormat="1" applyFont="1" applyFill="1"/>
    <xf numFmtId="8" fontId="0" fillId="0" borderId="1" xfId="0" applyNumberFormat="1" applyFont="1" applyFill="1" applyBorder="1" applyAlignment="1">
      <alignment horizontal="right"/>
    </xf>
    <xf numFmtId="8" fontId="0" fillId="0" borderId="1" xfId="0" applyNumberFormat="1" applyFont="1" applyFill="1" applyBorder="1"/>
    <xf numFmtId="8" fontId="0" fillId="0" borderId="1" xfId="5" applyNumberFormat="1" applyFont="1" applyFill="1" applyBorder="1"/>
    <xf numFmtId="172" fontId="5" fillId="0" borderId="0" xfId="25" applyFont="1" applyFill="1" applyAlignment="1">
      <alignment horizontal="centerContinuous"/>
    </xf>
    <xf numFmtId="172" fontId="4" fillId="0" borderId="0" xfId="25" applyFont="1" applyFill="1" applyAlignment="1">
      <alignment horizontal="centerContinuous"/>
    </xf>
    <xf numFmtId="172" fontId="4" fillId="0" borderId="0" xfId="25" applyFont="1" applyFill="1"/>
    <xf numFmtId="172" fontId="4" fillId="0" borderId="0" xfId="25" applyFont="1" applyFill="1" applyBorder="1" applyAlignment="1">
      <alignment horizontal="centerContinuous"/>
    </xf>
    <xf numFmtId="172" fontId="4" fillId="0" borderId="0" xfId="25" applyFont="1" applyFill="1" applyBorder="1"/>
    <xf numFmtId="172" fontId="3" fillId="0" borderId="5" xfId="25" applyFont="1" applyFill="1" applyBorder="1" applyAlignment="1">
      <alignment horizontal="center"/>
    </xf>
    <xf numFmtId="172" fontId="3" fillId="0" borderId="5" xfId="25" applyFont="1" applyFill="1" applyBorder="1" applyAlignment="1">
      <alignment horizontal="center" wrapText="1"/>
    </xf>
    <xf numFmtId="172" fontId="8" fillId="0" borderId="6" xfId="25" applyFont="1" applyFill="1" applyBorder="1" applyAlignment="1">
      <alignment horizontal="centerContinuous"/>
    </xf>
    <xf numFmtId="172" fontId="11" fillId="0" borderId="6" xfId="25" quotePrefix="1" applyFont="1" applyFill="1" applyBorder="1" applyAlignment="1">
      <alignment horizontal="center" wrapText="1"/>
    </xf>
    <xf numFmtId="172" fontId="11" fillId="0" borderId="6" xfId="25" applyFont="1" applyFill="1" applyBorder="1" applyAlignment="1">
      <alignment horizontal="center" wrapText="1"/>
    </xf>
    <xf numFmtId="172" fontId="7" fillId="0" borderId="0" xfId="25" quotePrefix="1" applyFont="1" applyFill="1" applyBorder="1" applyAlignment="1">
      <alignment horizontal="center"/>
    </xf>
    <xf numFmtId="0" fontId="4" fillId="0" borderId="0" xfId="25" applyNumberFormat="1" applyFont="1" applyFill="1"/>
    <xf numFmtId="6" fontId="4" fillId="0" borderId="0" xfId="25" applyNumberFormat="1" applyFont="1" applyFill="1" applyAlignment="1">
      <alignment horizontal="right"/>
    </xf>
    <xf numFmtId="8" fontId="4" fillId="0" borderId="0" xfId="25" applyNumberFormat="1" applyFont="1" applyFill="1" applyAlignment="1">
      <alignment horizontal="right"/>
    </xf>
    <xf numFmtId="8" fontId="4" fillId="0" borderId="0" xfId="25" applyNumberFormat="1" applyFont="1" applyFill="1"/>
    <xf numFmtId="8" fontId="4" fillId="0" borderId="0" xfId="25" applyNumberFormat="1" applyFont="1" applyFill="1" applyBorder="1"/>
    <xf numFmtId="179" fontId="4" fillId="0" borderId="0" xfId="25" applyNumberFormat="1" applyFont="1" applyFill="1" applyAlignment="1">
      <alignment horizontal="right"/>
    </xf>
    <xf numFmtId="165" fontId="4" fillId="0" borderId="0" xfId="25" applyNumberFormat="1" applyFont="1" applyFill="1" applyAlignment="1">
      <alignment horizontal="center"/>
    </xf>
    <xf numFmtId="165" fontId="4" fillId="0" borderId="1" xfId="25" applyNumberFormat="1" applyFont="1" applyFill="1" applyBorder="1" applyAlignment="1">
      <alignment horizontal="center"/>
    </xf>
    <xf numFmtId="8" fontId="4" fillId="0" borderId="1" xfId="25" applyNumberFormat="1" applyFont="1" applyFill="1" applyBorder="1" applyAlignment="1">
      <alignment horizontal="right"/>
    </xf>
    <xf numFmtId="8" fontId="4" fillId="0" borderId="1" xfId="25" applyNumberFormat="1" applyFont="1" applyFill="1" applyBorder="1"/>
    <xf numFmtId="172" fontId="4" fillId="0" borderId="0" xfId="25" quotePrefix="1" applyFont="1" applyFill="1"/>
    <xf numFmtId="0" fontId="4" fillId="0" borderId="0" xfId="26" applyFont="1"/>
    <xf numFmtId="14" fontId="4" fillId="0" borderId="0" xfId="27" applyNumberFormat="1" applyFont="1"/>
    <xf numFmtId="0" fontId="4" fillId="0" borderId="0" xfId="25" applyNumberFormat="1" applyFont="1" applyFill="1" applyBorder="1"/>
    <xf numFmtId="165" fontId="4" fillId="0" borderId="0" xfId="25" applyNumberFormat="1" applyFont="1" applyFill="1" applyBorder="1" applyAlignment="1">
      <alignment horizontal="center"/>
    </xf>
    <xf numFmtId="8" fontId="4" fillId="0" borderId="0" xfId="25" applyNumberFormat="1" applyFont="1" applyFill="1" applyBorder="1" applyAlignment="1">
      <alignment horizontal="right"/>
    </xf>
    <xf numFmtId="8" fontId="4" fillId="0" borderId="0" xfId="25" applyNumberFormat="1" applyFont="1" applyFill="1" applyAlignment="1">
      <alignment horizontal="center"/>
    </xf>
    <xf numFmtId="172" fontId="6" fillId="0" borderId="0" xfId="25" applyFont="1" applyFill="1" applyAlignment="1">
      <alignment horizontal="centerContinuous"/>
    </xf>
    <xf numFmtId="172" fontId="3" fillId="0" borderId="0" xfId="25" applyFont="1" applyFill="1" applyAlignment="1">
      <alignment horizontal="centerContinuous"/>
    </xf>
    <xf numFmtId="172" fontId="4" fillId="0" borderId="0" xfId="25" applyFont="1" applyFill="1" applyAlignment="1">
      <alignment horizontal="center"/>
    </xf>
    <xf numFmtId="41" fontId="4" fillId="0" borderId="0" xfId="4" applyFont="1" applyFill="1"/>
    <xf numFmtId="172" fontId="3" fillId="0" borderId="17" xfId="25" applyFont="1" applyFill="1" applyBorder="1" applyAlignment="1">
      <alignment horizontal="centerContinuous"/>
    </xf>
    <xf numFmtId="172" fontId="4" fillId="0" borderId="17" xfId="25" applyFont="1" applyFill="1" applyBorder="1"/>
    <xf numFmtId="172" fontId="4" fillId="0" borderId="19" xfId="25" applyFont="1" applyFill="1" applyBorder="1"/>
    <xf numFmtId="172" fontId="3" fillId="0" borderId="16" xfId="25" applyFont="1" applyFill="1" applyBorder="1" applyAlignment="1">
      <alignment horizontal="center"/>
    </xf>
    <xf numFmtId="172" fontId="3" fillId="0" borderId="17" xfId="5" applyFont="1" applyFill="1" applyBorder="1" applyAlignment="1">
      <alignment horizontal="centerContinuous"/>
    </xf>
    <xf numFmtId="172" fontId="4" fillId="0" borderId="17" xfId="25" applyFont="1" applyFill="1" applyBorder="1" applyAlignment="1">
      <alignment horizontal="centerContinuous"/>
    </xf>
    <xf numFmtId="6" fontId="4" fillId="0" borderId="0" xfId="2" applyNumberFormat="1" applyFont="1" applyFill="1"/>
    <xf numFmtId="8" fontId="4" fillId="0" borderId="0" xfId="2" applyNumberFormat="1" applyFont="1" applyFill="1"/>
    <xf numFmtId="180" fontId="29" fillId="0" borderId="0" xfId="28" applyNumberFormat="1" applyAlignment="1" applyProtection="1"/>
    <xf numFmtId="1" fontId="4" fillId="0" borderId="0" xfId="6" applyNumberFormat="1" applyFont="1" applyFill="1" applyAlignment="1" applyProtection="1">
      <alignment horizontal="center"/>
      <protection locked="0"/>
    </xf>
    <xf numFmtId="180" fontId="30" fillId="0" borderId="0" xfId="0" applyNumberFormat="1" applyFont="1"/>
    <xf numFmtId="173" fontId="3" fillId="0" borderId="0" xfId="25" applyNumberFormat="1" applyFont="1" applyFill="1"/>
    <xf numFmtId="173" fontId="4" fillId="0" borderId="0" xfId="25" applyNumberFormat="1" applyFont="1" applyFill="1"/>
    <xf numFmtId="167" fontId="4" fillId="0" borderId="0" xfId="8" applyNumberFormat="1" applyFont="1" applyFill="1"/>
    <xf numFmtId="164" fontId="4" fillId="0" borderId="0" xfId="25" applyNumberFormat="1" applyFont="1" applyFill="1"/>
    <xf numFmtId="175" fontId="4" fillId="0" borderId="0" xfId="25" applyNumberFormat="1" applyFont="1" applyFill="1" applyBorder="1"/>
    <xf numFmtId="0" fontId="0" fillId="0" borderId="0" xfId="0" applyNumberFormat="1" applyFont="1"/>
    <xf numFmtId="44" fontId="26" fillId="0" borderId="0" xfId="2" applyFont="1" applyFill="1"/>
    <xf numFmtId="175" fontId="31" fillId="0" borderId="0" xfId="0" applyNumberFormat="1" applyFont="1" applyFill="1" applyProtection="1">
      <protection locked="0"/>
    </xf>
    <xf numFmtId="9" fontId="4" fillId="0" borderId="0" xfId="25" applyNumberFormat="1" applyFont="1" applyFill="1"/>
    <xf numFmtId="43" fontId="4" fillId="0" borderId="0" xfId="2" applyNumberFormat="1" applyFont="1" applyFill="1"/>
    <xf numFmtId="167" fontId="4" fillId="0" borderId="0" xfId="25" applyNumberFormat="1" applyFont="1" applyFill="1"/>
    <xf numFmtId="43" fontId="4" fillId="0" borderId="0" xfId="25" applyNumberFormat="1" applyFont="1" applyFill="1" applyBorder="1" applyAlignment="1">
      <alignment horizontal="right"/>
    </xf>
    <xf numFmtId="10" fontId="4" fillId="0" borderId="0" xfId="8" applyNumberFormat="1" applyFont="1" applyFill="1"/>
    <xf numFmtId="173" fontId="4" fillId="0" borderId="0" xfId="25" applyNumberFormat="1" applyFont="1" applyFill="1" applyBorder="1"/>
    <xf numFmtId="172" fontId="4" fillId="0" borderId="0" xfId="25" applyNumberFormat="1" applyFont="1" applyFill="1"/>
    <xf numFmtId="172" fontId="4" fillId="0" borderId="0" xfId="25" applyNumberFormat="1" applyFont="1" applyFill="1" applyAlignment="1">
      <alignment horizontal="right"/>
    </xf>
    <xf numFmtId="172" fontId="4" fillId="0" borderId="0" xfId="6" applyNumberFormat="1" applyFont="1" applyFill="1" applyAlignment="1" applyProtection="1">
      <alignment horizontal="center"/>
      <protection locked="0"/>
    </xf>
    <xf numFmtId="172" fontId="4" fillId="0" borderId="0" xfId="25" applyNumberFormat="1" applyFont="1" applyFill="1" applyBorder="1"/>
    <xf numFmtId="43" fontId="4" fillId="0" borderId="0" xfId="25" applyNumberFormat="1" applyFont="1" applyFill="1" applyAlignment="1">
      <alignment horizontal="right"/>
    </xf>
    <xf numFmtId="175" fontId="30" fillId="0" borderId="0" xfId="8" applyNumberFormat="1" applyFont="1"/>
    <xf numFmtId="2" fontId="4" fillId="0" borderId="0" xfId="6" applyNumberFormat="1" applyFont="1" applyFill="1" applyAlignment="1" applyProtection="1">
      <alignment horizontal="center"/>
      <protection locked="0"/>
    </xf>
    <xf numFmtId="175" fontId="30" fillId="6" borderId="0" xfId="8" applyNumberFormat="1" applyFont="1" applyFill="1"/>
    <xf numFmtId="172" fontId="4" fillId="6" borderId="0" xfId="25" applyFont="1" applyFill="1"/>
    <xf numFmtId="172" fontId="3" fillId="0" borderId="0" xfId="25" applyFont="1" applyFill="1" applyBorder="1" applyAlignment="1">
      <alignment horizontal="center" wrapText="1"/>
    </xf>
    <xf numFmtId="164" fontId="4" fillId="0" borderId="0" xfId="1" applyNumberFormat="1" applyFont="1"/>
    <xf numFmtId="41" fontId="4" fillId="0" borderId="0" xfId="11" applyAlignment="1">
      <alignment wrapText="1"/>
    </xf>
    <xf numFmtId="173" fontId="2" fillId="0" borderId="0" xfId="10" applyNumberFormat="1" applyFont="1"/>
    <xf numFmtId="172" fontId="3" fillId="0" borderId="0" xfId="0" applyFont="1"/>
    <xf numFmtId="0" fontId="4" fillId="0" borderId="0" xfId="0" applyNumberFormat="1" applyFont="1" applyFill="1" applyBorder="1" applyAlignment="1">
      <alignment horizontal="center"/>
    </xf>
    <xf numFmtId="172" fontId="3" fillId="0" borderId="0" xfId="0" applyFont="1" applyAlignment="1">
      <alignment horizontal="left"/>
    </xf>
    <xf numFmtId="167" fontId="0" fillId="0" borderId="0" xfId="8" applyNumberFormat="1" applyFont="1"/>
    <xf numFmtId="167" fontId="0" fillId="6" borderId="0" xfId="8" applyNumberFormat="1" applyFont="1" applyFill="1"/>
    <xf numFmtId="172" fontId="26" fillId="0" borderId="6" xfId="0" applyFont="1" applyFill="1" applyBorder="1" applyAlignment="1">
      <alignment horizontal="center"/>
    </xf>
    <xf numFmtId="172" fontId="26" fillId="0" borderId="0" xfId="0" applyFont="1" applyFill="1"/>
    <xf numFmtId="6" fontId="4" fillId="6" borderId="0" xfId="2" applyNumberFormat="1" applyFont="1" applyFill="1"/>
    <xf numFmtId="9" fontId="4" fillId="6" borderId="0" xfId="25" applyNumberFormat="1" applyFont="1" applyFill="1"/>
    <xf numFmtId="172" fontId="0" fillId="0" borderId="0" xfId="0" applyNumberFormat="1"/>
    <xf numFmtId="172" fontId="4" fillId="0" borderId="1" xfId="0" applyFont="1" applyFill="1" applyBorder="1" applyAlignment="1">
      <alignment horizontal="center"/>
    </xf>
    <xf numFmtId="172" fontId="4" fillId="0" borderId="1" xfId="0" quotePrefix="1" applyFont="1" applyFill="1" applyBorder="1" applyAlignment="1">
      <alignment horizontal="center"/>
    </xf>
    <xf numFmtId="167" fontId="23" fillId="0" borderId="0" xfId="8" applyNumberFormat="1" applyFont="1" applyFill="1"/>
    <xf numFmtId="172" fontId="2" fillId="0" borderId="0" xfId="10" applyNumberFormat="1" applyFont="1" applyAlignment="1">
      <alignment horizontal="left" vertical="top"/>
    </xf>
    <xf numFmtId="181" fontId="2" fillId="0" borderId="0" xfId="10" applyNumberFormat="1" applyFont="1"/>
    <xf numFmtId="7" fontId="4" fillId="6" borderId="0" xfId="2" applyNumberFormat="1" applyFont="1" applyFill="1"/>
    <xf numFmtId="172" fontId="2" fillId="0" borderId="0" xfId="10" applyNumberFormat="1" applyFont="1" applyFill="1"/>
    <xf numFmtId="174" fontId="0" fillId="0" borderId="0" xfId="0" applyNumberFormat="1"/>
    <xf numFmtId="8" fontId="4" fillId="6" borderId="0" xfId="25" applyNumberFormat="1" applyFont="1" applyFill="1" applyAlignment="1">
      <alignment horizontal="right"/>
    </xf>
    <xf numFmtId="172" fontId="2" fillId="10" borderId="0" xfId="10" applyNumberFormat="1" applyFont="1" applyFill="1" applyBorder="1"/>
    <xf numFmtId="41" fontId="2" fillId="10" borderId="11" xfId="10" applyNumberFormat="1" applyFont="1" applyFill="1" applyBorder="1"/>
    <xf numFmtId="168" fontId="2" fillId="10" borderId="11" xfId="10" applyNumberFormat="1" applyFont="1" applyFill="1" applyBorder="1"/>
    <xf numFmtId="172" fontId="2" fillId="10" borderId="1" xfId="10" applyNumberFormat="1" applyFont="1" applyFill="1" applyBorder="1"/>
    <xf numFmtId="41" fontId="2" fillId="10" borderId="12" xfId="10" applyNumberFormat="1" applyFont="1" applyFill="1" applyBorder="1"/>
    <xf numFmtId="168" fontId="2" fillId="10" borderId="12" xfId="10" applyNumberFormat="1" applyFont="1" applyFill="1" applyBorder="1"/>
    <xf numFmtId="172" fontId="2" fillId="10" borderId="2" xfId="10" applyNumberFormat="1" applyFont="1" applyFill="1" applyBorder="1"/>
    <xf numFmtId="41" fontId="2" fillId="10" borderId="8" xfId="10" applyNumberFormat="1" applyFont="1" applyFill="1" applyBorder="1"/>
    <xf numFmtId="168" fontId="2" fillId="10" borderId="8" xfId="10" applyNumberFormat="1" applyFont="1" applyFill="1" applyBorder="1"/>
    <xf numFmtId="6" fontId="4" fillId="0" borderId="0" xfId="26" applyNumberFormat="1" applyFont="1"/>
    <xf numFmtId="182" fontId="4" fillId="0" borderId="0" xfId="25" applyNumberFormat="1" applyFont="1" applyFill="1"/>
    <xf numFmtId="43" fontId="4" fillId="0" borderId="0" xfId="29" applyFont="1" applyFill="1"/>
    <xf numFmtId="0" fontId="4" fillId="0" borderId="0" xfId="25" applyNumberFormat="1" applyFont="1" applyFill="1" applyBorder="1" applyAlignment="1">
      <alignment horizontal="right"/>
    </xf>
    <xf numFmtId="172" fontId="32" fillId="0" borderId="0" xfId="0" applyFont="1" applyAlignment="1">
      <alignment horizontal="center"/>
    </xf>
    <xf numFmtId="172" fontId="3" fillId="0" borderId="0" xfId="0" applyFont="1" applyAlignment="1">
      <alignment vertical="top" wrapText="1"/>
    </xf>
    <xf numFmtId="172" fontId="3" fillId="0" borderId="0" xfId="0" applyFont="1" applyAlignment="1">
      <alignment horizontal="left" vertical="top" wrapText="1"/>
    </xf>
    <xf numFmtId="17" fontId="2" fillId="10" borderId="0" xfId="10" applyNumberFormat="1" applyFont="1" applyFill="1"/>
    <xf numFmtId="17" fontId="2" fillId="10" borderId="5" xfId="10" applyNumberFormat="1" applyFont="1" applyFill="1" applyBorder="1" applyAlignment="1">
      <alignment horizontal="center"/>
    </xf>
    <xf numFmtId="17" fontId="2" fillId="10" borderId="13" xfId="10" applyNumberFormat="1" applyFont="1" applyFill="1" applyBorder="1" applyAlignment="1">
      <alignment horizontal="center"/>
    </xf>
    <xf numFmtId="17" fontId="2" fillId="10" borderId="6" xfId="10" applyNumberFormat="1" applyFont="1" applyFill="1" applyBorder="1" applyAlignment="1">
      <alignment horizontal="center"/>
    </xf>
    <xf numFmtId="172" fontId="4" fillId="0" borderId="0" xfId="0" applyFont="1" applyFill="1" applyAlignment="1">
      <alignment horizontal="left" vertical="top" wrapText="1"/>
    </xf>
    <xf numFmtId="167" fontId="0" fillId="0" borderId="7" xfId="1" applyNumberFormat="1" applyFont="1" applyBorder="1"/>
    <xf numFmtId="183" fontId="4" fillId="0" borderId="0" xfId="0" applyNumberFormat="1" applyFont="1" applyFill="1" applyBorder="1" applyAlignment="1">
      <alignment horizontal="center"/>
    </xf>
    <xf numFmtId="8" fontId="4" fillId="0" borderId="0" xfId="25" applyNumberFormat="1" applyFont="1" applyFill="1" applyAlignment="1">
      <alignment horizontal="right" vertical="center"/>
    </xf>
    <xf numFmtId="172" fontId="4" fillId="0" borderId="0" xfId="0" applyFont="1" applyFill="1" applyAlignment="1">
      <alignment horizontal="center"/>
    </xf>
    <xf numFmtId="172" fontId="14" fillId="0" borderId="0" xfId="10" applyNumberFormat="1" applyFont="1" applyAlignment="1">
      <alignment horizontal="right"/>
    </xf>
    <xf numFmtId="172" fontId="33" fillId="0" borderId="0" xfId="0" applyFont="1" applyFill="1" applyAlignment="1">
      <alignment horizontal="centerContinuous"/>
    </xf>
    <xf numFmtId="172" fontId="34" fillId="0" borderId="0" xfId="0" applyFont="1" applyFill="1" applyAlignment="1">
      <alignment horizontal="centerContinuous"/>
    </xf>
    <xf numFmtId="172" fontId="5" fillId="0" borderId="0" xfId="0" applyFont="1" applyFill="1" applyBorder="1" applyAlignment="1">
      <alignment horizontal="centerContinuous"/>
    </xf>
    <xf numFmtId="172" fontId="33" fillId="0" borderId="0" xfId="0" applyFont="1" applyFill="1"/>
    <xf numFmtId="172" fontId="6" fillId="0" borderId="0" xfId="0" applyFont="1" applyFill="1" applyBorder="1" applyAlignment="1">
      <alignment horizontal="centerContinuous"/>
    </xf>
    <xf numFmtId="172" fontId="34" fillId="0" borderId="0" xfId="0" applyFont="1" applyFill="1"/>
    <xf numFmtId="172" fontId="4" fillId="0" borderId="0" xfId="0" quotePrefix="1" applyFont="1" applyFill="1" applyBorder="1" applyAlignment="1">
      <alignment horizontal="center"/>
    </xf>
    <xf numFmtId="8" fontId="35" fillId="0" borderId="0" xfId="0" applyNumberFormat="1" applyFont="1" applyFill="1" applyAlignment="1">
      <alignment horizontal="center"/>
    </xf>
    <xf numFmtId="8" fontId="35" fillId="0" borderId="0" xfId="0" applyNumberFormat="1" applyFont="1" applyFill="1" applyBorder="1" applyAlignment="1">
      <alignment horizontal="left"/>
    </xf>
    <xf numFmtId="172" fontId="4" fillId="0" borderId="23" xfId="0" applyFont="1" applyFill="1" applyBorder="1" applyAlignment="1">
      <alignment horizontal="center"/>
    </xf>
    <xf numFmtId="172" fontId="4" fillId="0" borderId="5" xfId="0" applyFont="1" applyFill="1" applyBorder="1" applyAlignment="1">
      <alignment horizontal="centerContinuous"/>
    </xf>
    <xf numFmtId="172" fontId="4" fillId="0" borderId="5" xfId="0" quotePrefix="1" applyFont="1" applyFill="1" applyBorder="1" applyAlignment="1">
      <alignment horizontal="centerContinuous"/>
    </xf>
    <xf numFmtId="172" fontId="4" fillId="0" borderId="4" xfId="0" applyFont="1" applyFill="1" applyBorder="1" applyAlignment="1">
      <alignment horizontal="centerContinuous"/>
    </xf>
    <xf numFmtId="172" fontId="4" fillId="0" borderId="7" xfId="0" applyFont="1" applyFill="1" applyBorder="1" applyAlignment="1">
      <alignment horizontal="centerContinuous"/>
    </xf>
    <xf numFmtId="172" fontId="4" fillId="0" borderId="3" xfId="0" applyFont="1" applyFill="1" applyBorder="1" applyAlignment="1">
      <alignment horizontal="centerContinuous"/>
    </xf>
    <xf numFmtId="172" fontId="4" fillId="0" borderId="23" xfId="0" applyFont="1" applyFill="1" applyBorder="1" applyAlignment="1">
      <alignment horizontal="centerContinuous"/>
    </xf>
    <xf numFmtId="172" fontId="4" fillId="0" borderId="2" xfId="0" applyFont="1" applyFill="1" applyBorder="1" applyAlignment="1">
      <alignment horizontal="centerContinuous"/>
    </xf>
    <xf numFmtId="172" fontId="4" fillId="0" borderId="8" xfId="0" applyFont="1" applyFill="1" applyBorder="1" applyAlignment="1">
      <alignment horizontal="centerContinuous"/>
    </xf>
    <xf numFmtId="172" fontId="4" fillId="0" borderId="24" xfId="0" applyFont="1" applyFill="1" applyBorder="1" applyAlignment="1">
      <alignment horizontal="center"/>
    </xf>
    <xf numFmtId="172" fontId="4" fillId="0" borderId="3" xfId="0" applyFont="1" applyFill="1" applyBorder="1" applyAlignment="1">
      <alignment horizontal="center"/>
    </xf>
    <xf numFmtId="172" fontId="4" fillId="0" borderId="9" xfId="0" applyFont="1" applyFill="1" applyBorder="1" applyAlignment="1">
      <alignment horizontal="center"/>
    </xf>
    <xf numFmtId="172" fontId="4" fillId="0" borderId="4" xfId="0" applyFont="1" applyFill="1" applyBorder="1" applyAlignment="1">
      <alignment horizontal="center"/>
    </xf>
    <xf numFmtId="172" fontId="4" fillId="0" borderId="0" xfId="0" quotePrefix="1" applyFont="1" applyFill="1" applyBorder="1"/>
    <xf numFmtId="172" fontId="3" fillId="0" borderId="0" xfId="0" applyFont="1" applyFill="1" applyBorder="1" applyAlignment="1">
      <alignment horizontal="left"/>
    </xf>
    <xf numFmtId="0" fontId="4" fillId="0" borderId="23" xfId="0" applyNumberFormat="1" applyFont="1" applyFill="1" applyBorder="1" applyAlignment="1">
      <alignment horizontal="center"/>
    </xf>
    <xf numFmtId="8" fontId="4" fillId="0" borderId="5" xfId="0" applyNumberFormat="1" applyFont="1" applyFill="1" applyBorder="1"/>
    <xf numFmtId="8" fontId="4" fillId="11" borderId="23" xfId="0" applyNumberFormat="1" applyFont="1" applyFill="1" applyBorder="1" applyAlignment="1">
      <alignment horizontal="center"/>
    </xf>
    <xf numFmtId="8" fontId="4" fillId="11" borderId="2" xfId="0" applyNumberFormat="1" applyFont="1" applyFill="1" applyBorder="1" applyAlignment="1">
      <alignment horizontal="center"/>
    </xf>
    <xf numFmtId="8" fontId="4" fillId="11" borderId="8" xfId="0" applyNumberFormat="1" applyFont="1" applyFill="1" applyBorder="1" applyAlignment="1">
      <alignment horizontal="center"/>
    </xf>
    <xf numFmtId="43" fontId="4" fillId="0" borderId="13" xfId="0" applyNumberFormat="1" applyFont="1" applyFill="1" applyBorder="1"/>
    <xf numFmtId="43" fontId="4" fillId="0" borderId="0" xfId="0" applyNumberFormat="1" applyFont="1" applyFill="1" applyBorder="1" applyAlignment="1">
      <alignment horizontal="center"/>
    </xf>
    <xf numFmtId="43" fontId="4" fillId="0" borderId="11" xfId="0" applyNumberFormat="1" applyFont="1" applyFill="1" applyBorder="1" applyAlignment="1">
      <alignment horizontal="center"/>
    </xf>
    <xf numFmtId="43" fontId="4" fillId="0" borderId="10" xfId="0" applyNumberFormat="1" applyFont="1" applyFill="1" applyBorder="1" applyAlignment="1">
      <alignment horizontal="center"/>
    </xf>
    <xf numFmtId="0" fontId="4" fillId="0" borderId="24" xfId="0" applyNumberFormat="1" applyFont="1" applyFill="1" applyBorder="1" applyAlignment="1">
      <alignment horizontal="center"/>
    </xf>
    <xf numFmtId="43" fontId="4" fillId="0" borderId="6" xfId="0" applyNumberFormat="1" applyFont="1" applyFill="1" applyBorder="1"/>
    <xf numFmtId="43" fontId="4" fillId="0" borderId="1" xfId="0" applyNumberFormat="1" applyFont="1" applyFill="1" applyBorder="1" applyAlignment="1">
      <alignment horizontal="center"/>
    </xf>
    <xf numFmtId="43" fontId="4" fillId="0" borderId="12" xfId="0" applyNumberFormat="1" applyFont="1" applyFill="1" applyBorder="1" applyAlignment="1">
      <alignment horizontal="center"/>
    </xf>
    <xf numFmtId="43" fontId="4" fillId="0" borderId="24" xfId="0" applyNumberFormat="1" applyFont="1" applyFill="1" applyBorder="1" applyAlignment="1">
      <alignment horizontal="center"/>
    </xf>
    <xf numFmtId="172" fontId="4" fillId="0" borderId="0" xfId="0" applyFont="1" applyFill="1" applyBorder="1" applyAlignment="1">
      <alignment horizontal="left"/>
    </xf>
    <xf numFmtId="172" fontId="4" fillId="0" borderId="0" xfId="0" quotePrefix="1" applyFont="1" applyFill="1" applyAlignment="1">
      <alignment horizontal="left" vertical="top"/>
    </xf>
    <xf numFmtId="172" fontId="4" fillId="0" borderId="0" xfId="0" applyFont="1" applyFill="1" applyAlignment="1">
      <alignment wrapText="1"/>
    </xf>
    <xf numFmtId="173" fontId="4" fillId="0" borderId="0" xfId="0" applyNumberFormat="1" applyFont="1" applyFill="1"/>
    <xf numFmtId="41" fontId="5" fillId="0" borderId="0" xfId="11" applyFont="1" applyFill="1" applyAlignment="1">
      <alignment horizontal="centerContinuous"/>
    </xf>
    <xf numFmtId="41" fontId="8" fillId="0" borderId="0" xfId="11" applyFont="1" applyFill="1" applyAlignment="1">
      <alignment horizontal="centerContinuous"/>
    </xf>
    <xf numFmtId="41" fontId="4" fillId="0" borderId="0" xfId="11" applyFont="1" applyFill="1" applyAlignment="1">
      <alignment horizontal="centerContinuous"/>
    </xf>
    <xf numFmtId="41" fontId="4" fillId="0" borderId="0" xfId="11" applyFont="1" applyFill="1" applyBorder="1"/>
    <xf numFmtId="41" fontId="6" fillId="0" borderId="0" xfId="11" applyFont="1" applyFill="1" applyAlignment="1">
      <alignment horizontal="centerContinuous"/>
    </xf>
    <xf numFmtId="41" fontId="4" fillId="0" borderId="0" xfId="11" applyFont="1" applyFill="1" applyAlignment="1">
      <alignment horizontal="center"/>
    </xf>
    <xf numFmtId="17" fontId="4" fillId="0" borderId="0" xfId="11" applyNumberFormat="1" applyFont="1" applyFill="1" applyAlignment="1">
      <alignment horizontal="center"/>
    </xf>
    <xf numFmtId="9" fontId="4" fillId="0" borderId="0" xfId="8" applyFont="1" applyFill="1" applyAlignment="1">
      <alignment horizontal="center"/>
    </xf>
    <xf numFmtId="17" fontId="4" fillId="0" borderId="0" xfId="11" applyNumberFormat="1" applyFont="1" applyFill="1" applyBorder="1" applyAlignment="1"/>
    <xf numFmtId="0" fontId="4" fillId="0" borderId="0" xfId="7" applyFont="1" applyFill="1" applyBorder="1" applyAlignment="1">
      <alignment horizontal="center"/>
    </xf>
    <xf numFmtId="41" fontId="4" fillId="0" borderId="0" xfId="11" quotePrefix="1" applyFont="1" applyFill="1" applyAlignment="1">
      <alignment horizontal="center" vertical="top"/>
    </xf>
    <xf numFmtId="41" fontId="4" fillId="0" borderId="0" xfId="11" applyFont="1" applyFill="1" applyBorder="1" applyAlignment="1">
      <alignment horizontal="center"/>
    </xf>
    <xf numFmtId="41" fontId="4" fillId="0" borderId="0" xfId="11" applyFont="1" applyFill="1" applyAlignment="1"/>
    <xf numFmtId="0" fontId="4" fillId="0" borderId="23" xfId="11" applyNumberFormat="1" applyFont="1" applyFill="1" applyBorder="1" applyAlignment="1">
      <alignment horizontal="center"/>
    </xf>
    <xf numFmtId="8" fontId="4" fillId="0" borderId="2" xfId="11" applyNumberFormat="1" applyFont="1" applyFill="1" applyBorder="1" applyAlignment="1">
      <alignment horizontal="center"/>
    </xf>
    <xf numFmtId="8" fontId="4" fillId="0" borderId="8" xfId="11" applyNumberFormat="1" applyFont="1" applyFill="1" applyBorder="1" applyAlignment="1">
      <alignment horizontal="center"/>
    </xf>
    <xf numFmtId="168" fontId="36" fillId="0" borderId="0" xfId="11" applyNumberFormat="1" applyFont="1" applyFill="1" applyBorder="1" applyAlignment="1">
      <alignment horizontal="centerContinuous"/>
    </xf>
    <xf numFmtId="0" fontId="4" fillId="0" borderId="10" xfId="11" applyNumberFormat="1" applyFont="1" applyFill="1" applyBorder="1" applyAlignment="1">
      <alignment horizontal="center"/>
    </xf>
    <xf numFmtId="8" fontId="4" fillId="0" borderId="0" xfId="11" applyNumberFormat="1" applyFont="1" applyFill="1" applyBorder="1" applyAlignment="1">
      <alignment horizontal="center"/>
    </xf>
    <xf numFmtId="8" fontId="4" fillId="0" borderId="11" xfId="11" applyNumberFormat="1" applyFont="1" applyFill="1" applyBorder="1" applyAlignment="1">
      <alignment horizontal="center"/>
    </xf>
    <xf numFmtId="0" fontId="4" fillId="0" borderId="24" xfId="11" applyNumberFormat="1" applyFont="1" applyFill="1" applyBorder="1" applyAlignment="1">
      <alignment horizontal="center"/>
    </xf>
    <xf numFmtId="8" fontId="4" fillId="0" borderId="1" xfId="11" applyNumberFormat="1" applyFont="1" applyFill="1" applyBorder="1" applyAlignment="1">
      <alignment horizontal="center"/>
    </xf>
    <xf numFmtId="8" fontId="4" fillId="0" borderId="12" xfId="11" applyNumberFormat="1" applyFont="1" applyFill="1" applyBorder="1" applyAlignment="1">
      <alignment horizontal="center"/>
    </xf>
    <xf numFmtId="41" fontId="23" fillId="0" borderId="0" xfId="11" applyFont="1" applyFill="1"/>
    <xf numFmtId="41" fontId="4" fillId="0" borderId="0" xfId="11" applyFont="1" applyFill="1" applyAlignment="1">
      <alignment horizontal="left" indent="1"/>
    </xf>
    <xf numFmtId="184" fontId="4" fillId="0" borderId="0" xfId="11" applyNumberFormat="1" applyFont="1" applyFill="1" applyBorder="1" applyAlignment="1">
      <alignment horizontal="center"/>
    </xf>
    <xf numFmtId="175" fontId="23" fillId="0" borderId="0" xfId="8" applyNumberFormat="1" applyFont="1" applyFill="1"/>
    <xf numFmtId="167" fontId="4" fillId="0" borderId="0" xfId="8" applyNumberFormat="1" applyFont="1" applyFill="1" applyBorder="1" applyAlignment="1">
      <alignment horizontal="center"/>
    </xf>
    <xf numFmtId="8" fontId="4" fillId="0" borderId="0" xfId="11" applyNumberFormat="1"/>
    <xf numFmtId="39" fontId="4" fillId="0" borderId="0" xfId="30" quotePrefix="1" applyNumberFormat="1" applyFont="1" applyFill="1" applyBorder="1" applyAlignment="1">
      <alignment horizontal="center"/>
    </xf>
    <xf numFmtId="39" fontId="4" fillId="0" borderId="0" xfId="11" applyNumberFormat="1" applyFont="1" applyFill="1" applyBorder="1" applyAlignment="1">
      <alignment horizontal="center"/>
    </xf>
    <xf numFmtId="43" fontId="4" fillId="0" borderId="0" xfId="1" applyFont="1" applyFill="1"/>
    <xf numFmtId="2" fontId="4" fillId="0" borderId="0" xfId="11" applyNumberFormat="1" applyFont="1" applyFill="1" applyAlignment="1">
      <alignment horizontal="center"/>
    </xf>
    <xf numFmtId="8" fontId="4" fillId="0" borderId="0" xfId="11" applyNumberFormat="1" applyFont="1" applyFill="1"/>
    <xf numFmtId="172" fontId="4" fillId="0" borderId="0" xfId="0" applyFont="1" applyFill="1" applyAlignment="1">
      <alignment horizontal="center" vertical="top"/>
    </xf>
    <xf numFmtId="172" fontId="4" fillId="0" borderId="0" xfId="0" applyFont="1" applyFill="1" applyAlignment="1">
      <alignment horizontal="center"/>
    </xf>
    <xf numFmtId="165" fontId="4" fillId="0" borderId="0" xfId="25" applyNumberFormat="1" applyFont="1" applyFill="1" applyAlignment="1">
      <alignment horizontal="right" wrapText="1"/>
    </xf>
    <xf numFmtId="172" fontId="0" fillId="0" borderId="0" xfId="0" applyAlignment="1">
      <alignment wrapText="1"/>
    </xf>
  </cellXfs>
  <cellStyles count="31">
    <cellStyle name="Comma" xfId="1" builtinId="3"/>
    <cellStyle name="Comma 2" xfId="14"/>
    <cellStyle name="Comma 3" xfId="29"/>
    <cellStyle name="Currency" xfId="2" builtinId="4"/>
    <cellStyle name="Currency 2" xfId="15"/>
    <cellStyle name="Currency No Comma" xfId="16"/>
    <cellStyle name="Hyperlink" xfId="28" builtinId="8"/>
    <cellStyle name="Input" xfId="3" builtinId="20" customBuiltin="1"/>
    <cellStyle name="MCP" xfId="17"/>
    <cellStyle name="noninput" xfId="18"/>
    <cellStyle name="Normal" xfId="0" builtinId="0" customBuiltin="1"/>
    <cellStyle name="Normal 2" xfId="9"/>
    <cellStyle name="Normal 2 2" xfId="13"/>
    <cellStyle name="Normal 3" xfId="10"/>
    <cellStyle name="Normal 3 2" xfId="27"/>
    <cellStyle name="Normal 5" xfId="12"/>
    <cellStyle name="Normal_DRR AC Study - Utah Valley - 53 MW 90 CF (2.28.2005)" xfId="4"/>
    <cellStyle name="Normal_Exhibit GND-1 - 5.24.2005" xfId="30"/>
    <cellStyle name="Normal_INF_06_03_07" xfId="26"/>
    <cellStyle name="Normal_OR AC Sch 37 - AC  Study (Gold) _2009 06 19" xfId="5"/>
    <cellStyle name="Normal_T-INF-10-15-04-TEMPLATE" xfId="6"/>
    <cellStyle name="Normal_UT 2008.Q2 - Compliance - Appendix B - AC Study_2008 08 05" xfId="11"/>
    <cellStyle name="Normal_UT AC 2004 - AC Study (As Ordered by Commission)" xfId="7"/>
    <cellStyle name="Normal_WY AC 2009 - AC Study (Wind Study)_2009 08 11" xfId="25"/>
    <cellStyle name="Normal_xAC_Demand (Avoided Cost)" xfId="23"/>
    <cellStyle name="Password" xfId="19"/>
    <cellStyle name="Percent" xfId="8" builtinId="5"/>
    <cellStyle name="Percent 2" xfId="24"/>
    <cellStyle name="Unprot" xfId="20"/>
    <cellStyle name="Unprot$" xfId="21"/>
    <cellStyle name="Unprotect" xfId="22"/>
  </cellStyles>
  <dxfs count="3">
    <dxf>
      <font>
        <b/>
        <i/>
        <condense val="0"/>
        <extend val="0"/>
      </font>
      <fill>
        <patternFill>
          <bgColor indexed="42"/>
        </patternFill>
      </fill>
    </dxf>
    <dxf>
      <numFmt numFmtId="185" formatCode="&quot;$&quot;#,##0.00_)&quot;x&quot;"/>
    </dxf>
    <dxf>
      <numFmt numFmtId="185" formatCode="&quot;$&quot;#,##0.00_)&quot;x&quot;"/>
    </dxf>
  </dxfs>
  <tableStyles count="0" defaultTableStyle="TableStyleMedium9" defaultPivotStyle="PivotStyleLight16"/>
  <colors>
    <mruColors>
      <color rgb="FFCCECFF"/>
      <color rgb="FFCCFFCC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externalLink" Target="externalLinks/externalLink11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8\231%20-%20UT%20Compliance%20Filing%20-%20UT%20-%202018%20Jan\Scenario\231%20-%20UT%202017.Q4%20-%203---%20Avoided%20Cost%20Study%20_2018%2002%2006%20(Gold)%20Solar%20T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eneric\Attributes%20&amp;%20Data%20Series\_All%20Data%20Series%20Files\GNw_Indexed%20STF%20(Confidential)%20(STF%20Ext%20280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tah\Ut%20AC%202015%20Apr%20-%20Sch%2037%20Update\Sent%20out%202015%2004%2030%20(filing%20date)\UT%20Sch%2037%202015%20-%20Appendix%201%20-%20AC%20Study%20_2015%2004%2027_Propose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7\191%20-%20UT%20Compliance%20Filing%20-%20UT%20-%202017%20Dec\Sent%20Out%20to%20Regulation\4_Appendix%20B.1%20-%20UT%202017.Q3%20-%20AC%20Study%20NON-CONF%20Therm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7\01%20to%2035%20Studies%20-%20Jan-Feb\29-35%20-%20Goshen%20Valley%20I-VII%20Solar%20-%20UT%20-%202017%20Feb\Scenario\35%20-%20Goshen%20Valley%20Solar%20VII%20-%207---%20Avoided%20Cost%20Study%20_2017%2003%200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7\45%20-%20UT%20Compliance%20Filing%202016.Q4%20-%202017%20Feb\Scenario\45%20-%20UT%202016.Q4%20-%201---%20Avoided%20Cost%20Study%20_2017%2003%2009%20(GOLD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tah\Ut%20AC%202017%20Apr%20-%20Sch%2037%20Update\Sent%20Out\Public%20Workpapers\17-035-T07%20RMP%20Wkpr%20-%20Avoided%20Cost%20Study-Solar%20T%2005-30-1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tah\Ut%20AC%202013%20May%20-%20Sch%2037%20Update\Scenario\Preliminary%20and%20Draft%20Versions\UT%20Sch%2037%202013%20-%202a%20-%20L&amp;R%20%20Study%20_2013%2005%2021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Oregon\OR%20AC%202016%20Jan%20-%20Sch%2037\Scenario\Scenarios_2016%2004%2005\delete_Sce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Oregon\OR%20AC%202016%20Jan%20-%20Sch%2037\Sent%20out%20Settlement_2016%2005%2027\ORACSch%2037-AC%20%20Study(2015IRPUpdate_2018DeficitRenew_2028DeficitStd-1603OFPC)2016%2005%2027RenewORWind29CF100%25PTCnominalgrossedup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Oregon\OR%20AC%202016%20Jan%20-%20Sch%2037\Scenario\OR%20AC%20Sch%2037%20-%20AC%20%20Study_s1_Update_(OFPC1501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Table 1"/>
      <sheetName val="Table 4"/>
      <sheetName val="Table 5"/>
      <sheetName val="Table 3 TransCost D2 "/>
      <sheetName val="Table 3 WY Wind 2021"/>
      <sheetName val="Table 3 DJ Wind 2031"/>
      <sheetName val="Table 3 UT Solar 2031"/>
      <sheetName val="Table 3 Yakima Solar 2028"/>
      <sheetName val="Table 3 30 MW Geoth 2029"/>
      <sheetName val="Table 3 200 MW (UT N) 2029)"/>
      <sheetName val="Table 3 436MW (West M) 2030"/>
      <sheetName val="Table 3 477 MW (Wyo) 2033"/>
      <sheetName val="Table 3 200 MW (Wyo) 2033"/>
      <sheetName val="Table 3 ID Wind 2036"/>
    </sheetNames>
    <sheetDataSet>
      <sheetData sheetId="0"/>
      <sheetData sheetId="1">
        <row r="5">
          <cell r="B5" t="str">
            <v>Utah 2017.Q4_Solar - 80.0 MW and 31.1% CF</v>
          </cell>
        </row>
      </sheetData>
      <sheetData sheetId="2"/>
      <sheetData sheetId="3">
        <row r="13">
          <cell r="G13">
            <v>19.31620866232479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Other Cost Input"/>
      <sheetName val="IndexedSTF_Source"/>
      <sheetName val="Market_Price"/>
      <sheetName val="PacifiCorpSTF"/>
      <sheetName val="PacifiCorp STF_Raw Dat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A BaseLoad"/>
      <sheetName val="Table 2B Wind"/>
      <sheetName val="Table 2C SolarFixed"/>
      <sheetName val="Table 2D SolarTracking"/>
      <sheetName val="Tables 3 to 5"/>
      <sheetName val="Table 6"/>
      <sheetName val="Table 7"/>
      <sheetName val="Table 8"/>
      <sheetName val="Table 9"/>
      <sheetName val="Table 10"/>
      <sheetName val="--- Do Not Print ---&gt;"/>
      <sheetName val="Tariff Page"/>
      <sheetName val="Tariff Page Solar Fixed"/>
      <sheetName val="Tariff Page Solar Tracking"/>
      <sheetName val="Tariff Page Wind"/>
      <sheetName val="Profile "/>
      <sheetName val="OFPC Sour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45">
          <cell r="B45">
            <v>2.1800000000000002</v>
          </cell>
        </row>
        <row r="46">
          <cell r="B46">
            <v>2.83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1"/>
      <sheetName val="Table 1"/>
      <sheetName val="Table 2"/>
      <sheetName val="Table 4"/>
      <sheetName val="Table 5"/>
      <sheetName val="Table 3 WY Wind 2021"/>
      <sheetName val="Table 3 DJ Wind 2031"/>
      <sheetName val="Table 3 UT Solar 2031"/>
      <sheetName val="Table 3 Yakima Solar 2028"/>
      <sheetName val="Table 3 30 MW Geoth 2029"/>
      <sheetName val="Table 3 200 MW (UT N) 2029)"/>
      <sheetName val="Table 3 436MW (West M) 2030"/>
      <sheetName val="Table 3 477 MW (Wyo) 2033"/>
      <sheetName val="Table 3 200 MW (Wyo) 2033"/>
      <sheetName val="Table 3 ID Wind 2036"/>
    </sheetNames>
    <sheetDataSet>
      <sheetData sheetId="0"/>
      <sheetData sheetId="1">
        <row r="9">
          <cell r="G9">
            <v>0.85</v>
          </cell>
        </row>
        <row r="42">
          <cell r="I42">
            <v>6.5699999999999995E-2</v>
          </cell>
        </row>
      </sheetData>
      <sheetData sheetId="2"/>
      <sheetData sheetId="3"/>
      <sheetData sheetId="4">
        <row r="6">
          <cell r="M6">
            <v>100</v>
          </cell>
        </row>
        <row r="7">
          <cell r="M7">
            <v>0.85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Appendix B"/>
      <sheetName val="Table 1"/>
      <sheetName val="Table 2"/>
      <sheetName val="Table 3 635 (Wyo)"/>
      <sheetName val="Table 3 477 (WM)"/>
      <sheetName val="Table 3 635 (Ut S)"/>
      <sheetName val="Table 4"/>
      <sheetName val="Table 5"/>
    </sheetNames>
    <sheetDataSet>
      <sheetData sheetId="0" refreshError="1"/>
      <sheetData sheetId="1" refreshError="1"/>
      <sheetData sheetId="2">
        <row r="3">
          <cell r="B3" t="str">
            <v>Table 1</v>
          </cell>
        </row>
        <row r="8">
          <cell r="I8">
            <v>0.39100000000000001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1</v>
          </cell>
        </row>
        <row r="35">
          <cell r="I35">
            <v>6.6600000000000006E-2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6">
          <cell r="M6">
            <v>80</v>
          </cell>
        </row>
        <row r="7">
          <cell r="M7">
            <v>0.29717831763698632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Appendix B"/>
      <sheetName val="Table 1"/>
      <sheetName val="Table 2"/>
      <sheetName val="Table 3 635 (Wyo)"/>
      <sheetName val="Table 3 477 (WM)"/>
      <sheetName val="Table 3 635 (Ut S)"/>
      <sheetName val="Table 4"/>
      <sheetName val="Table 5"/>
      <sheetName val="45 - UT 2016"/>
    </sheetNames>
    <sheetDataSet>
      <sheetData sheetId="0" refreshError="1"/>
      <sheetData sheetId="1" refreshError="1"/>
      <sheetData sheetId="2">
        <row r="8">
          <cell r="I8">
            <v>1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4">
          <cell r="M4" t="str">
            <v>Utah 2016.Q4</v>
          </cell>
        </row>
      </sheetData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4"/>
      <sheetName val="Table 5"/>
      <sheetName val="Table 3 WY Wind 2021"/>
      <sheetName val="Table 3 DJ Wind 2031"/>
      <sheetName val="Table 3 UT Solar 2031"/>
      <sheetName val="Table 3 Yakima Solar 2028"/>
      <sheetName val="Table 3 30 MW Geoth 2029"/>
      <sheetName val="Table 3 200 MW (UT N) 2029)"/>
      <sheetName val="Table 3 436MW (West M) 2030"/>
      <sheetName val="Table 3 477 MW (Wyo) 2033"/>
      <sheetName val="Table 3 200 MW (Wyo) 2033"/>
      <sheetName val="Table 3 ID Wind 2036"/>
    </sheetNames>
    <sheetDataSet>
      <sheetData sheetId="0">
        <row r="17">
          <cell r="I17">
            <v>0</v>
          </cell>
        </row>
      </sheetData>
      <sheetData sheetId="1"/>
      <sheetData sheetId="2" refreshError="1"/>
      <sheetData sheetId="3">
        <row r="6">
          <cell r="M6">
            <v>10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 Version Log"/>
      <sheetName val="Summary"/>
      <sheetName val="Profile"/>
      <sheetName val="Delta"/>
      <sheetName val="L&amp;R"/>
      <sheetName val="Base"/>
      <sheetName val="Check LTC"/>
      <sheetName val="Thermal Derates"/>
      <sheetName val="GRID Hydro Gen Peak"/>
      <sheetName val="GRID Load Peak"/>
      <sheetName val="GRID LTC Availability Min"/>
      <sheetName val="GRID LTC Availability Peak"/>
      <sheetName val="GRID LTC Dispatch Peak"/>
      <sheetName val="GRID Nameplate"/>
      <sheetName val="GRID Plant Outage Peak"/>
      <sheetName val="GRID ResReq Margin Peak"/>
      <sheetName val="GRID ResReq NoSpin Peak"/>
      <sheetName val="GRID ResReq Spin Peak"/>
      <sheetName val="GRID STF Purchases Peak"/>
      <sheetName val="GRID STF Sales Peak"/>
      <sheetName val="GRID Thermal Avail Peak"/>
      <sheetName val="GRID Hydro Generation (MWH)"/>
      <sheetName val="GRID Load (MWH)"/>
      <sheetName val="GRID LTC Availability (MWH)"/>
      <sheetName val="GRID LTC Dispatch (MWH)"/>
      <sheetName val="GRID Plant Outage (MWH)"/>
      <sheetName val="GRID Ready Res (MWH)"/>
      <sheetName val="GRID ResReq Margin (MWH)"/>
      <sheetName val="GRID Spinning Res (MWH)"/>
      <sheetName val="GRID STF Purchases (MWH)"/>
      <sheetName val="GRID STF Sales (MWH)"/>
      <sheetName val="GRID Thermal Availability (MWH)"/>
      <sheetName val="MacroBuilder"/>
      <sheetName val="on off peak hours"/>
    </sheetNames>
    <sheetDataSet>
      <sheetData sheetId="0">
        <row r="7">
          <cell r="D7" t="str">
            <v>Ut Sch 37 - 05a - Base Case _2013 05 10 (Plants) (L&amp;R)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>
        <row r="15">
          <cell r="C15">
            <v>40909</v>
          </cell>
          <cell r="D15">
            <v>40940</v>
          </cell>
          <cell r="E15">
            <v>40969</v>
          </cell>
          <cell r="F15">
            <v>41000</v>
          </cell>
          <cell r="G15">
            <v>41030</v>
          </cell>
          <cell r="H15">
            <v>41061</v>
          </cell>
          <cell r="I15">
            <v>41091</v>
          </cell>
          <cell r="J15">
            <v>41122</v>
          </cell>
          <cell r="K15">
            <v>41153</v>
          </cell>
          <cell r="L15">
            <v>41183</v>
          </cell>
          <cell r="M15">
            <v>41214</v>
          </cell>
          <cell r="N15">
            <v>41244</v>
          </cell>
          <cell r="O15">
            <v>41275</v>
          </cell>
          <cell r="P15">
            <v>41306</v>
          </cell>
          <cell r="Q15">
            <v>41334</v>
          </cell>
          <cell r="R15">
            <v>41365</v>
          </cell>
          <cell r="S15">
            <v>41395</v>
          </cell>
          <cell r="T15">
            <v>41426</v>
          </cell>
          <cell r="U15">
            <v>41456</v>
          </cell>
          <cell r="V15">
            <v>41487</v>
          </cell>
          <cell r="W15">
            <v>41518</v>
          </cell>
          <cell r="X15">
            <v>41548</v>
          </cell>
          <cell r="Y15">
            <v>41579</v>
          </cell>
          <cell r="Z15">
            <v>41609</v>
          </cell>
          <cell r="AA15">
            <v>41640</v>
          </cell>
          <cell r="AB15">
            <v>41671</v>
          </cell>
          <cell r="AC15">
            <v>41699</v>
          </cell>
          <cell r="AD15">
            <v>41730</v>
          </cell>
          <cell r="AE15">
            <v>41760</v>
          </cell>
          <cell r="AF15">
            <v>41791</v>
          </cell>
          <cell r="AG15">
            <v>41821</v>
          </cell>
          <cell r="AH15">
            <v>41852</v>
          </cell>
          <cell r="AI15">
            <v>41883</v>
          </cell>
          <cell r="AJ15">
            <v>41913</v>
          </cell>
          <cell r="AK15">
            <v>41944</v>
          </cell>
          <cell r="AL15">
            <v>41974</v>
          </cell>
          <cell r="AM15">
            <v>42005</v>
          </cell>
          <cell r="AN15">
            <v>42036</v>
          </cell>
          <cell r="AO15">
            <v>42064</v>
          </cell>
          <cell r="AP15">
            <v>42095</v>
          </cell>
          <cell r="AQ15">
            <v>42125</v>
          </cell>
          <cell r="AR15">
            <v>42156</v>
          </cell>
          <cell r="AS15">
            <v>42186</v>
          </cell>
          <cell r="AT15">
            <v>42217</v>
          </cell>
          <cell r="AU15">
            <v>42248</v>
          </cell>
          <cell r="AV15">
            <v>42278</v>
          </cell>
          <cell r="AW15">
            <v>42309</v>
          </cell>
          <cell r="AX15">
            <v>42339</v>
          </cell>
          <cell r="AY15">
            <v>42370</v>
          </cell>
          <cell r="AZ15">
            <v>42401</v>
          </cell>
          <cell r="BA15">
            <v>42430</v>
          </cell>
          <cell r="BB15">
            <v>42461</v>
          </cell>
          <cell r="BC15">
            <v>42491</v>
          </cell>
          <cell r="BD15">
            <v>42522</v>
          </cell>
          <cell r="BE15">
            <v>42552</v>
          </cell>
          <cell r="BF15">
            <v>42583</v>
          </cell>
          <cell r="BG15">
            <v>42614</v>
          </cell>
          <cell r="BH15">
            <v>42644</v>
          </cell>
          <cell r="BI15">
            <v>42675</v>
          </cell>
          <cell r="BJ15">
            <v>42705</v>
          </cell>
          <cell r="BK15">
            <v>42736</v>
          </cell>
          <cell r="BL15">
            <v>42767</v>
          </cell>
          <cell r="BM15">
            <v>42795</v>
          </cell>
          <cell r="BN15">
            <v>42826</v>
          </cell>
          <cell r="BO15">
            <v>42856</v>
          </cell>
          <cell r="BP15">
            <v>42887</v>
          </cell>
          <cell r="BQ15">
            <v>42917</v>
          </cell>
          <cell r="BR15">
            <v>42948</v>
          </cell>
          <cell r="BS15">
            <v>42979</v>
          </cell>
          <cell r="BT15">
            <v>43009</v>
          </cell>
          <cell r="BU15">
            <v>43040</v>
          </cell>
          <cell r="BV15">
            <v>43070</v>
          </cell>
          <cell r="BW15">
            <v>43101</v>
          </cell>
          <cell r="BX15">
            <v>43132</v>
          </cell>
          <cell r="BY15">
            <v>43160</v>
          </cell>
          <cell r="BZ15">
            <v>43191</v>
          </cell>
          <cell r="CA15">
            <v>43221</v>
          </cell>
          <cell r="CB15">
            <v>43252</v>
          </cell>
          <cell r="CC15">
            <v>43282</v>
          </cell>
          <cell r="CD15">
            <v>43313</v>
          </cell>
          <cell r="CE15">
            <v>43344</v>
          </cell>
          <cell r="CF15">
            <v>43374</v>
          </cell>
          <cell r="CG15">
            <v>43405</v>
          </cell>
          <cell r="CH15">
            <v>43435</v>
          </cell>
          <cell r="CI15">
            <v>43466</v>
          </cell>
          <cell r="CJ15">
            <v>43497</v>
          </cell>
          <cell r="CK15">
            <v>43525</v>
          </cell>
          <cell r="CL15">
            <v>43556</v>
          </cell>
          <cell r="CM15">
            <v>43586</v>
          </cell>
          <cell r="CN15">
            <v>43617</v>
          </cell>
          <cell r="CO15">
            <v>43647</v>
          </cell>
          <cell r="CP15">
            <v>43678</v>
          </cell>
          <cell r="CQ15">
            <v>43709</v>
          </cell>
          <cell r="CR15">
            <v>43739</v>
          </cell>
          <cell r="CS15">
            <v>43770</v>
          </cell>
          <cell r="CT15">
            <v>43800</v>
          </cell>
          <cell r="CU15">
            <v>43831</v>
          </cell>
          <cell r="CV15">
            <v>43862</v>
          </cell>
          <cell r="CW15">
            <v>43891</v>
          </cell>
          <cell r="CX15">
            <v>43922</v>
          </cell>
          <cell r="CY15">
            <v>43952</v>
          </cell>
          <cell r="CZ15">
            <v>43983</v>
          </cell>
          <cell r="DA15">
            <v>44013</v>
          </cell>
          <cell r="DB15">
            <v>44044</v>
          </cell>
          <cell r="DC15">
            <v>44075</v>
          </cell>
          <cell r="DD15">
            <v>44105</v>
          </cell>
          <cell r="DE15">
            <v>44136</v>
          </cell>
          <cell r="DF15">
            <v>44166</v>
          </cell>
          <cell r="DG15">
            <v>44197</v>
          </cell>
          <cell r="DH15">
            <v>44228</v>
          </cell>
          <cell r="DI15">
            <v>44256</v>
          </cell>
          <cell r="DJ15">
            <v>44287</v>
          </cell>
          <cell r="DK15">
            <v>44317</v>
          </cell>
          <cell r="DL15">
            <v>44348</v>
          </cell>
          <cell r="DM15">
            <v>44378</v>
          </cell>
          <cell r="DN15">
            <v>44409</v>
          </cell>
          <cell r="DO15">
            <v>44440</v>
          </cell>
          <cell r="DP15">
            <v>44470</v>
          </cell>
          <cell r="DQ15">
            <v>44501</v>
          </cell>
          <cell r="DR15">
            <v>44531</v>
          </cell>
          <cell r="DS15">
            <v>44562</v>
          </cell>
          <cell r="DT15">
            <v>44593</v>
          </cell>
          <cell r="DU15">
            <v>44621</v>
          </cell>
          <cell r="DV15">
            <v>44652</v>
          </cell>
          <cell r="DW15">
            <v>44682</v>
          </cell>
          <cell r="DX15">
            <v>44713</v>
          </cell>
          <cell r="DY15">
            <v>44743</v>
          </cell>
          <cell r="DZ15">
            <v>44774</v>
          </cell>
          <cell r="EA15">
            <v>44805</v>
          </cell>
          <cell r="EB15">
            <v>44835</v>
          </cell>
          <cell r="EC15">
            <v>44866</v>
          </cell>
          <cell r="ED15">
            <v>44896</v>
          </cell>
        </row>
        <row r="16">
          <cell r="C16">
            <v>400</v>
          </cell>
          <cell r="D16">
            <v>400</v>
          </cell>
          <cell r="E16">
            <v>432</v>
          </cell>
          <cell r="F16">
            <v>400</v>
          </cell>
          <cell r="G16">
            <v>416</v>
          </cell>
          <cell r="H16">
            <v>416</v>
          </cell>
          <cell r="I16">
            <v>400</v>
          </cell>
          <cell r="J16">
            <v>432</v>
          </cell>
          <cell r="K16">
            <v>384</v>
          </cell>
          <cell r="L16">
            <v>432</v>
          </cell>
          <cell r="M16">
            <v>400</v>
          </cell>
          <cell r="N16">
            <v>400</v>
          </cell>
          <cell r="O16">
            <v>416</v>
          </cell>
          <cell r="P16">
            <v>384</v>
          </cell>
          <cell r="Q16">
            <v>416</v>
          </cell>
          <cell r="R16">
            <v>416</v>
          </cell>
          <cell r="S16">
            <v>416</v>
          </cell>
          <cell r="T16">
            <v>400</v>
          </cell>
          <cell r="U16">
            <v>416</v>
          </cell>
          <cell r="V16">
            <v>432</v>
          </cell>
          <cell r="W16">
            <v>384</v>
          </cell>
          <cell r="X16">
            <v>432</v>
          </cell>
          <cell r="Y16">
            <v>400</v>
          </cell>
          <cell r="Z16">
            <v>400</v>
          </cell>
          <cell r="AA16">
            <v>416</v>
          </cell>
          <cell r="AB16">
            <v>384</v>
          </cell>
          <cell r="AC16">
            <v>416</v>
          </cell>
          <cell r="AD16">
            <v>416</v>
          </cell>
          <cell r="AE16">
            <v>416</v>
          </cell>
          <cell r="AF16">
            <v>400</v>
          </cell>
          <cell r="AG16">
            <v>416</v>
          </cell>
          <cell r="AH16">
            <v>416</v>
          </cell>
          <cell r="AI16">
            <v>400</v>
          </cell>
          <cell r="AJ16">
            <v>432</v>
          </cell>
          <cell r="AK16">
            <v>384</v>
          </cell>
          <cell r="AL16">
            <v>416</v>
          </cell>
          <cell r="AM16">
            <v>416</v>
          </cell>
          <cell r="AN16">
            <v>384</v>
          </cell>
          <cell r="AO16">
            <v>416</v>
          </cell>
          <cell r="AP16">
            <v>416</v>
          </cell>
          <cell r="AQ16">
            <v>400</v>
          </cell>
          <cell r="AR16">
            <v>416</v>
          </cell>
          <cell r="AS16">
            <v>416</v>
          </cell>
          <cell r="AT16">
            <v>416</v>
          </cell>
          <cell r="AU16">
            <v>400</v>
          </cell>
          <cell r="AV16">
            <v>432</v>
          </cell>
          <cell r="AW16">
            <v>384</v>
          </cell>
          <cell r="AX16">
            <v>416</v>
          </cell>
          <cell r="AY16">
            <v>400</v>
          </cell>
          <cell r="AZ16">
            <v>400</v>
          </cell>
          <cell r="BA16">
            <v>432</v>
          </cell>
          <cell r="BB16">
            <v>416</v>
          </cell>
          <cell r="BC16">
            <v>400</v>
          </cell>
          <cell r="BD16">
            <v>416</v>
          </cell>
          <cell r="BE16">
            <v>400</v>
          </cell>
          <cell r="BF16">
            <v>432</v>
          </cell>
          <cell r="BG16">
            <v>400</v>
          </cell>
          <cell r="BH16">
            <v>416</v>
          </cell>
          <cell r="BI16">
            <v>400</v>
          </cell>
          <cell r="BJ16">
            <v>416</v>
          </cell>
          <cell r="BK16">
            <v>400</v>
          </cell>
          <cell r="BL16">
            <v>384</v>
          </cell>
          <cell r="BM16">
            <v>432</v>
          </cell>
          <cell r="BN16">
            <v>400</v>
          </cell>
          <cell r="BO16">
            <v>416</v>
          </cell>
          <cell r="BP16">
            <v>416</v>
          </cell>
          <cell r="BQ16">
            <v>400</v>
          </cell>
          <cell r="BR16">
            <v>432</v>
          </cell>
          <cell r="BS16">
            <v>400</v>
          </cell>
          <cell r="BT16">
            <v>416</v>
          </cell>
          <cell r="BU16">
            <v>400</v>
          </cell>
          <cell r="BV16">
            <v>400</v>
          </cell>
          <cell r="BW16">
            <v>416</v>
          </cell>
          <cell r="BX16">
            <v>384</v>
          </cell>
          <cell r="BY16">
            <v>432</v>
          </cell>
          <cell r="BZ16">
            <v>400</v>
          </cell>
          <cell r="CA16">
            <v>416</v>
          </cell>
          <cell r="CB16">
            <v>416</v>
          </cell>
          <cell r="CC16">
            <v>400</v>
          </cell>
          <cell r="CD16">
            <v>432</v>
          </cell>
          <cell r="CE16">
            <v>384</v>
          </cell>
          <cell r="CF16">
            <v>432</v>
          </cell>
          <cell r="CG16">
            <v>400</v>
          </cell>
          <cell r="CH16">
            <v>400</v>
          </cell>
          <cell r="CI16">
            <v>416</v>
          </cell>
          <cell r="CJ16">
            <v>384</v>
          </cell>
          <cell r="CK16">
            <v>416</v>
          </cell>
          <cell r="CL16">
            <v>416</v>
          </cell>
          <cell r="CM16">
            <v>416</v>
          </cell>
          <cell r="CN16">
            <v>400</v>
          </cell>
          <cell r="CO16">
            <v>416</v>
          </cell>
          <cell r="CP16">
            <v>432</v>
          </cell>
          <cell r="CQ16">
            <v>384</v>
          </cell>
          <cell r="CR16">
            <v>432</v>
          </cell>
          <cell r="CS16">
            <v>400</v>
          </cell>
          <cell r="CT16">
            <v>400</v>
          </cell>
          <cell r="CU16">
            <v>416</v>
          </cell>
          <cell r="CV16">
            <v>400</v>
          </cell>
          <cell r="CW16">
            <v>416</v>
          </cell>
          <cell r="CX16">
            <v>416</v>
          </cell>
          <cell r="CY16">
            <v>400</v>
          </cell>
          <cell r="CZ16">
            <v>416</v>
          </cell>
          <cell r="DA16">
            <v>416</v>
          </cell>
          <cell r="DB16">
            <v>416</v>
          </cell>
          <cell r="DC16">
            <v>400</v>
          </cell>
          <cell r="DD16">
            <v>432</v>
          </cell>
          <cell r="DE16">
            <v>384</v>
          </cell>
          <cell r="DF16">
            <v>416</v>
          </cell>
          <cell r="DG16">
            <v>400</v>
          </cell>
          <cell r="DH16">
            <v>384</v>
          </cell>
          <cell r="DI16">
            <v>432</v>
          </cell>
          <cell r="DJ16">
            <v>416</v>
          </cell>
          <cell r="DK16">
            <v>400</v>
          </cell>
          <cell r="DL16">
            <v>416</v>
          </cell>
          <cell r="DM16">
            <v>416</v>
          </cell>
          <cell r="DN16">
            <v>416</v>
          </cell>
          <cell r="DO16">
            <v>400</v>
          </cell>
          <cell r="DP16">
            <v>416</v>
          </cell>
          <cell r="DQ16">
            <v>400</v>
          </cell>
          <cell r="DR16">
            <v>416</v>
          </cell>
          <cell r="DS16">
            <v>400</v>
          </cell>
          <cell r="DT16">
            <v>384</v>
          </cell>
          <cell r="DU16">
            <v>432</v>
          </cell>
          <cell r="DV16">
            <v>416</v>
          </cell>
          <cell r="DW16">
            <v>400</v>
          </cell>
          <cell r="DX16">
            <v>416</v>
          </cell>
          <cell r="DY16">
            <v>400</v>
          </cell>
          <cell r="DZ16">
            <v>432</v>
          </cell>
          <cell r="EA16">
            <v>400</v>
          </cell>
          <cell r="EB16">
            <v>416</v>
          </cell>
          <cell r="EC16">
            <v>400</v>
          </cell>
          <cell r="ED16">
            <v>416</v>
          </cell>
        </row>
        <row r="17">
          <cell r="C17">
            <v>344</v>
          </cell>
          <cell r="D17">
            <v>296</v>
          </cell>
          <cell r="E17">
            <v>312</v>
          </cell>
          <cell r="F17">
            <v>320</v>
          </cell>
          <cell r="G17">
            <v>328</v>
          </cell>
          <cell r="H17">
            <v>304</v>
          </cell>
          <cell r="I17">
            <v>344</v>
          </cell>
          <cell r="J17">
            <v>312</v>
          </cell>
          <cell r="K17">
            <v>336</v>
          </cell>
          <cell r="L17">
            <v>312</v>
          </cell>
          <cell r="M17">
            <v>320</v>
          </cell>
          <cell r="N17">
            <v>344</v>
          </cell>
          <cell r="O17">
            <v>328</v>
          </cell>
          <cell r="P17">
            <v>288</v>
          </cell>
          <cell r="Q17">
            <v>328</v>
          </cell>
          <cell r="R17">
            <v>304</v>
          </cell>
          <cell r="S17">
            <v>328</v>
          </cell>
          <cell r="T17">
            <v>320</v>
          </cell>
          <cell r="U17">
            <v>328</v>
          </cell>
          <cell r="V17">
            <v>312</v>
          </cell>
          <cell r="W17">
            <v>336</v>
          </cell>
          <cell r="X17">
            <v>312</v>
          </cell>
          <cell r="Y17">
            <v>320</v>
          </cell>
          <cell r="Z17">
            <v>344</v>
          </cell>
          <cell r="AA17">
            <v>328</v>
          </cell>
          <cell r="AB17">
            <v>288</v>
          </cell>
          <cell r="AC17">
            <v>328</v>
          </cell>
          <cell r="AD17">
            <v>304</v>
          </cell>
          <cell r="AE17">
            <v>328</v>
          </cell>
          <cell r="AF17">
            <v>320</v>
          </cell>
          <cell r="AG17">
            <v>328</v>
          </cell>
          <cell r="AH17">
            <v>328</v>
          </cell>
          <cell r="AI17">
            <v>320</v>
          </cell>
          <cell r="AJ17">
            <v>312</v>
          </cell>
          <cell r="AK17">
            <v>336</v>
          </cell>
          <cell r="AL17">
            <v>328</v>
          </cell>
          <cell r="AM17">
            <v>328</v>
          </cell>
          <cell r="AN17">
            <v>288</v>
          </cell>
          <cell r="AO17">
            <v>328</v>
          </cell>
          <cell r="AP17">
            <v>304</v>
          </cell>
          <cell r="AQ17">
            <v>344</v>
          </cell>
          <cell r="AR17">
            <v>304</v>
          </cell>
          <cell r="AS17">
            <v>328</v>
          </cell>
          <cell r="AT17">
            <v>328</v>
          </cell>
          <cell r="AU17">
            <v>320</v>
          </cell>
          <cell r="AV17">
            <v>312</v>
          </cell>
          <cell r="AW17">
            <v>336</v>
          </cell>
          <cell r="AX17">
            <v>328</v>
          </cell>
          <cell r="AY17">
            <v>344</v>
          </cell>
          <cell r="AZ17">
            <v>296</v>
          </cell>
          <cell r="BA17">
            <v>312</v>
          </cell>
          <cell r="BB17">
            <v>304</v>
          </cell>
          <cell r="BC17">
            <v>344</v>
          </cell>
          <cell r="BD17">
            <v>304</v>
          </cell>
          <cell r="BE17">
            <v>344</v>
          </cell>
          <cell r="BF17">
            <v>312</v>
          </cell>
          <cell r="BG17">
            <v>320</v>
          </cell>
          <cell r="BH17">
            <v>328</v>
          </cell>
          <cell r="BI17">
            <v>320</v>
          </cell>
          <cell r="BJ17">
            <v>328</v>
          </cell>
          <cell r="BK17">
            <v>344</v>
          </cell>
          <cell r="BL17">
            <v>288</v>
          </cell>
          <cell r="BM17">
            <v>312</v>
          </cell>
          <cell r="BN17">
            <v>320</v>
          </cell>
          <cell r="BO17">
            <v>328</v>
          </cell>
          <cell r="BP17">
            <v>304</v>
          </cell>
          <cell r="BQ17">
            <v>344</v>
          </cell>
          <cell r="BR17">
            <v>312</v>
          </cell>
          <cell r="BS17">
            <v>320</v>
          </cell>
          <cell r="BT17">
            <v>328</v>
          </cell>
          <cell r="BU17">
            <v>320</v>
          </cell>
          <cell r="BV17">
            <v>344</v>
          </cell>
          <cell r="BW17">
            <v>328</v>
          </cell>
          <cell r="BX17">
            <v>288</v>
          </cell>
          <cell r="BY17">
            <v>312</v>
          </cell>
          <cell r="BZ17">
            <v>320</v>
          </cell>
          <cell r="CA17">
            <v>328</v>
          </cell>
          <cell r="CB17">
            <v>304</v>
          </cell>
          <cell r="CC17">
            <v>344</v>
          </cell>
          <cell r="CD17">
            <v>312</v>
          </cell>
          <cell r="CE17">
            <v>336</v>
          </cell>
          <cell r="CF17">
            <v>312</v>
          </cell>
          <cell r="CG17">
            <v>320</v>
          </cell>
          <cell r="CH17">
            <v>344</v>
          </cell>
          <cell r="CI17">
            <v>328</v>
          </cell>
          <cell r="CJ17">
            <v>288</v>
          </cell>
          <cell r="CK17">
            <v>328</v>
          </cell>
          <cell r="CL17">
            <v>304</v>
          </cell>
          <cell r="CM17">
            <v>328</v>
          </cell>
          <cell r="CN17">
            <v>320</v>
          </cell>
          <cell r="CO17">
            <v>328</v>
          </cell>
          <cell r="CP17">
            <v>312</v>
          </cell>
          <cell r="CQ17">
            <v>336</v>
          </cell>
          <cell r="CR17">
            <v>312</v>
          </cell>
          <cell r="CS17">
            <v>320</v>
          </cell>
          <cell r="CT17">
            <v>344</v>
          </cell>
          <cell r="CU17">
            <v>328</v>
          </cell>
          <cell r="CV17">
            <v>296</v>
          </cell>
          <cell r="CW17">
            <v>328</v>
          </cell>
          <cell r="CX17">
            <v>304</v>
          </cell>
          <cell r="CY17">
            <v>344</v>
          </cell>
          <cell r="CZ17">
            <v>304</v>
          </cell>
          <cell r="DA17">
            <v>328</v>
          </cell>
          <cell r="DB17">
            <v>328</v>
          </cell>
          <cell r="DC17">
            <v>320</v>
          </cell>
          <cell r="DD17">
            <v>312</v>
          </cell>
          <cell r="DE17">
            <v>336</v>
          </cell>
          <cell r="DF17">
            <v>328</v>
          </cell>
          <cell r="DG17">
            <v>344</v>
          </cell>
          <cell r="DH17">
            <v>288</v>
          </cell>
          <cell r="DI17">
            <v>312</v>
          </cell>
          <cell r="DJ17">
            <v>304</v>
          </cell>
          <cell r="DK17">
            <v>344</v>
          </cell>
          <cell r="DL17">
            <v>304</v>
          </cell>
          <cell r="DM17">
            <v>328</v>
          </cell>
          <cell r="DN17">
            <v>328</v>
          </cell>
          <cell r="DO17">
            <v>320</v>
          </cell>
          <cell r="DP17">
            <v>328</v>
          </cell>
          <cell r="DQ17">
            <v>320</v>
          </cell>
          <cell r="DR17">
            <v>328</v>
          </cell>
          <cell r="DS17">
            <v>344</v>
          </cell>
          <cell r="DT17">
            <v>288</v>
          </cell>
          <cell r="DU17">
            <v>312</v>
          </cell>
          <cell r="DV17">
            <v>304</v>
          </cell>
          <cell r="DW17">
            <v>344</v>
          </cell>
          <cell r="DX17">
            <v>304</v>
          </cell>
          <cell r="DY17">
            <v>344</v>
          </cell>
          <cell r="DZ17">
            <v>312</v>
          </cell>
          <cell r="EA17">
            <v>320</v>
          </cell>
          <cell r="EB17">
            <v>328</v>
          </cell>
          <cell r="EC17">
            <v>320</v>
          </cell>
          <cell r="ED17">
            <v>328</v>
          </cell>
        </row>
        <row r="18">
          <cell r="C18">
            <v>744</v>
          </cell>
          <cell r="D18">
            <v>696</v>
          </cell>
          <cell r="E18">
            <v>744</v>
          </cell>
          <cell r="F18">
            <v>720</v>
          </cell>
          <cell r="G18">
            <v>744</v>
          </cell>
          <cell r="H18">
            <v>720</v>
          </cell>
          <cell r="I18">
            <v>744</v>
          </cell>
          <cell r="J18">
            <v>744</v>
          </cell>
          <cell r="K18">
            <v>720</v>
          </cell>
          <cell r="L18">
            <v>744</v>
          </cell>
          <cell r="M18">
            <v>720</v>
          </cell>
          <cell r="N18">
            <v>744</v>
          </cell>
          <cell r="O18">
            <v>744</v>
          </cell>
          <cell r="P18">
            <v>672</v>
          </cell>
          <cell r="Q18">
            <v>744</v>
          </cell>
          <cell r="R18">
            <v>720</v>
          </cell>
          <cell r="S18">
            <v>744</v>
          </cell>
          <cell r="T18">
            <v>720</v>
          </cell>
          <cell r="U18">
            <v>744</v>
          </cell>
          <cell r="V18">
            <v>744</v>
          </cell>
          <cell r="W18">
            <v>720</v>
          </cell>
          <cell r="X18">
            <v>744</v>
          </cell>
          <cell r="Y18">
            <v>720</v>
          </cell>
          <cell r="Z18">
            <v>744</v>
          </cell>
          <cell r="AA18">
            <v>744</v>
          </cell>
          <cell r="AB18">
            <v>672</v>
          </cell>
          <cell r="AC18">
            <v>744</v>
          </cell>
          <cell r="AD18">
            <v>720</v>
          </cell>
          <cell r="AE18">
            <v>744</v>
          </cell>
          <cell r="AF18">
            <v>720</v>
          </cell>
          <cell r="AG18">
            <v>744</v>
          </cell>
          <cell r="AH18">
            <v>744</v>
          </cell>
          <cell r="AI18">
            <v>720</v>
          </cell>
          <cell r="AJ18">
            <v>744</v>
          </cell>
          <cell r="AK18">
            <v>720</v>
          </cell>
          <cell r="AL18">
            <v>744</v>
          </cell>
          <cell r="AM18">
            <v>744</v>
          </cell>
          <cell r="AN18">
            <v>672</v>
          </cell>
          <cell r="AO18">
            <v>744</v>
          </cell>
          <cell r="AP18">
            <v>720</v>
          </cell>
          <cell r="AQ18">
            <v>744</v>
          </cell>
          <cell r="AR18">
            <v>720</v>
          </cell>
          <cell r="AS18">
            <v>744</v>
          </cell>
          <cell r="AT18">
            <v>744</v>
          </cell>
          <cell r="AU18">
            <v>720</v>
          </cell>
          <cell r="AV18">
            <v>744</v>
          </cell>
          <cell r="AW18">
            <v>720</v>
          </cell>
          <cell r="AX18">
            <v>744</v>
          </cell>
          <cell r="AY18">
            <v>744</v>
          </cell>
          <cell r="AZ18">
            <v>696</v>
          </cell>
          <cell r="BA18">
            <v>744</v>
          </cell>
          <cell r="BB18">
            <v>720</v>
          </cell>
          <cell r="BC18">
            <v>744</v>
          </cell>
          <cell r="BD18">
            <v>720</v>
          </cell>
          <cell r="BE18">
            <v>744</v>
          </cell>
          <cell r="BF18">
            <v>744</v>
          </cell>
          <cell r="BG18">
            <v>720</v>
          </cell>
          <cell r="BH18">
            <v>744</v>
          </cell>
          <cell r="BI18">
            <v>720</v>
          </cell>
          <cell r="BJ18">
            <v>744</v>
          </cell>
          <cell r="BK18">
            <v>744</v>
          </cell>
          <cell r="BL18">
            <v>672</v>
          </cell>
          <cell r="BM18">
            <v>744</v>
          </cell>
          <cell r="BN18">
            <v>720</v>
          </cell>
          <cell r="BO18">
            <v>744</v>
          </cell>
          <cell r="BP18">
            <v>720</v>
          </cell>
          <cell r="BQ18">
            <v>744</v>
          </cell>
          <cell r="BR18">
            <v>744</v>
          </cell>
          <cell r="BS18">
            <v>720</v>
          </cell>
          <cell r="BT18">
            <v>744</v>
          </cell>
          <cell r="BU18">
            <v>720</v>
          </cell>
          <cell r="BV18">
            <v>744</v>
          </cell>
          <cell r="BW18">
            <v>744</v>
          </cell>
          <cell r="BX18">
            <v>672</v>
          </cell>
          <cell r="BY18">
            <v>744</v>
          </cell>
          <cell r="BZ18">
            <v>720</v>
          </cell>
          <cell r="CA18">
            <v>744</v>
          </cell>
          <cell r="CB18">
            <v>720</v>
          </cell>
          <cell r="CC18">
            <v>744</v>
          </cell>
          <cell r="CD18">
            <v>744</v>
          </cell>
          <cell r="CE18">
            <v>720</v>
          </cell>
          <cell r="CF18">
            <v>744</v>
          </cell>
          <cell r="CG18">
            <v>720</v>
          </cell>
          <cell r="CH18">
            <v>744</v>
          </cell>
          <cell r="CI18">
            <v>744</v>
          </cell>
          <cell r="CJ18">
            <v>672</v>
          </cell>
          <cell r="CK18">
            <v>744</v>
          </cell>
          <cell r="CL18">
            <v>720</v>
          </cell>
          <cell r="CM18">
            <v>744</v>
          </cell>
          <cell r="CN18">
            <v>720</v>
          </cell>
          <cell r="CO18">
            <v>744</v>
          </cell>
          <cell r="CP18">
            <v>744</v>
          </cell>
          <cell r="CQ18">
            <v>720</v>
          </cell>
          <cell r="CR18">
            <v>744</v>
          </cell>
          <cell r="CS18">
            <v>720</v>
          </cell>
          <cell r="CT18">
            <v>744</v>
          </cell>
          <cell r="CU18">
            <v>744</v>
          </cell>
          <cell r="CV18">
            <v>696</v>
          </cell>
          <cell r="CW18">
            <v>744</v>
          </cell>
          <cell r="CX18">
            <v>720</v>
          </cell>
          <cell r="CY18">
            <v>744</v>
          </cell>
          <cell r="CZ18">
            <v>720</v>
          </cell>
          <cell r="DA18">
            <v>744</v>
          </cell>
          <cell r="DB18">
            <v>744</v>
          </cell>
          <cell r="DC18">
            <v>720</v>
          </cell>
          <cell r="DD18">
            <v>744</v>
          </cell>
          <cell r="DE18">
            <v>720</v>
          </cell>
          <cell r="DF18">
            <v>744</v>
          </cell>
          <cell r="DG18">
            <v>744</v>
          </cell>
          <cell r="DH18">
            <v>672</v>
          </cell>
          <cell r="DI18">
            <v>744</v>
          </cell>
          <cell r="DJ18">
            <v>720</v>
          </cell>
          <cell r="DK18">
            <v>744</v>
          </cell>
          <cell r="DL18">
            <v>720</v>
          </cell>
          <cell r="DM18">
            <v>744</v>
          </cell>
          <cell r="DN18">
            <v>744</v>
          </cell>
          <cell r="DO18">
            <v>720</v>
          </cell>
          <cell r="DP18">
            <v>744</v>
          </cell>
          <cell r="DQ18">
            <v>720</v>
          </cell>
          <cell r="DR18">
            <v>744</v>
          </cell>
          <cell r="DS18">
            <v>744</v>
          </cell>
          <cell r="DT18">
            <v>672</v>
          </cell>
          <cell r="DU18">
            <v>744</v>
          </cell>
          <cell r="DV18">
            <v>720</v>
          </cell>
          <cell r="DW18">
            <v>744</v>
          </cell>
          <cell r="DX18">
            <v>720</v>
          </cell>
          <cell r="DY18">
            <v>744</v>
          </cell>
          <cell r="DZ18">
            <v>744</v>
          </cell>
          <cell r="EA18">
            <v>720</v>
          </cell>
          <cell r="EB18">
            <v>744</v>
          </cell>
          <cell r="EC18">
            <v>720</v>
          </cell>
          <cell r="ED18">
            <v>744</v>
          </cell>
        </row>
        <row r="19">
          <cell r="C19">
            <v>344</v>
          </cell>
          <cell r="D19">
            <v>296</v>
          </cell>
          <cell r="E19">
            <v>311</v>
          </cell>
          <cell r="F19">
            <v>320</v>
          </cell>
          <cell r="G19">
            <v>328</v>
          </cell>
          <cell r="H19">
            <v>304</v>
          </cell>
          <cell r="I19">
            <v>344</v>
          </cell>
          <cell r="J19">
            <v>312</v>
          </cell>
          <cell r="K19">
            <v>336</v>
          </cell>
          <cell r="L19">
            <v>312</v>
          </cell>
          <cell r="M19">
            <v>321</v>
          </cell>
          <cell r="N19">
            <v>344</v>
          </cell>
          <cell r="O19">
            <v>328</v>
          </cell>
          <cell r="P19">
            <v>288</v>
          </cell>
          <cell r="Q19">
            <v>327</v>
          </cell>
          <cell r="R19">
            <v>304</v>
          </cell>
          <cell r="S19">
            <v>328</v>
          </cell>
          <cell r="T19">
            <v>320</v>
          </cell>
          <cell r="U19">
            <v>328</v>
          </cell>
          <cell r="V19">
            <v>312</v>
          </cell>
          <cell r="W19">
            <v>336</v>
          </cell>
          <cell r="X19">
            <v>312</v>
          </cell>
          <cell r="Y19">
            <v>321</v>
          </cell>
          <cell r="Z19">
            <v>344</v>
          </cell>
          <cell r="AA19">
            <v>328</v>
          </cell>
          <cell r="AB19">
            <v>288</v>
          </cell>
          <cell r="AC19">
            <v>327</v>
          </cell>
          <cell r="AD19">
            <v>304</v>
          </cell>
          <cell r="AE19">
            <v>328</v>
          </cell>
          <cell r="AF19">
            <v>320</v>
          </cell>
          <cell r="AG19">
            <v>328</v>
          </cell>
          <cell r="AH19">
            <v>328</v>
          </cell>
          <cell r="AI19">
            <v>320</v>
          </cell>
          <cell r="AJ19">
            <v>312</v>
          </cell>
          <cell r="AK19">
            <v>337</v>
          </cell>
          <cell r="AL19">
            <v>328</v>
          </cell>
          <cell r="AM19">
            <v>328</v>
          </cell>
          <cell r="AN19">
            <v>288</v>
          </cell>
          <cell r="AO19">
            <v>327</v>
          </cell>
          <cell r="AP19">
            <v>304</v>
          </cell>
          <cell r="AQ19">
            <v>344</v>
          </cell>
          <cell r="AR19">
            <v>304</v>
          </cell>
          <cell r="AS19">
            <v>328</v>
          </cell>
          <cell r="AT19">
            <v>328</v>
          </cell>
          <cell r="AU19">
            <v>320</v>
          </cell>
          <cell r="AV19">
            <v>312</v>
          </cell>
          <cell r="AW19">
            <v>337</v>
          </cell>
          <cell r="AX19">
            <v>328</v>
          </cell>
          <cell r="AY19">
            <v>344</v>
          </cell>
          <cell r="AZ19">
            <v>296</v>
          </cell>
          <cell r="BA19">
            <v>311</v>
          </cell>
          <cell r="BB19">
            <v>304</v>
          </cell>
          <cell r="BC19">
            <v>344</v>
          </cell>
          <cell r="BD19">
            <v>304</v>
          </cell>
          <cell r="BE19">
            <v>344</v>
          </cell>
          <cell r="BF19">
            <v>312</v>
          </cell>
          <cell r="BG19">
            <v>320</v>
          </cell>
          <cell r="BH19">
            <v>328</v>
          </cell>
          <cell r="BI19">
            <v>321</v>
          </cell>
          <cell r="BJ19">
            <v>328</v>
          </cell>
          <cell r="BK19">
            <v>344</v>
          </cell>
          <cell r="BL19">
            <v>288</v>
          </cell>
          <cell r="BM19">
            <v>311</v>
          </cell>
          <cell r="BN19">
            <v>320</v>
          </cell>
          <cell r="BO19">
            <v>328</v>
          </cell>
          <cell r="BP19">
            <v>304</v>
          </cell>
          <cell r="BQ19">
            <v>344</v>
          </cell>
          <cell r="BR19">
            <v>312</v>
          </cell>
          <cell r="BS19">
            <v>320</v>
          </cell>
          <cell r="BT19">
            <v>328</v>
          </cell>
          <cell r="BU19">
            <v>321</v>
          </cell>
          <cell r="BV19">
            <v>344</v>
          </cell>
          <cell r="BW19">
            <v>328</v>
          </cell>
          <cell r="BX19">
            <v>288</v>
          </cell>
          <cell r="BY19">
            <v>311</v>
          </cell>
          <cell r="BZ19">
            <v>320</v>
          </cell>
          <cell r="CA19">
            <v>328</v>
          </cell>
          <cell r="CB19">
            <v>304</v>
          </cell>
          <cell r="CC19">
            <v>344</v>
          </cell>
          <cell r="CD19">
            <v>312</v>
          </cell>
          <cell r="CE19">
            <v>336</v>
          </cell>
          <cell r="CF19">
            <v>312</v>
          </cell>
          <cell r="CG19">
            <v>321</v>
          </cell>
          <cell r="CH19">
            <v>344</v>
          </cell>
          <cell r="CI19">
            <v>328</v>
          </cell>
          <cell r="CJ19">
            <v>288</v>
          </cell>
          <cell r="CK19">
            <v>327</v>
          </cell>
          <cell r="CL19">
            <v>304</v>
          </cell>
          <cell r="CM19">
            <v>328</v>
          </cell>
          <cell r="CN19">
            <v>320</v>
          </cell>
          <cell r="CO19">
            <v>328</v>
          </cell>
          <cell r="CP19">
            <v>312</v>
          </cell>
          <cell r="CQ19">
            <v>336</v>
          </cell>
          <cell r="CR19">
            <v>312</v>
          </cell>
          <cell r="CS19">
            <v>321</v>
          </cell>
          <cell r="CT19">
            <v>344</v>
          </cell>
          <cell r="CU19">
            <v>328</v>
          </cell>
          <cell r="CV19">
            <v>296</v>
          </cell>
          <cell r="CW19">
            <v>327</v>
          </cell>
          <cell r="CX19">
            <v>304</v>
          </cell>
          <cell r="CY19">
            <v>344</v>
          </cell>
          <cell r="CZ19">
            <v>304</v>
          </cell>
          <cell r="DA19">
            <v>328</v>
          </cell>
          <cell r="DB19">
            <v>328</v>
          </cell>
          <cell r="DC19">
            <v>320</v>
          </cell>
          <cell r="DD19">
            <v>312</v>
          </cell>
          <cell r="DE19">
            <v>337</v>
          </cell>
          <cell r="DF19">
            <v>328</v>
          </cell>
          <cell r="DG19">
            <v>344</v>
          </cell>
          <cell r="DH19">
            <v>288</v>
          </cell>
          <cell r="DI19">
            <v>311</v>
          </cell>
          <cell r="DJ19">
            <v>304</v>
          </cell>
          <cell r="DK19">
            <v>344</v>
          </cell>
          <cell r="DL19">
            <v>304</v>
          </cell>
          <cell r="DM19">
            <v>328</v>
          </cell>
          <cell r="DN19">
            <v>328</v>
          </cell>
          <cell r="DO19">
            <v>320</v>
          </cell>
          <cell r="DP19">
            <v>328</v>
          </cell>
          <cell r="DQ19">
            <v>321</v>
          </cell>
          <cell r="DR19">
            <v>328</v>
          </cell>
          <cell r="DS19">
            <v>344</v>
          </cell>
          <cell r="DT19">
            <v>288</v>
          </cell>
          <cell r="DU19">
            <v>311</v>
          </cell>
          <cell r="DV19">
            <v>304</v>
          </cell>
          <cell r="DW19">
            <v>344</v>
          </cell>
          <cell r="DX19">
            <v>304</v>
          </cell>
          <cell r="DY19">
            <v>344</v>
          </cell>
          <cell r="DZ19">
            <v>312</v>
          </cell>
          <cell r="EA19">
            <v>320</v>
          </cell>
          <cell r="EB19">
            <v>328</v>
          </cell>
          <cell r="EC19">
            <v>321</v>
          </cell>
          <cell r="ED19">
            <v>328</v>
          </cell>
        </row>
        <row r="20">
          <cell r="C20">
            <v>744</v>
          </cell>
          <cell r="D20">
            <v>696</v>
          </cell>
          <cell r="E20">
            <v>743</v>
          </cell>
          <cell r="F20">
            <v>720</v>
          </cell>
          <cell r="G20">
            <v>744</v>
          </cell>
          <cell r="H20">
            <v>720</v>
          </cell>
          <cell r="I20">
            <v>744</v>
          </cell>
          <cell r="J20">
            <v>744</v>
          </cell>
          <cell r="K20">
            <v>720</v>
          </cell>
          <cell r="L20">
            <v>744</v>
          </cell>
          <cell r="M20">
            <v>721</v>
          </cell>
          <cell r="N20">
            <v>744</v>
          </cell>
          <cell r="O20">
            <v>744</v>
          </cell>
          <cell r="P20">
            <v>672</v>
          </cell>
          <cell r="Q20">
            <v>743</v>
          </cell>
          <cell r="R20">
            <v>720</v>
          </cell>
          <cell r="S20">
            <v>744</v>
          </cell>
          <cell r="T20">
            <v>720</v>
          </cell>
          <cell r="U20">
            <v>744</v>
          </cell>
          <cell r="V20">
            <v>744</v>
          </cell>
          <cell r="W20">
            <v>720</v>
          </cell>
          <cell r="X20">
            <v>744</v>
          </cell>
          <cell r="Y20">
            <v>721</v>
          </cell>
          <cell r="Z20">
            <v>744</v>
          </cell>
          <cell r="AA20">
            <v>744</v>
          </cell>
          <cell r="AB20">
            <v>672</v>
          </cell>
          <cell r="AC20">
            <v>743</v>
          </cell>
          <cell r="AD20">
            <v>720</v>
          </cell>
          <cell r="AE20">
            <v>744</v>
          </cell>
          <cell r="AF20">
            <v>720</v>
          </cell>
          <cell r="AG20">
            <v>744</v>
          </cell>
          <cell r="AH20">
            <v>744</v>
          </cell>
          <cell r="AI20">
            <v>720</v>
          </cell>
          <cell r="AJ20">
            <v>744</v>
          </cell>
          <cell r="AK20">
            <v>721</v>
          </cell>
          <cell r="AL20">
            <v>744</v>
          </cell>
          <cell r="AM20">
            <v>744</v>
          </cell>
          <cell r="AN20">
            <v>672</v>
          </cell>
          <cell r="AO20">
            <v>743</v>
          </cell>
          <cell r="AP20">
            <v>720</v>
          </cell>
          <cell r="AQ20">
            <v>744</v>
          </cell>
          <cell r="AR20">
            <v>720</v>
          </cell>
          <cell r="AS20">
            <v>744</v>
          </cell>
          <cell r="AT20">
            <v>744</v>
          </cell>
          <cell r="AU20">
            <v>720</v>
          </cell>
          <cell r="AV20">
            <v>744</v>
          </cell>
          <cell r="AW20">
            <v>721</v>
          </cell>
          <cell r="AX20">
            <v>744</v>
          </cell>
          <cell r="AY20">
            <v>744</v>
          </cell>
          <cell r="AZ20">
            <v>696</v>
          </cell>
          <cell r="BA20">
            <v>743</v>
          </cell>
          <cell r="BB20">
            <v>720</v>
          </cell>
          <cell r="BC20">
            <v>744</v>
          </cell>
          <cell r="BD20">
            <v>720</v>
          </cell>
          <cell r="BE20">
            <v>744</v>
          </cell>
          <cell r="BF20">
            <v>744</v>
          </cell>
          <cell r="BG20">
            <v>720</v>
          </cell>
          <cell r="BH20">
            <v>744</v>
          </cell>
          <cell r="BI20">
            <v>721</v>
          </cell>
          <cell r="BJ20">
            <v>744</v>
          </cell>
          <cell r="BK20">
            <v>744</v>
          </cell>
          <cell r="BL20">
            <v>672</v>
          </cell>
          <cell r="BM20">
            <v>743</v>
          </cell>
          <cell r="BN20">
            <v>720</v>
          </cell>
          <cell r="BO20">
            <v>744</v>
          </cell>
          <cell r="BP20">
            <v>720</v>
          </cell>
          <cell r="BQ20">
            <v>744</v>
          </cell>
          <cell r="BR20">
            <v>744</v>
          </cell>
          <cell r="BS20">
            <v>720</v>
          </cell>
          <cell r="BT20">
            <v>744</v>
          </cell>
          <cell r="BU20">
            <v>721</v>
          </cell>
          <cell r="BV20">
            <v>744</v>
          </cell>
          <cell r="BW20">
            <v>744</v>
          </cell>
          <cell r="BX20">
            <v>672</v>
          </cell>
          <cell r="BY20">
            <v>743</v>
          </cell>
          <cell r="BZ20">
            <v>720</v>
          </cell>
          <cell r="CA20">
            <v>744</v>
          </cell>
          <cell r="CB20">
            <v>720</v>
          </cell>
          <cell r="CC20">
            <v>744</v>
          </cell>
          <cell r="CD20">
            <v>744</v>
          </cell>
          <cell r="CE20">
            <v>720</v>
          </cell>
          <cell r="CF20">
            <v>744</v>
          </cell>
          <cell r="CG20">
            <v>721</v>
          </cell>
          <cell r="CH20">
            <v>744</v>
          </cell>
          <cell r="CI20">
            <v>744</v>
          </cell>
          <cell r="CJ20">
            <v>672</v>
          </cell>
          <cell r="CK20">
            <v>743</v>
          </cell>
          <cell r="CL20">
            <v>720</v>
          </cell>
          <cell r="CM20">
            <v>744</v>
          </cell>
          <cell r="CN20">
            <v>720</v>
          </cell>
          <cell r="CO20">
            <v>744</v>
          </cell>
          <cell r="CP20">
            <v>744</v>
          </cell>
          <cell r="CQ20">
            <v>720</v>
          </cell>
          <cell r="CR20">
            <v>744</v>
          </cell>
          <cell r="CS20">
            <v>721</v>
          </cell>
          <cell r="CT20">
            <v>744</v>
          </cell>
          <cell r="CU20">
            <v>744</v>
          </cell>
          <cell r="CV20">
            <v>696</v>
          </cell>
          <cell r="CW20">
            <v>743</v>
          </cell>
          <cell r="CX20">
            <v>720</v>
          </cell>
          <cell r="CY20">
            <v>744</v>
          </cell>
          <cell r="CZ20">
            <v>720</v>
          </cell>
          <cell r="DA20">
            <v>744</v>
          </cell>
          <cell r="DB20">
            <v>744</v>
          </cell>
          <cell r="DC20">
            <v>720</v>
          </cell>
          <cell r="DD20">
            <v>744</v>
          </cell>
          <cell r="DE20">
            <v>721</v>
          </cell>
          <cell r="DF20">
            <v>744</v>
          </cell>
          <cell r="DG20">
            <v>744</v>
          </cell>
          <cell r="DH20">
            <v>672</v>
          </cell>
          <cell r="DI20">
            <v>743</v>
          </cell>
          <cell r="DJ20">
            <v>720</v>
          </cell>
          <cell r="DK20">
            <v>744</v>
          </cell>
          <cell r="DL20">
            <v>720</v>
          </cell>
          <cell r="DM20">
            <v>744</v>
          </cell>
          <cell r="DN20">
            <v>744</v>
          </cell>
          <cell r="DO20">
            <v>720</v>
          </cell>
          <cell r="DP20">
            <v>744</v>
          </cell>
          <cell r="DQ20">
            <v>721</v>
          </cell>
          <cell r="DR20">
            <v>744</v>
          </cell>
          <cell r="DS20">
            <v>744</v>
          </cell>
          <cell r="DT20">
            <v>672</v>
          </cell>
          <cell r="DU20">
            <v>743</v>
          </cell>
          <cell r="DV20">
            <v>720</v>
          </cell>
          <cell r="DW20">
            <v>744</v>
          </cell>
          <cell r="DX20">
            <v>720</v>
          </cell>
          <cell r="DY20">
            <v>744</v>
          </cell>
          <cell r="DZ20">
            <v>744</v>
          </cell>
          <cell r="EA20">
            <v>720</v>
          </cell>
          <cell r="EB20">
            <v>744</v>
          </cell>
          <cell r="EC20">
            <v>721</v>
          </cell>
          <cell r="ED20">
            <v>744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rtPPA_2015"/>
      <sheetName val="Scenario Desc"/>
      <sheetName val="Exhibit 1- Std Base Load"/>
      <sheetName val="Exhibit 2- Std Wind "/>
      <sheetName val="Exhibit 3- Std FixedSolar"/>
      <sheetName val="Exhibit 4- Std TrackingSolar"/>
      <sheetName val="Exhibit 5 - Renewable BaseLoad"/>
      <sheetName val="Exhibit 6- Renewable Wind"/>
      <sheetName val="Exhibit 7- Renewable FixedS"/>
      <sheetName val="Exhibit 8- Renewable TrackingS"/>
      <sheetName val="Exhibit 9 - Blending"/>
      <sheetName val="Table 1"/>
      <sheetName val="Table 2"/>
      <sheetName val="Tables 3 to 6"/>
      <sheetName val="Table 7 to 8"/>
      <sheetName val="Table 9"/>
      <sheetName val="Table 10"/>
      <sheetName val="Table 11"/>
      <sheetName val="Table 12"/>
      <sheetName val="XX Support Pages - Do Not Print"/>
      <sheetName val="Tariff Page 1"/>
      <sheetName val="OFPC Source"/>
    </sheetNames>
    <sheetDataSet>
      <sheetData sheetId="0"/>
      <sheetData sheetId="1">
        <row r="6">
          <cell r="B6">
            <v>2.2999999999999998</v>
          </cell>
        </row>
      </sheetData>
      <sheetData sheetId="2"/>
      <sheetData sheetId="3">
        <row r="45">
          <cell r="L45">
            <v>3.06</v>
          </cell>
        </row>
      </sheetData>
      <sheetData sheetId="4">
        <row r="53">
          <cell r="G53">
            <v>0.32200000000000001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3">
          <cell r="AE43">
            <v>6.6600000000000006E-2</v>
          </cell>
        </row>
      </sheetData>
      <sheetData sheetId="15"/>
      <sheetData sheetId="16"/>
      <sheetData sheetId="17"/>
      <sheetData sheetId="18"/>
      <sheetData sheetId="19"/>
      <sheetData sheetId="20"/>
      <sheetData sheetId="21">
        <row r="8">
          <cell r="J8">
            <v>42370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Exhibit 1- Std Base Load QF"/>
      <sheetName val="Exhibit 2- Std Wind QF "/>
      <sheetName val="Exhibit 3- Std FixedSolar QF"/>
      <sheetName val="Exhibit 4- Std TrackingSolar"/>
      <sheetName val="Exhibit 5- Renewable BaseLoad"/>
      <sheetName val="Exhibit 6- Renewable Wind"/>
      <sheetName val="Exhibit 7- Renewable FixedS"/>
      <sheetName val="Exhibit 8- Renewable TrackingS"/>
      <sheetName val="Exhibit 9 - Blending"/>
      <sheetName val="Table 1"/>
      <sheetName val="Table 2"/>
      <sheetName val="Tables 3 to 6"/>
      <sheetName val="Tables 3 to 6_Renewable"/>
      <sheetName val="Table 7 to 8"/>
      <sheetName val="Table 9"/>
      <sheetName val="Table 10"/>
      <sheetName val="Table 11"/>
      <sheetName val="Table 12"/>
      <sheetName val="Table 13"/>
      <sheetName val="XX Support Pages - Do Not Print"/>
      <sheetName val="Tariff Page 1"/>
      <sheetName val="OFPC Source"/>
    </sheetNames>
    <sheetDataSet>
      <sheetData sheetId="0" refreshError="1"/>
      <sheetData sheetId="1" refreshError="1"/>
      <sheetData sheetId="2">
        <row r="45">
          <cell r="E45">
            <v>3.06</v>
          </cell>
        </row>
        <row r="57">
          <cell r="E57">
            <v>0.254</v>
          </cell>
        </row>
      </sheetData>
      <sheetData sheetId="3">
        <row r="53">
          <cell r="G53">
            <v>0.32200000000000001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43">
          <cell r="AE43">
            <v>6.6600000000000006E-2</v>
          </cell>
        </row>
      </sheetData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>
        <row r="5">
          <cell r="P5" t="str">
            <v>Annual Price</v>
          </cell>
          <cell r="Q5">
            <v>0</v>
          </cell>
          <cell r="R5">
            <v>0</v>
          </cell>
          <cell r="S5">
            <v>0</v>
          </cell>
          <cell r="T5" t="str">
            <v>HLH/LLH Factors</v>
          </cell>
          <cell r="U5">
            <v>0</v>
          </cell>
        </row>
        <row r="6">
          <cell r="P6" t="str">
            <v>Year</v>
          </cell>
          <cell r="Q6" t="str">
            <v>HLH</v>
          </cell>
          <cell r="R6" t="str">
            <v>LLH</v>
          </cell>
          <cell r="S6" t="str">
            <v>Flat</v>
          </cell>
          <cell r="T6" t="str">
            <v>HLH</v>
          </cell>
          <cell r="U6" t="str">
            <v>LLH</v>
          </cell>
        </row>
        <row r="7">
          <cell r="P7">
            <v>0</v>
          </cell>
          <cell r="Q7" t="str">
            <v>(a)</v>
          </cell>
          <cell r="R7" t="str">
            <v>(b)</v>
          </cell>
          <cell r="S7" t="str">
            <v>(c)</v>
          </cell>
          <cell r="T7" t="str">
            <v>(d)</v>
          </cell>
          <cell r="U7" t="str">
            <v>(e)</v>
          </cell>
        </row>
        <row r="8">
          <cell r="J8">
            <v>42370</v>
          </cell>
          <cell r="K8">
            <v>21.983621291358247</v>
          </cell>
          <cell r="L8">
            <v>19.984276199823373</v>
          </cell>
          <cell r="M8">
            <v>21.12390290199825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(a)/(c)</v>
          </cell>
          <cell r="U8" t="str">
            <v>(b)/(c)</v>
          </cell>
        </row>
        <row r="9">
          <cell r="J9">
            <v>42401</v>
          </cell>
          <cell r="K9">
            <v>17.913635057147197</v>
          </cell>
          <cell r="L9">
            <v>16.13795382458575</v>
          </cell>
          <cell r="M9">
            <v>17.150092127145772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J10">
            <v>42430</v>
          </cell>
          <cell r="K10">
            <v>13.906503576482843</v>
          </cell>
          <cell r="L10">
            <v>9.6373288864912094</v>
          </cell>
          <cell r="M10">
            <v>12.07075845978644</v>
          </cell>
          <cell r="P10">
            <v>2017</v>
          </cell>
          <cell r="Q10">
            <v>23.947500000000002</v>
          </cell>
          <cell r="R10">
            <v>19.177500000000002</v>
          </cell>
          <cell r="S10">
            <v>21.847641692793079</v>
          </cell>
          <cell r="T10">
            <v>1.0961137287371208</v>
          </cell>
          <cell r="U10">
            <v>0.8777835278361471</v>
          </cell>
        </row>
        <row r="11">
          <cell r="J11">
            <v>42461</v>
          </cell>
          <cell r="K11">
            <v>13.742406123522002</v>
          </cell>
          <cell r="L11">
            <v>8.7709593859455577</v>
          </cell>
          <cell r="M11">
            <v>11.604684026364129</v>
          </cell>
          <cell r="P11">
            <v>2018</v>
          </cell>
          <cell r="Q11">
            <v>26.275000000000002</v>
          </cell>
          <cell r="R11">
            <v>20.528333333333332</v>
          </cell>
          <cell r="S11">
            <v>23.748232019451319</v>
          </cell>
          <cell r="T11">
            <v>1.1063981511751737</v>
          </cell>
          <cell r="U11">
            <v>0.86441522537422222</v>
          </cell>
        </row>
        <row r="12">
          <cell r="J12">
            <v>42491</v>
          </cell>
          <cell r="K12">
            <v>12.999133305431073</v>
          </cell>
          <cell r="L12">
            <v>5.3189258396273855</v>
          </cell>
          <cell r="M12">
            <v>9.6966440951354862</v>
          </cell>
          <cell r="P12">
            <v>2019</v>
          </cell>
          <cell r="Q12">
            <v>27.537500000000005</v>
          </cell>
          <cell r="R12">
            <v>21.512499999999999</v>
          </cell>
          <cell r="S12">
            <v>24.905232209910523</v>
          </cell>
          <cell r="T12">
            <v>1.105691357057174</v>
          </cell>
          <cell r="U12">
            <v>0.86377431933517745</v>
          </cell>
        </row>
        <row r="13">
          <cell r="J13">
            <v>42522</v>
          </cell>
          <cell r="K13">
            <v>14.452684459540254</v>
          </cell>
          <cell r="L13">
            <v>7.7277226711721898</v>
          </cell>
          <cell r="M13">
            <v>11.560950890541985</v>
          </cell>
          <cell r="P13">
            <v>2020</v>
          </cell>
          <cell r="Q13">
            <v>28.837500000000002</v>
          </cell>
          <cell r="R13">
            <v>23.169999999999998</v>
          </cell>
          <cell r="S13">
            <v>26.356703147494059</v>
          </cell>
          <cell r="T13">
            <v>1.0941239440541262</v>
          </cell>
          <cell r="U13">
            <v>0.87909325647972603</v>
          </cell>
        </row>
        <row r="14">
          <cell r="J14">
            <v>42552</v>
          </cell>
          <cell r="K14">
            <v>21.07082254282243</v>
          </cell>
          <cell r="L14">
            <v>13.093401789894903</v>
          </cell>
          <cell r="M14">
            <v>17.640531619063594</v>
          </cell>
          <cell r="P14">
            <v>2021</v>
          </cell>
          <cell r="Q14">
            <v>30.25</v>
          </cell>
          <cell r="R14">
            <v>24.757500000000004</v>
          </cell>
          <cell r="S14">
            <v>27.841350847663552</v>
          </cell>
          <cell r="T14">
            <v>1.0865133723401421</v>
          </cell>
          <cell r="U14">
            <v>0.88923486994086187</v>
          </cell>
        </row>
        <row r="15">
          <cell r="J15">
            <v>42583</v>
          </cell>
          <cell r="K15">
            <v>24.127774821092128</v>
          </cell>
          <cell r="L15">
            <v>18.498596563819937</v>
          </cell>
          <cell r="M15">
            <v>21.707228170465086</v>
          </cell>
          <cell r="P15">
            <v>2022</v>
          </cell>
          <cell r="Q15">
            <v>33.373780833333335</v>
          </cell>
          <cell r="R15">
            <v>26.994724166666668</v>
          </cell>
          <cell r="S15">
            <v>30.576130941519466</v>
          </cell>
          <cell r="T15">
            <v>1.0914978385317853</v>
          </cell>
          <cell r="U15">
            <v>0.88286919683518261</v>
          </cell>
        </row>
        <row r="16">
          <cell r="J16">
            <v>42614</v>
          </cell>
          <cell r="K16">
            <v>22.76162437313263</v>
          </cell>
          <cell r="L16">
            <v>18.95</v>
          </cell>
          <cell r="M16">
            <v>21.122625892685598</v>
          </cell>
          <cell r="P16">
            <v>2023</v>
          </cell>
          <cell r="Q16">
            <v>37.615015000000007</v>
          </cell>
          <cell r="R16">
            <v>30.191510833333336</v>
          </cell>
          <cell r="S16">
            <v>34.341261512259017</v>
          </cell>
          <cell r="T16">
            <v>1.0953300299283513</v>
          </cell>
          <cell r="U16">
            <v>0.8791613791635372</v>
          </cell>
        </row>
        <row r="17">
          <cell r="J17">
            <v>42644</v>
          </cell>
          <cell r="K17">
            <v>21.7</v>
          </cell>
          <cell r="L17">
            <v>19.878899992173199</v>
          </cell>
          <cell r="M17">
            <v>20.916926996634473</v>
          </cell>
          <cell r="P17">
            <v>2024</v>
          </cell>
          <cell r="Q17">
            <v>41.471919166666659</v>
          </cell>
          <cell r="R17">
            <v>33.477644999999995</v>
          </cell>
          <cell r="S17">
            <v>37.960120933796439</v>
          </cell>
          <cell r="T17">
            <v>1.092512830477935</v>
          </cell>
          <cell r="U17">
            <v>0.88191618404972916</v>
          </cell>
        </row>
        <row r="18">
          <cell r="J18">
            <v>42675</v>
          </cell>
          <cell r="K18">
            <v>24.356777295042487</v>
          </cell>
          <cell r="L18">
            <v>22.063697118173007</v>
          </cell>
          <cell r="M18">
            <v>23.37075281898861</v>
          </cell>
          <cell r="P18">
            <v>2025</v>
          </cell>
          <cell r="Q18">
            <v>43.59779666666666</v>
          </cell>
          <cell r="R18">
            <v>35.397160833333338</v>
          </cell>
          <cell r="S18">
            <v>39.990214803924012</v>
          </cell>
          <cell r="T18">
            <v>1.0902116150271004</v>
          </cell>
          <cell r="U18">
            <v>0.88514555390335181</v>
          </cell>
        </row>
        <row r="19">
          <cell r="J19">
            <v>42705</v>
          </cell>
          <cell r="K19">
            <v>27.516404693602158</v>
          </cell>
          <cell r="L19">
            <v>23.031083086216086</v>
          </cell>
          <cell r="M19">
            <v>25.587716402426146</v>
          </cell>
          <cell r="P19">
            <v>2026</v>
          </cell>
          <cell r="Q19">
            <v>45.439878333333333</v>
          </cell>
          <cell r="R19">
            <v>36.976436666666665</v>
          </cell>
          <cell r="S19">
            <v>41.722589955446999</v>
          </cell>
          <cell r="T19">
            <v>1.0890953409617139</v>
          </cell>
          <cell r="U19">
            <v>0.88624499836063719</v>
          </cell>
        </row>
        <row r="20">
          <cell r="J20">
            <v>42736</v>
          </cell>
          <cell r="K20">
            <v>26.512499999999999</v>
          </cell>
          <cell r="L20">
            <v>23.369615931925345</v>
          </cell>
          <cell r="M20">
            <v>25.161059850727895</v>
          </cell>
          <cell r="P20">
            <v>2027</v>
          </cell>
          <cell r="Q20">
            <v>47.694152500000001</v>
          </cell>
          <cell r="R20">
            <v>38.99106166666666</v>
          </cell>
          <cell r="S20">
            <v>43.868946538759737</v>
          </cell>
          <cell r="T20">
            <v>1.0871962119687684</v>
          </cell>
          <cell r="U20">
            <v>0.88880779556027645</v>
          </cell>
        </row>
        <row r="21">
          <cell r="J21">
            <v>42767</v>
          </cell>
          <cell r="K21">
            <v>25.816940455213651</v>
          </cell>
          <cell r="L21">
            <v>22.793794054212004</v>
          </cell>
          <cell r="M21">
            <v>24.516987502782939</v>
          </cell>
          <cell r="P21">
            <v>2028</v>
          </cell>
          <cell r="Q21">
            <v>48.91536</v>
          </cell>
          <cell r="R21">
            <v>39.861495833333343</v>
          </cell>
          <cell r="S21">
            <v>44.929089872644511</v>
          </cell>
          <cell r="T21">
            <v>1.0887235895197283</v>
          </cell>
          <cell r="U21">
            <v>0.88720906535886412</v>
          </cell>
        </row>
        <row r="22">
          <cell r="J22">
            <v>42795</v>
          </cell>
          <cell r="K22">
            <v>23.114644416803152</v>
          </cell>
          <cell r="L22">
            <v>20.228401408340073</v>
          </cell>
          <cell r="M22">
            <v>21.873559923164027</v>
          </cell>
          <cell r="P22">
            <v>2029</v>
          </cell>
          <cell r="Q22">
            <v>50.265955833333329</v>
          </cell>
          <cell r="R22">
            <v>41.034064166666674</v>
          </cell>
          <cell r="S22">
            <v>46.213470067714304</v>
          </cell>
          <cell r="T22">
            <v>1.0876905750570367</v>
          </cell>
          <cell r="U22">
            <v>0.88792432393718745</v>
          </cell>
        </row>
        <row r="23">
          <cell r="J23">
            <v>42826</v>
          </cell>
          <cell r="K23">
            <v>19.631449563390138</v>
          </cell>
          <cell r="L23">
            <v>15.169286215442858</v>
          </cell>
          <cell r="M23">
            <v>17.712719323772806</v>
          </cell>
          <cell r="P23">
            <v>2030</v>
          </cell>
          <cell r="Q23">
            <v>52.490934166666669</v>
          </cell>
          <cell r="R23">
            <v>42.648744166666667</v>
          </cell>
          <cell r="S23">
            <v>48.163522948517681</v>
          </cell>
          <cell r="T23">
            <v>1.0898483116107305</v>
          </cell>
          <cell r="U23">
            <v>0.88549884966376324</v>
          </cell>
        </row>
        <row r="24">
          <cell r="J24">
            <v>42856</v>
          </cell>
          <cell r="K24">
            <v>17.946306514167055</v>
          </cell>
          <cell r="L24">
            <v>11.133726018371117</v>
          </cell>
          <cell r="M24">
            <v>15.016896900974801</v>
          </cell>
          <cell r="P24">
            <v>2031</v>
          </cell>
          <cell r="Q24">
            <v>54.414976666666661</v>
          </cell>
          <cell r="R24">
            <v>44.332940000000001</v>
          </cell>
          <cell r="S24">
            <v>50.018286593306748</v>
          </cell>
          <cell r="T24">
            <v>1.0879016530315986</v>
          </cell>
          <cell r="U24">
            <v>0.88633463917839328</v>
          </cell>
        </row>
        <row r="25">
          <cell r="J25">
            <v>42887</v>
          </cell>
          <cell r="K25">
            <v>17.263649943215452</v>
          </cell>
          <cell r="L25">
            <v>10.646622023123673</v>
          </cell>
          <cell r="M25">
            <v>14.418327937575986</v>
          </cell>
          <cell r="P25">
            <v>2032</v>
          </cell>
          <cell r="Q25">
            <v>55.419961666666666</v>
          </cell>
          <cell r="R25">
            <v>45.326558333333331</v>
          </cell>
          <cell r="S25">
            <v>50.981797749060483</v>
          </cell>
          <cell r="T25">
            <v>1.0870538920469506</v>
          </cell>
          <cell r="U25">
            <v>0.88907336215244848</v>
          </cell>
        </row>
        <row r="26">
          <cell r="J26">
            <v>42917</v>
          </cell>
          <cell r="K26">
            <v>24.08557421264841</v>
          </cell>
          <cell r="L26">
            <v>17.227119331207238</v>
          </cell>
          <cell r="M26">
            <v>21.136438613628705</v>
          </cell>
          <cell r="P26">
            <v>2033</v>
          </cell>
          <cell r="Q26">
            <v>56.975466666666669</v>
          </cell>
          <cell r="R26">
            <v>46.760736666666666</v>
          </cell>
          <cell r="S26">
            <v>52.489045366750027</v>
          </cell>
          <cell r="T26">
            <v>1.0854734786767266</v>
          </cell>
          <cell r="U26">
            <v>0.89086658635037697</v>
          </cell>
        </row>
        <row r="27">
          <cell r="J27">
            <v>42948</v>
          </cell>
          <cell r="K27">
            <v>28.751045306520751</v>
          </cell>
          <cell r="L27">
            <v>21.298004984739237</v>
          </cell>
          <cell r="M27">
            <v>25.546237968154699</v>
          </cell>
          <cell r="P27">
            <v>2034</v>
          </cell>
          <cell r="Q27">
            <v>58.652556666666662</v>
          </cell>
          <cell r="R27">
            <v>48.254604166666667</v>
          </cell>
          <cell r="S27">
            <v>54.069080614346809</v>
          </cell>
          <cell r="T27">
            <v>1.0847707414337588</v>
          </cell>
          <cell r="U27">
            <v>0.89246208033104013</v>
          </cell>
        </row>
        <row r="28">
          <cell r="J28">
            <v>42979</v>
          </cell>
          <cell r="K28">
            <v>26.535213803492198</v>
          </cell>
          <cell r="L28">
            <v>23.996174265007472</v>
          </cell>
          <cell r="M28">
            <v>25.443426801943765</v>
          </cell>
          <cell r="P28">
            <v>2035</v>
          </cell>
          <cell r="Q28">
            <v>58.891550833333326</v>
          </cell>
          <cell r="R28">
            <v>48.923639166666668</v>
          </cell>
          <cell r="S28">
            <v>54.513001418765413</v>
          </cell>
          <cell r="T28">
            <v>1.0803211949555331</v>
          </cell>
          <cell r="U28">
            <v>0.8974673544543692</v>
          </cell>
        </row>
        <row r="29">
          <cell r="J29">
            <v>43009</v>
          </cell>
          <cell r="K29">
            <v>25.710164481023089</v>
          </cell>
          <cell r="L29">
            <v>21.269705964897064</v>
          </cell>
          <cell r="M29">
            <v>23.800767319088898</v>
          </cell>
          <cell r="P29">
            <v>2036</v>
          </cell>
          <cell r="Q29">
            <v>61.015539166666677</v>
          </cell>
          <cell r="R29">
            <v>50.492087500000004</v>
          </cell>
          <cell r="S29">
            <v>56.388583043072323</v>
          </cell>
          <cell r="T29">
            <v>1.0820548393645584</v>
          </cell>
          <cell r="U29">
            <v>0.8954310389646023</v>
          </cell>
        </row>
        <row r="30">
          <cell r="J30">
            <v>43040</v>
          </cell>
          <cell r="K30">
            <v>26.640026280423847</v>
          </cell>
          <cell r="L30">
            <v>24.106327004752977</v>
          </cell>
          <cell r="M30">
            <v>25.550535591885371</v>
          </cell>
          <cell r="P30">
            <v>2037</v>
          </cell>
          <cell r="Q30">
            <v>62.571659166666656</v>
          </cell>
          <cell r="R30">
            <v>52.025760833333344</v>
          </cell>
          <cell r="S30">
            <v>57.93256762464457</v>
          </cell>
          <cell r="T30">
            <v>1.0800774371348356</v>
          </cell>
          <cell r="U30">
            <v>0.89803996208863934</v>
          </cell>
        </row>
        <row r="31">
          <cell r="J31">
            <v>43070</v>
          </cell>
          <cell r="K31">
            <v>28.283778401137312</v>
          </cell>
          <cell r="L31">
            <v>25.245000000000001</v>
          </cell>
          <cell r="M31">
            <v>26.977103688648263</v>
          </cell>
          <cell r="P31">
            <v>2038</v>
          </cell>
          <cell r="Q31">
            <v>65.967674166666654</v>
          </cell>
          <cell r="R31">
            <v>55.11894916666666</v>
          </cell>
          <cell r="S31">
            <v>61.196705134968845</v>
          </cell>
          <cell r="T31">
            <v>1.0779612075711507</v>
          </cell>
          <cell r="U31">
            <v>0.90068491506368287</v>
          </cell>
        </row>
        <row r="32">
          <cell r="J32">
            <v>43101</v>
          </cell>
          <cell r="K32">
            <v>28.370196476515503</v>
          </cell>
          <cell r="L32">
            <v>26.017614207686009</v>
          </cell>
          <cell r="M32">
            <v>27.358586100918821</v>
          </cell>
          <cell r="P32">
            <v>0</v>
          </cell>
        </row>
        <row r="33">
          <cell r="J33">
            <v>43132</v>
          </cell>
          <cell r="K33">
            <v>28.022273440098356</v>
          </cell>
          <cell r="L33">
            <v>25.036683800606152</v>
          </cell>
          <cell r="M33">
            <v>26.738469895116708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J34">
            <v>43160</v>
          </cell>
          <cell r="K34">
            <v>25.715404781146269</v>
          </cell>
          <cell r="L34">
            <v>23.538198174823435</v>
          </cell>
          <cell r="M34">
            <v>24.779205940427449</v>
          </cell>
        </row>
        <row r="35">
          <cell r="J35">
            <v>43191</v>
          </cell>
          <cell r="K35">
            <v>22.234836160229261</v>
          </cell>
          <cell r="L35">
            <v>15.889428656539973</v>
          </cell>
          <cell r="M35">
            <v>19.506310933642865</v>
          </cell>
        </row>
        <row r="36">
          <cell r="J36">
            <v>43221</v>
          </cell>
          <cell r="K36">
            <v>18.757405910996749</v>
          </cell>
          <cell r="L36">
            <v>12.891880349649275</v>
          </cell>
          <cell r="M36">
            <v>16.235229919617336</v>
          </cell>
        </row>
        <row r="37">
          <cell r="J37">
            <v>43252</v>
          </cell>
          <cell r="K37">
            <v>17.113191708415595</v>
          </cell>
          <cell r="L37">
            <v>13.026956036014669</v>
          </cell>
          <cell r="M37">
            <v>15.356110369283195</v>
          </cell>
        </row>
        <row r="38">
          <cell r="J38">
            <v>43282</v>
          </cell>
          <cell r="K38">
            <v>26.555384203874869</v>
          </cell>
          <cell r="L38">
            <v>16.006244800447529</v>
          </cell>
          <cell r="M38">
            <v>22.019254260401112</v>
          </cell>
        </row>
        <row r="39">
          <cell r="J39">
            <v>43313</v>
          </cell>
          <cell r="K39">
            <v>31.181257593450532</v>
          </cell>
          <cell r="L39">
            <v>20.361527908798021</v>
          </cell>
          <cell r="M39">
            <v>26.52877382904995</v>
          </cell>
        </row>
        <row r="40">
          <cell r="J40">
            <v>43344</v>
          </cell>
          <cell r="K40">
            <v>29.524429356805761</v>
          </cell>
          <cell r="L40">
            <v>26.042822353893634</v>
          </cell>
          <cell r="M40">
            <v>28.027338345553545</v>
          </cell>
        </row>
        <row r="41">
          <cell r="J41">
            <v>43374</v>
          </cell>
          <cell r="K41">
            <v>29.311356777414211</v>
          </cell>
          <cell r="L41">
            <v>24.19455475370399</v>
          </cell>
          <cell r="M41">
            <v>27.111131907218812</v>
          </cell>
        </row>
        <row r="42">
          <cell r="J42">
            <v>43405</v>
          </cell>
          <cell r="K42">
            <v>29.11017261128864</v>
          </cell>
          <cell r="L42">
            <v>26.03063632546224</v>
          </cell>
          <cell r="M42">
            <v>27.785972008383286</v>
          </cell>
        </row>
        <row r="43">
          <cell r="J43">
            <v>43435</v>
          </cell>
          <cell r="K43">
            <v>30.844069461613614</v>
          </cell>
          <cell r="L43">
            <v>26.984928595556305</v>
          </cell>
          <cell r="M43">
            <v>29.184638889208969</v>
          </cell>
        </row>
        <row r="44">
          <cell r="J44">
            <v>43466</v>
          </cell>
          <cell r="K44">
            <v>29.573550363013595</v>
          </cell>
          <cell r="L44">
            <v>27.328658242896235</v>
          </cell>
          <cell r="M44">
            <v>28.608246751363129</v>
          </cell>
        </row>
        <row r="45">
          <cell r="J45">
            <v>43497</v>
          </cell>
          <cell r="K45">
            <v>29.124709450361088</v>
          </cell>
          <cell r="L45">
            <v>26.353207533003431</v>
          </cell>
          <cell r="M45">
            <v>27.932963625897294</v>
          </cell>
        </row>
        <row r="46">
          <cell r="J46">
            <v>43525</v>
          </cell>
          <cell r="K46">
            <v>26.952352077629257</v>
          </cell>
          <cell r="L46">
            <v>25.07774996098253</v>
          </cell>
          <cell r="M46">
            <v>26.146273167471165</v>
          </cell>
        </row>
        <row r="47">
          <cell r="J47">
            <v>43556</v>
          </cell>
          <cell r="K47">
            <v>24.114310911810307</v>
          </cell>
          <cell r="L47">
            <v>16.555649054195648</v>
          </cell>
          <cell r="M47">
            <v>20.864086313036005</v>
          </cell>
        </row>
        <row r="48">
          <cell r="J48">
            <v>43586</v>
          </cell>
          <cell r="K48">
            <v>21.783388750262979</v>
          </cell>
          <cell r="L48">
            <v>13.839071737995361</v>
          </cell>
          <cell r="M48">
            <v>18.367332434987901</v>
          </cell>
          <cell r="U48">
            <v>0.84603740708183717</v>
          </cell>
          <cell r="V48">
            <v>0.15396259291816258</v>
          </cell>
        </row>
        <row r="49">
          <cell r="J49">
            <v>43617</v>
          </cell>
          <cell r="K49">
            <v>18.766142586840417</v>
          </cell>
          <cell r="L49">
            <v>14.091970256777238</v>
          </cell>
          <cell r="M49">
            <v>16.756248484913247</v>
          </cell>
        </row>
        <row r="50">
          <cell r="J50">
            <v>43647</v>
          </cell>
          <cell r="K50">
            <v>28.156847961338194</v>
          </cell>
          <cell r="L50">
            <v>16.583391230690143</v>
          </cell>
          <cell r="M50">
            <v>23.18026156715953</v>
          </cell>
        </row>
        <row r="51">
          <cell r="J51">
            <v>43678</v>
          </cell>
          <cell r="K51">
            <v>32.662312588523626</v>
          </cell>
          <cell r="L51">
            <v>20.612492997608811</v>
          </cell>
          <cell r="M51">
            <v>27.480890164430253</v>
          </cell>
        </row>
        <row r="52">
          <cell r="J52">
            <v>43709</v>
          </cell>
          <cell r="K52">
            <v>30.657173021178274</v>
          </cell>
          <cell r="L52">
            <v>27.040380334422128</v>
          </cell>
          <cell r="M52">
            <v>29.101952165873129</v>
          </cell>
        </row>
        <row r="53">
          <cell r="J53">
            <v>43739</v>
          </cell>
          <cell r="K53">
            <v>29.929716151768428</v>
          </cell>
          <cell r="L53">
            <v>26.706347644052912</v>
          </cell>
          <cell r="M53">
            <v>28.54366769345075</v>
          </cell>
        </row>
        <row r="54">
          <cell r="J54">
            <v>43770</v>
          </cell>
          <cell r="K54">
            <v>29.842889335961026</v>
          </cell>
          <cell r="L54">
            <v>27.184032679572248</v>
          </cell>
          <cell r="M54">
            <v>28.69958097371385</v>
          </cell>
        </row>
        <row r="55">
          <cell r="J55">
            <v>43800</v>
          </cell>
          <cell r="K55">
            <v>31.541877927216731</v>
          </cell>
          <cell r="L55">
            <v>28.120797083713406</v>
          </cell>
          <cell r="M55">
            <v>30.070813164510298</v>
          </cell>
        </row>
        <row r="56">
          <cell r="J56">
            <v>43831</v>
          </cell>
          <cell r="K56">
            <v>30.862077259882998</v>
          </cell>
          <cell r="L56">
            <v>28.619831310573488</v>
          </cell>
          <cell r="M56">
            <v>29.897911501679907</v>
          </cell>
        </row>
        <row r="57">
          <cell r="J57">
            <v>43862</v>
          </cell>
          <cell r="K57">
            <v>30.660883097476148</v>
          </cell>
          <cell r="L57">
            <v>27.88547165233469</v>
          </cell>
          <cell r="M57">
            <v>29.467456176065319</v>
          </cell>
        </row>
        <row r="58">
          <cell r="J58">
            <v>43891</v>
          </cell>
          <cell r="K58">
            <v>28.231794593420354</v>
          </cell>
          <cell r="L58">
            <v>26.445856740740258</v>
          </cell>
          <cell r="M58">
            <v>27.463841316767912</v>
          </cell>
        </row>
        <row r="59">
          <cell r="J59">
            <v>43922</v>
          </cell>
          <cell r="K59">
            <v>25.362244231471813</v>
          </cell>
          <cell r="L59">
            <v>17.479805500749745</v>
          </cell>
          <cell r="M59">
            <v>21.972795577261323</v>
          </cell>
        </row>
        <row r="60">
          <cell r="J60">
            <v>43952</v>
          </cell>
          <cell r="K60">
            <v>22.878020041644106</v>
          </cell>
          <cell r="L60">
            <v>14.40060066043824</v>
          </cell>
          <cell r="M60">
            <v>19.232729707725582</v>
          </cell>
        </row>
        <row r="61">
          <cell r="J61">
            <v>43983</v>
          </cell>
          <cell r="K61">
            <v>20.579630834437804</v>
          </cell>
          <cell r="L61">
            <v>13.942993784243583</v>
          </cell>
          <cell r="M61">
            <v>17.725876902854289</v>
          </cell>
        </row>
        <row r="62">
          <cell r="J62">
            <v>44013</v>
          </cell>
          <cell r="K62">
            <v>29.473686050306409</v>
          </cell>
          <cell r="L62">
            <v>18.955055568155</v>
          </cell>
          <cell r="M62">
            <v>24.950674942981301</v>
          </cell>
        </row>
        <row r="63">
          <cell r="J63">
            <v>44044</v>
          </cell>
          <cell r="K63">
            <v>33.862677050700441</v>
          </cell>
          <cell r="L63">
            <v>22.885690956802229</v>
          </cell>
          <cell r="M63">
            <v>29.142573030324208</v>
          </cell>
        </row>
        <row r="64">
          <cell r="J64">
            <v>44075</v>
          </cell>
          <cell r="K64">
            <v>31.951742191218759</v>
          </cell>
          <cell r="L64">
            <v>27.580914182923671</v>
          </cell>
          <cell r="M64">
            <v>30.072286147651869</v>
          </cell>
        </row>
        <row r="65">
          <cell r="J65">
            <v>44105</v>
          </cell>
          <cell r="K65">
            <v>31.49120433929599</v>
          </cell>
          <cell r="L65">
            <v>26.630407148323638</v>
          </cell>
          <cell r="M65">
            <v>29.401061547177875</v>
          </cell>
        </row>
        <row r="66">
          <cell r="J66">
            <v>44136</v>
          </cell>
          <cell r="K66">
            <v>30.99255516157195</v>
          </cell>
          <cell r="L66">
            <v>28.115100713157727</v>
          </cell>
          <cell r="M66">
            <v>29.755249748753833</v>
          </cell>
        </row>
        <row r="67">
          <cell r="J67">
            <v>44166</v>
          </cell>
          <cell r="K67">
            <v>32.593685458769087</v>
          </cell>
          <cell r="L67">
            <v>29.017685796496</v>
          </cell>
          <cell r="M67">
            <v>31.056005603991657</v>
          </cell>
        </row>
        <row r="68">
          <cell r="J68">
            <v>44197</v>
          </cell>
          <cell r="K68">
            <v>32.351076680335083</v>
          </cell>
          <cell r="L68">
            <v>28.476445343519156</v>
          </cell>
          <cell r="M68">
            <v>30.684985205504233</v>
          </cell>
        </row>
        <row r="69">
          <cell r="J69">
            <v>44228</v>
          </cell>
          <cell r="K69">
            <v>31.83513543884369</v>
          </cell>
          <cell r="L69">
            <v>28.017383144244874</v>
          </cell>
          <cell r="M69">
            <v>30.193501952166201</v>
          </cell>
        </row>
        <row r="70">
          <cell r="J70">
            <v>44256</v>
          </cell>
          <cell r="K70">
            <v>30.15279431195739</v>
          </cell>
          <cell r="L70">
            <v>26.53200766385077</v>
          </cell>
          <cell r="M70">
            <v>28.595856053271543</v>
          </cell>
        </row>
        <row r="71">
          <cell r="J71">
            <v>44287</v>
          </cell>
          <cell r="K71">
            <v>26.595733477106776</v>
          </cell>
          <cell r="L71">
            <v>19.390738933537303</v>
          </cell>
          <cell r="M71">
            <v>23.497585823371899</v>
          </cell>
        </row>
        <row r="72">
          <cell r="J72">
            <v>44317</v>
          </cell>
          <cell r="K72">
            <v>23.770897936265449</v>
          </cell>
          <cell r="L72">
            <v>17.125502767535693</v>
          </cell>
          <cell r="M72">
            <v>20.91337801371165</v>
          </cell>
        </row>
        <row r="73">
          <cell r="J73">
            <v>44348</v>
          </cell>
          <cell r="K73">
            <v>20.781486516277194</v>
          </cell>
          <cell r="L73">
            <v>17.575517919390837</v>
          </cell>
          <cell r="M73">
            <v>19.402920019616058</v>
          </cell>
        </row>
        <row r="74">
          <cell r="J74">
            <v>44378</v>
          </cell>
          <cell r="K74">
            <v>30.738544514445369</v>
          </cell>
          <cell r="L74">
            <v>22.865914163656768</v>
          </cell>
          <cell r="M74">
            <v>27.35331346360627</v>
          </cell>
        </row>
        <row r="75">
          <cell r="J75">
            <v>44409</v>
          </cell>
          <cell r="K75">
            <v>35.424344576353676</v>
          </cell>
          <cell r="L75">
            <v>26.615342001387955</v>
          </cell>
          <cell r="M75">
            <v>31.636473469118414</v>
          </cell>
        </row>
        <row r="76">
          <cell r="J76">
            <v>44440</v>
          </cell>
          <cell r="K76">
            <v>33.645474906945836</v>
          </cell>
          <cell r="L76">
            <v>29.521803930079585</v>
          </cell>
          <cell r="M76">
            <v>31.872296386893346</v>
          </cell>
        </row>
        <row r="77">
          <cell r="J77">
            <v>44470</v>
          </cell>
          <cell r="K77">
            <v>33.321625783616454</v>
          </cell>
          <cell r="L77">
            <v>27.247782072888498</v>
          </cell>
          <cell r="M77">
            <v>30.709872988003433</v>
          </cell>
        </row>
        <row r="78">
          <cell r="J78">
            <v>44501</v>
          </cell>
          <cell r="K78">
            <v>33.392698288915028</v>
          </cell>
          <cell r="L78">
            <v>29.128986053079807</v>
          </cell>
          <cell r="M78">
            <v>31.559302027505879</v>
          </cell>
        </row>
        <row r="79">
          <cell r="J79">
            <v>44531</v>
          </cell>
          <cell r="K79">
            <v>35.686344522575013</v>
          </cell>
          <cell r="L79">
            <v>30.190631797570397</v>
          </cell>
          <cell r="M79">
            <v>33.323188050823028</v>
          </cell>
        </row>
        <row r="80">
          <cell r="J80">
            <v>44562</v>
          </cell>
          <cell r="K80">
            <v>33.909414948180185</v>
          </cell>
          <cell r="L80">
            <v>29.814560277347006</v>
          </cell>
          <cell r="M80">
            <v>32.14862743972192</v>
          </cell>
        </row>
        <row r="81">
          <cell r="J81">
            <v>44593</v>
          </cell>
          <cell r="K81">
            <v>33.780972220025554</v>
          </cell>
          <cell r="L81">
            <v>29.149613478223177</v>
          </cell>
          <cell r="M81">
            <v>31.789487961050529</v>
          </cell>
        </row>
        <row r="82">
          <cell r="J82">
            <v>44621</v>
          </cell>
          <cell r="K82">
            <v>31.820464900302021</v>
          </cell>
          <cell r="L82">
            <v>27.542219687864051</v>
          </cell>
          <cell r="M82">
            <v>29.980819458953693</v>
          </cell>
        </row>
        <row r="83">
          <cell r="J83">
            <v>44652</v>
          </cell>
          <cell r="K83">
            <v>28.242361468585571</v>
          </cell>
          <cell r="L83">
            <v>20.938376879800604</v>
          </cell>
          <cell r="M83">
            <v>25.101648095408031</v>
          </cell>
        </row>
        <row r="84">
          <cell r="J84">
            <v>44682</v>
          </cell>
          <cell r="K84">
            <v>26.106327461722664</v>
          </cell>
          <cell r="L84">
            <v>20.673550360706571</v>
          </cell>
          <cell r="M84">
            <v>23.770233308285743</v>
          </cell>
        </row>
        <row r="85">
          <cell r="J85">
            <v>44713</v>
          </cell>
          <cell r="K85">
            <v>27.457289492372841</v>
          </cell>
          <cell r="L85">
            <v>22.734538022752201</v>
          </cell>
          <cell r="M85">
            <v>25.426506360435965</v>
          </cell>
        </row>
        <row r="86">
          <cell r="J86">
            <v>44743</v>
          </cell>
          <cell r="K86">
            <v>34.502239045955974</v>
          </cell>
          <cell r="L86">
            <v>26.549710999200162</v>
          </cell>
          <cell r="M86">
            <v>31.082651985850973</v>
          </cell>
        </row>
        <row r="87">
          <cell r="J87">
            <v>44774</v>
          </cell>
          <cell r="K87">
            <v>38.815773860423526</v>
          </cell>
          <cell r="L87">
            <v>28.690870643587161</v>
          </cell>
          <cell r="M87">
            <v>34.462065477183884</v>
          </cell>
        </row>
        <row r="88">
          <cell r="J88">
            <v>44805</v>
          </cell>
          <cell r="K88">
            <v>38.048738714156848</v>
          </cell>
          <cell r="L88">
            <v>32.363865348096631</v>
          </cell>
          <cell r="M88">
            <v>35.604243166750955</v>
          </cell>
        </row>
        <row r="89">
          <cell r="J89">
            <v>44835</v>
          </cell>
          <cell r="K89">
            <v>35.969447567676362</v>
          </cell>
          <cell r="L89">
            <v>29.366313099132292</v>
          </cell>
          <cell r="M89">
            <v>33.130099746202411</v>
          </cell>
        </row>
        <row r="90">
          <cell r="J90">
            <v>44866</v>
          </cell>
          <cell r="K90">
            <v>37.719132240648271</v>
          </cell>
          <cell r="L90">
            <v>32.472656173301871</v>
          </cell>
          <cell r="M90">
            <v>35.463147531689316</v>
          </cell>
        </row>
        <row r="91">
          <cell r="J91">
            <v>44896</v>
          </cell>
          <cell r="K91">
            <v>39.309926329276294</v>
          </cell>
          <cell r="L91">
            <v>33.778192847987938</v>
          </cell>
          <cell r="M91">
            <v>36.931280932322302</v>
          </cell>
        </row>
        <row r="92">
          <cell r="J92">
            <v>44927</v>
          </cell>
          <cell r="K92">
            <v>38.839300000000001</v>
          </cell>
          <cell r="L92">
            <v>32.454149999999998</v>
          </cell>
          <cell r="M92">
            <v>36.093685499999999</v>
          </cell>
        </row>
        <row r="93">
          <cell r="J93">
            <v>44958</v>
          </cell>
          <cell r="K93">
            <v>39.823665012575262</v>
          </cell>
          <cell r="L93">
            <v>33.329624279289717</v>
          </cell>
          <cell r="M93">
            <v>37.031227497262478</v>
          </cell>
        </row>
        <row r="94">
          <cell r="J94">
            <v>44986</v>
          </cell>
          <cell r="K94">
            <v>35.65099948002927</v>
          </cell>
          <cell r="L94">
            <v>30.494258706310443</v>
          </cell>
          <cell r="M94">
            <v>33.433600947330177</v>
          </cell>
        </row>
        <row r="95">
          <cell r="J95">
            <v>45017</v>
          </cell>
          <cell r="K95">
            <v>32.812560873833647</v>
          </cell>
          <cell r="L95">
            <v>26.038169813757104</v>
          </cell>
          <cell r="M95">
            <v>29.899572718000734</v>
          </cell>
        </row>
        <row r="96">
          <cell r="J96">
            <v>45047</v>
          </cell>
          <cell r="K96">
            <v>29.376951248569767</v>
          </cell>
          <cell r="L96">
            <v>23.954196605579735</v>
          </cell>
          <cell r="M96">
            <v>27.04516675208405</v>
          </cell>
        </row>
        <row r="97">
          <cell r="J97">
            <v>45078</v>
          </cell>
          <cell r="K97">
            <v>34.498015359686946</v>
          </cell>
          <cell r="L97">
            <v>26.632963242854373</v>
          </cell>
          <cell r="M97">
            <v>31.116042949448939</v>
          </cell>
        </row>
        <row r="98">
          <cell r="J98">
            <v>45108</v>
          </cell>
          <cell r="K98">
            <v>38.051570833982097</v>
          </cell>
          <cell r="L98">
            <v>30.181879024783019</v>
          </cell>
          <cell r="M98">
            <v>34.66760335602649</v>
          </cell>
        </row>
        <row r="99">
          <cell r="J99">
            <v>45139</v>
          </cell>
          <cell r="K99">
            <v>41.945018870196122</v>
          </cell>
          <cell r="L99">
            <v>30.739474001794068</v>
          </cell>
          <cell r="M99">
            <v>37.126634576783239</v>
          </cell>
        </row>
        <row r="100">
          <cell r="J100">
            <v>45170</v>
          </cell>
          <cell r="K100">
            <v>42.537447508213177</v>
          </cell>
          <cell r="L100">
            <v>35.096304792867933</v>
          </cell>
          <cell r="M100">
            <v>39.337756140614715</v>
          </cell>
        </row>
        <row r="101">
          <cell r="J101">
            <v>45200</v>
          </cell>
          <cell r="K101">
            <v>38.790383420471649</v>
          </cell>
          <cell r="L101">
            <v>31.316633772310595</v>
          </cell>
          <cell r="M101">
            <v>35.576671071762391</v>
          </cell>
        </row>
        <row r="102">
          <cell r="J102">
            <v>45231</v>
          </cell>
          <cell r="K102">
            <v>41.559746118093521</v>
          </cell>
          <cell r="L102">
            <v>33.841319568510983</v>
          </cell>
          <cell r="M102">
            <v>38.240822701773027</v>
          </cell>
        </row>
        <row r="103">
          <cell r="J103">
            <v>45261</v>
          </cell>
          <cell r="K103">
            <v>43.37411324592766</v>
          </cell>
          <cell r="L103">
            <v>36.185987240182797</v>
          </cell>
          <cell r="M103">
            <v>40.283219063457366</v>
          </cell>
        </row>
        <row r="104">
          <cell r="J104">
            <v>45292</v>
          </cell>
          <cell r="K104">
            <v>44.016098507489197</v>
          </cell>
          <cell r="L104">
            <v>35.668309999999998</v>
          </cell>
          <cell r="M104">
            <v>40.42654944926884</v>
          </cell>
        </row>
        <row r="105">
          <cell r="J105">
            <v>45323</v>
          </cell>
          <cell r="K105">
            <v>46.501495022137838</v>
          </cell>
          <cell r="L105">
            <v>38.071638019323288</v>
          </cell>
          <cell r="M105">
            <v>42.876656510927582</v>
          </cell>
        </row>
        <row r="106">
          <cell r="J106">
            <v>45352</v>
          </cell>
          <cell r="K106">
            <v>39.584318608747061</v>
          </cell>
          <cell r="L106">
            <v>33.591373272340803</v>
          </cell>
          <cell r="M106">
            <v>37.00735211409237</v>
          </cell>
        </row>
        <row r="107">
          <cell r="J107">
            <v>45383</v>
          </cell>
          <cell r="K107">
            <v>37.304765604996319</v>
          </cell>
          <cell r="L107">
            <v>32.564153119809269</v>
          </cell>
          <cell r="M107">
            <v>35.266302236365888</v>
          </cell>
        </row>
        <row r="108">
          <cell r="J108">
            <v>45413</v>
          </cell>
          <cell r="K108">
            <v>31.143902803683616</v>
          </cell>
          <cell r="L108">
            <v>25.293339372187766</v>
          </cell>
          <cell r="M108">
            <v>28.628160528140398</v>
          </cell>
        </row>
        <row r="109">
          <cell r="J109">
            <v>45444</v>
          </cell>
          <cell r="K109">
            <v>35.436619293625611</v>
          </cell>
          <cell r="L109">
            <v>29.098100543118395</v>
          </cell>
          <cell r="M109">
            <v>32.711056230907502</v>
          </cell>
        </row>
        <row r="110">
          <cell r="J110">
            <v>45474</v>
          </cell>
          <cell r="K110">
            <v>41.579554678460511</v>
          </cell>
          <cell r="L110">
            <v>33.071542111134036</v>
          </cell>
          <cell r="M110">
            <v>37.921109274510123</v>
          </cell>
        </row>
        <row r="111">
          <cell r="J111">
            <v>45505</v>
          </cell>
          <cell r="K111">
            <v>46.078261526502878</v>
          </cell>
          <cell r="L111">
            <v>34.152371230279762</v>
          </cell>
          <cell r="M111">
            <v>40.950128699126935</v>
          </cell>
        </row>
        <row r="112">
          <cell r="J112">
            <v>45536</v>
          </cell>
          <cell r="K112">
            <v>47.409299647711279</v>
          </cell>
          <cell r="L112">
            <v>38.656189546906617</v>
          </cell>
          <cell r="M112">
            <v>43.645462304365267</v>
          </cell>
        </row>
        <row r="113">
          <cell r="J113">
            <v>45566</v>
          </cell>
          <cell r="K113">
            <v>43.476124543901463</v>
          </cell>
          <cell r="L113">
            <v>34.638234892380815</v>
          </cell>
          <cell r="M113">
            <v>39.675831993747579</v>
          </cell>
        </row>
        <row r="114">
          <cell r="J114">
            <v>45597</v>
          </cell>
          <cell r="K114">
            <v>46.736819671897166</v>
          </cell>
          <cell r="L114">
            <v>37.3446058505751</v>
          </cell>
          <cell r="M114">
            <v>42.698167728728677</v>
          </cell>
        </row>
        <row r="115">
          <cell r="J115">
            <v>45627</v>
          </cell>
          <cell r="K115">
            <v>46.283949604808633</v>
          </cell>
          <cell r="L115">
            <v>39.129534410403664</v>
          </cell>
          <cell r="M115">
            <v>43.207551071214496</v>
          </cell>
        </row>
        <row r="116">
          <cell r="J116">
            <v>45658</v>
          </cell>
          <cell r="K116">
            <v>46.470406459272333</v>
          </cell>
          <cell r="L116">
            <v>37.81476</v>
          </cell>
          <cell r="M116">
            <v>42.748478481785227</v>
          </cell>
        </row>
        <row r="117">
          <cell r="J117">
            <v>45689</v>
          </cell>
          <cell r="K117">
            <v>49.373502882320381</v>
          </cell>
          <cell r="L117">
            <v>41.246487853973434</v>
          </cell>
          <cell r="M117">
            <v>45.878886420131195</v>
          </cell>
        </row>
        <row r="118">
          <cell r="J118">
            <v>45717</v>
          </cell>
          <cell r="K118">
            <v>42.847235812019534</v>
          </cell>
          <cell r="L118">
            <v>36.617293273186256</v>
          </cell>
          <cell r="M118">
            <v>40.168360520321222</v>
          </cell>
        </row>
        <row r="119">
          <cell r="J119">
            <v>45748</v>
          </cell>
          <cell r="K119">
            <v>41.096437811710516</v>
          </cell>
          <cell r="L119">
            <v>35.346104339975881</v>
          </cell>
          <cell r="M119">
            <v>38.62379441886462</v>
          </cell>
        </row>
        <row r="120">
          <cell r="J120">
            <v>45778</v>
          </cell>
          <cell r="K120">
            <v>32.922851152180058</v>
          </cell>
          <cell r="L120">
            <v>27.015939072298409</v>
          </cell>
          <cell r="M120">
            <v>30.382878957830947</v>
          </cell>
        </row>
        <row r="121">
          <cell r="J121">
            <v>45809</v>
          </cell>
          <cell r="K121">
            <v>38.91532657364192</v>
          </cell>
          <cell r="L121">
            <v>30.673674589968197</v>
          </cell>
          <cell r="M121">
            <v>35.371416220662219</v>
          </cell>
        </row>
        <row r="122">
          <cell r="J122">
            <v>45839</v>
          </cell>
          <cell r="K122">
            <v>44.556760416661788</v>
          </cell>
          <cell r="L122">
            <v>35.512068953029463</v>
          </cell>
          <cell r="M122">
            <v>40.667543087299883</v>
          </cell>
        </row>
        <row r="123">
          <cell r="J123">
            <v>45870</v>
          </cell>
          <cell r="K123">
            <v>50.049413914749003</v>
          </cell>
          <cell r="L123">
            <v>37.368902804978219</v>
          </cell>
          <cell r="M123">
            <v>44.596794137547562</v>
          </cell>
        </row>
        <row r="124">
          <cell r="J124">
            <v>45901</v>
          </cell>
          <cell r="K124">
            <v>50.294362727058555</v>
          </cell>
          <cell r="L124">
            <v>40.787882448212315</v>
          </cell>
          <cell r="M124">
            <v>46.206576207154669</v>
          </cell>
        </row>
        <row r="125">
          <cell r="J125">
            <v>45931</v>
          </cell>
          <cell r="K125">
            <v>43.703257626572451</v>
          </cell>
          <cell r="L125">
            <v>35.098786708475437</v>
          </cell>
          <cell r="M125">
            <v>40.003335131790735</v>
          </cell>
        </row>
        <row r="126">
          <cell r="J126">
            <v>45962</v>
          </cell>
          <cell r="K126">
            <v>45.232729417160556</v>
          </cell>
          <cell r="L126">
            <v>36.907991397286978</v>
          </cell>
          <cell r="M126">
            <v>41.65309206861491</v>
          </cell>
        </row>
        <row r="127">
          <cell r="J127">
            <v>45992</v>
          </cell>
          <cell r="K127">
            <v>48.28031360059088</v>
          </cell>
          <cell r="L127">
            <v>40.408217981328811</v>
          </cell>
          <cell r="M127">
            <v>44.895312484308185</v>
          </cell>
        </row>
        <row r="128">
          <cell r="J128">
            <v>46023</v>
          </cell>
          <cell r="K128">
            <v>48.140925955898432</v>
          </cell>
          <cell r="L128">
            <v>39.285417608127531</v>
          </cell>
          <cell r="M128">
            <v>44.33305736635694</v>
          </cell>
        </row>
        <row r="129">
          <cell r="J129">
            <v>46054</v>
          </cell>
          <cell r="K129">
            <v>51.115393440019979</v>
          </cell>
          <cell r="L129">
            <v>41.566166363066515</v>
          </cell>
          <cell r="M129">
            <v>47.009225796929982</v>
          </cell>
        </row>
        <row r="130">
          <cell r="J130">
            <v>46082</v>
          </cell>
          <cell r="K130">
            <v>44.333059728472932</v>
          </cell>
          <cell r="L130">
            <v>38.15136394367471</v>
          </cell>
          <cell r="M130">
            <v>41.674930541009694</v>
          </cell>
        </row>
        <row r="131">
          <cell r="J131">
            <v>46113</v>
          </cell>
          <cell r="K131">
            <v>42.391578015438967</v>
          </cell>
          <cell r="L131">
            <v>36.972776057184753</v>
          </cell>
          <cell r="M131">
            <v>40.06149317338965</v>
          </cell>
        </row>
        <row r="132">
          <cell r="J132">
            <v>46143</v>
          </cell>
          <cell r="K132">
            <v>35.507920316284846</v>
          </cell>
          <cell r="L132">
            <v>29.842943559024679</v>
          </cell>
          <cell r="M132">
            <v>33.071980310662973</v>
          </cell>
        </row>
        <row r="133">
          <cell r="J133">
            <v>46174</v>
          </cell>
          <cell r="K133">
            <v>40.860492891010701</v>
          </cell>
          <cell r="L133">
            <v>32.118703674677917</v>
          </cell>
          <cell r="M133">
            <v>37.101523527987602</v>
          </cell>
        </row>
        <row r="134">
          <cell r="J134">
            <v>46204</v>
          </cell>
          <cell r="K134">
            <v>46.268081770946822</v>
          </cell>
          <cell r="L134">
            <v>36.896207981596753</v>
          </cell>
          <cell r="M134">
            <v>42.238176041526287</v>
          </cell>
        </row>
        <row r="135">
          <cell r="J135">
            <v>46235</v>
          </cell>
          <cell r="K135">
            <v>51.695684909203564</v>
          </cell>
          <cell r="L135">
            <v>39.052011427100204</v>
          </cell>
          <cell r="M135">
            <v>46.258905311899113</v>
          </cell>
        </row>
        <row r="136">
          <cell r="J136">
            <v>46266</v>
          </cell>
          <cell r="K136">
            <v>51.840473113174284</v>
          </cell>
          <cell r="L136">
            <v>42.715606623055166</v>
          </cell>
          <cell r="M136">
            <v>47.916780522423061</v>
          </cell>
        </row>
        <row r="137">
          <cell r="J137">
            <v>46296</v>
          </cell>
          <cell r="K137">
            <v>45.587909110365423</v>
          </cell>
          <cell r="L137">
            <v>36.656967656633107</v>
          </cell>
          <cell r="M137">
            <v>41.747604285260522</v>
          </cell>
        </row>
        <row r="138">
          <cell r="J138">
            <v>46327</v>
          </cell>
          <cell r="K138">
            <v>47.689317787717272</v>
          </cell>
          <cell r="L138">
            <v>38.853319780064588</v>
          </cell>
          <cell r="M138">
            <v>43.889838644426618</v>
          </cell>
        </row>
        <row r="139">
          <cell r="J139">
            <v>46357</v>
          </cell>
          <cell r="K139">
            <v>50.065482618816944</v>
          </cell>
          <cell r="L139">
            <v>41.600981852749541</v>
          </cell>
          <cell r="M139">
            <v>46.425747289407958</v>
          </cell>
        </row>
        <row r="140">
          <cell r="J140">
            <v>46388</v>
          </cell>
          <cell r="K140">
            <v>49.874085422778258</v>
          </cell>
          <cell r="L140">
            <v>41.353005127856669</v>
          </cell>
          <cell r="M140">
            <v>46.210020895961975</v>
          </cell>
        </row>
        <row r="141">
          <cell r="J141">
            <v>46419</v>
          </cell>
          <cell r="K141">
            <v>53.089020619880287</v>
          </cell>
          <cell r="L141">
            <v>43.727088253490841</v>
          </cell>
          <cell r="M141">
            <v>49.063389702332827</v>
          </cell>
        </row>
        <row r="142">
          <cell r="J142">
            <v>46447</v>
          </cell>
          <cell r="K142">
            <v>46.631665933518669</v>
          </cell>
          <cell r="L142">
            <v>39.568490242990038</v>
          </cell>
          <cell r="M142">
            <v>43.594500386591349</v>
          </cell>
        </row>
        <row r="143">
          <cell r="J143">
            <v>46478</v>
          </cell>
          <cell r="K143">
            <v>43.713280529370905</v>
          </cell>
          <cell r="L143">
            <v>38.11929513016149</v>
          </cell>
          <cell r="M143">
            <v>41.307866807710852</v>
          </cell>
        </row>
        <row r="144">
          <cell r="J144">
            <v>46508</v>
          </cell>
          <cell r="K144">
            <v>36.565368457921714</v>
          </cell>
          <cell r="L144">
            <v>30.57543637682074</v>
          </cell>
          <cell r="M144">
            <v>33.98969766304829</v>
          </cell>
        </row>
        <row r="145">
          <cell r="J145">
            <v>46539</v>
          </cell>
          <cell r="K145">
            <v>42.931237933910822</v>
          </cell>
          <cell r="L145">
            <v>33.722230975262349</v>
          </cell>
          <cell r="M145">
            <v>38.971364941691974</v>
          </cell>
        </row>
        <row r="146">
          <cell r="J146">
            <v>46569</v>
          </cell>
          <cell r="K146">
            <v>47.889451020809844</v>
          </cell>
          <cell r="L146">
            <v>38.796525477445734</v>
          </cell>
          <cell r="M146">
            <v>43.979493037163273</v>
          </cell>
        </row>
        <row r="147">
          <cell r="J147">
            <v>46600</v>
          </cell>
          <cell r="K147">
            <v>53.630394887511386</v>
          </cell>
          <cell r="L147">
            <v>40.682333045960377</v>
          </cell>
          <cell r="M147">
            <v>48.062728295644447</v>
          </cell>
        </row>
        <row r="148">
          <cell r="J148">
            <v>46631</v>
          </cell>
          <cell r="K148">
            <v>54.065577308330383</v>
          </cell>
          <cell r="L148">
            <v>45.127638042730993</v>
          </cell>
          <cell r="M148">
            <v>50.222263424122644</v>
          </cell>
        </row>
        <row r="149">
          <cell r="J149">
            <v>46661</v>
          </cell>
          <cell r="K149">
            <v>48.755895597067337</v>
          </cell>
          <cell r="L149">
            <v>39.819709083547444</v>
          </cell>
          <cell r="M149">
            <v>44.913335396253785</v>
          </cell>
        </row>
        <row r="150">
          <cell r="J150">
            <v>46692</v>
          </cell>
          <cell r="K150">
            <v>52.619911761518473</v>
          </cell>
          <cell r="L150">
            <v>42.974513484012199</v>
          </cell>
          <cell r="M150">
            <v>48.47239050219077</v>
          </cell>
        </row>
        <row r="151">
          <cell r="J151">
            <v>46722</v>
          </cell>
          <cell r="K151">
            <v>53.916010730119723</v>
          </cell>
          <cell r="L151">
            <v>45.578770744920448</v>
          </cell>
          <cell r="M151">
            <v>50.330997536484034</v>
          </cell>
        </row>
        <row r="152">
          <cell r="J152">
            <v>46753</v>
          </cell>
          <cell r="K152">
            <v>50.284267742864081</v>
          </cell>
          <cell r="L152">
            <v>41.417104181617368</v>
          </cell>
          <cell r="M152">
            <v>46.471387411527992</v>
          </cell>
        </row>
        <row r="153">
          <cell r="J153">
            <v>46784</v>
          </cell>
          <cell r="K153">
            <v>53.363420478053257</v>
          </cell>
          <cell r="L153">
            <v>44.222249371471975</v>
          </cell>
          <cell r="M153">
            <v>49.432716902223305</v>
          </cell>
        </row>
        <row r="154">
          <cell r="J154">
            <v>46813</v>
          </cell>
          <cell r="K154">
            <v>46.527773572189048</v>
          </cell>
          <cell r="L154">
            <v>39.318552054045753</v>
          </cell>
          <cell r="M154">
            <v>43.427808319387431</v>
          </cell>
        </row>
        <row r="155">
          <cell r="J155">
            <v>46844</v>
          </cell>
          <cell r="K155">
            <v>44.259854175550956</v>
          </cell>
          <cell r="L155">
            <v>38.668780086129573</v>
          </cell>
          <cell r="M155">
            <v>41.855692317099759</v>
          </cell>
        </row>
        <row r="156">
          <cell r="J156">
            <v>46874</v>
          </cell>
          <cell r="K156">
            <v>40.207148490819961</v>
          </cell>
          <cell r="L156">
            <v>31.819156477389004</v>
          </cell>
          <cell r="M156">
            <v>36.60031192504465</v>
          </cell>
        </row>
        <row r="157">
          <cell r="J157">
            <v>46905</v>
          </cell>
          <cell r="K157">
            <v>45.175658992003243</v>
          </cell>
          <cell r="L157">
            <v>35.304099955168915</v>
          </cell>
          <cell r="M157">
            <v>40.93088860616448</v>
          </cell>
        </row>
        <row r="158">
          <cell r="J158">
            <v>46935</v>
          </cell>
          <cell r="K158">
            <v>50.309605213158264</v>
          </cell>
          <cell r="L158">
            <v>41.877714441414284</v>
          </cell>
          <cell r="M158">
            <v>46.683892181308352</v>
          </cell>
        </row>
        <row r="159">
          <cell r="J159">
            <v>46966</v>
          </cell>
          <cell r="K159">
            <v>55.435636100928228</v>
          </cell>
          <cell r="L159">
            <v>41.956026878810356</v>
          </cell>
          <cell r="M159">
            <v>49.639404135417536</v>
          </cell>
        </row>
        <row r="160">
          <cell r="J160">
            <v>46997</v>
          </cell>
          <cell r="K160">
            <v>55.320409441768284</v>
          </cell>
          <cell r="L160">
            <v>46.310237792347365</v>
          </cell>
          <cell r="M160">
            <v>51.446035632517287</v>
          </cell>
        </row>
        <row r="161">
          <cell r="J161">
            <v>47027</v>
          </cell>
          <cell r="K161">
            <v>50.590372295285867</v>
          </cell>
          <cell r="L161">
            <v>41.228333953740076</v>
          </cell>
          <cell r="M161">
            <v>46.564695808421178</v>
          </cell>
        </row>
        <row r="162">
          <cell r="J162">
            <v>47058</v>
          </cell>
          <cell r="K162">
            <v>53.266304302024459</v>
          </cell>
          <cell r="L162">
            <v>43.4918905663069</v>
          </cell>
          <cell r="M162">
            <v>49.063306395665904</v>
          </cell>
        </row>
        <row r="163">
          <cell r="J163">
            <v>47088</v>
          </cell>
          <cell r="K163">
            <v>55.281535352552623</v>
          </cell>
          <cell r="L163">
            <v>46.696377648933897</v>
          </cell>
          <cell r="M163">
            <v>51.589917539996563</v>
          </cell>
        </row>
        <row r="164">
          <cell r="J164">
            <v>47119</v>
          </cell>
          <cell r="K164">
            <v>53.525858666578728</v>
          </cell>
          <cell r="L164">
            <v>43.403618755764278</v>
          </cell>
          <cell r="M164">
            <v>49.173295504928511</v>
          </cell>
        </row>
        <row r="165">
          <cell r="J165">
            <v>47150</v>
          </cell>
          <cell r="K165">
            <v>56.652654279658407</v>
          </cell>
          <cell r="L165">
            <v>47.13279230906457</v>
          </cell>
          <cell r="M165">
            <v>52.559113632303053</v>
          </cell>
        </row>
        <row r="166">
          <cell r="J166">
            <v>47178</v>
          </cell>
          <cell r="K166">
            <v>49.885501301521828</v>
          </cell>
          <cell r="L166">
            <v>42.432130820712217</v>
          </cell>
          <cell r="M166">
            <v>46.680551994773694</v>
          </cell>
        </row>
        <row r="167">
          <cell r="J167">
            <v>47209</v>
          </cell>
          <cell r="K167">
            <v>47.510819484527552</v>
          </cell>
          <cell r="L167">
            <v>41.072261999913401</v>
          </cell>
          <cell r="M167">
            <v>44.74223976614347</v>
          </cell>
        </row>
        <row r="168">
          <cell r="J168">
            <v>47239</v>
          </cell>
          <cell r="K168">
            <v>41.86086276917996</v>
          </cell>
          <cell r="L168">
            <v>33.763747843695356</v>
          </cell>
          <cell r="M168">
            <v>38.379103351221573</v>
          </cell>
        </row>
        <row r="169">
          <cell r="J169">
            <v>47270</v>
          </cell>
          <cell r="K169">
            <v>44.700553784709221</v>
          </cell>
          <cell r="L169">
            <v>36.187679597100761</v>
          </cell>
          <cell r="M169">
            <v>41.040017884037582</v>
          </cell>
        </row>
        <row r="170">
          <cell r="J170">
            <v>47300</v>
          </cell>
          <cell r="K170">
            <v>51.086735726101146</v>
          </cell>
          <cell r="L170">
            <v>42.645361611346956</v>
          </cell>
          <cell r="M170">
            <v>47.456944856756841</v>
          </cell>
        </row>
        <row r="171">
          <cell r="J171">
            <v>47331</v>
          </cell>
          <cell r="K171">
            <v>57.142495725970207</v>
          </cell>
          <cell r="L171">
            <v>43.099500005413965</v>
          </cell>
          <cell r="M171">
            <v>51.104007566131017</v>
          </cell>
        </row>
        <row r="172">
          <cell r="J172">
            <v>47362</v>
          </cell>
          <cell r="K172">
            <v>56.702697345413277</v>
          </cell>
          <cell r="L172">
            <v>47.121340359393777</v>
          </cell>
          <cell r="M172">
            <v>52.582713841424891</v>
          </cell>
        </row>
        <row r="173">
          <cell r="J173">
            <v>47392</v>
          </cell>
          <cell r="K173">
            <v>50.024641952318653</v>
          </cell>
          <cell r="L173">
            <v>40.555654059438353</v>
          </cell>
          <cell r="M173">
            <v>45.952977158380122</v>
          </cell>
        </row>
        <row r="174">
          <cell r="J174">
            <v>47423</v>
          </cell>
          <cell r="K174">
            <v>52.222414838423532</v>
          </cell>
          <cell r="L174">
            <v>42.409861657974652</v>
          </cell>
          <cell r="M174">
            <v>48.003016970830515</v>
          </cell>
        </row>
        <row r="175">
          <cell r="J175">
            <v>47453</v>
          </cell>
          <cell r="K175">
            <v>55.351038976297723</v>
          </cell>
          <cell r="L175">
            <v>47.237292996404477</v>
          </cell>
          <cell r="M175">
            <v>51.862128204943623</v>
          </cell>
        </row>
        <row r="176">
          <cell r="J176">
            <v>47484</v>
          </cell>
          <cell r="K176">
            <v>53.557960103022779</v>
          </cell>
          <cell r="L176">
            <v>43.735589771025332</v>
          </cell>
          <cell r="M176">
            <v>49.334340860263879</v>
          </cell>
        </row>
        <row r="177">
          <cell r="J177">
            <v>47515</v>
          </cell>
          <cell r="K177">
            <v>57.728520248068037</v>
          </cell>
          <cell r="L177">
            <v>47.514929029146387</v>
          </cell>
          <cell r="M177">
            <v>53.336676023931723</v>
          </cell>
        </row>
        <row r="178">
          <cell r="J178">
            <v>47543</v>
          </cell>
          <cell r="K178">
            <v>50.040581182837158</v>
          </cell>
          <cell r="L178">
            <v>43.257269985424713</v>
          </cell>
          <cell r="M178">
            <v>47.123757367949807</v>
          </cell>
        </row>
        <row r="179">
          <cell r="J179">
            <v>47574</v>
          </cell>
          <cell r="K179">
            <v>47.70105063175945</v>
          </cell>
          <cell r="L179">
            <v>41.942600002336711</v>
          </cell>
          <cell r="M179">
            <v>45.224916861107673</v>
          </cell>
        </row>
        <row r="180">
          <cell r="J180">
            <v>47604</v>
          </cell>
          <cell r="K180">
            <v>40.489496208041892</v>
          </cell>
          <cell r="L180">
            <v>33.845202346628597</v>
          </cell>
          <cell r="M180">
            <v>37.63244984763417</v>
          </cell>
        </row>
        <row r="181">
          <cell r="J181">
            <v>47635</v>
          </cell>
          <cell r="K181">
            <v>46.267166321188171</v>
          </cell>
          <cell r="L181">
            <v>37.71959682626278</v>
          </cell>
          <cell r="M181">
            <v>42.591711438370254</v>
          </cell>
        </row>
        <row r="182">
          <cell r="J182">
            <v>47665</v>
          </cell>
          <cell r="K182">
            <v>53.62671467209907</v>
          </cell>
          <cell r="L182">
            <v>42.436754348747748</v>
          </cell>
          <cell r="M182">
            <v>48.815031733057999</v>
          </cell>
        </row>
        <row r="183">
          <cell r="J183">
            <v>47696</v>
          </cell>
          <cell r="K183">
            <v>59.59512497688025</v>
          </cell>
          <cell r="L183">
            <v>44.806565925566467</v>
          </cell>
          <cell r="M183">
            <v>53.236044584815318</v>
          </cell>
        </row>
        <row r="184">
          <cell r="J184">
            <v>47727</v>
          </cell>
          <cell r="K184">
            <v>59.917975810791589</v>
          </cell>
          <cell r="L184">
            <v>49.148134747004228</v>
          </cell>
          <cell r="M184">
            <v>55.286944153363024</v>
          </cell>
        </row>
        <row r="185">
          <cell r="J185">
            <v>47757</v>
          </cell>
          <cell r="K185">
            <v>53.619155138350109</v>
          </cell>
          <cell r="L185">
            <v>44.00882983514731</v>
          </cell>
          <cell r="M185">
            <v>49.486715257972904</v>
          </cell>
        </row>
        <row r="186">
          <cell r="J186">
            <v>47788</v>
          </cell>
          <cell r="K186">
            <v>56.193561599587362</v>
          </cell>
          <cell r="L186">
            <v>45.40604516370076</v>
          </cell>
          <cell r="M186">
            <v>51.554929532156116</v>
          </cell>
        </row>
        <row r="187">
          <cell r="J187">
            <v>47818</v>
          </cell>
          <cell r="K187">
            <v>58.840111662881505</v>
          </cell>
          <cell r="L187">
            <v>49.41738393253533</v>
          </cell>
          <cell r="M187">
            <v>54.78833873883265</v>
          </cell>
        </row>
        <row r="188">
          <cell r="J188">
            <v>47849</v>
          </cell>
          <cell r="K188">
            <v>56.632269529352612</v>
          </cell>
          <cell r="L188">
            <v>45.914938935297364</v>
          </cell>
          <cell r="M188">
            <v>52.023817373908855</v>
          </cell>
        </row>
        <row r="189">
          <cell r="J189">
            <v>47880</v>
          </cell>
          <cell r="K189">
            <v>59.445930966881058</v>
          </cell>
          <cell r="L189">
            <v>50.058619530279678</v>
          </cell>
          <cell r="M189">
            <v>55.409387049142467</v>
          </cell>
        </row>
        <row r="190">
          <cell r="J190">
            <v>47908</v>
          </cell>
          <cell r="K190">
            <v>51.559197958611264</v>
          </cell>
          <cell r="L190">
            <v>44.928705112373379</v>
          </cell>
          <cell r="M190">
            <v>48.708086034728971</v>
          </cell>
        </row>
        <row r="191">
          <cell r="J191">
            <v>47939</v>
          </cell>
          <cell r="K191">
            <v>49.338096105095495</v>
          </cell>
          <cell r="L191">
            <v>43.529251510882432</v>
          </cell>
          <cell r="M191">
            <v>46.840292929583882</v>
          </cell>
        </row>
        <row r="192">
          <cell r="J192">
            <v>47969</v>
          </cell>
          <cell r="K192">
            <v>42.028169015410391</v>
          </cell>
          <cell r="L192">
            <v>34.720388262456289</v>
          </cell>
          <cell r="M192">
            <v>38.885823291640122</v>
          </cell>
        </row>
        <row r="193">
          <cell r="J193">
            <v>48000</v>
          </cell>
          <cell r="K193">
            <v>48.578151811927825</v>
          </cell>
          <cell r="L193">
            <v>39.47863810161288</v>
          </cell>
          <cell r="M193">
            <v>44.665360916492396</v>
          </cell>
        </row>
        <row r="194">
          <cell r="J194">
            <v>48030</v>
          </cell>
          <cell r="K194">
            <v>55.766909213528933</v>
          </cell>
          <cell r="L194">
            <v>45.12854318524505</v>
          </cell>
          <cell r="M194">
            <v>51.192411821366861</v>
          </cell>
        </row>
        <row r="195">
          <cell r="J195">
            <v>48061</v>
          </cell>
          <cell r="K195">
            <v>61.51445326107568</v>
          </cell>
          <cell r="L195">
            <v>47.014636938064513</v>
          </cell>
          <cell r="M195">
            <v>55.279532242180878</v>
          </cell>
        </row>
        <row r="196">
          <cell r="J196">
            <v>48092</v>
          </cell>
          <cell r="K196">
            <v>61.206249598991441</v>
          </cell>
          <cell r="L196">
            <v>49.844723426331704</v>
          </cell>
          <cell r="M196">
            <v>56.320793344747749</v>
          </cell>
        </row>
        <row r="197">
          <cell r="J197">
            <v>48122</v>
          </cell>
          <cell r="K197">
            <v>54.397291725905589</v>
          </cell>
          <cell r="L197">
            <v>45.385373744312069</v>
          </cell>
          <cell r="M197">
            <v>50.522166993820377</v>
          </cell>
        </row>
        <row r="198">
          <cell r="J198">
            <v>48153</v>
          </cell>
          <cell r="K198">
            <v>56.22134191177571</v>
          </cell>
          <cell r="L198">
            <v>46.532415840790321</v>
          </cell>
          <cell r="M198">
            <v>52.055103701251994</v>
          </cell>
        </row>
        <row r="199">
          <cell r="J199">
            <v>48183</v>
          </cell>
          <cell r="K199">
            <v>60.678854484303443</v>
          </cell>
          <cell r="L199">
            <v>50.474985475286957</v>
          </cell>
          <cell r="M199">
            <v>56.291190810426343</v>
          </cell>
        </row>
        <row r="200">
          <cell r="J200">
            <v>48214</v>
          </cell>
          <cell r="K200">
            <v>58.766204228865853</v>
          </cell>
          <cell r="L200">
            <v>48.035510548961113</v>
          </cell>
          <cell r="M200">
            <v>54.152005946506819</v>
          </cell>
        </row>
        <row r="201">
          <cell r="J201">
            <v>48245</v>
          </cell>
          <cell r="K201">
            <v>60.895732768683771</v>
          </cell>
          <cell r="L201">
            <v>51.921575322661788</v>
          </cell>
          <cell r="M201">
            <v>57.036845066894315</v>
          </cell>
        </row>
        <row r="202">
          <cell r="J202">
            <v>48274</v>
          </cell>
          <cell r="K202">
            <v>52.877523922678009</v>
          </cell>
          <cell r="L202">
            <v>46.49555628631451</v>
          </cell>
          <cell r="M202">
            <v>50.133277839041703</v>
          </cell>
        </row>
        <row r="203">
          <cell r="J203">
            <v>48305</v>
          </cell>
          <cell r="K203">
            <v>50.968017912132026</v>
          </cell>
          <cell r="L203">
            <v>45.394357754746451</v>
          </cell>
          <cell r="M203">
            <v>48.571344044456225</v>
          </cell>
        </row>
        <row r="204">
          <cell r="J204">
            <v>48335</v>
          </cell>
          <cell r="K204">
            <v>43.533310979840984</v>
          </cell>
          <cell r="L204">
            <v>37.381979938542159</v>
          </cell>
          <cell r="M204">
            <v>40.888238632082484</v>
          </cell>
        </row>
        <row r="205">
          <cell r="J205">
            <v>48366</v>
          </cell>
          <cell r="K205">
            <v>49.268085092162003</v>
          </cell>
          <cell r="L205">
            <v>40.355032912469419</v>
          </cell>
          <cell r="M205">
            <v>45.435472654894191</v>
          </cell>
        </row>
        <row r="206">
          <cell r="J206">
            <v>48396</v>
          </cell>
          <cell r="K206">
            <v>55.626537493639944</v>
          </cell>
          <cell r="L206">
            <v>44.796918876839371</v>
          </cell>
          <cell r="M206">
            <v>50.969801488415698</v>
          </cell>
        </row>
        <row r="207">
          <cell r="J207">
            <v>48427</v>
          </cell>
          <cell r="K207">
            <v>62.713284305493623</v>
          </cell>
          <cell r="L207">
            <v>47.468817942555845</v>
          </cell>
          <cell r="M207">
            <v>56.158163769430374</v>
          </cell>
        </row>
        <row r="208">
          <cell r="J208">
            <v>48458</v>
          </cell>
          <cell r="K208">
            <v>61.299003341064044</v>
          </cell>
          <cell r="L208">
            <v>50.274170476314559</v>
          </cell>
          <cell r="M208">
            <v>56.558325209221763</v>
          </cell>
        </row>
        <row r="209">
          <cell r="J209">
            <v>48488</v>
          </cell>
          <cell r="K209">
            <v>54.682758316669663</v>
          </cell>
          <cell r="L209">
            <v>46.042315164955781</v>
          </cell>
          <cell r="M209">
            <v>50.967367761432691</v>
          </cell>
        </row>
        <row r="210">
          <cell r="J210">
            <v>48519</v>
          </cell>
          <cell r="K210">
            <v>58.043741205306247</v>
          </cell>
          <cell r="L210">
            <v>47.766040660018461</v>
          </cell>
          <cell r="M210">
            <v>53.624329970832498</v>
          </cell>
        </row>
        <row r="211">
          <cell r="J211">
            <v>48549</v>
          </cell>
          <cell r="K211">
            <v>61.426433592032424</v>
          </cell>
          <cell r="L211">
            <v>52.094343435872545</v>
          </cell>
          <cell r="M211">
            <v>57.413634824883673</v>
          </cell>
        </row>
        <row r="212">
          <cell r="J212">
            <v>48580</v>
          </cell>
          <cell r="K212">
            <v>59.736834010134366</v>
          </cell>
          <cell r="L212">
            <v>49.599579136122642</v>
          </cell>
          <cell r="M212">
            <v>55.37781441430932</v>
          </cell>
        </row>
        <row r="213">
          <cell r="J213">
            <v>48611</v>
          </cell>
          <cell r="K213">
            <v>62.833529532078884</v>
          </cell>
          <cell r="L213">
            <v>52.760198102011685</v>
          </cell>
          <cell r="M213">
            <v>58.501997017149982</v>
          </cell>
        </row>
        <row r="214">
          <cell r="J214">
            <v>48639</v>
          </cell>
          <cell r="K214">
            <v>53.619110001621038</v>
          </cell>
          <cell r="L214">
            <v>47.40131570668386</v>
          </cell>
          <cell r="M214">
            <v>50.945458454798043</v>
          </cell>
        </row>
        <row r="215">
          <cell r="J215">
            <v>48670</v>
          </cell>
          <cell r="K215">
            <v>51.733186304036444</v>
          </cell>
          <cell r="L215">
            <v>46.2366074029689</v>
          </cell>
          <cell r="M215">
            <v>49.369657376577393</v>
          </cell>
        </row>
        <row r="216">
          <cell r="J216">
            <v>48700</v>
          </cell>
          <cell r="K216">
            <v>43.918045696574616</v>
          </cell>
          <cell r="L216">
            <v>37.703038460273859</v>
          </cell>
          <cell r="M216">
            <v>41.245592584965287</v>
          </cell>
        </row>
        <row r="217">
          <cell r="J217">
            <v>48731</v>
          </cell>
          <cell r="K217">
            <v>50.435244852084153</v>
          </cell>
          <cell r="L217">
            <v>41.219604619713166</v>
          </cell>
          <cell r="M217">
            <v>46.472519552164627</v>
          </cell>
        </row>
        <row r="218">
          <cell r="J218">
            <v>48761</v>
          </cell>
          <cell r="K218">
            <v>57.362704250761929</v>
          </cell>
          <cell r="L218">
            <v>45.875693124542472</v>
          </cell>
          <cell r="M218">
            <v>52.42328946648756</v>
          </cell>
        </row>
        <row r="219">
          <cell r="J219">
            <v>48792</v>
          </cell>
          <cell r="K219">
            <v>64.034959643313641</v>
          </cell>
          <cell r="L219">
            <v>48.549475390823609</v>
          </cell>
          <cell r="M219">
            <v>57.376201414742923</v>
          </cell>
        </row>
        <row r="220">
          <cell r="J220">
            <v>48823</v>
          </cell>
          <cell r="K220">
            <v>62.315847715300514</v>
          </cell>
          <cell r="L220">
            <v>51.65015014933855</v>
          </cell>
          <cell r="M220">
            <v>57.729597761936866</v>
          </cell>
        </row>
        <row r="221">
          <cell r="J221">
            <v>48853</v>
          </cell>
          <cell r="K221">
            <v>56.820014446370578</v>
          </cell>
          <cell r="L221">
            <v>48.021675947587539</v>
          </cell>
          <cell r="M221">
            <v>53.036728891893873</v>
          </cell>
        </row>
        <row r="222">
          <cell r="J222">
            <v>48884</v>
          </cell>
          <cell r="K222">
            <v>61.298780910145069</v>
          </cell>
          <cell r="L222">
            <v>49.721542799780963</v>
          </cell>
          <cell r="M222">
            <v>56.320568522688504</v>
          </cell>
        </row>
        <row r="223">
          <cell r="J223">
            <v>48914</v>
          </cell>
          <cell r="K223">
            <v>63.391271282241512</v>
          </cell>
          <cell r="L223">
            <v>54.45208256935264</v>
          </cell>
          <cell r="M223">
            <v>59.547420135699291</v>
          </cell>
        </row>
        <row r="224">
          <cell r="J224">
            <v>48945</v>
          </cell>
          <cell r="K224">
            <v>62.605622978283328</v>
          </cell>
          <cell r="L224">
            <v>56.69746</v>
          </cell>
          <cell r="M224">
            <v>60.065112897621489</v>
          </cell>
        </row>
        <row r="225">
          <cell r="J225">
            <v>48976</v>
          </cell>
          <cell r="K225">
            <v>65.577901958277536</v>
          </cell>
          <cell r="L225">
            <v>54.830052154369071</v>
          </cell>
          <cell r="M225">
            <v>60.956326542596891</v>
          </cell>
        </row>
        <row r="226">
          <cell r="J226">
            <v>49004</v>
          </cell>
          <cell r="K226">
            <v>55.438512562371663</v>
          </cell>
          <cell r="L226">
            <v>49.203246255742968</v>
          </cell>
          <cell r="M226">
            <v>52.757348050521315</v>
          </cell>
        </row>
        <row r="227">
          <cell r="J227">
            <v>49035</v>
          </cell>
          <cell r="K227">
            <v>53.078281803554418</v>
          </cell>
          <cell r="L227">
            <v>47.366859645919071</v>
          </cell>
          <cell r="M227">
            <v>50.622370275771218</v>
          </cell>
        </row>
        <row r="228">
          <cell r="J228">
            <v>49065</v>
          </cell>
          <cell r="K228">
            <v>45.887095754857135</v>
          </cell>
          <cell r="L228">
            <v>39.058957134754991</v>
          </cell>
          <cell r="M228">
            <v>42.950996148213207</v>
          </cell>
        </row>
        <row r="229">
          <cell r="J229">
            <v>49096</v>
          </cell>
          <cell r="K229">
            <v>52.797276090452634</v>
          </cell>
          <cell r="L229">
            <v>43.323963733655596</v>
          </cell>
          <cell r="M229">
            <v>48.723751777029904</v>
          </cell>
        </row>
        <row r="230">
          <cell r="J230">
            <v>49126</v>
          </cell>
          <cell r="K230">
            <v>58.552716698465673</v>
          </cell>
          <cell r="L230">
            <v>47.317360500859117</v>
          </cell>
          <cell r="M230">
            <v>53.721513533494857</v>
          </cell>
        </row>
        <row r="231">
          <cell r="J231">
            <v>49157</v>
          </cell>
          <cell r="K231">
            <v>65.753107825175505</v>
          </cell>
          <cell r="L231">
            <v>49.980436572614352</v>
          </cell>
          <cell r="M231">
            <v>58.970859186574202</v>
          </cell>
        </row>
        <row r="232">
          <cell r="J232">
            <v>49188</v>
          </cell>
          <cell r="K232">
            <v>63.98905889528497</v>
          </cell>
          <cell r="L232">
            <v>52.545177334173147</v>
          </cell>
          <cell r="M232">
            <v>59.068189824006879</v>
          </cell>
        </row>
        <row r="233">
          <cell r="J233">
            <v>49218</v>
          </cell>
          <cell r="K233">
            <v>57.687279534964958</v>
          </cell>
          <cell r="L233">
            <v>48.920922266364045</v>
          </cell>
          <cell r="M233">
            <v>53.917745909466561</v>
          </cell>
        </row>
        <row r="234">
          <cell r="J234">
            <v>49249</v>
          </cell>
          <cell r="K234">
            <v>61.036932327875</v>
          </cell>
          <cell r="L234">
            <v>50.352167216516946</v>
          </cell>
          <cell r="M234">
            <v>56.442483329991035</v>
          </cell>
        </row>
        <row r="235">
          <cell r="J235">
            <v>49279</v>
          </cell>
          <cell r="K235">
            <v>64.386787072032121</v>
          </cell>
          <cell r="L235">
            <v>54.602984396253198</v>
          </cell>
          <cell r="M235">
            <v>60.179751921447178</v>
          </cell>
        </row>
        <row r="236">
          <cell r="J236">
            <v>49310</v>
          </cell>
          <cell r="K236">
            <v>61.636735163529906</v>
          </cell>
          <cell r="L236">
            <v>51.29504</v>
          </cell>
          <cell r="M236">
            <v>57.18980624321204</v>
          </cell>
        </row>
        <row r="237">
          <cell r="J237">
            <v>49341</v>
          </cell>
          <cell r="K237">
            <v>65.555015644778621</v>
          </cell>
          <cell r="L237">
            <v>55.765751964332807</v>
          </cell>
          <cell r="M237">
            <v>61.345632262186918</v>
          </cell>
        </row>
        <row r="238">
          <cell r="J238">
            <v>49369</v>
          </cell>
          <cell r="K238">
            <v>56.070656605306432</v>
          </cell>
          <cell r="L238">
            <v>49.759729914248027</v>
          </cell>
          <cell r="M238">
            <v>53.356958128151312</v>
          </cell>
        </row>
        <row r="239">
          <cell r="J239">
            <v>49400</v>
          </cell>
          <cell r="K239">
            <v>54.232953353339468</v>
          </cell>
          <cell r="L239">
            <v>48.05858357723131</v>
          </cell>
          <cell r="M239">
            <v>51.577974349612958</v>
          </cell>
        </row>
        <row r="240">
          <cell r="J240">
            <v>49430</v>
          </cell>
          <cell r="K240">
            <v>47.532946165131698</v>
          </cell>
          <cell r="L240">
            <v>41.34593671761759</v>
          </cell>
          <cell r="M240">
            <v>44.872532102700632</v>
          </cell>
        </row>
        <row r="241">
          <cell r="J241">
            <v>49461</v>
          </cell>
          <cell r="K241">
            <v>52.415407484039818</v>
          </cell>
          <cell r="L241">
            <v>43.370610498563586</v>
          </cell>
          <cell r="M241">
            <v>48.526144780285037</v>
          </cell>
        </row>
        <row r="242">
          <cell r="J242">
            <v>49491</v>
          </cell>
          <cell r="K242">
            <v>59.619164285647159</v>
          </cell>
          <cell r="L242">
            <v>48.942749976991841</v>
          </cell>
          <cell r="M242">
            <v>55.028306132925366</v>
          </cell>
        </row>
        <row r="243">
          <cell r="J243">
            <v>49522</v>
          </cell>
          <cell r="K243">
            <v>66.82626452951142</v>
          </cell>
          <cell r="L243">
            <v>51.42627752557712</v>
          </cell>
          <cell r="M243">
            <v>60.204270117819661</v>
          </cell>
        </row>
        <row r="244">
          <cell r="J244">
            <v>49553</v>
          </cell>
          <cell r="K244">
            <v>65.007038608785621</v>
          </cell>
          <cell r="L244">
            <v>54.211204250258632</v>
          </cell>
          <cell r="M244">
            <v>60.364829834619009</v>
          </cell>
        </row>
        <row r="245">
          <cell r="J245">
            <v>49583</v>
          </cell>
          <cell r="K245">
            <v>57.440620176873018</v>
          </cell>
          <cell r="L245">
            <v>48.743040000000001</v>
          </cell>
          <cell r="M245">
            <v>53.700660700817622</v>
          </cell>
        </row>
        <row r="246">
          <cell r="J246">
            <v>49614</v>
          </cell>
          <cell r="K246">
            <v>59.044964883238727</v>
          </cell>
          <cell r="L246">
            <v>49.885510076471014</v>
          </cell>
          <cell r="M246">
            <v>55.106399316328606</v>
          </cell>
        </row>
        <row r="247">
          <cell r="J247">
            <v>49644</v>
          </cell>
          <cell r="K247">
            <v>65.281999847030477</v>
          </cell>
          <cell r="L247">
            <v>55.147105458351206</v>
          </cell>
          <cell r="M247">
            <v>60.92399525989839</v>
          </cell>
        </row>
        <row r="248">
          <cell r="J248">
            <v>49675</v>
          </cell>
          <cell r="K248">
            <v>63.903992079769218</v>
          </cell>
          <cell r="L248">
            <v>53.603452845248448</v>
          </cell>
          <cell r="M248">
            <v>59.474760208925289</v>
          </cell>
        </row>
        <row r="249">
          <cell r="J249">
            <v>49706</v>
          </cell>
          <cell r="K249">
            <v>67.120365925574475</v>
          </cell>
          <cell r="L249">
            <v>54.776707017559289</v>
          </cell>
          <cell r="M249">
            <v>61.812592595127938</v>
          </cell>
        </row>
        <row r="250">
          <cell r="J250">
            <v>49735</v>
          </cell>
          <cell r="K250">
            <v>57.626091248134983</v>
          </cell>
          <cell r="L250">
            <v>51.956317976854365</v>
          </cell>
          <cell r="M250">
            <v>55.188088741484314</v>
          </cell>
        </row>
        <row r="251">
          <cell r="J251">
            <v>49766</v>
          </cell>
          <cell r="K251">
            <v>55.735731129102462</v>
          </cell>
          <cell r="L251">
            <v>48.872466046738992</v>
          </cell>
          <cell r="M251">
            <v>52.784527143686162</v>
          </cell>
        </row>
        <row r="252">
          <cell r="J252">
            <v>49796</v>
          </cell>
          <cell r="K252">
            <v>48.91201077382361</v>
          </cell>
          <cell r="L252">
            <v>42.369559511300949</v>
          </cell>
          <cell r="M252">
            <v>46.09875673093886</v>
          </cell>
        </row>
        <row r="253">
          <cell r="J253">
            <v>49827</v>
          </cell>
          <cell r="K253">
            <v>54.075017851420441</v>
          </cell>
          <cell r="L253">
            <v>45.896204527745866</v>
          </cell>
          <cell r="M253">
            <v>50.558128122240376</v>
          </cell>
        </row>
        <row r="254">
          <cell r="J254">
            <v>49857</v>
          </cell>
          <cell r="K254">
            <v>62.403336086355104</v>
          </cell>
          <cell r="L254">
            <v>49.735745917103188</v>
          </cell>
          <cell r="M254">
            <v>56.956272313576775</v>
          </cell>
        </row>
        <row r="255">
          <cell r="J255">
            <v>49888</v>
          </cell>
          <cell r="K255">
            <v>68.873570278611993</v>
          </cell>
          <cell r="L255">
            <v>53.473076104054087</v>
          </cell>
          <cell r="M255">
            <v>62.251357783552095</v>
          </cell>
        </row>
        <row r="256">
          <cell r="J256">
            <v>49919</v>
          </cell>
          <cell r="K256">
            <v>67.961060732816051</v>
          </cell>
          <cell r="L256">
            <v>55.612318248011178</v>
          </cell>
          <cell r="M256">
            <v>62.651101464349949</v>
          </cell>
        </row>
        <row r="257">
          <cell r="J257">
            <v>49949</v>
          </cell>
          <cell r="K257">
            <v>60.644875290182355</v>
          </cell>
          <cell r="L257">
            <v>50.542336744088786</v>
          </cell>
          <cell r="M257">
            <v>56.300783715362115</v>
          </cell>
        </row>
        <row r="258">
          <cell r="J258">
            <v>49980</v>
          </cell>
          <cell r="K258">
            <v>63.262875545045361</v>
          </cell>
          <cell r="L258">
            <v>52.884826835882585</v>
          </cell>
          <cell r="M258">
            <v>58.800314600105366</v>
          </cell>
        </row>
        <row r="259">
          <cell r="J259">
            <v>50010</v>
          </cell>
          <cell r="K259">
            <v>67.475973111555049</v>
          </cell>
          <cell r="L259">
            <v>56.065212754997575</v>
          </cell>
          <cell r="M259">
            <v>62.569346158235334</v>
          </cell>
        </row>
        <row r="260">
          <cell r="J260">
            <v>50041</v>
          </cell>
          <cell r="K260">
            <v>66.505485541096192</v>
          </cell>
          <cell r="L260">
            <v>56.235302144417162</v>
          </cell>
          <cell r="M260">
            <v>62.089306680524203</v>
          </cell>
        </row>
        <row r="261">
          <cell r="J261">
            <v>50072</v>
          </cell>
          <cell r="K261">
            <v>68.507779497560406</v>
          </cell>
          <cell r="L261">
            <v>59.08146986655516</v>
          </cell>
          <cell r="M261">
            <v>64.454466356228153</v>
          </cell>
        </row>
        <row r="262">
          <cell r="J262">
            <v>50100</v>
          </cell>
          <cell r="K262">
            <v>58.780391537223302</v>
          </cell>
          <cell r="L262">
            <v>53.823880528522061</v>
          </cell>
          <cell r="M262">
            <v>56.649091803481767</v>
          </cell>
        </row>
        <row r="263">
          <cell r="J263">
            <v>50131</v>
          </cell>
          <cell r="K263">
            <v>56.848377011151698</v>
          </cell>
          <cell r="L263">
            <v>51.077772762377897</v>
          </cell>
          <cell r="M263">
            <v>54.367017184178962</v>
          </cell>
        </row>
        <row r="264">
          <cell r="J264">
            <v>50161</v>
          </cell>
          <cell r="K264">
            <v>51.444842518089295</v>
          </cell>
          <cell r="L264">
            <v>44.512852670284651</v>
          </cell>
          <cell r="M264">
            <v>48.464086883533298</v>
          </cell>
        </row>
        <row r="265">
          <cell r="J265">
            <v>50192</v>
          </cell>
          <cell r="K265">
            <v>56.588897660624077</v>
          </cell>
          <cell r="L265">
            <v>47.501124968918248</v>
          </cell>
          <cell r="M265">
            <v>52.681155403190566</v>
          </cell>
        </row>
        <row r="266">
          <cell r="J266">
            <v>50222</v>
          </cell>
          <cell r="K266">
            <v>65.410865552352178</v>
          </cell>
          <cell r="L266">
            <v>52.144715366911178</v>
          </cell>
          <cell r="M266">
            <v>59.706420972612548</v>
          </cell>
        </row>
        <row r="267">
          <cell r="J267">
            <v>50253</v>
          </cell>
          <cell r="K267">
            <v>70.671429469859021</v>
          </cell>
          <cell r="L267">
            <v>54.956669876209801</v>
          </cell>
          <cell r="M267">
            <v>63.914082844589849</v>
          </cell>
        </row>
        <row r="268">
          <cell r="J268">
            <v>50284</v>
          </cell>
          <cell r="K268">
            <v>68.466620849135225</v>
          </cell>
          <cell r="L268">
            <v>56.647577082999241</v>
          </cell>
          <cell r="M268">
            <v>63.384432029696747</v>
          </cell>
        </row>
        <row r="269">
          <cell r="J269">
            <v>50314</v>
          </cell>
          <cell r="K269">
            <v>60.79419962737699</v>
          </cell>
          <cell r="L269">
            <v>51.4503561040733</v>
          </cell>
          <cell r="M269">
            <v>56.776346912356402</v>
          </cell>
        </row>
        <row r="270">
          <cell r="J270">
            <v>50345</v>
          </cell>
          <cell r="K270">
            <v>65.148416989295001</v>
          </cell>
          <cell r="L270">
            <v>54.12919614070212</v>
          </cell>
          <cell r="M270">
            <v>60.410152024400062</v>
          </cell>
        </row>
        <row r="271">
          <cell r="J271">
            <v>50375</v>
          </cell>
          <cell r="K271">
            <v>70.243518282058915</v>
          </cell>
          <cell r="L271">
            <v>59.603867317016437</v>
          </cell>
          <cell r="M271">
            <v>65.66846836709064</v>
          </cell>
        </row>
        <row r="272">
          <cell r="J272">
            <v>50406</v>
          </cell>
          <cell r="K272">
            <v>69.612738213193211</v>
          </cell>
          <cell r="L272">
            <v>60.012957862200487</v>
          </cell>
          <cell r="M272">
            <v>65.484832662266342</v>
          </cell>
        </row>
        <row r="273">
          <cell r="J273">
            <v>50437</v>
          </cell>
          <cell r="K273">
            <v>73.258658152167854</v>
          </cell>
          <cell r="L273">
            <v>62.114678625943178</v>
          </cell>
          <cell r="M273">
            <v>68.466746955891239</v>
          </cell>
        </row>
        <row r="274">
          <cell r="J274">
            <v>50465</v>
          </cell>
          <cell r="K274">
            <v>61.544663524941328</v>
          </cell>
          <cell r="L274">
            <v>55.682163865806245</v>
          </cell>
          <cell r="M274">
            <v>59.023788671513238</v>
          </cell>
        </row>
        <row r="275">
          <cell r="J275">
            <v>50496</v>
          </cell>
          <cell r="K275">
            <v>59.91902606256906</v>
          </cell>
          <cell r="L275">
            <v>54.240010173427002</v>
          </cell>
          <cell r="M275">
            <v>57.477049230237967</v>
          </cell>
        </row>
        <row r="276">
          <cell r="J276">
            <v>50526</v>
          </cell>
          <cell r="K276">
            <v>54.30079057790104</v>
          </cell>
          <cell r="L276">
            <v>48.075841381244658</v>
          </cell>
          <cell r="M276">
            <v>51.624062423338799</v>
          </cell>
        </row>
        <row r="277">
          <cell r="J277">
            <v>50557</v>
          </cell>
          <cell r="K277">
            <v>59.548702651687137</v>
          </cell>
          <cell r="L277">
            <v>50.094934827902186</v>
          </cell>
          <cell r="M277">
            <v>55.4835824874596</v>
          </cell>
        </row>
        <row r="278">
          <cell r="J278">
            <v>50587</v>
          </cell>
          <cell r="K278">
            <v>68.313597979855075</v>
          </cell>
          <cell r="L278">
            <v>54.492962278467232</v>
          </cell>
          <cell r="M278">
            <v>62.370724628258294</v>
          </cell>
        </row>
        <row r="279">
          <cell r="J279">
            <v>50618</v>
          </cell>
          <cell r="K279">
            <v>74.397007067451142</v>
          </cell>
          <cell r="L279">
            <v>57.468040198697842</v>
          </cell>
          <cell r="M279">
            <v>67.117551313887219</v>
          </cell>
        </row>
        <row r="280">
          <cell r="J280">
            <v>50649</v>
          </cell>
          <cell r="K280">
            <v>71.144245182997309</v>
          </cell>
          <cell r="L280">
            <v>59.370635700678051</v>
          </cell>
          <cell r="M280">
            <v>66.081593105600021</v>
          </cell>
        </row>
        <row r="281">
          <cell r="J281">
            <v>50679</v>
          </cell>
          <cell r="K281">
            <v>63.730823727896386</v>
          </cell>
          <cell r="L281">
            <v>54.418934085278558</v>
          </cell>
          <cell r="M281">
            <v>59.726711181570721</v>
          </cell>
        </row>
        <row r="282">
          <cell r="J282">
            <v>50710</v>
          </cell>
          <cell r="K282">
            <v>69.782369081020164</v>
          </cell>
          <cell r="L282">
            <v>56.851564460541539</v>
          </cell>
          <cell r="M282">
            <v>64.222123094214354</v>
          </cell>
        </row>
        <row r="283">
          <cell r="J283">
            <v>50740</v>
          </cell>
          <cell r="K283">
            <v>73.95508119156024</v>
          </cell>
          <cell r="L283">
            <v>62.843497508639764</v>
          </cell>
          <cell r="M283">
            <v>69.177100207904431</v>
          </cell>
        </row>
        <row r="284">
          <cell r="J284">
            <v>0</v>
          </cell>
          <cell r="K284">
            <v>0</v>
          </cell>
          <cell r="L284">
            <v>0</v>
          </cell>
          <cell r="M284">
            <v>0</v>
          </cell>
        </row>
        <row r="285">
          <cell r="J285">
            <v>0</v>
          </cell>
          <cell r="K285">
            <v>0</v>
          </cell>
          <cell r="L285">
            <v>0</v>
          </cell>
          <cell r="M285">
            <v>0</v>
          </cell>
        </row>
        <row r="286">
          <cell r="J286">
            <v>0</v>
          </cell>
          <cell r="K286">
            <v>0</v>
          </cell>
          <cell r="L286">
            <v>0</v>
          </cell>
          <cell r="M286">
            <v>0</v>
          </cell>
        </row>
        <row r="287">
          <cell r="J287">
            <v>0</v>
          </cell>
          <cell r="K287">
            <v>0</v>
          </cell>
          <cell r="L287">
            <v>0</v>
          </cell>
          <cell r="M287">
            <v>0</v>
          </cell>
        </row>
        <row r="288"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Exhibit 1- Std Base Load QF"/>
      <sheetName val="Exhibit 2- Std Wind QF "/>
      <sheetName val="Exhibit 3- Std Solar QF"/>
      <sheetName val="Exhibit 4 - Renewable Wind"/>
      <sheetName val="Exhibit 5 - Renewable BaseLoad"/>
      <sheetName val="Exhibit 6 - Renewable Solar"/>
      <sheetName val="Exhibit 7 - Blending"/>
      <sheetName val="Table 1"/>
      <sheetName val="Table 2"/>
      <sheetName val="Tables 3 to 6"/>
      <sheetName val="Table 7(16-30)"/>
      <sheetName val="Table 9"/>
      <sheetName val="Table 10"/>
      <sheetName val="Table 11"/>
      <sheetName val="Table 12"/>
      <sheetName val="XX Support Pages - Do Not Print"/>
      <sheetName val="Tariff Page 1"/>
      <sheetName val="OFPC Source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>
        <row r="5">
          <cell r="P5" t="str">
            <v>Annual Price</v>
          </cell>
          <cell r="T5" t="str">
            <v>HLH/LLH Factors</v>
          </cell>
        </row>
        <row r="6">
          <cell r="P6" t="str">
            <v>Year</v>
          </cell>
          <cell r="Q6" t="str">
            <v>HLH</v>
          </cell>
          <cell r="R6" t="str">
            <v>LLH</v>
          </cell>
          <cell r="S6" t="str">
            <v>Flat</v>
          </cell>
          <cell r="T6" t="str">
            <v>HLH</v>
          </cell>
          <cell r="U6" t="str">
            <v>LLH</v>
          </cell>
        </row>
        <row r="7">
          <cell r="Q7" t="str">
            <v>(a)</v>
          </cell>
          <cell r="R7" t="str">
            <v>(b)</v>
          </cell>
          <cell r="S7" t="str">
            <v>(c)</v>
          </cell>
          <cell r="T7" t="str">
            <v>(d)</v>
          </cell>
          <cell r="U7" t="str">
            <v>(e)</v>
          </cell>
        </row>
        <row r="8">
          <cell r="J8">
            <v>42005</v>
          </cell>
          <cell r="K8">
            <v>23.785487297579181</v>
          </cell>
          <cell r="L8">
            <v>19.806235531190044</v>
          </cell>
          <cell r="M8">
            <v>22.074409038031853</v>
          </cell>
          <cell r="T8" t="str">
            <v>(a)/(c)</v>
          </cell>
          <cell r="U8" t="str">
            <v>(b)/(c)</v>
          </cell>
        </row>
        <row r="9">
          <cell r="J9">
            <v>42036</v>
          </cell>
          <cell r="K9">
            <v>21.291715830258994</v>
          </cell>
          <cell r="L9">
            <v>12.085937206859114</v>
          </cell>
          <cell r="M9">
            <v>17.333231022197044</v>
          </cell>
        </row>
        <row r="10">
          <cell r="J10">
            <v>42064</v>
          </cell>
          <cell r="K10">
            <v>19.925449308740411</v>
          </cell>
          <cell r="L10">
            <v>15.339238234216703</v>
          </cell>
          <cell r="M10">
            <v>17.953378546695216</v>
          </cell>
          <cell r="P10">
            <v>2024</v>
          </cell>
          <cell r="Q10">
            <v>40.234360833333334</v>
          </cell>
          <cell r="R10">
            <v>32.53317666666667</v>
          </cell>
          <cell r="S10">
            <v>36.851123230456444</v>
          </cell>
          <cell r="T10">
            <v>1.0918082627147911</v>
          </cell>
          <cell r="U10">
            <v>0.88282727403486283</v>
          </cell>
        </row>
        <row r="11">
          <cell r="J11">
            <v>42095</v>
          </cell>
          <cell r="K11">
            <v>20.381100118446795</v>
          </cell>
          <cell r="L11">
            <v>17.068839018130912</v>
          </cell>
          <cell r="M11">
            <v>18.956827845310965</v>
          </cell>
          <cell r="P11">
            <v>2025</v>
          </cell>
          <cell r="Q11">
            <v>42.701166666666666</v>
          </cell>
          <cell r="R11">
            <v>34.631223333333331</v>
          </cell>
          <cell r="S11">
            <v>39.149629846800622</v>
          </cell>
          <cell r="T11">
            <v>1.0907169961443781</v>
          </cell>
          <cell r="U11">
            <v>0.88458622645607099</v>
          </cell>
        </row>
        <row r="12">
          <cell r="J12">
            <v>42125</v>
          </cell>
          <cell r="K12">
            <v>26.676991265709848</v>
          </cell>
          <cell r="L12">
            <v>23.173832127312963</v>
          </cell>
          <cell r="M12">
            <v>25.170632836199186</v>
          </cell>
          <cell r="P12">
            <v>2026</v>
          </cell>
          <cell r="Q12">
            <v>44.195540833333325</v>
          </cell>
          <cell r="R12">
            <v>35.783108333333338</v>
          </cell>
          <cell r="S12">
            <v>40.50154561194838</v>
          </cell>
          <cell r="T12">
            <v>1.0912062778240044</v>
          </cell>
          <cell r="U12">
            <v>0.88349982186301912</v>
          </cell>
        </row>
        <row r="13">
          <cell r="J13">
            <v>42156</v>
          </cell>
          <cell r="K13">
            <v>37.322733874632789</v>
          </cell>
          <cell r="L13">
            <v>24.615597772880243</v>
          </cell>
          <cell r="M13">
            <v>31.858665350879193</v>
          </cell>
          <cell r="P13">
            <v>2027</v>
          </cell>
          <cell r="Q13">
            <v>46.313721666666673</v>
          </cell>
          <cell r="R13">
            <v>37.58096333333333</v>
          </cell>
          <cell r="S13">
            <v>42.47817612083913</v>
          </cell>
          <cell r="T13">
            <v>1.0902944969886756</v>
          </cell>
          <cell r="U13">
            <v>0.88471226322018792</v>
          </cell>
        </row>
        <row r="14">
          <cell r="J14">
            <v>42186</v>
          </cell>
          <cell r="K14">
            <v>40.152853906114792</v>
          </cell>
          <cell r="L14">
            <v>24.660463542903482</v>
          </cell>
          <cell r="M14">
            <v>33.491126049933925</v>
          </cell>
          <cell r="P14">
            <v>2028</v>
          </cell>
          <cell r="Q14">
            <v>48.839144999999995</v>
          </cell>
          <cell r="R14">
            <v>40.069640833333331</v>
          </cell>
          <cell r="S14">
            <v>44.981869826716185</v>
          </cell>
          <cell r="T14">
            <v>1.0857517748404681</v>
          </cell>
          <cell r="U14">
            <v>0.89079535794518439</v>
          </cell>
        </row>
        <row r="15">
          <cell r="J15">
            <v>42217</v>
          </cell>
          <cell r="K15">
            <v>31.865750733301777</v>
          </cell>
          <cell r="L15">
            <v>23.31645309587072</v>
          </cell>
          <cell r="M15">
            <v>28.18955274920642</v>
          </cell>
          <cell r="P15">
            <v>2029</v>
          </cell>
          <cell r="Q15">
            <v>50.089875833333338</v>
          </cell>
          <cell r="R15">
            <v>41.34504583333333</v>
          </cell>
          <cell r="S15">
            <v>46.251120536987266</v>
          </cell>
          <cell r="T15">
            <v>1.0829981036519147</v>
          </cell>
          <cell r="U15">
            <v>0.89392527907014663</v>
          </cell>
        </row>
        <row r="16">
          <cell r="J16">
            <v>42248</v>
          </cell>
          <cell r="K16">
            <v>27.384399892172524</v>
          </cell>
          <cell r="L16">
            <v>23.254535731877322</v>
          </cell>
          <cell r="M16">
            <v>25.608558303245587</v>
          </cell>
          <cell r="P16">
            <v>2030</v>
          </cell>
          <cell r="Q16">
            <v>52.187535000000004</v>
          </cell>
          <cell r="R16">
            <v>42.983530833333326</v>
          </cell>
          <cell r="S16">
            <v>48.144015076549067</v>
          </cell>
          <cell r="T16">
            <v>1.0839880080010305</v>
          </cell>
          <cell r="U16">
            <v>0.8928115107348118</v>
          </cell>
        </row>
        <row r="17">
          <cell r="J17">
            <v>42278</v>
          </cell>
          <cell r="K17">
            <v>23.691494432537873</v>
          </cell>
          <cell r="L17">
            <v>21.501935483870966</v>
          </cell>
          <cell r="M17">
            <v>22.7499840846111</v>
          </cell>
          <cell r="P17">
            <v>2031</v>
          </cell>
          <cell r="Q17">
            <v>55.338625000000008</v>
          </cell>
          <cell r="R17">
            <v>45.840923333333329</v>
          </cell>
          <cell r="S17">
            <v>51.194747550238823</v>
          </cell>
          <cell r="T17">
            <v>1.080943410174934</v>
          </cell>
          <cell r="U17">
            <v>0.89542239247001587</v>
          </cell>
        </row>
        <row r="18">
          <cell r="J18">
            <v>42309</v>
          </cell>
          <cell r="K18">
            <v>22.096778999141115</v>
          </cell>
          <cell r="L18">
            <v>20.605492353584257</v>
          </cell>
          <cell r="M18">
            <v>21.455525741551668</v>
          </cell>
          <cell r="P18">
            <v>2032</v>
          </cell>
          <cell r="Q18">
            <v>56.463290833333325</v>
          </cell>
          <cell r="R18">
            <v>46.926939166666678</v>
          </cell>
          <cell r="S18">
            <v>52.272130315868509</v>
          </cell>
          <cell r="T18">
            <v>1.0801796385978262</v>
          </cell>
          <cell r="U18">
            <v>0.89774300154016939</v>
          </cell>
        </row>
        <row r="19">
          <cell r="J19">
            <v>42339</v>
          </cell>
          <cell r="K19">
            <v>21.549683426272821</v>
          </cell>
          <cell r="L19">
            <v>19.276005748613887</v>
          </cell>
          <cell r="M19">
            <v>20.572002024879481</v>
          </cell>
          <cell r="P19">
            <v>2033</v>
          </cell>
          <cell r="Q19">
            <v>57.682872500000009</v>
          </cell>
          <cell r="R19">
            <v>47.963200000000001</v>
          </cell>
          <cell r="S19">
            <v>53.414606383734444</v>
          </cell>
          <cell r="T19">
            <v>1.0799082199651913</v>
          </cell>
          <cell r="U19">
            <v>0.89794165392568581</v>
          </cell>
        </row>
        <row r="20">
          <cell r="J20">
            <v>42370</v>
          </cell>
          <cell r="K20">
            <v>24.486294135896966</v>
          </cell>
          <cell r="L20">
            <v>21.978847441981479</v>
          </cell>
          <cell r="M20">
            <v>23.408092057513304</v>
          </cell>
          <cell r="P20">
            <v>2034</v>
          </cell>
          <cell r="Q20">
            <v>58.91801916666666</v>
          </cell>
          <cell r="R20">
            <v>49.562219999999996</v>
          </cell>
          <cell r="S20">
            <v>54.796306650984356</v>
          </cell>
          <cell r="T20">
            <v>1.0752188015505286</v>
          </cell>
          <cell r="U20">
            <v>0.9044810321921517</v>
          </cell>
        </row>
        <row r="21">
          <cell r="J21">
            <v>42401</v>
          </cell>
          <cell r="K21">
            <v>23.801406379794031</v>
          </cell>
          <cell r="L21">
            <v>20.851882653228785</v>
          </cell>
          <cell r="M21">
            <v>22.533111177370973</v>
          </cell>
          <cell r="P21">
            <v>2035</v>
          </cell>
          <cell r="Q21">
            <v>60.59161666666666</v>
          </cell>
          <cell r="R21">
            <v>50.87018333333333</v>
          </cell>
          <cell r="S21">
            <v>56.322083962256833</v>
          </cell>
          <cell r="T21">
            <v>1.0758056592378751</v>
          </cell>
          <cell r="U21">
            <v>0.90320136888796598</v>
          </cell>
        </row>
        <row r="22">
          <cell r="J22">
            <v>42430</v>
          </cell>
          <cell r="K22">
            <v>20.131875236863209</v>
          </cell>
          <cell r="L22">
            <v>17.543107525038899</v>
          </cell>
          <cell r="M22">
            <v>19.018705120778755</v>
          </cell>
          <cell r="P22">
            <v>2036</v>
          </cell>
          <cell r="Q22">
            <v>61.740465</v>
          </cell>
          <cell r="R22">
            <v>52.053042500000004</v>
          </cell>
          <cell r="S22">
            <v>57.482592700318101</v>
          </cell>
          <cell r="T22">
            <v>1.0740723773870127</v>
          </cell>
          <cell r="U22">
            <v>0.90554444493092512</v>
          </cell>
        </row>
        <row r="23">
          <cell r="J23">
            <v>42461</v>
          </cell>
          <cell r="K23">
            <v>18.681027162944986</v>
          </cell>
          <cell r="L23">
            <v>13.759514434837946</v>
          </cell>
          <cell r="M23">
            <v>16.564776689858959</v>
          </cell>
          <cell r="P23">
            <v>2037</v>
          </cell>
          <cell r="Q23">
            <v>63.823340000000002</v>
          </cell>
          <cell r="R23">
            <v>53.978084166666662</v>
          </cell>
          <cell r="S23">
            <v>59.495757520429883</v>
          </cell>
          <cell r="T23">
            <v>1.072737665002149</v>
          </cell>
          <cell r="U23">
            <v>0.90725938144634022</v>
          </cell>
        </row>
        <row r="24">
          <cell r="J24">
            <v>42491</v>
          </cell>
          <cell r="K24">
            <v>17.449270932402698</v>
          </cell>
          <cell r="L24">
            <v>10.617283069648192</v>
          </cell>
          <cell r="M24">
            <v>14.51151615141826</v>
          </cell>
          <cell r="P24">
            <v>2038</v>
          </cell>
          <cell r="Q24">
            <v>65.349897499999997</v>
          </cell>
          <cell r="R24">
            <v>56.089000833333337</v>
          </cell>
          <cell r="S24">
            <v>61.274502831085613</v>
          </cell>
          <cell r="T24">
            <v>1.0665104485653512</v>
          </cell>
          <cell r="U24">
            <v>0.91537259776636526</v>
          </cell>
        </row>
        <row r="25">
          <cell r="J25">
            <v>42522</v>
          </cell>
          <cell r="K25">
            <v>17.609162795046313</v>
          </cell>
          <cell r="L25">
            <v>9.2684269105661343</v>
          </cell>
          <cell r="M25">
            <v>14.022646364719835</v>
          </cell>
          <cell r="P25">
            <v>2039</v>
          </cell>
          <cell r="Q25">
            <v>67.611695833333329</v>
          </cell>
          <cell r="R25">
            <v>57.579707500000005</v>
          </cell>
          <cell r="S25">
            <v>63.202639845701789</v>
          </cell>
          <cell r="T25">
            <v>1.069760630226767</v>
          </cell>
          <cell r="U25">
            <v>0.91103326760671399</v>
          </cell>
        </row>
        <row r="26">
          <cell r="J26">
            <v>42552</v>
          </cell>
          <cell r="K26">
            <v>26.008863468110295</v>
          </cell>
          <cell r="L26">
            <v>18.483082449120843</v>
          </cell>
          <cell r="M26">
            <v>22.77277762994483</v>
          </cell>
          <cell r="P26">
            <v>2040</v>
          </cell>
          <cell r="Q26">
            <v>69.93328666666666</v>
          </cell>
          <cell r="R26">
            <v>59.893374166666682</v>
          </cell>
          <cell r="S26">
            <v>65.508768065849026</v>
          </cell>
          <cell r="T26">
            <v>1.0675408610397028</v>
          </cell>
          <cell r="U26">
            <v>0.91428027018401903</v>
          </cell>
        </row>
        <row r="27">
          <cell r="J27">
            <v>42583</v>
          </cell>
          <cell r="K27">
            <v>27.594859252770931</v>
          </cell>
          <cell r="L27">
            <v>21.295809914983657</v>
          </cell>
          <cell r="M27">
            <v>24.886268037522399</v>
          </cell>
          <cell r="P27">
            <v>2041</v>
          </cell>
          <cell r="Q27">
            <v>71.541750833333325</v>
          </cell>
          <cell r="R27">
            <v>61.270920833333328</v>
          </cell>
          <cell r="S27">
            <v>67.034807714218019</v>
          </cell>
          <cell r="T27">
            <v>1.0672328790488854</v>
          </cell>
          <cell r="U27">
            <v>0.91401650758129682</v>
          </cell>
        </row>
        <row r="28">
          <cell r="J28">
            <v>42614</v>
          </cell>
          <cell r="K28">
            <v>26.462973856690652</v>
          </cell>
          <cell r="L28">
            <v>22.793451325123435</v>
          </cell>
          <cell r="M28">
            <v>24.885079168116746</v>
          </cell>
        </row>
        <row r="29">
          <cell r="J29">
            <v>42644</v>
          </cell>
          <cell r="K29">
            <v>23.542702132769868</v>
          </cell>
          <cell r="L29">
            <v>20.381485696162081</v>
          </cell>
          <cell r="M29">
            <v>22.183379065028518</v>
          </cell>
        </row>
        <row r="30">
          <cell r="J30">
            <v>42675</v>
          </cell>
          <cell r="K30">
            <v>25.164109673371399</v>
          </cell>
          <cell r="L30">
            <v>21.607856200235972</v>
          </cell>
          <cell r="M30">
            <v>23.634920679923162</v>
          </cell>
        </row>
        <row r="31">
          <cell r="J31">
            <v>42705</v>
          </cell>
          <cell r="K31">
            <v>28.258211271957393</v>
          </cell>
          <cell r="L31">
            <v>22.713748413878509</v>
          </cell>
          <cell r="M31">
            <v>25.874092242983473</v>
          </cell>
        </row>
        <row r="32">
          <cell r="J32">
            <v>42736</v>
          </cell>
          <cell r="K32">
            <v>26.610427810878129</v>
          </cell>
          <cell r="L32">
            <v>23.797296426295663</v>
          </cell>
          <cell r="M32">
            <v>25.400781315507665</v>
          </cell>
        </row>
        <row r="33">
          <cell r="J33">
            <v>42767</v>
          </cell>
          <cell r="K33">
            <v>25.909545443119729</v>
          </cell>
          <cell r="L33">
            <v>22.747854371096416</v>
          </cell>
          <cell r="M33">
            <v>24.550018282149704</v>
          </cell>
        </row>
        <row r="34">
          <cell r="J34">
            <v>42795</v>
          </cell>
          <cell r="K34">
            <v>23.361212127504707</v>
          </cell>
          <cell r="L34">
            <v>21.215682896887287</v>
          </cell>
          <cell r="M34">
            <v>22.438634558339217</v>
          </cell>
        </row>
        <row r="35">
          <cell r="J35">
            <v>42826</v>
          </cell>
          <cell r="K35">
            <v>21.901474569356903</v>
          </cell>
          <cell r="L35">
            <v>15.885975890491896</v>
          </cell>
          <cell r="M35">
            <v>19.314810137444951</v>
          </cell>
        </row>
        <row r="36">
          <cell r="J36">
            <v>42856</v>
          </cell>
          <cell r="K36">
            <v>20.317396454533743</v>
          </cell>
          <cell r="L36">
            <v>11.858997179712611</v>
          </cell>
          <cell r="M36">
            <v>16.680284766360653</v>
          </cell>
        </row>
        <row r="37">
          <cell r="J37">
            <v>42887</v>
          </cell>
          <cell r="K37">
            <v>19.567108149355487</v>
          </cell>
          <cell r="L37">
            <v>11.220612353632701</v>
          </cell>
          <cell r="M37">
            <v>15.978114957194688</v>
          </cell>
        </row>
        <row r="38">
          <cell r="J38">
            <v>42917</v>
          </cell>
          <cell r="K38">
            <v>25.948742376905493</v>
          </cell>
          <cell r="L38">
            <v>17.806195909471736</v>
          </cell>
          <cell r="M38">
            <v>22.447447395908974</v>
          </cell>
        </row>
        <row r="39">
          <cell r="J39">
            <v>42948</v>
          </cell>
          <cell r="K39">
            <v>30.533541998786063</v>
          </cell>
          <cell r="L39">
            <v>22.35372369365761</v>
          </cell>
          <cell r="M39">
            <v>27.01622012758083</v>
          </cell>
        </row>
        <row r="40">
          <cell r="J40">
            <v>42979</v>
          </cell>
          <cell r="K40">
            <v>28.60406750542068</v>
          </cell>
          <cell r="L40">
            <v>24.625492661231061</v>
          </cell>
          <cell r="M40">
            <v>26.893280322419145</v>
          </cell>
        </row>
        <row r="41">
          <cell r="J41">
            <v>43009</v>
          </cell>
          <cell r="K41">
            <v>25.989913440328895</v>
          </cell>
          <cell r="L41">
            <v>23.628670382113711</v>
          </cell>
          <cell r="M41">
            <v>24.974578925296363</v>
          </cell>
        </row>
        <row r="42">
          <cell r="J42">
            <v>43040</v>
          </cell>
          <cell r="K42">
            <v>28.113163745580781</v>
          </cell>
          <cell r="L42">
            <v>24.546063644682789</v>
          </cell>
          <cell r="M42">
            <v>26.579310702194643</v>
          </cell>
        </row>
        <row r="43">
          <cell r="J43">
            <v>43070</v>
          </cell>
          <cell r="K43">
            <v>31.139757935734512</v>
          </cell>
          <cell r="L43">
            <v>25.554573205839706</v>
          </cell>
          <cell r="M43">
            <v>28.738128501879743</v>
          </cell>
        </row>
        <row r="44">
          <cell r="J44">
            <v>43101</v>
          </cell>
          <cell r="K44">
            <v>28.630777287719543</v>
          </cell>
          <cell r="L44">
            <v>25.311396386863883</v>
          </cell>
          <cell r="M44">
            <v>27.203443500351611</v>
          </cell>
        </row>
        <row r="45">
          <cell r="J45">
            <v>43132</v>
          </cell>
          <cell r="K45">
            <v>28.147454865511023</v>
          </cell>
          <cell r="L45">
            <v>24.544171124776078</v>
          </cell>
          <cell r="M45">
            <v>26.598042856994997</v>
          </cell>
        </row>
        <row r="46">
          <cell r="J46">
            <v>43160</v>
          </cell>
          <cell r="K46">
            <v>25.928937124008492</v>
          </cell>
          <cell r="L46">
            <v>23.163109089975052</v>
          </cell>
          <cell r="M46">
            <v>24.739631069374113</v>
          </cell>
        </row>
        <row r="47">
          <cell r="J47">
            <v>43191</v>
          </cell>
          <cell r="K47">
            <v>23.926099349564026</v>
          </cell>
          <cell r="L47">
            <v>17.808535582575868</v>
          </cell>
          <cell r="M47">
            <v>21.295546929759116</v>
          </cell>
          <cell r="U47">
            <v>0.84603740708183717</v>
          </cell>
          <cell r="V47">
            <v>0.15396259291816258</v>
          </cell>
        </row>
        <row r="48">
          <cell r="J48">
            <v>43221</v>
          </cell>
          <cell r="K48">
            <v>21.869745354539877</v>
          </cell>
          <cell r="L48">
            <v>14.506227195892377</v>
          </cell>
          <cell r="M48">
            <v>18.703432546321451</v>
          </cell>
        </row>
        <row r="49">
          <cell r="J49">
            <v>43252</v>
          </cell>
          <cell r="K49">
            <v>21.290968532515009</v>
          </cell>
          <cell r="L49">
            <v>13.740978319677208</v>
          </cell>
          <cell r="M49">
            <v>18.044472740994753</v>
          </cell>
        </row>
        <row r="50">
          <cell r="J50">
            <v>43282</v>
          </cell>
          <cell r="K50">
            <v>27.951055392666483</v>
          </cell>
          <cell r="L50">
            <v>19.022420599461491</v>
          </cell>
          <cell r="M50">
            <v>24.111742431588333</v>
          </cell>
        </row>
        <row r="51">
          <cell r="J51">
            <v>43313</v>
          </cell>
          <cell r="K51">
            <v>32.966684945847746</v>
          </cell>
          <cell r="L51">
            <v>22.908998099040591</v>
          </cell>
          <cell r="M51">
            <v>28.641879601720667</v>
          </cell>
        </row>
        <row r="52">
          <cell r="J52">
            <v>43344</v>
          </cell>
          <cell r="K52">
            <v>31.760542160779163</v>
          </cell>
          <cell r="L52">
            <v>27.527968507046641</v>
          </cell>
          <cell r="M52">
            <v>29.940535489674176</v>
          </cell>
        </row>
        <row r="53">
          <cell r="J53">
            <v>43374</v>
          </cell>
          <cell r="K53">
            <v>29.468658276207591</v>
          </cell>
          <cell r="L53">
            <v>26.133247323853649</v>
          </cell>
          <cell r="M53">
            <v>28.034431566695392</v>
          </cell>
        </row>
        <row r="54">
          <cell r="J54">
            <v>43405</v>
          </cell>
          <cell r="K54">
            <v>30.088737614669448</v>
          </cell>
          <cell r="L54">
            <v>26.33275976271338</v>
          </cell>
          <cell r="M54">
            <v>28.473667138328338</v>
          </cell>
        </row>
        <row r="55">
          <cell r="J55">
            <v>43435</v>
          </cell>
          <cell r="K55">
            <v>32.941209887940651</v>
          </cell>
          <cell r="L55">
            <v>27.872458924115442</v>
          </cell>
          <cell r="M55">
            <v>30.761646973495807</v>
          </cell>
        </row>
        <row r="56">
          <cell r="J56">
            <v>43466</v>
          </cell>
          <cell r="K56">
            <v>31.712489275242294</v>
          </cell>
          <cell r="L56">
            <v>26.936354878696161</v>
          </cell>
          <cell r="M56">
            <v>29.658751484727457</v>
          </cell>
        </row>
        <row r="57">
          <cell r="J57">
            <v>43497</v>
          </cell>
          <cell r="K57">
            <v>30.835402592959074</v>
          </cell>
          <cell r="L57">
            <v>26.812465517997179</v>
          </cell>
          <cell r="M57">
            <v>29.105539650725458</v>
          </cell>
        </row>
        <row r="58">
          <cell r="J58">
            <v>43525</v>
          </cell>
          <cell r="K58">
            <v>28.621915429574734</v>
          </cell>
          <cell r="L58">
            <v>25.577164974680983</v>
          </cell>
          <cell r="M58">
            <v>27.312672733970423</v>
          </cell>
        </row>
        <row r="59">
          <cell r="J59">
            <v>43556</v>
          </cell>
          <cell r="K59">
            <v>26.443074228179981</v>
          </cell>
          <cell r="L59">
            <v>19.292340728291087</v>
          </cell>
          <cell r="M59">
            <v>23.368258823227755</v>
          </cell>
        </row>
        <row r="60">
          <cell r="J60">
            <v>43586</v>
          </cell>
          <cell r="K60">
            <v>24.299465802918718</v>
          </cell>
          <cell r="L60">
            <v>16.136886504276422</v>
          </cell>
          <cell r="M60">
            <v>20.78955670450253</v>
          </cell>
        </row>
        <row r="61">
          <cell r="J61">
            <v>43617</v>
          </cell>
          <cell r="K61">
            <v>23.568072974269327</v>
          </cell>
          <cell r="L61">
            <v>15.659599382441499</v>
          </cell>
          <cell r="M61">
            <v>20.16742932978336</v>
          </cell>
        </row>
        <row r="62">
          <cell r="J62">
            <v>43647</v>
          </cell>
          <cell r="K62">
            <v>30.925149995339424</v>
          </cell>
          <cell r="L62">
            <v>19.937564650654554</v>
          </cell>
          <cell r="M62">
            <v>26.200488297124927</v>
          </cell>
        </row>
        <row r="63">
          <cell r="J63">
            <v>43678</v>
          </cell>
          <cell r="K63">
            <v>35.687791799189093</v>
          </cell>
          <cell r="L63">
            <v>23.767526389997087</v>
          </cell>
          <cell r="M63">
            <v>30.56207767323653</v>
          </cell>
        </row>
        <row r="64">
          <cell r="J64">
            <v>43709</v>
          </cell>
          <cell r="K64">
            <v>34.144843329282288</v>
          </cell>
          <cell r="L64">
            <v>27.917181599591359</v>
          </cell>
          <cell r="M64">
            <v>31.466948785515186</v>
          </cell>
        </row>
        <row r="65">
          <cell r="J65">
            <v>43739</v>
          </cell>
          <cell r="K65">
            <v>31.67789688175851</v>
          </cell>
          <cell r="L65">
            <v>27.132996379069681</v>
          </cell>
          <cell r="M65">
            <v>29.723589665602312</v>
          </cell>
        </row>
        <row r="66">
          <cell r="J66">
            <v>43770</v>
          </cell>
          <cell r="K66">
            <v>32.046545081261456</v>
          </cell>
          <cell r="L66">
            <v>27.40725949635403</v>
          </cell>
          <cell r="M66">
            <v>30.051652279751259</v>
          </cell>
        </row>
        <row r="67">
          <cell r="J67">
            <v>43800</v>
          </cell>
          <cell r="K67">
            <v>34.720098114991757</v>
          </cell>
          <cell r="L67">
            <v>28.352324326223467</v>
          </cell>
          <cell r="M67">
            <v>31.98195538582139</v>
          </cell>
        </row>
        <row r="68">
          <cell r="J68">
            <v>43831</v>
          </cell>
          <cell r="K68">
            <v>33.680304825844352</v>
          </cell>
          <cell r="L68">
            <v>28.662613580203033</v>
          </cell>
          <cell r="M68">
            <v>31.522697590218584</v>
          </cell>
        </row>
        <row r="69">
          <cell r="J69">
            <v>43862</v>
          </cell>
          <cell r="K69">
            <v>32.626697410422061</v>
          </cell>
          <cell r="L69">
            <v>28.634476412077113</v>
          </cell>
          <cell r="M69">
            <v>30.910042381133728</v>
          </cell>
        </row>
        <row r="70">
          <cell r="J70">
            <v>43891</v>
          </cell>
          <cell r="K70">
            <v>30.1830872836004</v>
          </cell>
          <cell r="L70">
            <v>27.179074268941818</v>
          </cell>
          <cell r="M70">
            <v>28.891361687297209</v>
          </cell>
        </row>
        <row r="71">
          <cell r="J71">
            <v>43922</v>
          </cell>
          <cell r="K71">
            <v>28.227572776912108</v>
          </cell>
          <cell r="L71">
            <v>20.355298064007044</v>
          </cell>
          <cell r="M71">
            <v>24.84249465036293</v>
          </cell>
        </row>
        <row r="72">
          <cell r="J72">
            <v>43952</v>
          </cell>
          <cell r="K72">
            <v>26.219011682208333</v>
          </cell>
          <cell r="L72">
            <v>16.92278350651835</v>
          </cell>
          <cell r="M72">
            <v>22.221633566661637</v>
          </cell>
        </row>
        <row r="73">
          <cell r="J73">
            <v>43983</v>
          </cell>
          <cell r="K73">
            <v>25.352232329581003</v>
          </cell>
          <cell r="L73">
            <v>16.319116204521151</v>
          </cell>
          <cell r="M73">
            <v>21.467992395805265</v>
          </cell>
        </row>
        <row r="74">
          <cell r="J74">
            <v>44013</v>
          </cell>
          <cell r="K74">
            <v>32.682881930752835</v>
          </cell>
          <cell r="L74">
            <v>22.026076777313772</v>
          </cell>
          <cell r="M74">
            <v>28.100455714774036</v>
          </cell>
        </row>
        <row r="75">
          <cell r="J75">
            <v>44044</v>
          </cell>
          <cell r="K75">
            <v>37.49153538475948</v>
          </cell>
          <cell r="L75">
            <v>25.653514055433138</v>
          </cell>
          <cell r="M75">
            <v>32.401186213149153</v>
          </cell>
        </row>
        <row r="76">
          <cell r="J76">
            <v>44075</v>
          </cell>
          <cell r="K76">
            <v>35.780428169965511</v>
          </cell>
          <cell r="L76">
            <v>29.905186853097064</v>
          </cell>
          <cell r="M76">
            <v>33.254074403712075</v>
          </cell>
        </row>
        <row r="77">
          <cell r="J77">
            <v>44105</v>
          </cell>
          <cell r="K77">
            <v>33.248582910570228</v>
          </cell>
          <cell r="L77">
            <v>29.146776520440923</v>
          </cell>
          <cell r="M77">
            <v>31.484806162814621</v>
          </cell>
        </row>
        <row r="78">
          <cell r="J78">
            <v>44136</v>
          </cell>
          <cell r="K78">
            <v>33.389774009721847</v>
          </cell>
          <cell r="L78">
            <v>29.373481254676303</v>
          </cell>
          <cell r="M78">
            <v>31.66276812505226</v>
          </cell>
        </row>
        <row r="79">
          <cell r="J79">
            <v>44166</v>
          </cell>
          <cell r="K79">
            <v>36.306635332501514</v>
          </cell>
          <cell r="L79">
            <v>30.354003815839409</v>
          </cell>
          <cell r="M79">
            <v>33.747003780336811</v>
          </cell>
        </row>
        <row r="80">
          <cell r="J80">
            <v>44197</v>
          </cell>
          <cell r="K80">
            <v>35.538718570509147</v>
          </cell>
          <cell r="L80">
            <v>30.098243272510238</v>
          </cell>
          <cell r="M80">
            <v>33.199314192369613</v>
          </cell>
        </row>
        <row r="81">
          <cell r="J81">
            <v>44228</v>
          </cell>
          <cell r="K81">
            <v>34.441695203358556</v>
          </cell>
          <cell r="L81">
            <v>29.266855297094285</v>
          </cell>
          <cell r="M81">
            <v>32.216514043664915</v>
          </cell>
        </row>
        <row r="82">
          <cell r="J82">
            <v>44256</v>
          </cell>
          <cell r="K82">
            <v>32.174954296098456</v>
          </cell>
          <cell r="L82">
            <v>27.807837773181667</v>
          </cell>
          <cell r="M82">
            <v>30.297094191244234</v>
          </cell>
        </row>
        <row r="83">
          <cell r="J83">
            <v>44287</v>
          </cell>
          <cell r="K83">
            <v>29.973960033500305</v>
          </cell>
          <cell r="L83">
            <v>21.911895091694056</v>
          </cell>
          <cell r="M83">
            <v>26.507272108523615</v>
          </cell>
        </row>
        <row r="84">
          <cell r="J84">
            <v>44317</v>
          </cell>
          <cell r="K84">
            <v>27.525178333472443</v>
          </cell>
          <cell r="L84">
            <v>18.357493208260159</v>
          </cell>
          <cell r="M84">
            <v>23.58307372963116</v>
          </cell>
        </row>
        <row r="85">
          <cell r="J85">
            <v>44348</v>
          </cell>
          <cell r="K85">
            <v>27.148949163651803</v>
          </cell>
          <cell r="L85">
            <v>17.976941919717138</v>
          </cell>
          <cell r="M85">
            <v>23.204986048759896</v>
          </cell>
        </row>
        <row r="86">
          <cell r="J86">
            <v>44378</v>
          </cell>
          <cell r="K86">
            <v>34.103562032452118</v>
          </cell>
          <cell r="L86">
            <v>24.110537683068614</v>
          </cell>
          <cell r="M86">
            <v>29.806561562217212</v>
          </cell>
        </row>
        <row r="87">
          <cell r="J87">
            <v>44409</v>
          </cell>
          <cell r="K87">
            <v>38.986344837767028</v>
          </cell>
          <cell r="L87">
            <v>26.922711793453164</v>
          </cell>
          <cell r="M87">
            <v>33.798982628712068</v>
          </cell>
        </row>
        <row r="88">
          <cell r="J88">
            <v>44440</v>
          </cell>
          <cell r="K88">
            <v>37.434497047942614</v>
          </cell>
          <cell r="L88">
            <v>31.399048309734081</v>
          </cell>
          <cell r="M88">
            <v>34.839254090512938</v>
          </cell>
        </row>
        <row r="89">
          <cell r="J89">
            <v>44470</v>
          </cell>
          <cell r="K89">
            <v>35.647784095250337</v>
          </cell>
          <cell r="L89">
            <v>29.725523730625895</v>
          </cell>
          <cell r="M89">
            <v>33.101212138461825</v>
          </cell>
        </row>
        <row r="90">
          <cell r="J90">
            <v>44501</v>
          </cell>
          <cell r="K90">
            <v>36.403057562461079</v>
          </cell>
          <cell r="L90">
            <v>31.150655795282983</v>
          </cell>
          <cell r="M90">
            <v>34.144524802574495</v>
          </cell>
        </row>
        <row r="91">
          <cell r="J91">
            <v>44531</v>
          </cell>
          <cell r="K91">
            <v>38.736995802618729</v>
          </cell>
          <cell r="L91">
            <v>32.31878590676704</v>
          </cell>
          <cell r="M91">
            <v>35.9771655474025</v>
          </cell>
        </row>
        <row r="92">
          <cell r="J92">
            <v>44562</v>
          </cell>
          <cell r="K92">
            <v>36.642906570315489</v>
          </cell>
          <cell r="L92">
            <v>30.80779615640035</v>
          </cell>
          <cell r="M92">
            <v>34.133809092331973</v>
          </cell>
        </row>
        <row r="93">
          <cell r="J93">
            <v>44593</v>
          </cell>
          <cell r="K93">
            <v>37.789078190321604</v>
          </cell>
          <cell r="L93">
            <v>32.723480241446438</v>
          </cell>
          <cell r="M93">
            <v>35.610871072305279</v>
          </cell>
        </row>
        <row r="94">
          <cell r="J94">
            <v>44621</v>
          </cell>
          <cell r="K94">
            <v>34.413280873518538</v>
          </cell>
          <cell r="L94">
            <v>29.732066425870883</v>
          </cell>
          <cell r="M94">
            <v>32.40035866103004</v>
          </cell>
        </row>
        <row r="95">
          <cell r="J95">
            <v>44652</v>
          </cell>
          <cell r="K95">
            <v>32.281156421295059</v>
          </cell>
          <cell r="L95">
            <v>25.778563568510648</v>
          </cell>
          <cell r="M95">
            <v>29.485041494597759</v>
          </cell>
        </row>
        <row r="96">
          <cell r="J96">
            <v>44682</v>
          </cell>
          <cell r="K96">
            <v>28.087133212673201</v>
          </cell>
          <cell r="L96">
            <v>21.099312090687899</v>
          </cell>
          <cell r="M96">
            <v>25.082370130219516</v>
          </cell>
        </row>
        <row r="97">
          <cell r="J97">
            <v>44713</v>
          </cell>
          <cell r="K97">
            <v>31.400920122474496</v>
          </cell>
          <cell r="L97">
            <v>23.378934903575974</v>
          </cell>
          <cell r="M97">
            <v>27.951466478348131</v>
          </cell>
        </row>
        <row r="98">
          <cell r="J98">
            <v>44743</v>
          </cell>
          <cell r="K98">
            <v>36.810354687735604</v>
          </cell>
          <cell r="L98">
            <v>28.071772035855652</v>
          </cell>
          <cell r="M98">
            <v>33.052764147427226</v>
          </cell>
        </row>
        <row r="99">
          <cell r="J99">
            <v>44774</v>
          </cell>
          <cell r="K99">
            <v>41.017683573369155</v>
          </cell>
          <cell r="L99">
            <v>29.08573020960409</v>
          </cell>
          <cell r="M99">
            <v>35.88694362695017</v>
          </cell>
        </row>
        <row r="100">
          <cell r="J100">
            <v>44805</v>
          </cell>
          <cell r="K100">
            <v>40.564012509539012</v>
          </cell>
          <cell r="L100">
            <v>33.300715795969332</v>
          </cell>
          <cell r="M100">
            <v>37.440794922704043</v>
          </cell>
        </row>
        <row r="101">
          <cell r="J101">
            <v>44835</v>
          </cell>
          <cell r="K101">
            <v>37.165669764638032</v>
          </cell>
          <cell r="L101">
            <v>30.66791463373421</v>
          </cell>
          <cell r="M101">
            <v>34.371635058349383</v>
          </cell>
        </row>
        <row r="102">
          <cell r="J102">
            <v>44866</v>
          </cell>
          <cell r="K102">
            <v>39.178441632257979</v>
          </cell>
          <cell r="L102">
            <v>32.890363279523093</v>
          </cell>
          <cell r="M102">
            <v>36.474567940581977</v>
          </cell>
        </row>
        <row r="103">
          <cell r="J103">
            <v>44896</v>
          </cell>
          <cell r="K103">
            <v>40.751413667041909</v>
          </cell>
          <cell r="L103">
            <v>33.857530686768882</v>
          </cell>
          <cell r="M103">
            <v>37.787043985524505</v>
          </cell>
        </row>
        <row r="104">
          <cell r="J104">
            <v>44927</v>
          </cell>
          <cell r="K104">
            <v>38.843501451160016</v>
          </cell>
          <cell r="L104">
            <v>32.087272152164815</v>
          </cell>
          <cell r="M104">
            <v>35.93832285259208</v>
          </cell>
        </row>
        <row r="105">
          <cell r="J105">
            <v>44958</v>
          </cell>
          <cell r="K105">
            <v>41.156463107277766</v>
          </cell>
          <cell r="L105">
            <v>34.370859266865054</v>
          </cell>
          <cell r="M105">
            <v>38.238653455900298</v>
          </cell>
        </row>
        <row r="106">
          <cell r="J106">
            <v>44986</v>
          </cell>
          <cell r="K106">
            <v>36.732416869008915</v>
          </cell>
          <cell r="L106">
            <v>30.979502500219109</v>
          </cell>
          <cell r="M106">
            <v>34.258663690429294</v>
          </cell>
        </row>
        <row r="107">
          <cell r="J107">
            <v>45017</v>
          </cell>
          <cell r="K107">
            <v>34.416551281509193</v>
          </cell>
          <cell r="L107">
            <v>29.927829116374568</v>
          </cell>
          <cell r="M107">
            <v>32.486400750501303</v>
          </cell>
        </row>
        <row r="108">
          <cell r="J108">
            <v>45047</v>
          </cell>
          <cell r="K108">
            <v>29.128795378427412</v>
          </cell>
          <cell r="L108">
            <v>23.736550097014991</v>
          </cell>
          <cell r="M108">
            <v>26.81012990742007</v>
          </cell>
        </row>
        <row r="109">
          <cell r="J109">
            <v>45078</v>
          </cell>
          <cell r="K109">
            <v>35.715943045208022</v>
          </cell>
          <cell r="L109">
            <v>27.719390633160792</v>
          </cell>
          <cell r="M109">
            <v>32.277425508027711</v>
          </cell>
        </row>
        <row r="110">
          <cell r="J110">
            <v>45108</v>
          </cell>
          <cell r="K110">
            <v>39.236040117156229</v>
          </cell>
          <cell r="L110">
            <v>32.231272345796256</v>
          </cell>
          <cell r="M110">
            <v>36.22398997547144</v>
          </cell>
        </row>
        <row r="111">
          <cell r="J111">
            <v>45139</v>
          </cell>
          <cell r="K111">
            <v>43.006934596979001</v>
          </cell>
          <cell r="L111">
            <v>31.495990979044613</v>
          </cell>
          <cell r="M111">
            <v>38.057228841267211</v>
          </cell>
        </row>
        <row r="112">
          <cell r="J112">
            <v>45170</v>
          </cell>
          <cell r="K112">
            <v>43.715377693574894</v>
          </cell>
          <cell r="L112">
            <v>35.558959443075601</v>
          </cell>
          <cell r="M112">
            <v>40.208117845860194</v>
          </cell>
        </row>
        <row r="113">
          <cell r="J113">
            <v>45200</v>
          </cell>
          <cell r="K113">
            <v>38.642350558557489</v>
          </cell>
          <cell r="L113">
            <v>33.017904923299113</v>
          </cell>
          <cell r="M113">
            <v>36.223838935396387</v>
          </cell>
        </row>
        <row r="114">
          <cell r="J114">
            <v>45231</v>
          </cell>
          <cell r="K114">
            <v>41.519414993400837</v>
          </cell>
          <cell r="L114">
            <v>34.515504521730442</v>
          </cell>
          <cell r="M114">
            <v>38.507733490582567</v>
          </cell>
        </row>
        <row r="115">
          <cell r="J115">
            <v>45261</v>
          </cell>
          <cell r="K115">
            <v>42.637692545421054</v>
          </cell>
          <cell r="L115">
            <v>35.103204867404365</v>
          </cell>
          <cell r="M115">
            <v>39.397862843873881</v>
          </cell>
        </row>
        <row r="116">
          <cell r="J116">
            <v>45292</v>
          </cell>
          <cell r="K116">
            <v>41.487269100000006</v>
          </cell>
          <cell r="L116">
            <v>35.154567799999995</v>
          </cell>
          <cell r="M116">
            <v>38.764207540999998</v>
          </cell>
        </row>
        <row r="117">
          <cell r="J117">
            <v>45323</v>
          </cell>
          <cell r="K117">
            <v>43.029638499999997</v>
          </cell>
          <cell r="L117">
            <v>36.714207399999999</v>
          </cell>
          <cell r="M117">
            <v>40.314003126999999</v>
          </cell>
        </row>
        <row r="118">
          <cell r="J118">
            <v>45352</v>
          </cell>
          <cell r="K118">
            <v>38.720404199999997</v>
          </cell>
          <cell r="L118">
            <v>34.101708500000001</v>
          </cell>
          <cell r="M118">
            <v>36.734365048999997</v>
          </cell>
        </row>
        <row r="119">
          <cell r="J119">
            <v>45383</v>
          </cell>
          <cell r="K119">
            <v>36.958962700000001</v>
          </cell>
          <cell r="L119">
            <v>33.048196799999999</v>
          </cell>
          <cell r="M119">
            <v>35.277333362999997</v>
          </cell>
        </row>
        <row r="120">
          <cell r="J120">
            <v>45413</v>
          </cell>
          <cell r="K120">
            <v>29.738377499999999</v>
          </cell>
          <cell r="L120">
            <v>25.972135999999999</v>
          </cell>
          <cell r="M120">
            <v>28.118893654999994</v>
          </cell>
        </row>
        <row r="121">
          <cell r="J121">
            <v>45444</v>
          </cell>
          <cell r="K121">
            <v>35.975518199999996</v>
          </cell>
          <cell r="L121">
            <v>29.846802000000004</v>
          </cell>
          <cell r="M121">
            <v>33.340170233999999</v>
          </cell>
        </row>
        <row r="122">
          <cell r="J122">
            <v>45474</v>
          </cell>
          <cell r="K122">
            <v>41.237815200000007</v>
          </cell>
          <cell r="L122">
            <v>32.739345</v>
          </cell>
          <cell r="M122">
            <v>37.583473013999999</v>
          </cell>
        </row>
        <row r="123">
          <cell r="J123">
            <v>45505</v>
          </cell>
          <cell r="K123">
            <v>45.936894000000002</v>
          </cell>
          <cell r="L123">
            <v>35.334221100000008</v>
          </cell>
          <cell r="M123">
            <v>41.377744653000008</v>
          </cell>
        </row>
        <row r="124">
          <cell r="J124">
            <v>45536</v>
          </cell>
          <cell r="K124">
            <v>47.369253999999998</v>
          </cell>
          <cell r="L124">
            <v>37.765206400000004</v>
          </cell>
          <cell r="M124">
            <v>43.239513532000004</v>
          </cell>
        </row>
        <row r="125">
          <cell r="J125">
            <v>45566</v>
          </cell>
          <cell r="K125">
            <v>41.234943000000001</v>
          </cell>
          <cell r="L125">
            <v>35.24537740000001</v>
          </cell>
          <cell r="M125">
            <v>38.659429791999997</v>
          </cell>
        </row>
        <row r="126">
          <cell r="J126">
            <v>45597</v>
          </cell>
          <cell r="K126">
            <v>44.069286000000005</v>
          </cell>
          <cell r="L126">
            <v>36.526226900000005</v>
          </cell>
          <cell r="M126">
            <v>40.825770587000001</v>
          </cell>
        </row>
        <row r="127">
          <cell r="J127">
            <v>45627</v>
          </cell>
          <cell r="K127">
            <v>45.411766400000005</v>
          </cell>
          <cell r="L127">
            <v>38.222541800000002</v>
          </cell>
          <cell r="M127">
            <v>42.320399821999999</v>
          </cell>
        </row>
        <row r="128">
          <cell r="J128">
            <v>45658</v>
          </cell>
          <cell r="K128">
            <v>43.957384599999997</v>
          </cell>
          <cell r="L128">
            <v>37.208582100000001</v>
          </cell>
          <cell r="M128">
            <v>41.055399524999999</v>
          </cell>
        </row>
        <row r="129">
          <cell r="J129">
            <v>45689</v>
          </cell>
          <cell r="K129">
            <v>46.293465099999999</v>
          </cell>
          <cell r="L129">
            <v>39.351360200000002</v>
          </cell>
          <cell r="M129">
            <v>43.308359992999996</v>
          </cell>
        </row>
        <row r="130">
          <cell r="J130">
            <v>45717</v>
          </cell>
          <cell r="K130">
            <v>41.290517100000002</v>
          </cell>
          <cell r="L130">
            <v>36.165576300000005</v>
          </cell>
          <cell r="M130">
            <v>39.086792556000006</v>
          </cell>
        </row>
        <row r="131">
          <cell r="J131">
            <v>45748</v>
          </cell>
          <cell r="K131">
            <v>39.274839699999994</v>
          </cell>
          <cell r="L131">
            <v>34.974193999999997</v>
          </cell>
          <cell r="M131">
            <v>37.425562048999993</v>
          </cell>
        </row>
        <row r="132">
          <cell r="J132">
            <v>45778</v>
          </cell>
          <cell r="K132">
            <v>31.515341400000001</v>
          </cell>
          <cell r="L132">
            <v>27.459721400000006</v>
          </cell>
          <cell r="M132">
            <v>29.771424799999998</v>
          </cell>
        </row>
        <row r="133">
          <cell r="J133">
            <v>45809</v>
          </cell>
          <cell r="K133">
            <v>38.891174999999997</v>
          </cell>
          <cell r="L133">
            <v>31.539093700000002</v>
          </cell>
          <cell r="M133">
            <v>35.729780040999998</v>
          </cell>
        </row>
        <row r="134">
          <cell r="J134">
            <v>45839</v>
          </cell>
          <cell r="K134">
            <v>43.936765799999996</v>
          </cell>
          <cell r="L134">
            <v>35.139003700000004</v>
          </cell>
          <cell r="M134">
            <v>40.153728096999998</v>
          </cell>
        </row>
        <row r="135">
          <cell r="J135">
            <v>45870</v>
          </cell>
          <cell r="K135">
            <v>49.365698000000009</v>
          </cell>
          <cell r="L135">
            <v>38.682619600000002</v>
          </cell>
          <cell r="M135">
            <v>44.771974288000003</v>
          </cell>
        </row>
        <row r="136">
          <cell r="J136">
            <v>45901</v>
          </cell>
          <cell r="K136">
            <v>50.630898899999998</v>
          </cell>
          <cell r="L136">
            <v>40.352653500000002</v>
          </cell>
          <cell r="M136">
            <v>46.211253377999995</v>
          </cell>
        </row>
        <row r="137">
          <cell r="J137">
            <v>45931</v>
          </cell>
          <cell r="K137">
            <v>43.418008100000002</v>
          </cell>
          <cell r="L137">
            <v>37.470909599999999</v>
          </cell>
          <cell r="M137">
            <v>40.860755744999999</v>
          </cell>
        </row>
        <row r="138">
          <cell r="J138">
            <v>45962</v>
          </cell>
          <cell r="K138">
            <v>45.1162414</v>
          </cell>
          <cell r="L138">
            <v>37.974275599999999</v>
          </cell>
          <cell r="M138">
            <v>42.045196105999999</v>
          </cell>
        </row>
        <row r="139">
          <cell r="J139">
            <v>45992</v>
          </cell>
          <cell r="K139">
            <v>47.259897600000002</v>
          </cell>
          <cell r="L139">
            <v>39.545180800000004</v>
          </cell>
          <cell r="M139">
            <v>43.942569376000002</v>
          </cell>
        </row>
        <row r="140">
          <cell r="J140">
            <v>46023</v>
          </cell>
          <cell r="K140">
            <v>45.733458299999995</v>
          </cell>
          <cell r="L140">
            <v>38.534884699999999</v>
          </cell>
          <cell r="M140">
            <v>42.638071651999994</v>
          </cell>
        </row>
        <row r="141">
          <cell r="J141">
            <v>46054</v>
          </cell>
          <cell r="K141">
            <v>48.238484800000002</v>
          </cell>
          <cell r="L141">
            <v>40.829286000000003</v>
          </cell>
          <cell r="M141">
            <v>45.052529316000005</v>
          </cell>
        </row>
        <row r="142">
          <cell r="J142">
            <v>46082</v>
          </cell>
          <cell r="K142">
            <v>42.420858500000001</v>
          </cell>
          <cell r="L142">
            <v>37.228261600000003</v>
          </cell>
          <cell r="M142">
            <v>40.188041833</v>
          </cell>
        </row>
        <row r="143">
          <cell r="J143">
            <v>46113</v>
          </cell>
          <cell r="K143">
            <v>40.291051899999999</v>
          </cell>
          <cell r="L143">
            <v>35.793675300000004</v>
          </cell>
          <cell r="M143">
            <v>38.357179962000004</v>
          </cell>
        </row>
        <row r="144">
          <cell r="J144">
            <v>46143</v>
          </cell>
          <cell r="K144">
            <v>32.983024499999999</v>
          </cell>
          <cell r="L144">
            <v>30.604773000000002</v>
          </cell>
          <cell r="M144">
            <v>31.960376354999998</v>
          </cell>
        </row>
        <row r="145">
          <cell r="J145">
            <v>46174</v>
          </cell>
          <cell r="K145">
            <v>39.840611700000004</v>
          </cell>
          <cell r="L145">
            <v>31.895895400000004</v>
          </cell>
          <cell r="M145">
            <v>36.424383691000003</v>
          </cell>
        </row>
        <row r="146">
          <cell r="J146">
            <v>46204</v>
          </cell>
          <cell r="K146">
            <v>45.275484499999997</v>
          </cell>
          <cell r="L146">
            <v>36.562843599999994</v>
          </cell>
          <cell r="M146">
            <v>41.529048912999997</v>
          </cell>
        </row>
        <row r="147">
          <cell r="J147">
            <v>46235</v>
          </cell>
          <cell r="K147">
            <v>50.605581999999998</v>
          </cell>
          <cell r="L147">
            <v>39.651285000000001</v>
          </cell>
          <cell r="M147">
            <v>45.895234289999998</v>
          </cell>
        </row>
        <row r="148">
          <cell r="J148">
            <v>46266</v>
          </cell>
          <cell r="K148">
            <v>51.933137000000002</v>
          </cell>
          <cell r="L148">
            <v>41.286541100000001</v>
          </cell>
          <cell r="M148">
            <v>47.355100762999996</v>
          </cell>
        </row>
        <row r="149">
          <cell r="J149">
            <v>46296</v>
          </cell>
          <cell r="K149">
            <v>44.782392199999997</v>
          </cell>
          <cell r="L149">
            <v>38.274518800000003</v>
          </cell>
          <cell r="M149">
            <v>41.984006637999997</v>
          </cell>
        </row>
        <row r="150">
          <cell r="J150">
            <v>46327</v>
          </cell>
          <cell r="K150">
            <v>47.6637147</v>
          </cell>
          <cell r="L150">
            <v>39.7684827</v>
          </cell>
          <cell r="M150">
            <v>44.268764939999997</v>
          </cell>
        </row>
        <row r="151">
          <cell r="J151">
            <v>46357</v>
          </cell>
          <cell r="K151">
            <v>49.076920999999999</v>
          </cell>
          <cell r="L151">
            <v>40.995555500000009</v>
          </cell>
          <cell r="M151">
            <v>45.601933834999997</v>
          </cell>
        </row>
        <row r="152">
          <cell r="J152">
            <v>46388</v>
          </cell>
          <cell r="K152">
            <v>47.100335100000002</v>
          </cell>
          <cell r="L152">
            <v>40.214018700000004</v>
          </cell>
          <cell r="M152">
            <v>44.139219048000001</v>
          </cell>
        </row>
        <row r="153">
          <cell r="J153">
            <v>46419</v>
          </cell>
          <cell r="K153">
            <v>49.329792699999999</v>
          </cell>
          <cell r="L153">
            <v>41.793924099999998</v>
          </cell>
          <cell r="M153">
            <v>46.089369201999993</v>
          </cell>
        </row>
        <row r="154">
          <cell r="J154">
            <v>46447</v>
          </cell>
          <cell r="K154">
            <v>44.452130199999999</v>
          </cell>
          <cell r="L154">
            <v>38.501808100000005</v>
          </cell>
          <cell r="M154">
            <v>41.893491697000002</v>
          </cell>
        </row>
        <row r="155">
          <cell r="J155">
            <v>46478</v>
          </cell>
          <cell r="K155">
            <v>41.314754000000008</v>
          </cell>
          <cell r="L155">
            <v>36.900202900000004</v>
          </cell>
          <cell r="M155">
            <v>39.416497027000005</v>
          </cell>
        </row>
        <row r="156">
          <cell r="J156">
            <v>46508</v>
          </cell>
          <cell r="K156">
            <v>33.7668605</v>
          </cell>
          <cell r="L156">
            <v>31.383099700000002</v>
          </cell>
          <cell r="M156">
            <v>32.741843355999997</v>
          </cell>
        </row>
        <row r="157">
          <cell r="J157">
            <v>46539</v>
          </cell>
          <cell r="K157">
            <v>41.960735</v>
          </cell>
          <cell r="L157">
            <v>33.5107128</v>
          </cell>
          <cell r="M157">
            <v>38.327225454000001</v>
          </cell>
        </row>
        <row r="158">
          <cell r="J158">
            <v>46569</v>
          </cell>
          <cell r="K158">
            <v>47.055763800000001</v>
          </cell>
          <cell r="L158">
            <v>37.995721000000003</v>
          </cell>
          <cell r="M158">
            <v>43.159945395999998</v>
          </cell>
        </row>
        <row r="159">
          <cell r="J159">
            <v>46600</v>
          </cell>
          <cell r="K159">
            <v>52.807780000000008</v>
          </cell>
          <cell r="L159">
            <v>41.227066200000003</v>
          </cell>
          <cell r="M159">
            <v>47.828073066000002</v>
          </cell>
        </row>
        <row r="160">
          <cell r="J160">
            <v>46631</v>
          </cell>
          <cell r="K160">
            <v>54.180534899999998</v>
          </cell>
          <cell r="L160">
            <v>43.433305700000005</v>
          </cell>
          <cell r="M160">
            <v>49.559226343999995</v>
          </cell>
        </row>
        <row r="161">
          <cell r="J161">
            <v>46661</v>
          </cell>
          <cell r="K161">
            <v>48.207409600000005</v>
          </cell>
          <cell r="L161">
            <v>41.3009348</v>
          </cell>
          <cell r="M161">
            <v>45.237625436000002</v>
          </cell>
        </row>
        <row r="162">
          <cell r="J162">
            <v>46692</v>
          </cell>
          <cell r="K162">
            <v>51.874747800000002</v>
          </cell>
          <cell r="L162">
            <v>42.938152500000001</v>
          </cell>
          <cell r="M162">
            <v>48.032011820999998</v>
          </cell>
        </row>
        <row r="163">
          <cell r="J163">
            <v>46722</v>
          </cell>
          <cell r="K163">
            <v>52.146987000000003</v>
          </cell>
          <cell r="L163">
            <v>43.475775999999996</v>
          </cell>
          <cell r="M163">
            <v>48.418366269999993</v>
          </cell>
        </row>
        <row r="164">
          <cell r="J164">
            <v>46753</v>
          </cell>
          <cell r="K164">
            <v>49.686568399999999</v>
          </cell>
          <cell r="L164">
            <v>42.936942600000002</v>
          </cell>
          <cell r="M164">
            <v>46.784229306</v>
          </cell>
        </row>
        <row r="165">
          <cell r="J165">
            <v>46784</v>
          </cell>
          <cell r="K165">
            <v>52.209170299999997</v>
          </cell>
          <cell r="L165">
            <v>44.736397100000005</v>
          </cell>
          <cell r="M165">
            <v>48.995877823999997</v>
          </cell>
        </row>
        <row r="166">
          <cell r="J166">
            <v>46813</v>
          </cell>
          <cell r="K166">
            <v>46.7954206</v>
          </cell>
          <cell r="L166">
            <v>40.934911600000007</v>
          </cell>
          <cell r="M166">
            <v>44.275401729999999</v>
          </cell>
        </row>
        <row r="167">
          <cell r="J167">
            <v>46844</v>
          </cell>
          <cell r="K167">
            <v>43.869229799999999</v>
          </cell>
          <cell r="L167">
            <v>39.497403599999998</v>
          </cell>
          <cell r="M167">
            <v>41.989344533999997</v>
          </cell>
        </row>
        <row r="168">
          <cell r="J168">
            <v>46874</v>
          </cell>
          <cell r="K168">
            <v>36.995133699999997</v>
          </cell>
          <cell r="L168">
            <v>33.570160700000002</v>
          </cell>
          <cell r="M168">
            <v>35.52239531</v>
          </cell>
        </row>
        <row r="169">
          <cell r="J169">
            <v>46905</v>
          </cell>
          <cell r="K169">
            <v>45.315703899999995</v>
          </cell>
          <cell r="L169">
            <v>36.225361500000005</v>
          </cell>
          <cell r="M169">
            <v>41.406856667999996</v>
          </cell>
        </row>
        <row r="170">
          <cell r="J170">
            <v>46935</v>
          </cell>
          <cell r="K170">
            <v>50.056565599999999</v>
          </cell>
          <cell r="L170">
            <v>41.258343800000006</v>
          </cell>
          <cell r="M170">
            <v>46.273330225999999</v>
          </cell>
        </row>
        <row r="171">
          <cell r="J171">
            <v>46966</v>
          </cell>
          <cell r="K171">
            <v>55.534950999999992</v>
          </cell>
          <cell r="L171">
            <v>43.535669100000007</v>
          </cell>
          <cell r="M171">
            <v>50.375259782999997</v>
          </cell>
        </row>
        <row r="172">
          <cell r="J172">
            <v>46997</v>
          </cell>
          <cell r="K172">
            <v>56.395310500000001</v>
          </cell>
          <cell r="L172">
            <v>46.142777699999996</v>
          </cell>
          <cell r="M172">
            <v>51.986721395999993</v>
          </cell>
        </row>
        <row r="173">
          <cell r="J173">
            <v>47027</v>
          </cell>
          <cell r="K173">
            <v>50.706861799999999</v>
          </cell>
          <cell r="L173">
            <v>43.7123864</v>
          </cell>
          <cell r="M173">
            <v>47.699237377999992</v>
          </cell>
        </row>
        <row r="174">
          <cell r="J174">
            <v>47058</v>
          </cell>
          <cell r="K174">
            <v>53.140662399999997</v>
          </cell>
          <cell r="L174">
            <v>44.327889900000002</v>
          </cell>
          <cell r="M174">
            <v>49.351170224999997</v>
          </cell>
        </row>
        <row r="175">
          <cell r="J175">
            <v>47088</v>
          </cell>
          <cell r="K175">
            <v>53.983687799999998</v>
          </cell>
          <cell r="L175">
            <v>46.047636400000002</v>
          </cell>
          <cell r="M175">
            <v>50.571185697999994</v>
          </cell>
        </row>
        <row r="176">
          <cell r="J176">
            <v>47119</v>
          </cell>
          <cell r="K176">
            <v>51.938376400000003</v>
          </cell>
          <cell r="L176">
            <v>44.2995892</v>
          </cell>
          <cell r="M176">
            <v>48.653697903999998</v>
          </cell>
        </row>
        <row r="177">
          <cell r="J177">
            <v>47150</v>
          </cell>
          <cell r="K177">
            <v>55.065736099999995</v>
          </cell>
          <cell r="L177">
            <v>46.872014100000001</v>
          </cell>
          <cell r="M177">
            <v>51.542435639999994</v>
          </cell>
        </row>
        <row r="178">
          <cell r="J178">
            <v>47178</v>
          </cell>
          <cell r="K178">
            <v>48.856930599999998</v>
          </cell>
          <cell r="L178">
            <v>43.179939400000002</v>
          </cell>
          <cell r="M178">
            <v>46.415824383999997</v>
          </cell>
        </row>
        <row r="179">
          <cell r="J179">
            <v>47209</v>
          </cell>
          <cell r="K179">
            <v>46.855847300000008</v>
          </cell>
          <cell r="L179">
            <v>42.254471600000002</v>
          </cell>
          <cell r="M179">
            <v>44.877255749</v>
          </cell>
        </row>
        <row r="180">
          <cell r="J180">
            <v>47239</v>
          </cell>
          <cell r="K180">
            <v>39.566498000000003</v>
          </cell>
          <cell r="L180">
            <v>36.183833199999995</v>
          </cell>
          <cell r="M180">
            <v>38.111952135999999</v>
          </cell>
        </row>
        <row r="181">
          <cell r="J181">
            <v>47270</v>
          </cell>
          <cell r="K181">
            <v>44.747074400000002</v>
          </cell>
          <cell r="L181">
            <v>37.092243800000006</v>
          </cell>
          <cell r="M181">
            <v>41.455497242</v>
          </cell>
        </row>
        <row r="182">
          <cell r="J182">
            <v>47300</v>
          </cell>
          <cell r="K182">
            <v>50.818523700000007</v>
          </cell>
          <cell r="L182">
            <v>42.057327199999996</v>
          </cell>
          <cell r="M182">
            <v>47.051209204999999</v>
          </cell>
        </row>
        <row r="183">
          <cell r="J183">
            <v>47331</v>
          </cell>
          <cell r="K183">
            <v>57.280957999999998</v>
          </cell>
          <cell r="L183">
            <v>44.6713053</v>
          </cell>
          <cell r="M183">
            <v>51.858807338999995</v>
          </cell>
        </row>
        <row r="184">
          <cell r="J184">
            <v>47362</v>
          </cell>
          <cell r="K184">
            <v>57.686473800000002</v>
          </cell>
          <cell r="L184">
            <v>47.595587000000002</v>
          </cell>
          <cell r="M184">
            <v>53.347392475999996</v>
          </cell>
        </row>
        <row r="185">
          <cell r="J185">
            <v>47392</v>
          </cell>
          <cell r="K185">
            <v>50.278776599999993</v>
          </cell>
          <cell r="L185">
            <v>43.644951400000004</v>
          </cell>
          <cell r="M185">
            <v>47.426231763999994</v>
          </cell>
        </row>
        <row r="186">
          <cell r="J186">
            <v>47423</v>
          </cell>
          <cell r="K186">
            <v>51.896645400000004</v>
          </cell>
          <cell r="L186">
            <v>44.086376900000005</v>
          </cell>
          <cell r="M186">
            <v>48.538229944999998</v>
          </cell>
        </row>
        <row r="187">
          <cell r="J187">
            <v>47453</v>
          </cell>
          <cell r="K187">
            <v>53.808254300000002</v>
          </cell>
          <cell r="L187">
            <v>46.158712700000002</v>
          </cell>
          <cell r="M187">
            <v>50.518951412</v>
          </cell>
        </row>
        <row r="188">
          <cell r="J188">
            <v>47484</v>
          </cell>
          <cell r="K188">
            <v>52.580855499999998</v>
          </cell>
          <cell r="L188">
            <v>44.5947137</v>
          </cell>
          <cell r="M188">
            <v>49.146814526</v>
          </cell>
        </row>
        <row r="189">
          <cell r="J189">
            <v>47515</v>
          </cell>
          <cell r="K189">
            <v>55.874215599999999</v>
          </cell>
          <cell r="L189">
            <v>47.684077800000004</v>
          </cell>
          <cell r="M189">
            <v>52.352456345999997</v>
          </cell>
        </row>
        <row r="190">
          <cell r="J190">
            <v>47543</v>
          </cell>
          <cell r="K190">
            <v>50.140831899999995</v>
          </cell>
          <cell r="L190">
            <v>44.401868800000003</v>
          </cell>
          <cell r="M190">
            <v>47.673077766999995</v>
          </cell>
        </row>
        <row r="191">
          <cell r="J191">
            <v>47574</v>
          </cell>
          <cell r="K191">
            <v>47.55602240000001</v>
          </cell>
          <cell r="L191">
            <v>42.721305300000004</v>
          </cell>
          <cell r="M191">
            <v>45.477094047000008</v>
          </cell>
        </row>
        <row r="192">
          <cell r="J192">
            <v>47604</v>
          </cell>
          <cell r="K192">
            <v>39.645007999999997</v>
          </cell>
          <cell r="L192">
            <v>36.481392700000001</v>
          </cell>
          <cell r="M192">
            <v>38.284653420999994</v>
          </cell>
        </row>
        <row r="193">
          <cell r="J193">
            <v>47635</v>
          </cell>
          <cell r="K193">
            <v>46.165172500000004</v>
          </cell>
          <cell r="L193">
            <v>38.981926300000005</v>
          </cell>
          <cell r="M193">
            <v>43.076376633999999</v>
          </cell>
        </row>
        <row r="194">
          <cell r="J194">
            <v>47665</v>
          </cell>
          <cell r="K194">
            <v>52.565380300000001</v>
          </cell>
          <cell r="L194">
            <v>43.246337400000002</v>
          </cell>
          <cell r="M194">
            <v>48.558191852999997</v>
          </cell>
        </row>
        <row r="195">
          <cell r="J195">
            <v>47696</v>
          </cell>
          <cell r="K195">
            <v>59.745545999999997</v>
          </cell>
          <cell r="L195">
            <v>46.645657800000002</v>
          </cell>
          <cell r="M195">
            <v>54.112594074</v>
          </cell>
        </row>
        <row r="196">
          <cell r="J196">
            <v>47727</v>
          </cell>
          <cell r="K196">
            <v>61.246085799999996</v>
          </cell>
          <cell r="L196">
            <v>49.965252899999996</v>
          </cell>
          <cell r="M196">
            <v>56.395327652999988</v>
          </cell>
        </row>
        <row r="197">
          <cell r="J197">
            <v>47757</v>
          </cell>
          <cell r="K197">
            <v>53.880208500000009</v>
          </cell>
          <cell r="L197">
            <v>46.895398</v>
          </cell>
          <cell r="M197">
            <v>50.876739985</v>
          </cell>
        </row>
        <row r="198">
          <cell r="J198">
            <v>47788</v>
          </cell>
          <cell r="K198">
            <v>56.029132600000004</v>
          </cell>
          <cell r="L198">
            <v>47.564411800000002</v>
          </cell>
          <cell r="M198">
            <v>52.389302655999998</v>
          </cell>
        </row>
        <row r="199">
          <cell r="J199">
            <v>47818</v>
          </cell>
          <cell r="K199">
            <v>57.411308699999999</v>
          </cell>
          <cell r="L199">
            <v>49.261281400000001</v>
          </cell>
          <cell r="M199">
            <v>53.906796960999998</v>
          </cell>
        </row>
        <row r="200">
          <cell r="J200">
            <v>47849</v>
          </cell>
          <cell r="K200">
            <v>56.755923200000012</v>
          </cell>
          <cell r="L200">
            <v>48.333595099999997</v>
          </cell>
          <cell r="M200">
            <v>53.134322117000004</v>
          </cell>
        </row>
        <row r="201">
          <cell r="J201">
            <v>47880</v>
          </cell>
          <cell r="K201">
            <v>60.366960399999996</v>
          </cell>
          <cell r="L201">
            <v>51.204324800000002</v>
          </cell>
          <cell r="M201">
            <v>56.427027091999996</v>
          </cell>
        </row>
        <row r="202">
          <cell r="J202">
            <v>47908</v>
          </cell>
          <cell r="K202">
            <v>52.907917799999993</v>
          </cell>
          <cell r="L202">
            <v>47.496288800000002</v>
          </cell>
          <cell r="M202">
            <v>50.580917329999991</v>
          </cell>
        </row>
        <row r="203">
          <cell r="J203">
            <v>47939</v>
          </cell>
          <cell r="K203">
            <v>51.038848999999999</v>
          </cell>
          <cell r="L203">
            <v>45.598187500000009</v>
          </cell>
          <cell r="M203">
            <v>48.699364555000002</v>
          </cell>
        </row>
        <row r="204">
          <cell r="J204">
            <v>47969</v>
          </cell>
          <cell r="K204">
            <v>42.353491199999993</v>
          </cell>
          <cell r="L204">
            <v>38.718935899999998</v>
          </cell>
          <cell r="M204">
            <v>40.790632420999991</v>
          </cell>
        </row>
        <row r="205">
          <cell r="J205">
            <v>48000</v>
          </cell>
          <cell r="K205">
            <v>49.546510499999997</v>
          </cell>
          <cell r="L205">
            <v>41.413231300000007</v>
          </cell>
          <cell r="M205">
            <v>46.049200443999993</v>
          </cell>
        </row>
        <row r="206">
          <cell r="J206">
            <v>48030</v>
          </cell>
          <cell r="K206">
            <v>56.384673999999997</v>
          </cell>
          <cell r="L206">
            <v>46.336682400000001</v>
          </cell>
          <cell r="M206">
            <v>52.064037611999993</v>
          </cell>
        </row>
        <row r="207">
          <cell r="J207">
            <v>48061</v>
          </cell>
          <cell r="K207">
            <v>62.116803000000004</v>
          </cell>
          <cell r="L207">
            <v>49.222441500000002</v>
          </cell>
          <cell r="M207">
            <v>56.572227554999998</v>
          </cell>
        </row>
        <row r="208">
          <cell r="J208">
            <v>48092</v>
          </cell>
          <cell r="K208">
            <v>64.460986299999988</v>
          </cell>
          <cell r="L208">
            <v>52.929933300000002</v>
          </cell>
          <cell r="M208">
            <v>59.502633509999995</v>
          </cell>
        </row>
        <row r="209">
          <cell r="J209">
            <v>48122</v>
          </cell>
          <cell r="K209">
            <v>56.266817700000004</v>
          </cell>
          <cell r="L209">
            <v>49.166473199999999</v>
          </cell>
          <cell r="M209">
            <v>53.213669565000004</v>
          </cell>
        </row>
        <row r="210">
          <cell r="J210">
            <v>48153</v>
          </cell>
          <cell r="K210">
            <v>57.717466599999995</v>
          </cell>
          <cell r="L210">
            <v>49.301496900000004</v>
          </cell>
          <cell r="M210">
            <v>54.098599628999992</v>
          </cell>
        </row>
        <row r="211">
          <cell r="J211">
            <v>48183</v>
          </cell>
          <cell r="K211">
            <v>60.116765299999997</v>
          </cell>
          <cell r="L211">
            <v>51.053019100000007</v>
          </cell>
          <cell r="M211">
            <v>56.219354433999996</v>
          </cell>
        </row>
        <row r="212">
          <cell r="J212">
            <v>48214</v>
          </cell>
          <cell r="K212">
            <v>58.739466099999994</v>
          </cell>
          <cell r="L212">
            <v>50.051509300000006</v>
          </cell>
          <cell r="M212">
            <v>55.003644675999993</v>
          </cell>
        </row>
        <row r="213">
          <cell r="J213">
            <v>48245</v>
          </cell>
          <cell r="K213">
            <v>62.0126609</v>
          </cell>
          <cell r="L213">
            <v>52.043059700000001</v>
          </cell>
          <cell r="M213">
            <v>57.725732383999997</v>
          </cell>
        </row>
        <row r="214">
          <cell r="J214">
            <v>48274</v>
          </cell>
          <cell r="K214">
            <v>54.466053099999996</v>
          </cell>
          <cell r="L214">
            <v>48.4401984</v>
          </cell>
          <cell r="M214">
            <v>51.874935578999995</v>
          </cell>
        </row>
        <row r="215">
          <cell r="J215">
            <v>48305</v>
          </cell>
          <cell r="K215">
            <v>52.590111299999997</v>
          </cell>
          <cell r="L215">
            <v>47.573576200000005</v>
          </cell>
          <cell r="M215">
            <v>50.433001207000004</v>
          </cell>
        </row>
        <row r="216">
          <cell r="J216">
            <v>48335</v>
          </cell>
          <cell r="K216">
            <v>44.063074499999999</v>
          </cell>
          <cell r="L216">
            <v>40.719888600000004</v>
          </cell>
          <cell r="M216">
            <v>42.625504562999993</v>
          </cell>
        </row>
        <row r="217">
          <cell r="J217">
            <v>48366</v>
          </cell>
          <cell r="K217">
            <v>50.820445599999999</v>
          </cell>
          <cell r="L217">
            <v>42.400638200000003</v>
          </cell>
          <cell r="M217">
            <v>47.199928417999999</v>
          </cell>
        </row>
        <row r="218">
          <cell r="J218">
            <v>48396</v>
          </cell>
          <cell r="K218">
            <v>56.9818979</v>
          </cell>
          <cell r="L218">
            <v>46.959916700000001</v>
          </cell>
          <cell r="M218">
            <v>52.672445983999999</v>
          </cell>
        </row>
        <row r="219">
          <cell r="J219">
            <v>48427</v>
          </cell>
          <cell r="K219">
            <v>63.303275999999997</v>
          </cell>
          <cell r="L219">
            <v>49.969761900000002</v>
          </cell>
          <cell r="M219">
            <v>57.569864936999998</v>
          </cell>
        </row>
        <row r="220">
          <cell r="J220">
            <v>48458</v>
          </cell>
          <cell r="K220">
            <v>64.376925999999997</v>
          </cell>
          <cell r="L220">
            <v>53.287614699999999</v>
          </cell>
          <cell r="M220">
            <v>59.608522140999995</v>
          </cell>
        </row>
        <row r="221">
          <cell r="J221">
            <v>48488</v>
          </cell>
          <cell r="K221">
            <v>56.427455599999995</v>
          </cell>
          <cell r="L221">
            <v>49.748735600000003</v>
          </cell>
          <cell r="M221">
            <v>53.555605999999997</v>
          </cell>
        </row>
        <row r="222">
          <cell r="J222">
            <v>48519</v>
          </cell>
          <cell r="K222">
            <v>59.011456299999999</v>
          </cell>
          <cell r="L222">
            <v>49.850075900000007</v>
          </cell>
          <cell r="M222">
            <v>55.072062727999999</v>
          </cell>
        </row>
        <row r="223">
          <cell r="J223">
            <v>48549</v>
          </cell>
          <cell r="K223">
            <v>60.6399744</v>
          </cell>
          <cell r="L223">
            <v>51.675192200000005</v>
          </cell>
          <cell r="M223">
            <v>56.785118054000002</v>
          </cell>
        </row>
        <row r="224">
          <cell r="J224">
            <v>48580</v>
          </cell>
          <cell r="K224">
            <v>59.116253599999993</v>
          </cell>
          <cell r="L224">
            <v>50.701051300000003</v>
          </cell>
          <cell r="M224">
            <v>55.497716611000001</v>
          </cell>
        </row>
        <row r="225">
          <cell r="J225">
            <v>48611</v>
          </cell>
          <cell r="K225">
            <v>62.699695000000006</v>
          </cell>
          <cell r="L225">
            <v>52.776666300000002</v>
          </cell>
          <cell r="M225">
            <v>58.432792659</v>
          </cell>
        </row>
        <row r="226">
          <cell r="J226">
            <v>48639</v>
          </cell>
          <cell r="K226">
            <v>54.953842399999999</v>
          </cell>
          <cell r="L226">
            <v>49.212685200000003</v>
          </cell>
          <cell r="M226">
            <v>52.485144804000001</v>
          </cell>
        </row>
        <row r="227">
          <cell r="J227">
            <v>48670</v>
          </cell>
          <cell r="K227">
            <v>52.5939993</v>
          </cell>
          <cell r="L227">
            <v>47.625693200000001</v>
          </cell>
          <cell r="M227">
            <v>50.457627676999998</v>
          </cell>
        </row>
        <row r="228">
          <cell r="J228">
            <v>48700</v>
          </cell>
          <cell r="K228">
            <v>43.609824200000006</v>
          </cell>
          <cell r="L228">
            <v>40.555333900000001</v>
          </cell>
          <cell r="M228">
            <v>42.296393371000001</v>
          </cell>
        </row>
        <row r="229">
          <cell r="J229">
            <v>48731</v>
          </cell>
          <cell r="K229">
            <v>51.245702700000002</v>
          </cell>
          <cell r="L229">
            <v>43.146857199999999</v>
          </cell>
          <cell r="M229">
            <v>47.763199134999994</v>
          </cell>
        </row>
        <row r="230">
          <cell r="J230">
            <v>48761</v>
          </cell>
          <cell r="K230">
            <v>58.016458899999996</v>
          </cell>
          <cell r="L230">
            <v>48.287817000000004</v>
          </cell>
          <cell r="M230">
            <v>53.833142882999994</v>
          </cell>
        </row>
        <row r="231">
          <cell r="J231">
            <v>48792</v>
          </cell>
          <cell r="K231">
            <v>64.768613999999999</v>
          </cell>
          <cell r="L231">
            <v>50.513313199999999</v>
          </cell>
          <cell r="M231">
            <v>58.638834656</v>
          </cell>
        </row>
        <row r="232">
          <cell r="J232">
            <v>48823</v>
          </cell>
          <cell r="K232">
            <v>65.842453599999999</v>
          </cell>
          <cell r="L232">
            <v>54.6044743</v>
          </cell>
          <cell r="M232">
            <v>61.010122500999998</v>
          </cell>
        </row>
        <row r="233">
          <cell r="J233">
            <v>48853</v>
          </cell>
          <cell r="K233">
            <v>59.0664838</v>
          </cell>
          <cell r="L233">
            <v>51.869668900000001</v>
          </cell>
          <cell r="M233">
            <v>55.971853392999989</v>
          </cell>
        </row>
        <row r="234">
          <cell r="J234">
            <v>48884</v>
          </cell>
          <cell r="K234">
            <v>62.920305500000005</v>
          </cell>
          <cell r="L234">
            <v>52.105343200000007</v>
          </cell>
          <cell r="M234">
            <v>58.269871711</v>
          </cell>
        </row>
        <row r="235">
          <cell r="J235">
            <v>48914</v>
          </cell>
          <cell r="K235">
            <v>63.331136199999996</v>
          </cell>
          <cell r="L235">
            <v>53.720479500000003</v>
          </cell>
          <cell r="M235">
            <v>59.198553818999997</v>
          </cell>
        </row>
        <row r="236">
          <cell r="J236">
            <v>48945</v>
          </cell>
          <cell r="K236">
            <v>61.408858099999996</v>
          </cell>
          <cell r="L236">
            <v>52.676151400000002</v>
          </cell>
          <cell r="M236">
            <v>57.653794218999998</v>
          </cell>
        </row>
        <row r="237">
          <cell r="J237">
            <v>48976</v>
          </cell>
          <cell r="K237">
            <v>64.409637599999996</v>
          </cell>
          <cell r="L237">
            <v>54.8559676</v>
          </cell>
          <cell r="M237">
            <v>60.301559499999996</v>
          </cell>
        </row>
        <row r="238">
          <cell r="J238">
            <v>49004</v>
          </cell>
          <cell r="K238">
            <v>56.390015499999997</v>
          </cell>
          <cell r="L238">
            <v>51.105920900000001</v>
          </cell>
          <cell r="M238">
            <v>54.117854821999998</v>
          </cell>
        </row>
        <row r="239">
          <cell r="J239">
            <v>49035</v>
          </cell>
          <cell r="K239">
            <v>54.391248099999999</v>
          </cell>
          <cell r="L239">
            <v>49.400650600000006</v>
          </cell>
          <cell r="M239">
            <v>52.245291174999998</v>
          </cell>
        </row>
        <row r="240">
          <cell r="J240">
            <v>49065</v>
          </cell>
          <cell r="K240">
            <v>46.424303800000004</v>
          </cell>
          <cell r="L240">
            <v>42.547345700000008</v>
          </cell>
          <cell r="M240">
            <v>44.757211817000005</v>
          </cell>
        </row>
        <row r="241">
          <cell r="J241">
            <v>49096</v>
          </cell>
          <cell r="K241">
            <v>53.7490709</v>
          </cell>
          <cell r="L241">
            <v>45.398245500000002</v>
          </cell>
          <cell r="M241">
            <v>50.158215978000001</v>
          </cell>
        </row>
        <row r="242">
          <cell r="J242">
            <v>49126</v>
          </cell>
          <cell r="K242">
            <v>60.253444499999993</v>
          </cell>
          <cell r="L242">
            <v>50.479268000000005</v>
          </cell>
          <cell r="M242">
            <v>56.050548604999996</v>
          </cell>
        </row>
        <row r="243">
          <cell r="J243">
            <v>49157</v>
          </cell>
          <cell r="K243">
            <v>66.447493000000009</v>
          </cell>
          <cell r="L243">
            <v>52.585804700000004</v>
          </cell>
          <cell r="M243">
            <v>60.486967030999999</v>
          </cell>
        </row>
        <row r="244">
          <cell r="J244">
            <v>49188</v>
          </cell>
          <cell r="K244">
            <v>66.522777300000001</v>
          </cell>
          <cell r="L244">
            <v>56.085793200000005</v>
          </cell>
          <cell r="M244">
            <v>62.034874137000003</v>
          </cell>
        </row>
        <row r="245">
          <cell r="J245">
            <v>49218</v>
          </cell>
          <cell r="K245">
            <v>59.7805623</v>
          </cell>
          <cell r="L245">
            <v>52.483503500000005</v>
          </cell>
          <cell r="M245">
            <v>56.642827015999998</v>
          </cell>
        </row>
        <row r="246">
          <cell r="J246">
            <v>49249</v>
          </cell>
          <cell r="K246">
            <v>61.996063199999995</v>
          </cell>
          <cell r="L246">
            <v>51.825818099999999</v>
          </cell>
          <cell r="M246">
            <v>57.622857806999988</v>
          </cell>
        </row>
        <row r="247">
          <cell r="J247">
            <v>49279</v>
          </cell>
          <cell r="K247">
            <v>62.932901500000007</v>
          </cell>
          <cell r="L247">
            <v>54.603294999999996</v>
          </cell>
          <cell r="M247">
            <v>59.351170705000001</v>
          </cell>
        </row>
        <row r="248">
          <cell r="J248">
            <v>49310</v>
          </cell>
          <cell r="K248">
            <v>62.705987800000003</v>
          </cell>
          <cell r="L248">
            <v>52.772507999999995</v>
          </cell>
          <cell r="M248">
            <v>58.434591485999988</v>
          </cell>
        </row>
        <row r="249">
          <cell r="J249">
            <v>49341</v>
          </cell>
          <cell r="K249">
            <v>66.237489699999998</v>
          </cell>
          <cell r="L249">
            <v>55.836169900000002</v>
          </cell>
          <cell r="M249">
            <v>61.764922185999993</v>
          </cell>
        </row>
        <row r="250">
          <cell r="J250">
            <v>49369</v>
          </cell>
          <cell r="K250">
            <v>57.9699411</v>
          </cell>
          <cell r="L250">
            <v>52.233265200000005</v>
          </cell>
          <cell r="M250">
            <v>55.503170463000004</v>
          </cell>
        </row>
        <row r="251">
          <cell r="J251">
            <v>49400</v>
          </cell>
          <cell r="K251">
            <v>56.143072599999996</v>
          </cell>
          <cell r="L251">
            <v>50.952322700000011</v>
          </cell>
          <cell r="M251">
            <v>53.911050142999997</v>
          </cell>
        </row>
        <row r="252">
          <cell r="J252">
            <v>49430</v>
          </cell>
          <cell r="K252">
            <v>48.933395300000001</v>
          </cell>
          <cell r="L252">
            <v>45.214203100000006</v>
          </cell>
          <cell r="M252">
            <v>47.334142654000004</v>
          </cell>
        </row>
        <row r="253">
          <cell r="J253">
            <v>49461</v>
          </cell>
          <cell r="K253">
            <v>53.4976214</v>
          </cell>
          <cell r="L253">
            <v>45.964795800000005</v>
          </cell>
          <cell r="M253">
            <v>50.258506392000001</v>
          </cell>
        </row>
        <row r="254">
          <cell r="J254">
            <v>49491</v>
          </cell>
          <cell r="K254">
            <v>61.218121500000002</v>
          </cell>
          <cell r="L254">
            <v>50.377049300000003</v>
          </cell>
          <cell r="M254">
            <v>56.556460453999996</v>
          </cell>
        </row>
        <row r="255">
          <cell r="J255">
            <v>49522</v>
          </cell>
          <cell r="K255">
            <v>70.079791</v>
          </cell>
          <cell r="L255">
            <v>54.693744100000004</v>
          </cell>
          <cell r="M255">
            <v>63.463790832999997</v>
          </cell>
        </row>
        <row r="256">
          <cell r="J256">
            <v>49553</v>
          </cell>
          <cell r="K256">
            <v>69.136037700000003</v>
          </cell>
          <cell r="L256">
            <v>57.845614200000007</v>
          </cell>
          <cell r="M256">
            <v>64.281155595000001</v>
          </cell>
        </row>
        <row r="257">
          <cell r="J257">
            <v>49583</v>
          </cell>
          <cell r="K257">
            <v>60.425364699999996</v>
          </cell>
          <cell r="L257">
            <v>53.218449400000004</v>
          </cell>
          <cell r="M257">
            <v>57.326391121</v>
          </cell>
        </row>
        <row r="258">
          <cell r="J258">
            <v>49614</v>
          </cell>
          <cell r="K258">
            <v>62.519111500000001</v>
          </cell>
          <cell r="L258">
            <v>52.878708899999999</v>
          </cell>
          <cell r="M258">
            <v>58.373738381999999</v>
          </cell>
        </row>
        <row r="259">
          <cell r="J259">
            <v>49644</v>
          </cell>
          <cell r="K259">
            <v>65.534979799999988</v>
          </cell>
          <cell r="L259">
            <v>56.348725999999999</v>
          </cell>
          <cell r="M259">
            <v>61.584890665999986</v>
          </cell>
        </row>
        <row r="260">
          <cell r="J260">
            <v>49675</v>
          </cell>
          <cell r="K260">
            <v>64.293732199999994</v>
          </cell>
          <cell r="L260">
            <v>54.329472599999995</v>
          </cell>
          <cell r="M260">
            <v>60.009100571999994</v>
          </cell>
        </row>
        <row r="261">
          <cell r="J261">
            <v>49706</v>
          </cell>
          <cell r="K261">
            <v>66.346242700000005</v>
          </cell>
          <cell r="L261">
            <v>55.689722000000003</v>
          </cell>
          <cell r="M261">
            <v>61.763938799000002</v>
          </cell>
        </row>
        <row r="262">
          <cell r="J262">
            <v>49735</v>
          </cell>
          <cell r="K262">
            <v>58.493513599999993</v>
          </cell>
          <cell r="L262">
            <v>54.097972600000006</v>
          </cell>
          <cell r="M262">
            <v>56.603430969999991</v>
          </cell>
        </row>
        <row r="263">
          <cell r="J263">
            <v>49766</v>
          </cell>
          <cell r="K263">
            <v>56.839399400000005</v>
          </cell>
          <cell r="L263">
            <v>51.916784499999991</v>
          </cell>
          <cell r="M263">
            <v>54.722674992999998</v>
          </cell>
        </row>
        <row r="264">
          <cell r="J264">
            <v>49796</v>
          </cell>
          <cell r="K264">
            <v>48.605054600000003</v>
          </cell>
          <cell r="L264">
            <v>45.416220100000004</v>
          </cell>
          <cell r="M264">
            <v>47.233855765000001</v>
          </cell>
        </row>
        <row r="265">
          <cell r="J265">
            <v>49827</v>
          </cell>
          <cell r="K265">
            <v>54.8854726</v>
          </cell>
          <cell r="L265">
            <v>47.686254099999999</v>
          </cell>
          <cell r="M265">
            <v>51.789808644999994</v>
          </cell>
        </row>
        <row r="266">
          <cell r="J266">
            <v>49857</v>
          </cell>
          <cell r="K266">
            <v>62.097633600000002</v>
          </cell>
          <cell r="L266">
            <v>50.6867643</v>
          </cell>
          <cell r="M266">
            <v>57.190959800999998</v>
          </cell>
        </row>
        <row r="267">
          <cell r="J267">
            <v>49888</v>
          </cell>
          <cell r="K267">
            <v>69.800436000000005</v>
          </cell>
          <cell r="L267">
            <v>56.285028100000005</v>
          </cell>
          <cell r="M267">
            <v>63.988810603000005</v>
          </cell>
        </row>
        <row r="268">
          <cell r="J268">
            <v>49919</v>
          </cell>
          <cell r="K268">
            <v>70.657094499999999</v>
          </cell>
          <cell r="L268">
            <v>58.439846199999998</v>
          </cell>
          <cell r="M268">
            <v>65.403677731000002</v>
          </cell>
        </row>
        <row r="269">
          <cell r="J269">
            <v>49949</v>
          </cell>
          <cell r="K269">
            <v>62.764903499999996</v>
          </cell>
          <cell r="L269">
            <v>53.730384899999997</v>
          </cell>
          <cell r="M269">
            <v>58.880060501999992</v>
          </cell>
        </row>
        <row r="270">
          <cell r="J270">
            <v>49980</v>
          </cell>
          <cell r="K270">
            <v>65.958199799999988</v>
          </cell>
          <cell r="L270">
            <v>55.8952405</v>
          </cell>
          <cell r="M270">
            <v>61.631127300999992</v>
          </cell>
        </row>
        <row r="271">
          <cell r="J271">
            <v>50010</v>
          </cell>
          <cell r="K271">
            <v>67.034925400000006</v>
          </cell>
          <cell r="L271">
            <v>57.315294099999996</v>
          </cell>
          <cell r="M271">
            <v>62.855483940999996</v>
          </cell>
        </row>
        <row r="272">
          <cell r="J272">
            <v>50041</v>
          </cell>
          <cell r="K272">
            <v>66.924730800000006</v>
          </cell>
          <cell r="L272">
            <v>56.648552300000006</v>
          </cell>
          <cell r="M272">
            <v>62.505974045000002</v>
          </cell>
        </row>
        <row r="273">
          <cell r="J273">
            <v>50072</v>
          </cell>
          <cell r="K273">
            <v>70.479227499999993</v>
          </cell>
          <cell r="L273">
            <v>58.928873599999996</v>
          </cell>
          <cell r="M273">
            <v>65.512575322999993</v>
          </cell>
        </row>
        <row r="274">
          <cell r="J274">
            <v>50100</v>
          </cell>
          <cell r="K274">
            <v>60.629319500000001</v>
          </cell>
          <cell r="L274">
            <v>56.366080000000004</v>
          </cell>
          <cell r="M274">
            <v>58.796126514999997</v>
          </cell>
        </row>
        <row r="275">
          <cell r="J275">
            <v>50131</v>
          </cell>
          <cell r="K275">
            <v>58.100565000000003</v>
          </cell>
          <cell r="L275">
            <v>53.805372800000001</v>
          </cell>
          <cell r="M275">
            <v>56.253632353999997</v>
          </cell>
        </row>
        <row r="276">
          <cell r="J276">
            <v>50161</v>
          </cell>
          <cell r="K276">
            <v>50.509577200000003</v>
          </cell>
          <cell r="L276">
            <v>47.472485600000006</v>
          </cell>
          <cell r="M276">
            <v>49.203627812000001</v>
          </cell>
        </row>
        <row r="277">
          <cell r="J277">
            <v>50192</v>
          </cell>
          <cell r="K277">
            <v>57.184662100000004</v>
          </cell>
          <cell r="L277">
            <v>49.731109100000005</v>
          </cell>
          <cell r="M277">
            <v>53.979634309999994</v>
          </cell>
        </row>
        <row r="278">
          <cell r="J278">
            <v>50222</v>
          </cell>
          <cell r="K278">
            <v>63.939491400000001</v>
          </cell>
          <cell r="L278">
            <v>52.707802900000004</v>
          </cell>
          <cell r="M278">
            <v>59.109865345000003</v>
          </cell>
        </row>
        <row r="279">
          <cell r="J279">
            <v>50253</v>
          </cell>
          <cell r="K279">
            <v>71.586652000000001</v>
          </cell>
          <cell r="L279">
            <v>57.801442599999994</v>
          </cell>
          <cell r="M279">
            <v>65.659011957999994</v>
          </cell>
        </row>
        <row r="280">
          <cell r="J280">
            <v>50284</v>
          </cell>
          <cell r="K280">
            <v>72.085360800000004</v>
          </cell>
          <cell r="L280">
            <v>59.946230300000003</v>
          </cell>
          <cell r="M280">
            <v>66.865534685</v>
          </cell>
        </row>
        <row r="281">
          <cell r="J281">
            <v>50314</v>
          </cell>
          <cell r="K281">
            <v>63.081788099999997</v>
          </cell>
          <cell r="L281">
            <v>55.124746500000001</v>
          </cell>
          <cell r="M281">
            <v>59.660260211999997</v>
          </cell>
        </row>
        <row r="282">
          <cell r="J282">
            <v>50345</v>
          </cell>
          <cell r="K282">
            <v>66.945594299999996</v>
          </cell>
          <cell r="L282">
            <v>56.781755499999996</v>
          </cell>
          <cell r="M282">
            <v>62.575143615999991</v>
          </cell>
        </row>
        <row r="283">
          <cell r="J283">
            <v>50375</v>
          </cell>
          <cell r="K283">
            <v>70.105582799999993</v>
          </cell>
          <cell r="L283">
            <v>59.805390200000005</v>
          </cell>
          <cell r="M283">
            <v>65.676499981999996</v>
          </cell>
        </row>
        <row r="284">
          <cell r="J284">
            <v>50406</v>
          </cell>
          <cell r="K284">
            <v>68.146930900000001</v>
          </cell>
          <cell r="L284">
            <v>58.908076399999999</v>
          </cell>
          <cell r="M284">
            <v>64.174223464999997</v>
          </cell>
        </row>
        <row r="285">
          <cell r="J285">
            <v>50437</v>
          </cell>
          <cell r="K285">
            <v>70.769483799999989</v>
          </cell>
          <cell r="L285">
            <v>60.174825999999996</v>
          </cell>
          <cell r="M285">
            <v>66.213780945999986</v>
          </cell>
        </row>
        <row r="286">
          <cell r="J286">
            <v>50465</v>
          </cell>
          <cell r="K286">
            <v>61.984895399999999</v>
          </cell>
          <cell r="L286">
            <v>56.688409399999998</v>
          </cell>
          <cell r="M286">
            <v>59.707406419999998</v>
          </cell>
        </row>
        <row r="287">
          <cell r="J287">
            <v>50496</v>
          </cell>
          <cell r="K287">
            <v>60.081553200000002</v>
          </cell>
          <cell r="L287">
            <v>56.271184300000002</v>
          </cell>
          <cell r="M287">
            <v>58.443094572999996</v>
          </cell>
        </row>
        <row r="288">
          <cell r="J288">
            <v>50526</v>
          </cell>
          <cell r="K288">
            <v>53.759611399999997</v>
          </cell>
          <cell r="L288">
            <v>50.985618500000001</v>
          </cell>
          <cell r="M288">
            <v>52.566794452999993</v>
          </cell>
        </row>
        <row r="289">
          <cell r="J289">
            <v>50557</v>
          </cell>
          <cell r="K289">
            <v>59.532894900000002</v>
          </cell>
          <cell r="L289">
            <v>52.154442899999999</v>
          </cell>
          <cell r="M289">
            <v>56.360160539999995</v>
          </cell>
        </row>
        <row r="290">
          <cell r="J290">
            <v>50587</v>
          </cell>
          <cell r="K290">
            <v>65.904366899999999</v>
          </cell>
          <cell r="L290">
            <v>54.754697300000004</v>
          </cell>
          <cell r="M290">
            <v>61.110008972000003</v>
          </cell>
        </row>
        <row r="291">
          <cell r="J291">
            <v>50618</v>
          </cell>
          <cell r="K291">
            <v>73.829679999999996</v>
          </cell>
          <cell r="L291">
            <v>60.070921700000007</v>
          </cell>
          <cell r="M291">
            <v>67.913413930999994</v>
          </cell>
        </row>
        <row r="292">
          <cell r="J292">
            <v>50649</v>
          </cell>
          <cell r="K292">
            <v>72.098239100000001</v>
          </cell>
          <cell r="L292">
            <v>61.373144600000003</v>
          </cell>
          <cell r="M292">
            <v>67.486448464999995</v>
          </cell>
        </row>
        <row r="293">
          <cell r="J293">
            <v>50679</v>
          </cell>
          <cell r="K293">
            <v>64.5289334</v>
          </cell>
          <cell r="L293">
            <v>57.265215900000001</v>
          </cell>
          <cell r="M293">
            <v>61.405534875000001</v>
          </cell>
        </row>
        <row r="294">
          <cell r="J294">
            <v>50710</v>
          </cell>
          <cell r="K294">
            <v>69.394672499999999</v>
          </cell>
          <cell r="L294">
            <v>59.076160399999999</v>
          </cell>
          <cell r="M294">
            <v>64.957712297</v>
          </cell>
        </row>
        <row r="295">
          <cell r="J295">
            <v>50740</v>
          </cell>
          <cell r="K295">
            <v>71.531839300000001</v>
          </cell>
          <cell r="L295">
            <v>61.678030500000006</v>
          </cell>
          <cell r="M295">
            <v>67.294701516000003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tabSelected="1" view="pageBreakPreview" zoomScale="90" zoomScaleNormal="90" zoomScaleSheetLayoutView="90" workbookViewId="0">
      <selection activeCell="E5" sqref="E5"/>
    </sheetView>
  </sheetViews>
  <sheetFormatPr defaultColWidth="9.33203125" defaultRowHeight="12.75" outlineLevelCol="1"/>
  <cols>
    <col min="1" max="1" width="11.83203125" style="71" customWidth="1"/>
    <col min="2" max="2" width="11.6640625" style="71" customWidth="1"/>
    <col min="3" max="3" width="17.5" style="71" customWidth="1"/>
    <col min="4" max="4" width="17.5" style="71" customWidth="1" outlineLevel="1"/>
    <col min="5" max="5" width="24" style="71" customWidth="1"/>
    <col min="6" max="6" width="22.33203125" style="71" customWidth="1"/>
    <col min="7" max="7" width="9.33203125" style="70" customWidth="1"/>
    <col min="8" max="8" width="10.5" style="70" bestFit="1" customWidth="1"/>
    <col min="9" max="16384" width="9.33203125" style="70"/>
  </cols>
  <sheetData>
    <row r="1" spans="2:6" ht="15.75">
      <c r="B1" s="343" t="s">
        <v>208</v>
      </c>
      <c r="C1" s="344"/>
      <c r="D1" s="344"/>
      <c r="E1" s="345"/>
      <c r="F1" s="346"/>
    </row>
    <row r="2" spans="2:6" ht="5.25" customHeight="1">
      <c r="B2" s="343"/>
      <c r="C2" s="344"/>
      <c r="D2" s="344"/>
      <c r="E2" s="345"/>
      <c r="F2" s="346"/>
    </row>
    <row r="3" spans="2:6" ht="15.75">
      <c r="B3" s="347" t="s">
        <v>195</v>
      </c>
      <c r="C3" s="347"/>
      <c r="D3" s="347"/>
      <c r="E3" s="343"/>
      <c r="F3" s="346"/>
    </row>
    <row r="4" spans="2:6" ht="15.75">
      <c r="B4" s="5" t="s">
        <v>196</v>
      </c>
      <c r="C4" s="347"/>
      <c r="D4" s="347"/>
      <c r="E4" s="343"/>
      <c r="F4" s="346"/>
    </row>
    <row r="5" spans="2:6" ht="25.5" customHeight="1">
      <c r="C5" s="348" t="s">
        <v>197</v>
      </c>
      <c r="D5" s="348" t="s">
        <v>197</v>
      </c>
      <c r="E5" s="348" t="str">
        <f>C5</f>
        <v>Solar Tracking</v>
      </c>
      <c r="F5" s="346"/>
    </row>
    <row r="6" spans="2:6">
      <c r="B6" s="348" t="s">
        <v>0</v>
      </c>
      <c r="C6" s="349" t="s">
        <v>198</v>
      </c>
      <c r="D6" s="349" t="s">
        <v>199</v>
      </c>
      <c r="E6" s="350"/>
      <c r="F6" s="351"/>
    </row>
    <row r="7" spans="2:6">
      <c r="B7" s="348"/>
      <c r="C7" s="352" t="s">
        <v>200</v>
      </c>
      <c r="D7" s="353" t="s">
        <v>201</v>
      </c>
      <c r="E7" s="354" t="s">
        <v>202</v>
      </c>
      <c r="F7" s="355"/>
    </row>
    <row r="8" spans="2:6">
      <c r="B8" s="356">
        <f>'Table 1'!B13</f>
        <v>2018</v>
      </c>
      <c r="C8" s="357">
        <f ca="1">'Table 1'!G13</f>
        <v>19.328404402546269</v>
      </c>
      <c r="D8" s="357">
        <v>20.455461523846051</v>
      </c>
      <c r="E8" s="358">
        <f t="shared" ref="E8:E22" ca="1" si="0">C8-D8</f>
        <v>-1.1270571212997815</v>
      </c>
      <c r="F8" s="359"/>
    </row>
    <row r="9" spans="2:6">
      <c r="B9" s="360">
        <f>'Table 1'!B14</f>
        <v>2019</v>
      </c>
      <c r="C9" s="361">
        <f ca="1">'Table 1'!G14</f>
        <v>17.836868198537179</v>
      </c>
      <c r="D9" s="361">
        <v>17.569226202204746</v>
      </c>
      <c r="E9" s="362">
        <f t="shared" ca="1" si="0"/>
        <v>0.2676419963324328</v>
      </c>
      <c r="F9" s="359"/>
    </row>
    <row r="10" spans="2:6">
      <c r="B10" s="360">
        <f>'Table 1'!B15</f>
        <v>2020</v>
      </c>
      <c r="C10" s="361">
        <f ca="1">'Table 1'!G15</f>
        <v>11.708927859753553</v>
      </c>
      <c r="D10" s="361">
        <v>11.993059926629499</v>
      </c>
      <c r="E10" s="362">
        <f t="shared" ca="1" si="0"/>
        <v>-0.28413206687594617</v>
      </c>
      <c r="F10" s="359"/>
    </row>
    <row r="11" spans="2:6">
      <c r="B11" s="360">
        <f>'Table 1'!B16</f>
        <v>2021</v>
      </c>
      <c r="C11" s="361">
        <f ca="1">'Table 1'!G16</f>
        <v>15.116799068386296</v>
      </c>
      <c r="D11" s="361">
        <v>14.951322406878681</v>
      </c>
      <c r="E11" s="362">
        <f t="shared" ca="1" si="0"/>
        <v>0.16547666150761486</v>
      </c>
      <c r="F11" s="359"/>
    </row>
    <row r="12" spans="2:6">
      <c r="B12" s="360">
        <f>'Table 1'!B17</f>
        <v>2022</v>
      </c>
      <c r="C12" s="361">
        <f ca="1">'Table 1'!G17</f>
        <v>16.882103608658024</v>
      </c>
      <c r="D12" s="361">
        <v>16.983189059128364</v>
      </c>
      <c r="E12" s="362">
        <f t="shared" ca="1" si="0"/>
        <v>-0.10108545047033957</v>
      </c>
      <c r="F12" s="359"/>
    </row>
    <row r="13" spans="2:6">
      <c r="B13" s="360">
        <f>'Table 1'!B18</f>
        <v>2023</v>
      </c>
      <c r="C13" s="361">
        <f ca="1">'Table 1'!G18</f>
        <v>17.891665537005437</v>
      </c>
      <c r="D13" s="361">
        <v>18.434031179574998</v>
      </c>
      <c r="E13" s="362">
        <f t="shared" ca="1" si="0"/>
        <v>-0.54236564256956044</v>
      </c>
      <c r="F13" s="359"/>
    </row>
    <row r="14" spans="2:6">
      <c r="B14" s="360">
        <f>'Table 1'!B19</f>
        <v>2024</v>
      </c>
      <c r="C14" s="361">
        <f ca="1">'Table 1'!G19</f>
        <v>19.629914892137784</v>
      </c>
      <c r="D14" s="361">
        <v>21.18716125073697</v>
      </c>
      <c r="E14" s="362">
        <f t="shared" ca="1" si="0"/>
        <v>-1.5572463585991869</v>
      </c>
      <c r="F14" s="359"/>
    </row>
    <row r="15" spans="2:6">
      <c r="B15" s="360">
        <f>'Table 1'!B20</f>
        <v>2025</v>
      </c>
      <c r="C15" s="361">
        <f ca="1">'Table 1'!G20</f>
        <v>20.972060649916422</v>
      </c>
      <c r="D15" s="361">
        <v>23.583151326863</v>
      </c>
      <c r="E15" s="362">
        <f t="shared" ca="1" si="0"/>
        <v>-2.6110906769465778</v>
      </c>
      <c r="F15" s="359"/>
    </row>
    <row r="16" spans="2:6">
      <c r="B16" s="360">
        <f>'Table 1'!B21</f>
        <v>2026</v>
      </c>
      <c r="C16" s="361">
        <f ca="1">'Table 1'!G21</f>
        <v>21.81053729662095</v>
      </c>
      <c r="D16" s="361">
        <v>24.035233724055615</v>
      </c>
      <c r="E16" s="362">
        <f t="shared" ca="1" si="0"/>
        <v>-2.2246964274346652</v>
      </c>
      <c r="F16" s="359"/>
    </row>
    <row r="17" spans="1:6">
      <c r="B17" s="360">
        <f>'Table 1'!B22</f>
        <v>2027</v>
      </c>
      <c r="C17" s="361">
        <f ca="1">'Table 1'!G22</f>
        <v>23.505481331922041</v>
      </c>
      <c r="D17" s="361">
        <v>24.372922995815031</v>
      </c>
      <c r="E17" s="362">
        <f t="shared" ca="1" si="0"/>
        <v>-0.86744166389298982</v>
      </c>
      <c r="F17" s="359"/>
    </row>
    <row r="18" spans="1:6">
      <c r="B18" s="360">
        <f>'Table 1'!B23</f>
        <v>2028</v>
      </c>
      <c r="C18" s="361">
        <f ca="1">'Table 1'!G23</f>
        <v>23.684173674802519</v>
      </c>
      <c r="D18" s="361">
        <v>25.217618141228918</v>
      </c>
      <c r="E18" s="362">
        <f t="shared" ca="1" si="0"/>
        <v>-1.5334444664263991</v>
      </c>
      <c r="F18" s="359"/>
    </row>
    <row r="19" spans="1:6">
      <c r="B19" s="360">
        <f>'Table 1'!B24</f>
        <v>2029</v>
      </c>
      <c r="C19" s="361">
        <f ca="1">'Table 1'!G24</f>
        <v>24.874147416685805</v>
      </c>
      <c r="D19" s="361">
        <v>26.924480758535847</v>
      </c>
      <c r="E19" s="362">
        <f t="shared" ca="1" si="0"/>
        <v>-2.0503333418500418</v>
      </c>
      <c r="F19" s="359"/>
    </row>
    <row r="20" spans="1:6">
      <c r="B20" s="360">
        <f>'Table 1'!B25</f>
        <v>2030</v>
      </c>
      <c r="C20" s="361">
        <f ca="1">'Table 1'!G25</f>
        <v>24.966553165009707</v>
      </c>
      <c r="D20" s="361">
        <v>28.2697620998294</v>
      </c>
      <c r="E20" s="362">
        <f t="shared" ca="1" si="0"/>
        <v>-3.3032089348196934</v>
      </c>
      <c r="F20" s="359"/>
    </row>
    <row r="21" spans="1:6">
      <c r="B21" s="360">
        <f>'Table 1'!B26</f>
        <v>2031</v>
      </c>
      <c r="C21" s="361">
        <f ca="1">'Table 1'!G26</f>
        <v>26.431942911419831</v>
      </c>
      <c r="D21" s="361">
        <v>29.322643294692874</v>
      </c>
      <c r="E21" s="362">
        <f t="shared" ca="1" si="0"/>
        <v>-2.8907003832730425</v>
      </c>
      <c r="F21" s="359"/>
    </row>
    <row r="22" spans="1:6">
      <c r="B22" s="363">
        <f>'Table 1'!B27</f>
        <v>2032</v>
      </c>
      <c r="C22" s="364">
        <f ca="1">'Table 1'!G27</f>
        <v>27.159525529996984</v>
      </c>
      <c r="D22" s="364">
        <v>30.115469641982838</v>
      </c>
      <c r="E22" s="365">
        <f t="shared" ca="1" si="0"/>
        <v>-2.9559441119858541</v>
      </c>
      <c r="F22" s="359"/>
    </row>
    <row r="23" spans="1:6">
      <c r="D23" s="348"/>
    </row>
    <row r="24" spans="1:6">
      <c r="B24" s="72" t="s">
        <v>207</v>
      </c>
      <c r="D24" s="348"/>
      <c r="F24" s="366" t="str">
        <f>'Table 1'!I38</f>
        <v>Discount Rate - 2017 IRP</v>
      </c>
    </row>
    <row r="25" spans="1:6">
      <c r="A25" s="4" t="s">
        <v>203</v>
      </c>
      <c r="B25" s="367" t="s">
        <v>39</v>
      </c>
      <c r="C25" s="368">
        <f ca="1">ROUND('Table 1'!$G$40,2)</f>
        <v>19.72</v>
      </c>
      <c r="D25" s="368">
        <v>20.87</v>
      </c>
      <c r="E25" s="361">
        <f ca="1">C25-D25</f>
        <v>-1.1500000000000021</v>
      </c>
      <c r="F25" s="369">
        <v>6.5699999999999995E-2</v>
      </c>
    </row>
    <row r="26" spans="1:6" ht="17.25" customHeight="1">
      <c r="B26" s="367"/>
      <c r="C26" s="361"/>
      <c r="D26" s="361"/>
      <c r="E26" s="370"/>
    </row>
    <row r="27" spans="1:6" ht="10.5" customHeight="1">
      <c r="B27" s="367"/>
      <c r="C27" s="361"/>
      <c r="D27" s="361"/>
      <c r="E27" s="361"/>
    </row>
    <row r="28" spans="1:6" s="71" customFormat="1" ht="5.25" customHeight="1">
      <c r="D28" s="371"/>
    </row>
    <row r="29" spans="1:6" s="71" customFormat="1">
      <c r="B29" s="71" t="s">
        <v>19</v>
      </c>
      <c r="C29" s="372"/>
      <c r="D29" s="373"/>
      <c r="E29" s="373"/>
    </row>
    <row r="30" spans="1:6" s="71" customFormat="1">
      <c r="B30" s="374" t="s">
        <v>94</v>
      </c>
      <c r="D30" s="375"/>
      <c r="E30" s="375"/>
    </row>
    <row r="31" spans="1:6" s="71" customFormat="1">
      <c r="B31" s="374" t="str">
        <f>"(2)   Total Avoided Costs with Capacity, based on stated CF"</f>
        <v>(2)   Total Avoided Costs with Capacity, based on stated CF</v>
      </c>
    </row>
    <row r="32" spans="1:6" s="71" customFormat="1">
      <c r="B32" s="71" t="str">
        <f>"(3)   15-Years: "&amp;B8&amp;" - "&amp;B22</f>
        <v>(3)   15-Years: 2018 - 2032</v>
      </c>
    </row>
    <row r="33" spans="2:5" s="71" customFormat="1">
      <c r="B33" s="11" t="str">
        <f>"(4)   Levelized Monthly"</f>
        <v>(4)   Levelized Monthly</v>
      </c>
    </row>
    <row r="34" spans="2:5" s="71" customFormat="1">
      <c r="B34" s="11"/>
    </row>
    <row r="35" spans="2:5" s="71" customFormat="1">
      <c r="B35" s="11"/>
    </row>
    <row r="36" spans="2:5" s="71" customFormat="1" hidden="1"/>
    <row r="37" spans="2:5" s="71" customFormat="1">
      <c r="C37" s="361"/>
      <c r="D37" s="361"/>
    </row>
    <row r="39" spans="2:5" s="71" customFormat="1">
      <c r="C39" s="376"/>
      <c r="D39" s="376"/>
      <c r="E39" s="376"/>
    </row>
  </sheetData>
  <conditionalFormatting sqref="E8:E22">
    <cfRule type="expression" dxfId="2" priority="4">
      <formula>ISNA(I8)</formula>
    </cfRule>
  </conditionalFormatting>
  <conditionalFormatting sqref="D8:D22">
    <cfRule type="expression" dxfId="1" priority="3">
      <formula>ISNA(F8)</formula>
    </cfRule>
  </conditionalFormatting>
  <printOptions horizontalCentered="1"/>
  <pageMargins left="0.25" right="0.25" top="0.75" bottom="0.75" header="0.3" footer="0.3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02"/>
  <sheetViews>
    <sheetView view="pageBreakPreview" zoomScale="60" zoomScaleNormal="100" workbookViewId="0">
      <selection activeCell="D43" sqref="D43"/>
    </sheetView>
  </sheetViews>
  <sheetFormatPr defaultColWidth="9.33203125" defaultRowHeight="12.75"/>
  <cols>
    <col min="1" max="1" width="1.5" style="188" customWidth="1"/>
    <col min="2" max="2" width="10.83203125" style="188" customWidth="1"/>
    <col min="3" max="3" width="14.1640625" style="188" customWidth="1"/>
    <col min="4" max="4" width="12.33203125" style="188" customWidth="1"/>
    <col min="5" max="5" width="9.1640625" style="188" customWidth="1"/>
    <col min="6" max="6" width="9.83203125" style="188" bestFit="1" customWidth="1"/>
    <col min="7" max="7" width="9.83203125" style="188" customWidth="1"/>
    <col min="8" max="8" width="10.5" style="188" customWidth="1"/>
    <col min="9" max="10" width="12.5" style="188" customWidth="1"/>
    <col min="11" max="11" width="11.6640625" style="188" customWidth="1"/>
    <col min="12" max="12" width="9.33203125" style="188"/>
    <col min="13" max="13" width="9.6640625" style="188" bestFit="1" customWidth="1"/>
    <col min="14" max="15" width="17" style="188" customWidth="1"/>
    <col min="16" max="16" width="9.33203125" style="188" customWidth="1"/>
    <col min="17" max="16384" width="9.33203125" style="188"/>
  </cols>
  <sheetData>
    <row r="1" spans="2:18" ht="15.75">
      <c r="B1" s="186" t="s">
        <v>85</v>
      </c>
      <c r="C1" s="187"/>
      <c r="D1" s="187"/>
      <c r="E1" s="187"/>
      <c r="F1" s="187"/>
      <c r="G1" s="187"/>
      <c r="H1" s="187"/>
      <c r="I1" s="187"/>
      <c r="J1" s="187"/>
    </row>
    <row r="2" spans="2:18" ht="15.75">
      <c r="B2" s="186" t="s">
        <v>160</v>
      </c>
      <c r="C2" s="187"/>
      <c r="D2" s="187"/>
      <c r="E2" s="187"/>
      <c r="F2" s="187"/>
      <c r="G2" s="187"/>
      <c r="H2" s="187"/>
      <c r="I2" s="187"/>
      <c r="J2" s="187"/>
    </row>
    <row r="3" spans="2:18" ht="15.75">
      <c r="B3" s="186" t="str">
        <f>TEXT($C$63,"0%")&amp;" Capacity Factor"</f>
        <v>25% Capacity Factor</v>
      </c>
      <c r="C3" s="187"/>
      <c r="D3" s="187"/>
      <c r="E3" s="187"/>
      <c r="F3" s="187"/>
      <c r="G3" s="187"/>
      <c r="H3" s="187"/>
      <c r="I3" s="187"/>
      <c r="J3" s="187"/>
    </row>
    <row r="4" spans="2:18">
      <c r="B4" s="189"/>
      <c r="C4" s="189"/>
      <c r="D4" s="189"/>
      <c r="E4" s="189"/>
      <c r="F4" s="189"/>
      <c r="G4" s="189"/>
      <c r="H4" s="189"/>
      <c r="I4" s="190"/>
      <c r="J4" s="190"/>
      <c r="K4" s="190"/>
    </row>
    <row r="5" spans="2:18" ht="51.75" customHeight="1">
      <c r="B5" s="191" t="s">
        <v>0</v>
      </c>
      <c r="C5" s="192" t="s">
        <v>10</v>
      </c>
      <c r="D5" s="192" t="s">
        <v>11</v>
      </c>
      <c r="E5" s="192" t="s">
        <v>12</v>
      </c>
      <c r="F5" s="192" t="s">
        <v>111</v>
      </c>
      <c r="G5" s="19" t="s">
        <v>13</v>
      </c>
      <c r="H5" s="192" t="s">
        <v>112</v>
      </c>
      <c r="I5" s="192" t="s">
        <v>125</v>
      </c>
      <c r="J5" s="19" t="s">
        <v>73</v>
      </c>
      <c r="K5" s="192" t="s">
        <v>113</v>
      </c>
      <c r="P5" s="192"/>
    </row>
    <row r="6" spans="2:18" ht="24" customHeight="1">
      <c r="B6" s="193"/>
      <c r="C6" s="194" t="s">
        <v>8</v>
      </c>
      <c r="D6" s="195" t="s">
        <v>9</v>
      </c>
      <c r="E6" s="195" t="s">
        <v>9</v>
      </c>
      <c r="F6" s="194" t="s">
        <v>39</v>
      </c>
      <c r="G6" s="22" t="s">
        <v>39</v>
      </c>
      <c r="H6" s="194" t="s">
        <v>39</v>
      </c>
      <c r="I6" s="194" t="s">
        <v>39</v>
      </c>
      <c r="J6" s="23" t="s">
        <v>9</v>
      </c>
      <c r="K6" s="194" t="s">
        <v>39</v>
      </c>
    </row>
    <row r="7" spans="2:18">
      <c r="C7" s="196" t="s">
        <v>1</v>
      </c>
      <c r="D7" s="196" t="s">
        <v>2</v>
      </c>
      <c r="E7" s="196" t="s">
        <v>3</v>
      </c>
      <c r="F7" s="196" t="s">
        <v>4</v>
      </c>
      <c r="G7" s="196" t="s">
        <v>5</v>
      </c>
      <c r="H7" s="196" t="s">
        <v>7</v>
      </c>
      <c r="I7" s="196" t="s">
        <v>28</v>
      </c>
      <c r="J7" s="196" t="s">
        <v>29</v>
      </c>
      <c r="K7" s="196" t="s">
        <v>29</v>
      </c>
    </row>
    <row r="8" spans="2:18" ht="6" customHeight="1">
      <c r="K8" s="190"/>
    </row>
    <row r="9" spans="2:18" ht="15.75">
      <c r="B9" s="60" t="str">
        <f>C52</f>
        <v>2017 IRP Yakima Solar Resource - 25% Capacity Factor</v>
      </c>
      <c r="C9" s="190"/>
      <c r="E9" s="190"/>
      <c r="F9" s="190"/>
      <c r="G9" s="190"/>
      <c r="H9" s="190"/>
      <c r="I9" s="190"/>
      <c r="J9" s="190"/>
      <c r="K9" s="190"/>
    </row>
    <row r="10" spans="2:18">
      <c r="B10" s="197">
        <v>2016</v>
      </c>
      <c r="C10" s="198">
        <f>C55</f>
        <v>1761.8947998896474</v>
      </c>
      <c r="D10" s="199">
        <f>C10*$C$62</f>
        <v>135.94212977052993</v>
      </c>
      <c r="E10" s="199">
        <f>C56</f>
        <v>18.739825346529312</v>
      </c>
      <c r="F10" s="200">
        <f t="shared" ref="F10:F36" si="0">(D10+E10)/(8.76*$C$63)</f>
        <v>70.914688487768075</v>
      </c>
      <c r="G10" s="200">
        <f>C58</f>
        <v>0</v>
      </c>
      <c r="H10" s="199">
        <f>C59</f>
        <v>-2.9537611535827537</v>
      </c>
      <c r="I10" s="201">
        <f t="shared" ref="I10:I36" si="1">F10+H10+G10</f>
        <v>67.960927334185328</v>
      </c>
      <c r="J10" s="201">
        <f>ROUND(I10*$C$63*8.76,2)</f>
        <v>148.24</v>
      </c>
      <c r="K10" s="199">
        <f>$C$57</f>
        <v>0.60299999999999998</v>
      </c>
      <c r="N10" s="202"/>
      <c r="P10" s="240"/>
    </row>
    <row r="11" spans="2:18">
      <c r="B11" s="197">
        <f t="shared" ref="B11:B36" si="2">B10+1</f>
        <v>2017</v>
      </c>
      <c r="C11" s="203"/>
      <c r="D11" s="199">
        <f t="shared" ref="D11:D19" si="3">ROUND(D10*(1+$D66),2)</f>
        <v>138.66</v>
      </c>
      <c r="E11" s="199">
        <f t="shared" ref="E11:E19" si="4">ROUND(E10*(1+$D66),2)</f>
        <v>19.11</v>
      </c>
      <c r="F11" s="200">
        <f t="shared" si="0"/>
        <v>72.330417560653572</v>
      </c>
      <c r="G11" s="199">
        <f t="shared" ref="G11:G19" si="5">ROUND(G10*(1+$D66),2)</f>
        <v>0</v>
      </c>
      <c r="H11" s="199">
        <f t="shared" ref="H11:H19" si="6">ROUND(H10*(1+$D66),2)</f>
        <v>-3.01</v>
      </c>
      <c r="I11" s="201">
        <f t="shared" si="1"/>
        <v>69.320417560653567</v>
      </c>
      <c r="J11" s="201">
        <f t="shared" ref="J11:J36" si="7">ROUND(I11*$C$63*8.76,2)</f>
        <v>151.19999999999999</v>
      </c>
      <c r="K11" s="199">
        <f t="shared" ref="K11:K19" si="8">ROUND(K10*(1+$D66),2)</f>
        <v>0.62</v>
      </c>
      <c r="N11" s="202"/>
      <c r="P11" s="240"/>
    </row>
    <row r="12" spans="2:18">
      <c r="B12" s="210">
        <f t="shared" si="2"/>
        <v>2018</v>
      </c>
      <c r="C12" s="211"/>
      <c r="D12" s="199">
        <f t="shared" si="3"/>
        <v>141.29</v>
      </c>
      <c r="E12" s="199">
        <f t="shared" si="4"/>
        <v>19.47</v>
      </c>
      <c r="F12" s="201">
        <f t="shared" si="0"/>
        <v>73.701197483999934</v>
      </c>
      <c r="G12" s="199">
        <f t="shared" si="5"/>
        <v>0</v>
      </c>
      <c r="H12" s="212">
        <f t="shared" si="6"/>
        <v>-3.07</v>
      </c>
      <c r="I12" s="201">
        <f t="shared" si="1"/>
        <v>70.631197483999941</v>
      </c>
      <c r="J12" s="201">
        <f t="shared" si="7"/>
        <v>154.06</v>
      </c>
      <c r="K12" s="199">
        <f t="shared" si="8"/>
        <v>0.63</v>
      </c>
      <c r="L12" s="190"/>
      <c r="N12" s="202"/>
      <c r="P12" s="240"/>
    </row>
    <row r="13" spans="2:18">
      <c r="B13" s="210">
        <f t="shared" si="2"/>
        <v>2019</v>
      </c>
      <c r="C13" s="211"/>
      <c r="D13" s="199">
        <f t="shared" si="3"/>
        <v>144.4</v>
      </c>
      <c r="E13" s="199">
        <f t="shared" si="4"/>
        <v>19.899999999999999</v>
      </c>
      <c r="F13" s="201">
        <f t="shared" si="0"/>
        <v>75.324127560470203</v>
      </c>
      <c r="G13" s="199">
        <f t="shared" si="5"/>
        <v>0</v>
      </c>
      <c r="H13" s="212">
        <f t="shared" si="6"/>
        <v>-3.14</v>
      </c>
      <c r="I13" s="201">
        <f t="shared" si="1"/>
        <v>72.184127560470202</v>
      </c>
      <c r="J13" s="201">
        <f t="shared" si="7"/>
        <v>157.44999999999999</v>
      </c>
      <c r="K13" s="199">
        <f t="shared" si="8"/>
        <v>0.64</v>
      </c>
      <c r="L13" s="190"/>
      <c r="N13" s="202"/>
      <c r="P13" s="240"/>
    </row>
    <row r="14" spans="2:18">
      <c r="B14" s="210">
        <f t="shared" si="2"/>
        <v>2020</v>
      </c>
      <c r="C14" s="211"/>
      <c r="D14" s="199">
        <f t="shared" si="3"/>
        <v>148.15</v>
      </c>
      <c r="E14" s="199">
        <f t="shared" si="4"/>
        <v>20.420000000000002</v>
      </c>
      <c r="F14" s="201">
        <f t="shared" si="0"/>
        <v>77.281729658359467</v>
      </c>
      <c r="G14" s="199">
        <f t="shared" si="5"/>
        <v>0</v>
      </c>
      <c r="H14" s="212">
        <f t="shared" si="6"/>
        <v>-3.22</v>
      </c>
      <c r="I14" s="201">
        <f t="shared" si="1"/>
        <v>74.061729658359468</v>
      </c>
      <c r="J14" s="201">
        <f t="shared" si="7"/>
        <v>161.55000000000001</v>
      </c>
      <c r="K14" s="199">
        <f t="shared" si="8"/>
        <v>0.66</v>
      </c>
      <c r="L14" s="190"/>
      <c r="N14" s="202"/>
      <c r="O14" s="207"/>
      <c r="P14" s="240"/>
      <c r="Q14" s="208"/>
      <c r="R14" s="209"/>
    </row>
    <row r="15" spans="2:18">
      <c r="B15" s="210">
        <f t="shared" si="2"/>
        <v>2021</v>
      </c>
      <c r="C15" s="211"/>
      <c r="D15" s="199">
        <f t="shared" si="3"/>
        <v>151.71</v>
      </c>
      <c r="E15" s="199">
        <f t="shared" si="4"/>
        <v>20.91</v>
      </c>
      <c r="F15" s="201">
        <f t="shared" si="0"/>
        <v>79.138471694999183</v>
      </c>
      <c r="G15" s="199">
        <f t="shared" si="5"/>
        <v>0</v>
      </c>
      <c r="H15" s="212">
        <f t="shared" si="6"/>
        <v>-3.3</v>
      </c>
      <c r="I15" s="201">
        <f t="shared" si="1"/>
        <v>75.838471694999186</v>
      </c>
      <c r="J15" s="201">
        <f t="shared" si="7"/>
        <v>165.42</v>
      </c>
      <c r="K15" s="199">
        <f t="shared" si="8"/>
        <v>0.68</v>
      </c>
      <c r="L15" s="190"/>
      <c r="N15" s="208"/>
      <c r="O15" s="208"/>
      <c r="P15" s="240"/>
      <c r="Q15" s="208"/>
      <c r="R15" s="209"/>
    </row>
    <row r="16" spans="2:18">
      <c r="B16" s="210">
        <f t="shared" si="2"/>
        <v>2022</v>
      </c>
      <c r="C16" s="211"/>
      <c r="D16" s="199">
        <f t="shared" si="3"/>
        <v>155.19999999999999</v>
      </c>
      <c r="E16" s="199">
        <f t="shared" si="4"/>
        <v>21.39</v>
      </c>
      <c r="F16" s="201">
        <f t="shared" si="0"/>
        <v>80.958537345729951</v>
      </c>
      <c r="G16" s="199">
        <f t="shared" si="5"/>
        <v>0</v>
      </c>
      <c r="H16" s="212">
        <f t="shared" si="6"/>
        <v>-3.38</v>
      </c>
      <c r="I16" s="201">
        <f t="shared" si="1"/>
        <v>77.578537345729956</v>
      </c>
      <c r="J16" s="201">
        <f t="shared" si="7"/>
        <v>169.22</v>
      </c>
      <c r="K16" s="199">
        <f t="shared" si="8"/>
        <v>0.7</v>
      </c>
      <c r="L16" s="190"/>
      <c r="N16" s="202"/>
      <c r="P16" s="240"/>
    </row>
    <row r="17" spans="2:17">
      <c r="B17" s="210">
        <f t="shared" si="2"/>
        <v>2023</v>
      </c>
      <c r="C17" s="211"/>
      <c r="D17" s="199">
        <f t="shared" si="3"/>
        <v>158.77000000000001</v>
      </c>
      <c r="E17" s="199">
        <f t="shared" si="4"/>
        <v>21.88</v>
      </c>
      <c r="F17" s="201">
        <f t="shared" si="0"/>
        <v>82.819863930608292</v>
      </c>
      <c r="G17" s="199">
        <f t="shared" si="5"/>
        <v>0</v>
      </c>
      <c r="H17" s="212">
        <f t="shared" si="6"/>
        <v>-3.46</v>
      </c>
      <c r="I17" s="201">
        <f t="shared" si="1"/>
        <v>79.359863930608299</v>
      </c>
      <c r="J17" s="201">
        <f t="shared" si="7"/>
        <v>173.1</v>
      </c>
      <c r="K17" s="199">
        <f t="shared" si="8"/>
        <v>0.72</v>
      </c>
      <c r="L17" s="190"/>
      <c r="N17" s="202"/>
      <c r="O17" s="207"/>
      <c r="P17" s="240"/>
    </row>
    <row r="18" spans="2:17">
      <c r="B18" s="210">
        <f t="shared" si="2"/>
        <v>2024</v>
      </c>
      <c r="C18" s="211"/>
      <c r="D18" s="199">
        <f t="shared" si="3"/>
        <v>162.41999999999999</v>
      </c>
      <c r="E18" s="199">
        <f t="shared" si="4"/>
        <v>22.38</v>
      </c>
      <c r="F18" s="201">
        <f t="shared" si="0"/>
        <v>84.72245144963415</v>
      </c>
      <c r="G18" s="199">
        <f t="shared" si="5"/>
        <v>0</v>
      </c>
      <c r="H18" s="212">
        <f t="shared" si="6"/>
        <v>-3.54</v>
      </c>
      <c r="I18" s="201">
        <f t="shared" si="1"/>
        <v>81.182451449634144</v>
      </c>
      <c r="J18" s="201">
        <f t="shared" si="7"/>
        <v>177.08</v>
      </c>
      <c r="K18" s="199">
        <f t="shared" si="8"/>
        <v>0.74</v>
      </c>
      <c r="L18" s="190"/>
      <c r="P18" s="240"/>
    </row>
    <row r="19" spans="2:17">
      <c r="B19" s="210">
        <f t="shared" si="2"/>
        <v>2025</v>
      </c>
      <c r="C19" s="211"/>
      <c r="D19" s="199">
        <f t="shared" si="3"/>
        <v>166.16</v>
      </c>
      <c r="E19" s="199">
        <f t="shared" si="4"/>
        <v>22.89</v>
      </c>
      <c r="F19" s="201">
        <f t="shared" si="0"/>
        <v>86.670884451046206</v>
      </c>
      <c r="G19" s="199">
        <f t="shared" si="5"/>
        <v>0</v>
      </c>
      <c r="H19" s="212">
        <f t="shared" si="6"/>
        <v>-3.62</v>
      </c>
      <c r="I19" s="201">
        <f t="shared" si="1"/>
        <v>83.050884451046201</v>
      </c>
      <c r="J19" s="201">
        <f t="shared" si="7"/>
        <v>181.15</v>
      </c>
      <c r="K19" s="199">
        <f t="shared" si="8"/>
        <v>0.76</v>
      </c>
      <c r="L19" s="190"/>
      <c r="P19" s="240"/>
    </row>
    <row r="20" spans="2:17">
      <c r="B20" s="210">
        <f t="shared" si="2"/>
        <v>2026</v>
      </c>
      <c r="C20" s="211"/>
      <c r="D20" s="199">
        <f t="shared" ref="D20:D28" si="9">ROUND(D19*(1+$G66),2)</f>
        <v>169.98</v>
      </c>
      <c r="E20" s="199">
        <f t="shared" ref="E20:E28" si="10">ROUND(E19*(1+$G66),2)</f>
        <v>23.42</v>
      </c>
      <c r="F20" s="201">
        <f t="shared" si="0"/>
        <v>88.665162934844403</v>
      </c>
      <c r="G20" s="199">
        <f t="shared" ref="G20:G28" si="11">ROUND(G19*(1+$G66),2)</f>
        <v>0</v>
      </c>
      <c r="H20" s="212">
        <f t="shared" ref="H20:H28" si="12">ROUND(H19*(1+$G66),2)</f>
        <v>-3.7</v>
      </c>
      <c r="I20" s="201">
        <f t="shared" si="1"/>
        <v>84.9651629348444</v>
      </c>
      <c r="J20" s="201">
        <f t="shared" si="7"/>
        <v>185.33</v>
      </c>
      <c r="K20" s="199">
        <f t="shared" ref="K20:K28" si="13">ROUND(K19*(1+$G66),2)</f>
        <v>0.78</v>
      </c>
      <c r="L20" s="190"/>
      <c r="P20" s="240"/>
      <c r="Q20" s="241"/>
    </row>
    <row r="21" spans="2:17">
      <c r="B21" s="210">
        <f t="shared" si="2"/>
        <v>2027</v>
      </c>
      <c r="C21" s="211"/>
      <c r="D21" s="199">
        <f t="shared" si="9"/>
        <v>173.89</v>
      </c>
      <c r="E21" s="199">
        <f t="shared" si="10"/>
        <v>23.96</v>
      </c>
      <c r="F21" s="201">
        <f t="shared" si="0"/>
        <v>90.705286901028771</v>
      </c>
      <c r="G21" s="199">
        <f t="shared" si="11"/>
        <v>0</v>
      </c>
      <c r="H21" s="212">
        <f t="shared" si="12"/>
        <v>-3.79</v>
      </c>
      <c r="I21" s="201">
        <f t="shared" si="1"/>
        <v>86.915286901028765</v>
      </c>
      <c r="J21" s="201">
        <f t="shared" si="7"/>
        <v>189.58</v>
      </c>
      <c r="K21" s="199">
        <f t="shared" si="13"/>
        <v>0.8</v>
      </c>
      <c r="L21" s="190"/>
      <c r="P21" s="240"/>
    </row>
    <row r="22" spans="2:17">
      <c r="B22" s="210">
        <f t="shared" si="2"/>
        <v>2028</v>
      </c>
      <c r="C22" s="211"/>
      <c r="D22" s="205">
        <f t="shared" si="9"/>
        <v>177.89</v>
      </c>
      <c r="E22" s="205">
        <f t="shared" si="10"/>
        <v>24.51</v>
      </c>
      <c r="F22" s="206">
        <f t="shared" si="0"/>
        <v>92.791256349599308</v>
      </c>
      <c r="G22" s="205">
        <f t="shared" si="11"/>
        <v>0</v>
      </c>
      <c r="H22" s="205">
        <f t="shared" si="12"/>
        <v>-3.88</v>
      </c>
      <c r="I22" s="206">
        <f t="shared" si="1"/>
        <v>88.911256349599313</v>
      </c>
      <c r="J22" s="206">
        <f t="shared" si="7"/>
        <v>193.94</v>
      </c>
      <c r="K22" s="205">
        <f t="shared" si="13"/>
        <v>0.82</v>
      </c>
      <c r="L22" s="190"/>
      <c r="P22" s="240"/>
    </row>
    <row r="23" spans="2:17">
      <c r="B23" s="210">
        <f t="shared" si="2"/>
        <v>2029</v>
      </c>
      <c r="C23" s="211"/>
      <c r="D23" s="199">
        <f t="shared" si="9"/>
        <v>181.98</v>
      </c>
      <c r="E23" s="199">
        <f t="shared" si="10"/>
        <v>25.07</v>
      </c>
      <c r="F23" s="201">
        <f t="shared" si="0"/>
        <v>94.923071280556016</v>
      </c>
      <c r="G23" s="199">
        <f t="shared" si="11"/>
        <v>0</v>
      </c>
      <c r="H23" s="212">
        <f t="shared" si="12"/>
        <v>-3.97</v>
      </c>
      <c r="I23" s="201">
        <f t="shared" si="1"/>
        <v>90.953071280556017</v>
      </c>
      <c r="J23" s="201">
        <f t="shared" si="7"/>
        <v>198.39</v>
      </c>
      <c r="K23" s="199">
        <f t="shared" si="13"/>
        <v>0.84</v>
      </c>
      <c r="L23" s="190"/>
      <c r="P23" s="240"/>
    </row>
    <row r="24" spans="2:17">
      <c r="B24" s="210">
        <f t="shared" si="2"/>
        <v>2030</v>
      </c>
      <c r="C24" s="211"/>
      <c r="D24" s="199">
        <f t="shared" si="9"/>
        <v>186.17</v>
      </c>
      <c r="E24" s="199">
        <f t="shared" si="10"/>
        <v>25.65</v>
      </c>
      <c r="F24" s="201">
        <f t="shared" si="0"/>
        <v>97.109900790376116</v>
      </c>
      <c r="G24" s="199">
        <f t="shared" si="11"/>
        <v>0</v>
      </c>
      <c r="H24" s="212">
        <f t="shared" si="12"/>
        <v>-4.0599999999999996</v>
      </c>
      <c r="I24" s="201">
        <f t="shared" si="1"/>
        <v>93.049900790376114</v>
      </c>
      <c r="J24" s="201">
        <f t="shared" si="7"/>
        <v>202.96</v>
      </c>
      <c r="K24" s="199">
        <f t="shared" si="13"/>
        <v>0.86</v>
      </c>
      <c r="L24" s="190"/>
      <c r="P24" s="240"/>
    </row>
    <row r="25" spans="2:17">
      <c r="B25" s="210">
        <f t="shared" si="2"/>
        <v>2031</v>
      </c>
      <c r="C25" s="211"/>
      <c r="D25" s="199">
        <f t="shared" si="9"/>
        <v>190.45</v>
      </c>
      <c r="E25" s="199">
        <f t="shared" si="10"/>
        <v>26.24</v>
      </c>
      <c r="F25" s="201">
        <f t="shared" si="0"/>
        <v>99.342575782582387</v>
      </c>
      <c r="G25" s="199">
        <f t="shared" si="11"/>
        <v>0</v>
      </c>
      <c r="H25" s="212">
        <f t="shared" si="12"/>
        <v>-4.1500000000000004</v>
      </c>
      <c r="I25" s="201">
        <f t="shared" si="1"/>
        <v>95.192575782582381</v>
      </c>
      <c r="J25" s="201">
        <f t="shared" si="7"/>
        <v>207.64</v>
      </c>
      <c r="K25" s="199">
        <f t="shared" si="13"/>
        <v>0.88</v>
      </c>
      <c r="L25" s="190"/>
      <c r="P25" s="240"/>
    </row>
    <row r="26" spans="2:17">
      <c r="B26" s="210">
        <f t="shared" si="2"/>
        <v>2032</v>
      </c>
      <c r="C26" s="211"/>
      <c r="D26" s="199">
        <f t="shared" si="9"/>
        <v>194.64</v>
      </c>
      <c r="E26" s="199">
        <f t="shared" si="10"/>
        <v>26.82</v>
      </c>
      <c r="F26" s="201">
        <f t="shared" si="0"/>
        <v>101.52940529240249</v>
      </c>
      <c r="G26" s="199">
        <f t="shared" si="11"/>
        <v>0</v>
      </c>
      <c r="H26" s="212">
        <f t="shared" si="12"/>
        <v>-4.24</v>
      </c>
      <c r="I26" s="201">
        <f t="shared" si="1"/>
        <v>97.289405292402492</v>
      </c>
      <c r="J26" s="201">
        <f t="shared" si="7"/>
        <v>212.21</v>
      </c>
      <c r="K26" s="199">
        <f t="shared" si="13"/>
        <v>0.9</v>
      </c>
      <c r="L26" s="190"/>
      <c r="P26" s="240"/>
    </row>
    <row r="27" spans="2:17">
      <c r="B27" s="210">
        <f t="shared" si="2"/>
        <v>2033</v>
      </c>
      <c r="C27" s="211"/>
      <c r="D27" s="199">
        <f t="shared" si="9"/>
        <v>198.92</v>
      </c>
      <c r="E27" s="199">
        <f t="shared" si="10"/>
        <v>27.41</v>
      </c>
      <c r="F27" s="201">
        <f t="shared" si="0"/>
        <v>103.76208028460876</v>
      </c>
      <c r="G27" s="199">
        <f t="shared" si="11"/>
        <v>0</v>
      </c>
      <c r="H27" s="212">
        <f t="shared" si="12"/>
        <v>-4.33</v>
      </c>
      <c r="I27" s="201">
        <f t="shared" si="1"/>
        <v>99.432080284608759</v>
      </c>
      <c r="J27" s="201">
        <f t="shared" si="7"/>
        <v>216.89</v>
      </c>
      <c r="K27" s="199">
        <f t="shared" si="13"/>
        <v>0.92</v>
      </c>
      <c r="L27" s="190"/>
      <c r="P27" s="240"/>
    </row>
    <row r="28" spans="2:17">
      <c r="B28" s="210">
        <f t="shared" si="2"/>
        <v>2034</v>
      </c>
      <c r="C28" s="211"/>
      <c r="D28" s="199">
        <f t="shared" si="9"/>
        <v>203.5</v>
      </c>
      <c r="E28" s="199">
        <f t="shared" si="10"/>
        <v>28.04</v>
      </c>
      <c r="F28" s="201">
        <f t="shared" si="0"/>
        <v>106.15062991692798</v>
      </c>
      <c r="G28" s="199">
        <f t="shared" si="11"/>
        <v>0</v>
      </c>
      <c r="H28" s="212">
        <f t="shared" si="12"/>
        <v>-4.43</v>
      </c>
      <c r="I28" s="201">
        <f t="shared" si="1"/>
        <v>101.72062991692798</v>
      </c>
      <c r="J28" s="201">
        <f t="shared" si="7"/>
        <v>221.88</v>
      </c>
      <c r="K28" s="199">
        <f t="shared" si="13"/>
        <v>0.94</v>
      </c>
      <c r="L28" s="190"/>
      <c r="P28" s="240"/>
    </row>
    <row r="29" spans="2:17">
      <c r="B29" s="210">
        <f t="shared" si="2"/>
        <v>2035</v>
      </c>
      <c r="C29" s="211"/>
      <c r="D29" s="199">
        <f t="shared" ref="D29:E36" si="14">ROUND(D28*(1+$K66),2)</f>
        <v>208.18</v>
      </c>
      <c r="E29" s="199">
        <f t="shared" si="14"/>
        <v>28.68</v>
      </c>
      <c r="F29" s="201">
        <f t="shared" si="0"/>
        <v>108.58960957987202</v>
      </c>
      <c r="G29" s="199">
        <f t="shared" ref="G29:H36" si="15">ROUND(G28*(1+$K66),2)</f>
        <v>0</v>
      </c>
      <c r="H29" s="212">
        <f t="shared" si="15"/>
        <v>-4.53</v>
      </c>
      <c r="I29" s="201">
        <f t="shared" si="1"/>
        <v>104.05960957987202</v>
      </c>
      <c r="J29" s="201">
        <f t="shared" si="7"/>
        <v>226.98</v>
      </c>
      <c r="K29" s="199">
        <f>ROUND(K28*(1+$K66),2)</f>
        <v>0.96</v>
      </c>
      <c r="L29" s="190"/>
      <c r="P29" s="240"/>
    </row>
    <row r="30" spans="2:17">
      <c r="B30" s="210">
        <f t="shared" si="2"/>
        <v>2036</v>
      </c>
      <c r="C30" s="211"/>
      <c r="D30" s="199">
        <f t="shared" si="14"/>
        <v>212.97</v>
      </c>
      <c r="E30" s="199">
        <f t="shared" si="14"/>
        <v>29.34</v>
      </c>
      <c r="F30" s="201">
        <f t="shared" si="0"/>
        <v>111.08818836991804</v>
      </c>
      <c r="G30" s="199">
        <f t="shared" si="15"/>
        <v>0</v>
      </c>
      <c r="H30" s="212">
        <f t="shared" si="15"/>
        <v>-4.63</v>
      </c>
      <c r="I30" s="201">
        <f t="shared" si="1"/>
        <v>106.45818836991805</v>
      </c>
      <c r="J30" s="201">
        <f t="shared" si="7"/>
        <v>232.21</v>
      </c>
      <c r="K30" s="199">
        <f t="shared" ref="K30:K36" si="16">ROUND(K29*(1+$K67),2)</f>
        <v>0.98</v>
      </c>
      <c r="L30" s="190"/>
      <c r="P30" s="240"/>
    </row>
    <row r="31" spans="2:17">
      <c r="B31" s="210">
        <f t="shared" si="2"/>
        <v>2037</v>
      </c>
      <c r="C31" s="211"/>
      <c r="D31" s="199">
        <f t="shared" si="14"/>
        <v>217.66</v>
      </c>
      <c r="E31" s="199">
        <f t="shared" si="14"/>
        <v>29.99</v>
      </c>
      <c r="F31" s="201">
        <f t="shared" si="0"/>
        <v>113.53633712933929</v>
      </c>
      <c r="G31" s="199">
        <f t="shared" si="15"/>
        <v>0</v>
      </c>
      <c r="H31" s="212">
        <f t="shared" si="15"/>
        <v>-4.7300000000000004</v>
      </c>
      <c r="I31" s="201">
        <f t="shared" si="1"/>
        <v>108.80633712933928</v>
      </c>
      <c r="J31" s="201">
        <f t="shared" si="7"/>
        <v>237.33</v>
      </c>
      <c r="K31" s="199">
        <f t="shared" si="16"/>
        <v>1</v>
      </c>
      <c r="L31" s="190"/>
      <c r="P31" s="240"/>
    </row>
    <row r="32" spans="2:17">
      <c r="B32" s="210">
        <f t="shared" si="2"/>
        <v>2038</v>
      </c>
      <c r="C32" s="211"/>
      <c r="D32" s="199">
        <f t="shared" si="14"/>
        <v>222.45</v>
      </c>
      <c r="E32" s="199">
        <f t="shared" si="14"/>
        <v>30.65</v>
      </c>
      <c r="F32" s="201">
        <f t="shared" si="0"/>
        <v>116.03491591938531</v>
      </c>
      <c r="G32" s="199">
        <f t="shared" si="15"/>
        <v>0</v>
      </c>
      <c r="H32" s="212">
        <f t="shared" si="15"/>
        <v>-4.83</v>
      </c>
      <c r="I32" s="201">
        <f t="shared" si="1"/>
        <v>111.20491591938531</v>
      </c>
      <c r="J32" s="201">
        <f t="shared" si="7"/>
        <v>242.56</v>
      </c>
      <c r="K32" s="199">
        <f t="shared" si="16"/>
        <v>1.02</v>
      </c>
      <c r="L32" s="190"/>
      <c r="P32" s="240"/>
    </row>
    <row r="33" spans="2:16">
      <c r="B33" s="210">
        <f t="shared" si="2"/>
        <v>2039</v>
      </c>
      <c r="C33" s="211"/>
      <c r="D33" s="199">
        <f t="shared" si="14"/>
        <v>227.34</v>
      </c>
      <c r="E33" s="199">
        <f t="shared" si="14"/>
        <v>31.32</v>
      </c>
      <c r="F33" s="201">
        <f t="shared" si="0"/>
        <v>118.58392474005613</v>
      </c>
      <c r="G33" s="199">
        <f t="shared" si="15"/>
        <v>0</v>
      </c>
      <c r="H33" s="212">
        <f t="shared" si="15"/>
        <v>-4.9400000000000004</v>
      </c>
      <c r="I33" s="201">
        <f t="shared" si="1"/>
        <v>113.64392474005614</v>
      </c>
      <c r="J33" s="201">
        <f t="shared" si="7"/>
        <v>247.88</v>
      </c>
      <c r="K33" s="199">
        <f t="shared" si="16"/>
        <v>1.04</v>
      </c>
      <c r="L33" s="190"/>
      <c r="P33" s="240"/>
    </row>
    <row r="34" spans="2:16">
      <c r="B34" s="210">
        <f t="shared" si="2"/>
        <v>2040</v>
      </c>
      <c r="C34" s="211"/>
      <c r="D34" s="199">
        <f t="shared" si="14"/>
        <v>232.34</v>
      </c>
      <c r="E34" s="199">
        <f t="shared" si="14"/>
        <v>32.01</v>
      </c>
      <c r="F34" s="201">
        <f t="shared" si="0"/>
        <v>121.19253268782896</v>
      </c>
      <c r="G34" s="199">
        <f t="shared" si="15"/>
        <v>0</v>
      </c>
      <c r="H34" s="212">
        <f t="shared" si="15"/>
        <v>-5.05</v>
      </c>
      <c r="I34" s="201">
        <f t="shared" si="1"/>
        <v>116.14253268782896</v>
      </c>
      <c r="J34" s="201">
        <f t="shared" si="7"/>
        <v>253.33</v>
      </c>
      <c r="K34" s="199">
        <f t="shared" si="16"/>
        <v>1.06</v>
      </c>
      <c r="L34" s="190"/>
      <c r="P34" s="240"/>
    </row>
    <row r="35" spans="2:16">
      <c r="B35" s="210">
        <f t="shared" si="2"/>
        <v>2041</v>
      </c>
      <c r="C35" s="211"/>
      <c r="D35" s="199">
        <f t="shared" si="14"/>
        <v>237.45</v>
      </c>
      <c r="E35" s="199">
        <f t="shared" si="14"/>
        <v>32.71</v>
      </c>
      <c r="F35" s="201">
        <f t="shared" si="0"/>
        <v>123.85615521446516</v>
      </c>
      <c r="G35" s="199">
        <f t="shared" si="15"/>
        <v>0</v>
      </c>
      <c r="H35" s="212">
        <f t="shared" si="15"/>
        <v>-5.16</v>
      </c>
      <c r="I35" s="201">
        <f t="shared" si="1"/>
        <v>118.69615521446516</v>
      </c>
      <c r="J35" s="201">
        <f t="shared" si="7"/>
        <v>258.89999999999998</v>
      </c>
      <c r="K35" s="199">
        <f t="shared" si="16"/>
        <v>1.08</v>
      </c>
      <c r="L35" s="190"/>
      <c r="P35" s="240"/>
    </row>
    <row r="36" spans="2:16">
      <c r="B36" s="210">
        <f t="shared" si="2"/>
        <v>2042</v>
      </c>
      <c r="C36" s="211"/>
      <c r="D36" s="199">
        <f t="shared" si="14"/>
        <v>242.67</v>
      </c>
      <c r="E36" s="199">
        <f t="shared" si="14"/>
        <v>33.43</v>
      </c>
      <c r="F36" s="201">
        <f t="shared" si="0"/>
        <v>126.5793768682034</v>
      </c>
      <c r="G36" s="199">
        <f t="shared" si="15"/>
        <v>0</v>
      </c>
      <c r="H36" s="212">
        <f t="shared" si="15"/>
        <v>-5.27</v>
      </c>
      <c r="I36" s="201">
        <f t="shared" si="1"/>
        <v>121.3093768682034</v>
      </c>
      <c r="J36" s="201">
        <f t="shared" si="7"/>
        <v>264.60000000000002</v>
      </c>
      <c r="K36" s="199">
        <f t="shared" si="16"/>
        <v>1.1000000000000001</v>
      </c>
      <c r="L36" s="190"/>
      <c r="P36" s="240"/>
    </row>
    <row r="37" spans="2:16">
      <c r="B37" s="210"/>
      <c r="C37" s="203"/>
      <c r="D37" s="199"/>
      <c r="E37" s="199"/>
      <c r="F37" s="200"/>
      <c r="G37" s="199"/>
      <c r="H37" s="199"/>
      <c r="I37" s="201"/>
      <c r="J37" s="201"/>
      <c r="K37" s="213"/>
    </row>
    <row r="38" spans="2:16" hidden="1">
      <c r="B38" s="197"/>
      <c r="C38" s="203"/>
      <c r="D38" s="199"/>
      <c r="E38" s="199"/>
      <c r="F38" s="200"/>
      <c r="G38" s="199"/>
      <c r="H38" s="199"/>
      <c r="I38" s="201"/>
      <c r="J38" s="201"/>
      <c r="K38" s="213"/>
    </row>
    <row r="39" spans="2:16" hidden="1">
      <c r="B39" s="197"/>
      <c r="C39" s="203"/>
      <c r="D39" s="199"/>
      <c r="E39" s="199"/>
      <c r="F39" s="200"/>
      <c r="G39" s="199"/>
      <c r="H39" s="199"/>
      <c r="I39" s="201"/>
      <c r="J39" s="201"/>
      <c r="K39" s="213"/>
    </row>
    <row r="40" spans="2:16" hidden="1">
      <c r="B40" s="197"/>
      <c r="C40" s="203"/>
      <c r="D40" s="199"/>
      <c r="E40" s="199"/>
      <c r="F40" s="200"/>
      <c r="G40" s="199"/>
      <c r="H40" s="199"/>
      <c r="I40" s="201"/>
      <c r="J40" s="201"/>
      <c r="K40" s="213"/>
    </row>
    <row r="42" spans="2:16" ht="14.25">
      <c r="B42" s="214" t="s">
        <v>31</v>
      </c>
      <c r="C42" s="215"/>
      <c r="D42" s="215"/>
      <c r="E42" s="215"/>
      <c r="F42" s="215"/>
      <c r="G42" s="215"/>
      <c r="H42" s="215"/>
    </row>
    <row r="44" spans="2:16">
      <c r="B44" s="188" t="s">
        <v>114</v>
      </c>
      <c r="C44" s="216" t="s">
        <v>115</v>
      </c>
      <c r="D44" s="217" t="str">
        <f>'Table 3 200 MW (Wyo) 2033'!E68</f>
        <v xml:space="preserve">Plant Costs  - 2017 IRP - Table 6.1 &amp; 6.2 </v>
      </c>
    </row>
    <row r="45" spans="2:16">
      <c r="C45" s="216" t="str">
        <f>C7</f>
        <v>(a)</v>
      </c>
      <c r="D45" s="188" t="s">
        <v>116</v>
      </c>
    </row>
    <row r="46" spans="2:16">
      <c r="C46" s="216" t="str">
        <f>D7</f>
        <v>(b)</v>
      </c>
      <c r="D46" s="201" t="str">
        <f>"= "&amp;C7&amp;" x "&amp;C62</f>
        <v>= (a) x 0.0771567801772526</v>
      </c>
    </row>
    <row r="47" spans="2:16">
      <c r="C47" s="216" t="str">
        <f>F7</f>
        <v>(d)</v>
      </c>
      <c r="D47" s="201" t="str">
        <f>"= ("&amp;$D$7&amp;" + "&amp;$E$7&amp;") /  (8.76 x "&amp;TEXT(C63,"0.0%")&amp;")"</f>
        <v>= ((b) + (c)) /  (8.76 x 24.9%)</v>
      </c>
    </row>
    <row r="48" spans="2:16">
      <c r="C48" s="216" t="str">
        <f>I7</f>
        <v>(g)</v>
      </c>
      <c r="D48" s="201" t="str">
        <f>"= "&amp;$F$7&amp;" + "&amp;$H$7</f>
        <v>= (d) + (f)</v>
      </c>
    </row>
    <row r="49" spans="2:24">
      <c r="C49" s="216" t="str">
        <f>K7</f>
        <v>(h)</v>
      </c>
      <c r="D49" s="104" t="str">
        <f>D44</f>
        <v xml:space="preserve">Plant Costs  - 2017 IRP - Table 6.1 &amp; 6.2 </v>
      </c>
    </row>
    <row r="50" spans="2:24">
      <c r="C50" s="216"/>
      <c r="D50" s="201"/>
    </row>
    <row r="51" spans="2:24" ht="13.5" thickBot="1"/>
    <row r="52" spans="2:24" ht="13.5" thickBot="1">
      <c r="C52" s="58" t="str">
        <f>B2&amp;" - "&amp;B3</f>
        <v>2017 IRP Yakima Solar Resource - 25% Capacity Factor</v>
      </c>
      <c r="D52" s="218"/>
      <c r="E52" s="218"/>
      <c r="F52" s="218"/>
      <c r="G52" s="218"/>
      <c r="H52" s="218"/>
      <c r="I52" s="219"/>
      <c r="J52" s="219"/>
      <c r="K52" s="220"/>
    </row>
    <row r="53" spans="2:24" ht="13.5" thickBot="1">
      <c r="C53" s="221" t="s">
        <v>123</v>
      </c>
      <c r="D53" s="222" t="s">
        <v>118</v>
      </c>
      <c r="E53" s="222"/>
      <c r="F53" s="222"/>
      <c r="G53" s="222"/>
      <c r="H53" s="223"/>
      <c r="I53" s="219"/>
      <c r="J53" s="219"/>
      <c r="K53" s="220"/>
    </row>
    <row r="55" spans="2:24">
      <c r="B55" s="104" t="s">
        <v>105</v>
      </c>
      <c r="C55" s="224">
        <v>1761.8947998896474</v>
      </c>
      <c r="D55" s="188" t="s">
        <v>116</v>
      </c>
      <c r="H55" s="188" t="s">
        <v>9</v>
      </c>
    </row>
    <row r="56" spans="2:24">
      <c r="B56" s="104" t="s">
        <v>105</v>
      </c>
      <c r="C56" s="225">
        <v>18.739825346529312</v>
      </c>
      <c r="D56" s="188" t="s">
        <v>119</v>
      </c>
      <c r="H56" s="188" t="s">
        <v>9</v>
      </c>
    </row>
    <row r="57" spans="2:24">
      <c r="B57" s="104" t="s">
        <v>105</v>
      </c>
      <c r="C57" s="230">
        <v>0.60299999999999998</v>
      </c>
      <c r="D57" s="188" t="s">
        <v>124</v>
      </c>
      <c r="H57" s="188" t="s">
        <v>121</v>
      </c>
    </row>
    <row r="58" spans="2:24">
      <c r="B58" s="104" t="s">
        <v>105</v>
      </c>
      <c r="C58" s="225">
        <v>0</v>
      </c>
      <c r="D58" s="188" t="s">
        <v>120</v>
      </c>
      <c r="H58" s="188" t="s">
        <v>121</v>
      </c>
      <c r="K58" s="190"/>
      <c r="L58" s="226"/>
      <c r="M58" s="69"/>
      <c r="N58" s="227" t="s">
        <v>128</v>
      </c>
      <c r="O58" s="69" t="s">
        <v>127</v>
      </c>
      <c r="P58" s="229" t="s">
        <v>129</v>
      </c>
      <c r="Q58" s="69"/>
      <c r="S58" s="190"/>
      <c r="T58" s="190"/>
      <c r="U58" s="190"/>
      <c r="V58" s="190"/>
      <c r="W58" s="190"/>
      <c r="X58" s="190"/>
    </row>
    <row r="59" spans="2:24">
      <c r="B59" s="104" t="s">
        <v>105</v>
      </c>
      <c r="C59" s="238">
        <f>$P$63</f>
        <v>-2.9537611535827537</v>
      </c>
      <c r="D59" s="188" t="s">
        <v>122</v>
      </c>
      <c r="H59" s="188" t="s">
        <v>121</v>
      </c>
      <c r="K59" s="228"/>
      <c r="L59" s="228"/>
      <c r="N59" s="228">
        <f>C55</f>
        <v>1761.8947998896474</v>
      </c>
      <c r="O59" s="248">
        <v>6.910504691716815E-2</v>
      </c>
      <c r="P59" s="242">
        <f>O59*N59/8760/$C$63*1000-O60*N60/8760/$C$63*1000</f>
        <v>-6.5037808590715613</v>
      </c>
      <c r="Q59" s="249"/>
      <c r="R59" s="230"/>
      <c r="S59" s="190"/>
      <c r="T59" s="190"/>
      <c r="U59" s="190"/>
      <c r="V59" s="190"/>
      <c r="W59" s="190"/>
      <c r="X59" s="190"/>
    </row>
    <row r="60" spans="2:24">
      <c r="K60" s="228"/>
      <c r="N60" s="228">
        <f>N59</f>
        <v>1761.8947998896474</v>
      </c>
      <c r="O60" s="248">
        <v>7.7156780177252568E-2</v>
      </c>
      <c r="P60" s="190"/>
      <c r="Q60" s="249"/>
      <c r="R60" s="190"/>
      <c r="S60" s="190"/>
      <c r="T60" s="190"/>
      <c r="U60" s="190"/>
      <c r="V60" s="190"/>
      <c r="W60" s="190"/>
      <c r="X60" s="190"/>
    </row>
    <row r="61" spans="2:24">
      <c r="C61" s="232"/>
      <c r="K61" s="228"/>
      <c r="N61" s="235"/>
      <c r="O61" s="235"/>
      <c r="S61" s="190"/>
      <c r="T61" s="190"/>
      <c r="U61" s="190"/>
      <c r="V61" s="190"/>
      <c r="W61" s="190"/>
      <c r="X61" s="190"/>
    </row>
    <row r="62" spans="2:24">
      <c r="C62" s="233">
        <v>7.7156780177252568E-2</v>
      </c>
      <c r="D62" s="188" t="s">
        <v>54</v>
      </c>
      <c r="K62" s="234"/>
      <c r="N62" s="227" t="s">
        <v>128</v>
      </c>
      <c r="O62" s="69" t="s">
        <v>127</v>
      </c>
      <c r="P62" s="229" t="s">
        <v>130</v>
      </c>
    </row>
    <row r="63" spans="2:24">
      <c r="C63" s="239">
        <v>0.249</v>
      </c>
      <c r="D63" s="188" t="s">
        <v>55</v>
      </c>
      <c r="N63" s="228">
        <f>N59</f>
        <v>1761.8947998896474</v>
      </c>
      <c r="O63" s="248">
        <v>7.3499999999999996E-2</v>
      </c>
      <c r="P63" s="242">
        <f>O63*N63/8760/$C$63*1000-O64*N64/8760/$C$63*1000</f>
        <v>-2.9537611535827537</v>
      </c>
      <c r="R63" s="188" t="s">
        <v>131</v>
      </c>
    </row>
    <row r="64" spans="2:24" ht="13.5" thickBot="1">
      <c r="D64" s="231"/>
      <c r="N64" s="228">
        <f>N59</f>
        <v>1761.8947998896474</v>
      </c>
      <c r="O64" s="248">
        <v>7.7156780177252568E-2</v>
      </c>
      <c r="P64" s="190"/>
    </row>
    <row r="65" spans="3:11" ht="13.5" thickBot="1">
      <c r="C65" s="54" t="str">
        <f>"Company Official Inflation Forecast Dated "&amp;TEXT('Table 4'!$G$5,"mmmm dd, yyyy")</f>
        <v>Company Official Inflation Forecast Dated December 29, 2017</v>
      </c>
      <c r="D65" s="218"/>
      <c r="E65" s="218"/>
      <c r="F65" s="218"/>
      <c r="G65" s="218"/>
      <c r="H65" s="218"/>
      <c r="I65" s="218"/>
      <c r="J65" s="218"/>
      <c r="K65" s="220"/>
    </row>
    <row r="66" spans="3:11">
      <c r="C66" s="129">
        <v>2017</v>
      </c>
      <c r="D66" s="57">
        <v>0.02</v>
      </c>
      <c r="E66" s="104"/>
      <c r="F66" s="129">
        <f>C74+1</f>
        <v>2026</v>
      </c>
      <c r="G66" s="57">
        <v>2.3E-2</v>
      </c>
      <c r="H66" s="104"/>
      <c r="I66" s="129">
        <f>F74+1</f>
        <v>2035</v>
      </c>
      <c r="J66" s="129"/>
      <c r="K66" s="57">
        <v>2.3E-2</v>
      </c>
    </row>
    <row r="67" spans="3:11">
      <c r="C67" s="129">
        <f t="shared" ref="C67:C74" si="17">C66+1</f>
        <v>2018</v>
      </c>
      <c r="D67" s="57">
        <v>1.9E-2</v>
      </c>
      <c r="E67" s="104"/>
      <c r="F67" s="129">
        <f t="shared" ref="F67:F74" si="18">F66+1</f>
        <v>2027</v>
      </c>
      <c r="G67" s="57">
        <v>2.3E-2</v>
      </c>
      <c r="H67" s="104"/>
      <c r="I67" s="129">
        <f t="shared" ref="I67:I74" si="19">I66+1</f>
        <v>2036</v>
      </c>
      <c r="J67" s="129"/>
      <c r="K67" s="57">
        <v>2.3E-2</v>
      </c>
    </row>
    <row r="68" spans="3:11">
      <c r="C68" s="129">
        <f t="shared" si="17"/>
        <v>2019</v>
      </c>
      <c r="D68" s="57">
        <v>2.1999999999999999E-2</v>
      </c>
      <c r="E68" s="104"/>
      <c r="F68" s="129">
        <f t="shared" si="18"/>
        <v>2028</v>
      </c>
      <c r="G68" s="57">
        <v>2.3E-2</v>
      </c>
      <c r="H68" s="104"/>
      <c r="I68" s="129">
        <f t="shared" si="19"/>
        <v>2037</v>
      </c>
      <c r="J68" s="129"/>
      <c r="K68" s="57">
        <v>2.1999999999999999E-2</v>
      </c>
    </row>
    <row r="69" spans="3:11">
      <c r="C69" s="129">
        <f t="shared" si="17"/>
        <v>2020</v>
      </c>
      <c r="D69" s="57">
        <v>2.5999999999999999E-2</v>
      </c>
      <c r="E69" s="104"/>
      <c r="F69" s="129">
        <f t="shared" si="18"/>
        <v>2029</v>
      </c>
      <c r="G69" s="57">
        <v>2.3E-2</v>
      </c>
      <c r="H69" s="104"/>
      <c r="I69" s="129">
        <f t="shared" si="19"/>
        <v>2038</v>
      </c>
      <c r="J69" s="129"/>
      <c r="K69" s="57">
        <v>2.1999999999999999E-2</v>
      </c>
    </row>
    <row r="70" spans="3:11">
      <c r="C70" s="129">
        <f t="shared" si="17"/>
        <v>2021</v>
      </c>
      <c r="D70" s="57">
        <v>2.4E-2</v>
      </c>
      <c r="E70" s="104"/>
      <c r="F70" s="129">
        <f t="shared" si="18"/>
        <v>2030</v>
      </c>
      <c r="G70" s="57">
        <v>2.3E-2</v>
      </c>
      <c r="H70" s="104"/>
      <c r="I70" s="129">
        <f t="shared" si="19"/>
        <v>2039</v>
      </c>
      <c r="J70" s="129"/>
      <c r="K70" s="57">
        <v>2.1999999999999999E-2</v>
      </c>
    </row>
    <row r="71" spans="3:11">
      <c r="C71" s="129">
        <f t="shared" si="17"/>
        <v>2022</v>
      </c>
      <c r="D71" s="57">
        <v>2.3E-2</v>
      </c>
      <c r="E71" s="104"/>
      <c r="F71" s="129">
        <f t="shared" si="18"/>
        <v>2031</v>
      </c>
      <c r="G71" s="57">
        <v>2.3E-2</v>
      </c>
      <c r="H71" s="104"/>
      <c r="I71" s="129">
        <f t="shared" si="19"/>
        <v>2040</v>
      </c>
      <c r="J71" s="129"/>
      <c r="K71" s="57">
        <v>2.1999999999999999E-2</v>
      </c>
    </row>
    <row r="72" spans="3:11" s="190" customFormat="1">
      <c r="C72" s="129">
        <f t="shared" si="17"/>
        <v>2023</v>
      </c>
      <c r="D72" s="57">
        <v>2.3E-2</v>
      </c>
      <c r="E72" s="106"/>
      <c r="F72" s="129">
        <f t="shared" si="18"/>
        <v>2032</v>
      </c>
      <c r="G72" s="57">
        <v>2.1999999999999999E-2</v>
      </c>
      <c r="H72" s="106"/>
      <c r="I72" s="129">
        <f t="shared" si="19"/>
        <v>2041</v>
      </c>
      <c r="J72" s="129"/>
      <c r="K72" s="57">
        <v>2.1999999999999999E-2</v>
      </c>
    </row>
    <row r="73" spans="3:11" s="190" customFormat="1">
      <c r="C73" s="129">
        <f t="shared" si="17"/>
        <v>2024</v>
      </c>
      <c r="D73" s="57">
        <v>2.3E-2</v>
      </c>
      <c r="E73" s="106"/>
      <c r="F73" s="129">
        <f t="shared" si="18"/>
        <v>2033</v>
      </c>
      <c r="G73" s="57">
        <v>2.1999999999999999E-2</v>
      </c>
      <c r="H73" s="106"/>
      <c r="I73" s="129">
        <f t="shared" si="19"/>
        <v>2042</v>
      </c>
      <c r="J73" s="129"/>
      <c r="K73" s="57">
        <v>2.1999999999999999E-2</v>
      </c>
    </row>
    <row r="74" spans="3:11" s="190" customFormat="1">
      <c r="C74" s="129">
        <f t="shared" si="17"/>
        <v>2025</v>
      </c>
      <c r="D74" s="57">
        <v>2.3E-2</v>
      </c>
      <c r="E74" s="106"/>
      <c r="F74" s="129">
        <f t="shared" si="18"/>
        <v>2034</v>
      </c>
      <c r="G74" s="57">
        <v>2.3E-2</v>
      </c>
      <c r="H74" s="106"/>
      <c r="I74" s="129">
        <f t="shared" si="19"/>
        <v>2043</v>
      </c>
      <c r="J74" s="129"/>
      <c r="K74" s="57">
        <v>2.3E-2</v>
      </c>
    </row>
    <row r="75" spans="3:11" s="190" customFormat="1"/>
    <row r="76" spans="3:11" s="190" customFormat="1"/>
    <row r="93" spans="3:4">
      <c r="C93" s="227"/>
      <c r="D93" s="231"/>
    </row>
    <row r="94" spans="3:4">
      <c r="C94" s="227"/>
      <c r="D94" s="231"/>
    </row>
    <row r="95" spans="3:4">
      <c r="C95" s="227"/>
      <c r="D95" s="231"/>
    </row>
    <row r="96" spans="3:4">
      <c r="C96" s="227"/>
      <c r="D96" s="231"/>
    </row>
    <row r="97" spans="3:4">
      <c r="C97" s="227"/>
      <c r="D97" s="231"/>
    </row>
    <row r="98" spans="3:4">
      <c r="C98" s="227"/>
      <c r="D98" s="231"/>
    </row>
    <row r="99" spans="3:4">
      <c r="C99" s="227"/>
      <c r="D99" s="231"/>
    </row>
    <row r="100" spans="3:4">
      <c r="C100" s="227"/>
      <c r="D100" s="231"/>
    </row>
    <row r="101" spans="3:4">
      <c r="C101" s="227"/>
      <c r="D101" s="231"/>
    </row>
    <row r="102" spans="3:4">
      <c r="C102" s="227"/>
      <c r="D102" s="231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49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02"/>
  <sheetViews>
    <sheetView view="pageBreakPreview" topLeftCell="A29" zoomScale="60" zoomScaleNormal="100" workbookViewId="0">
      <selection activeCell="E54" sqref="E54"/>
    </sheetView>
  </sheetViews>
  <sheetFormatPr defaultColWidth="9.33203125" defaultRowHeight="12.75"/>
  <cols>
    <col min="1" max="1" width="1.5" style="188" customWidth="1"/>
    <col min="2" max="2" width="10.83203125" style="188" customWidth="1"/>
    <col min="3" max="3" width="14.1640625" style="188" customWidth="1"/>
    <col min="4" max="4" width="12.33203125" style="188" customWidth="1"/>
    <col min="5" max="5" width="9.1640625" style="188" customWidth="1"/>
    <col min="6" max="6" width="9.83203125" style="188" bestFit="1" customWidth="1"/>
    <col min="7" max="7" width="9.83203125" style="188" customWidth="1"/>
    <col min="8" max="8" width="10.5" style="188" customWidth="1"/>
    <col min="9" max="9" width="12.5" style="188" customWidth="1"/>
    <col min="10" max="10" width="11.6640625" style="188" customWidth="1"/>
    <col min="11" max="12" width="9.33203125" style="188"/>
    <col min="13" max="13" width="17.5" style="188" customWidth="1"/>
    <col min="14" max="14" width="4.83203125" style="188" customWidth="1"/>
    <col min="15" max="15" width="11.5" style="188" customWidth="1"/>
    <col min="16" max="16" width="12.5" style="188" customWidth="1"/>
    <col min="17" max="16384" width="9.33203125" style="188"/>
  </cols>
  <sheetData>
    <row r="1" spans="2:19" ht="15.75">
      <c r="B1" s="186" t="s">
        <v>85</v>
      </c>
      <c r="C1" s="187"/>
      <c r="D1" s="187"/>
      <c r="E1" s="187"/>
      <c r="F1" s="187"/>
      <c r="G1" s="187"/>
      <c r="H1" s="187"/>
      <c r="I1" s="187"/>
    </row>
    <row r="2" spans="2:19" ht="15.75">
      <c r="B2" s="186" t="s">
        <v>161</v>
      </c>
      <c r="C2" s="187"/>
      <c r="D2" s="187"/>
      <c r="E2" s="187"/>
      <c r="F2" s="187"/>
      <c r="G2" s="187"/>
      <c r="H2" s="187"/>
      <c r="I2" s="187"/>
    </row>
    <row r="3" spans="2:19" ht="15.75">
      <c r="B3" s="186" t="str">
        <f>TEXT($C$63,"0%")&amp;" Capacity Factor"</f>
        <v>90% Capacity Factor</v>
      </c>
      <c r="C3" s="187"/>
      <c r="D3" s="187"/>
      <c r="E3" s="187"/>
      <c r="F3" s="187"/>
      <c r="G3" s="187"/>
      <c r="H3" s="187"/>
      <c r="I3" s="187"/>
    </row>
    <row r="4" spans="2:19">
      <c r="B4" s="189"/>
      <c r="C4" s="189"/>
      <c r="D4" s="189"/>
      <c r="E4" s="189"/>
      <c r="F4" s="189"/>
      <c r="G4" s="189"/>
      <c r="H4" s="189"/>
      <c r="I4" s="190"/>
      <c r="J4" s="190"/>
    </row>
    <row r="5" spans="2:19" ht="51.75" customHeight="1">
      <c r="B5" s="191" t="s">
        <v>0</v>
      </c>
      <c r="C5" s="192" t="s">
        <v>10</v>
      </c>
      <c r="D5" s="192" t="s">
        <v>11</v>
      </c>
      <c r="E5" s="192" t="s">
        <v>12</v>
      </c>
      <c r="F5" s="192" t="s">
        <v>111</v>
      </c>
      <c r="G5" s="19" t="s">
        <v>13</v>
      </c>
      <c r="H5" s="192" t="s">
        <v>112</v>
      </c>
      <c r="I5" s="192" t="s">
        <v>125</v>
      </c>
      <c r="J5" s="19" t="s">
        <v>73</v>
      </c>
      <c r="K5"/>
      <c r="Q5" s="252"/>
    </row>
    <row r="6" spans="2:19" ht="24" customHeight="1">
      <c r="B6" s="193"/>
      <c r="C6" s="194" t="s">
        <v>8</v>
      </c>
      <c r="D6" s="195" t="s">
        <v>9</v>
      </c>
      <c r="E6" s="195" t="s">
        <v>9</v>
      </c>
      <c r="F6" s="194" t="s">
        <v>39</v>
      </c>
      <c r="G6" s="22" t="s">
        <v>39</v>
      </c>
      <c r="H6" s="194" t="s">
        <v>39</v>
      </c>
      <c r="I6" s="194" t="s">
        <v>39</v>
      </c>
      <c r="J6" s="23" t="s">
        <v>9</v>
      </c>
      <c r="K6"/>
      <c r="N6" s="254"/>
      <c r="O6" s="254"/>
      <c r="P6" s="70"/>
      <c r="Q6" s="70"/>
      <c r="R6" s="70"/>
    </row>
    <row r="7" spans="2:19">
      <c r="C7" s="196" t="s">
        <v>1</v>
      </c>
      <c r="D7" s="196" t="s">
        <v>2</v>
      </c>
      <c r="E7" s="196" t="s">
        <v>3</v>
      </c>
      <c r="F7" s="196" t="s">
        <v>4</v>
      </c>
      <c r="G7" s="196" t="s">
        <v>5</v>
      </c>
      <c r="H7" s="196" t="s">
        <v>7</v>
      </c>
      <c r="I7" s="196" t="s">
        <v>28</v>
      </c>
      <c r="J7" s="196" t="s">
        <v>29</v>
      </c>
      <c r="K7"/>
      <c r="N7" s="70"/>
      <c r="O7" s="70"/>
      <c r="P7" s="70"/>
      <c r="Q7" s="70"/>
      <c r="R7" s="70"/>
    </row>
    <row r="8" spans="2:19" ht="6" customHeight="1">
      <c r="K8"/>
    </row>
    <row r="9" spans="2:19" ht="15.75">
      <c r="B9" s="60" t="str">
        <f>C52</f>
        <v>2017 IRP Geothermal PPA West Side Resource - 90% Capacity Factor</v>
      </c>
      <c r="C9" s="190"/>
      <c r="E9" s="190"/>
      <c r="F9" s="190"/>
      <c r="G9" s="190"/>
      <c r="H9" s="190"/>
      <c r="I9" s="190"/>
      <c r="J9" s="190"/>
      <c r="K9"/>
    </row>
    <row r="10" spans="2:19">
      <c r="B10" s="197">
        <v>2016</v>
      </c>
      <c r="C10" s="198">
        <f>C55</f>
        <v>0</v>
      </c>
      <c r="D10" s="199">
        <f>C10*$C$62</f>
        <v>0</v>
      </c>
      <c r="E10" s="199">
        <f>C56</f>
        <v>0</v>
      </c>
      <c r="F10" s="200">
        <f t="shared" ref="F10:F36" si="0">(D10+E10)/(8.76*$C$63)</f>
        <v>0</v>
      </c>
      <c r="G10" s="200">
        <f>$C$58</f>
        <v>77.34</v>
      </c>
      <c r="H10" s="247">
        <f>C59</f>
        <v>0</v>
      </c>
      <c r="I10" s="201">
        <f>F10+H10+G10</f>
        <v>77.34</v>
      </c>
      <c r="J10" s="201">
        <f>ROUND(I10*$C$63*8.76,2)</f>
        <v>611.44000000000005</v>
      </c>
      <c r="K10"/>
      <c r="N10" s="70"/>
      <c r="O10" s="70"/>
      <c r="P10" s="70"/>
      <c r="Q10" s="253"/>
      <c r="R10" s="70"/>
    </row>
    <row r="11" spans="2:19">
      <c r="B11" s="197">
        <f t="shared" ref="B11:B36" si="1">B10+1</f>
        <v>2017</v>
      </c>
      <c r="C11" s="203"/>
      <c r="D11" s="199">
        <f>ROUND(D10*(1+$D66),2)</f>
        <v>0</v>
      </c>
      <c r="E11" s="199">
        <f>ROUND(E10*(1+$D66),2)</f>
        <v>0</v>
      </c>
      <c r="F11" s="200">
        <f t="shared" si="0"/>
        <v>0</v>
      </c>
      <c r="G11" s="109">
        <f>ROUND(G10*(1+$D66),2)</f>
        <v>78.89</v>
      </c>
      <c r="H11" s="199">
        <f>ROUND(H10*(1+$D66),2)</f>
        <v>0</v>
      </c>
      <c r="I11" s="201">
        <f>F11+H11+G11</f>
        <v>78.89</v>
      </c>
      <c r="J11" s="201">
        <f t="shared" ref="J11:J36" si="2">ROUND(I11*$C$63*8.76,2)</f>
        <v>623.70000000000005</v>
      </c>
      <c r="K11"/>
      <c r="N11" s="70"/>
      <c r="O11" s="70"/>
      <c r="P11" s="70"/>
      <c r="Q11" s="253"/>
      <c r="R11" s="70"/>
    </row>
    <row r="12" spans="2:19">
      <c r="B12" s="210">
        <f t="shared" si="1"/>
        <v>2018</v>
      </c>
      <c r="C12" s="211"/>
      <c r="D12" s="199">
        <f t="shared" ref="D12:E19" si="3">ROUND(D11*(1+$D67),2)</f>
        <v>0</v>
      </c>
      <c r="E12" s="199">
        <f t="shared" si="3"/>
        <v>0</v>
      </c>
      <c r="F12" s="201">
        <f t="shared" si="0"/>
        <v>0</v>
      </c>
      <c r="G12" s="199">
        <f t="shared" ref="G12:G19" si="4">ROUND(G11*(1+$D67),2)</f>
        <v>80.39</v>
      </c>
      <c r="H12" s="212">
        <f t="shared" ref="H12" si="5">ROUND(H11*(1+$D67),2)</f>
        <v>0</v>
      </c>
      <c r="I12" s="201">
        <f t="shared" ref="I12:I36" si="6">F12+H12+G12</f>
        <v>80.39</v>
      </c>
      <c r="J12" s="201">
        <f t="shared" si="2"/>
        <v>635.55999999999995</v>
      </c>
      <c r="K12"/>
      <c r="L12" s="190"/>
      <c r="N12" s="70"/>
      <c r="O12" s="70"/>
      <c r="P12" s="70"/>
      <c r="Q12" s="253"/>
      <c r="R12" s="70"/>
    </row>
    <row r="13" spans="2:19">
      <c r="B13" s="210">
        <f t="shared" si="1"/>
        <v>2019</v>
      </c>
      <c r="C13" s="211"/>
      <c r="D13" s="199">
        <f t="shared" si="3"/>
        <v>0</v>
      </c>
      <c r="E13" s="199">
        <f t="shared" si="3"/>
        <v>0</v>
      </c>
      <c r="F13" s="201">
        <f t="shared" si="0"/>
        <v>0</v>
      </c>
      <c r="G13" s="199">
        <f t="shared" si="4"/>
        <v>82.16</v>
      </c>
      <c r="H13" s="212">
        <f t="shared" ref="H13" si="7">ROUND(H12*(1+$D68),2)</f>
        <v>0</v>
      </c>
      <c r="I13" s="201">
        <f t="shared" si="6"/>
        <v>82.16</v>
      </c>
      <c r="J13" s="201">
        <f t="shared" si="2"/>
        <v>649.54999999999995</v>
      </c>
      <c r="K13"/>
      <c r="L13" s="190"/>
      <c r="N13" s="70"/>
      <c r="O13" s="70"/>
      <c r="P13" s="70"/>
      <c r="Q13" s="253"/>
      <c r="R13" s="70"/>
    </row>
    <row r="14" spans="2:19">
      <c r="B14" s="210">
        <f t="shared" si="1"/>
        <v>2020</v>
      </c>
      <c r="C14" s="211"/>
      <c r="D14" s="199">
        <f t="shared" si="3"/>
        <v>0</v>
      </c>
      <c r="E14" s="199">
        <f t="shared" si="3"/>
        <v>0</v>
      </c>
      <c r="F14" s="201">
        <f t="shared" si="0"/>
        <v>0</v>
      </c>
      <c r="G14" s="199">
        <f t="shared" si="4"/>
        <v>84.3</v>
      </c>
      <c r="H14" s="212">
        <f t="shared" ref="H14" si="8">ROUND(H13*(1+$D69),2)</f>
        <v>0</v>
      </c>
      <c r="I14" s="201">
        <f t="shared" si="6"/>
        <v>84.3</v>
      </c>
      <c r="J14" s="201">
        <f t="shared" si="2"/>
        <v>666.47</v>
      </c>
      <c r="K14"/>
      <c r="L14" s="190"/>
      <c r="N14" s="70"/>
      <c r="O14" s="70"/>
      <c r="P14" s="70"/>
      <c r="Q14" s="253"/>
      <c r="R14" s="70"/>
      <c r="S14" s="209"/>
    </row>
    <row r="15" spans="2:19">
      <c r="B15" s="210">
        <f t="shared" si="1"/>
        <v>2021</v>
      </c>
      <c r="C15" s="211"/>
      <c r="D15" s="199">
        <f t="shared" si="3"/>
        <v>0</v>
      </c>
      <c r="E15" s="199">
        <f t="shared" si="3"/>
        <v>0</v>
      </c>
      <c r="F15" s="201">
        <f t="shared" si="0"/>
        <v>0</v>
      </c>
      <c r="G15" s="199">
        <f t="shared" si="4"/>
        <v>86.32</v>
      </c>
      <c r="H15" s="212">
        <f t="shared" ref="H15" si="9">ROUND(H14*(1+$D70),2)</f>
        <v>0</v>
      </c>
      <c r="I15" s="201">
        <f t="shared" si="6"/>
        <v>86.32</v>
      </c>
      <c r="J15" s="201">
        <f t="shared" si="2"/>
        <v>682.44</v>
      </c>
      <c r="K15"/>
      <c r="L15" s="190"/>
      <c r="N15" s="70"/>
      <c r="O15" s="70"/>
      <c r="P15" s="70"/>
      <c r="Q15" s="253"/>
      <c r="R15" s="70"/>
      <c r="S15" s="209"/>
    </row>
    <row r="16" spans="2:19">
      <c r="B16" s="210">
        <f t="shared" si="1"/>
        <v>2022</v>
      </c>
      <c r="C16" s="211"/>
      <c r="D16" s="199">
        <f t="shared" si="3"/>
        <v>0</v>
      </c>
      <c r="E16" s="199">
        <f t="shared" si="3"/>
        <v>0</v>
      </c>
      <c r="F16" s="201">
        <f t="shared" si="0"/>
        <v>0</v>
      </c>
      <c r="G16" s="199">
        <f t="shared" si="4"/>
        <v>88.31</v>
      </c>
      <c r="H16" s="212">
        <f t="shared" ref="H16" si="10">ROUND(H15*(1+$D71),2)</f>
        <v>0</v>
      </c>
      <c r="I16" s="201">
        <f t="shared" si="6"/>
        <v>88.31</v>
      </c>
      <c r="J16" s="201">
        <f t="shared" si="2"/>
        <v>698.17</v>
      </c>
      <c r="K16"/>
      <c r="L16" s="190"/>
      <c r="N16" s="70"/>
      <c r="O16" s="70"/>
      <c r="P16" s="70"/>
      <c r="Q16" s="253"/>
      <c r="R16" s="70"/>
    </row>
    <row r="17" spans="2:19">
      <c r="B17" s="210">
        <f t="shared" si="1"/>
        <v>2023</v>
      </c>
      <c r="C17" s="211"/>
      <c r="D17" s="199">
        <f t="shared" si="3"/>
        <v>0</v>
      </c>
      <c r="E17" s="199">
        <f t="shared" si="3"/>
        <v>0</v>
      </c>
      <c r="F17" s="201">
        <f t="shared" si="0"/>
        <v>0</v>
      </c>
      <c r="G17" s="199">
        <f t="shared" si="4"/>
        <v>90.34</v>
      </c>
      <c r="H17" s="212">
        <f t="shared" ref="H17" si="11">ROUND(H16*(1+$D72),2)</f>
        <v>0</v>
      </c>
      <c r="I17" s="201">
        <f t="shared" si="6"/>
        <v>90.34</v>
      </c>
      <c r="J17" s="201">
        <f t="shared" si="2"/>
        <v>714.22</v>
      </c>
      <c r="K17"/>
      <c r="L17" s="190"/>
      <c r="N17" s="70"/>
      <c r="O17" s="70"/>
      <c r="P17" s="70"/>
      <c r="Q17" s="253"/>
      <c r="R17" s="70"/>
    </row>
    <row r="18" spans="2:19">
      <c r="B18" s="210">
        <f t="shared" si="1"/>
        <v>2024</v>
      </c>
      <c r="C18" s="211"/>
      <c r="D18" s="199">
        <f t="shared" si="3"/>
        <v>0</v>
      </c>
      <c r="E18" s="199">
        <f t="shared" si="3"/>
        <v>0</v>
      </c>
      <c r="F18" s="201">
        <f t="shared" si="0"/>
        <v>0</v>
      </c>
      <c r="G18" s="199">
        <f t="shared" si="4"/>
        <v>92.42</v>
      </c>
      <c r="H18" s="212">
        <f t="shared" ref="H18" si="12">ROUND(H17*(1+$D73),2)</f>
        <v>0</v>
      </c>
      <c r="I18" s="201">
        <f t="shared" si="6"/>
        <v>92.42</v>
      </c>
      <c r="J18" s="201">
        <f t="shared" si="2"/>
        <v>730.66</v>
      </c>
      <c r="K18"/>
      <c r="L18" s="190"/>
      <c r="N18" s="70"/>
      <c r="O18" s="70"/>
      <c r="P18" s="70"/>
      <c r="Q18" s="253"/>
      <c r="R18" s="70"/>
    </row>
    <row r="19" spans="2:19">
      <c r="B19" s="210">
        <f t="shared" si="1"/>
        <v>2025</v>
      </c>
      <c r="C19" s="211"/>
      <c r="D19" s="199">
        <f t="shared" si="3"/>
        <v>0</v>
      </c>
      <c r="E19" s="199">
        <f t="shared" si="3"/>
        <v>0</v>
      </c>
      <c r="F19" s="201">
        <f t="shared" si="0"/>
        <v>0</v>
      </c>
      <c r="G19" s="199">
        <f t="shared" si="4"/>
        <v>94.55</v>
      </c>
      <c r="H19" s="212">
        <f t="shared" ref="H19" si="13">ROUND(H18*(1+$D74),2)</f>
        <v>0</v>
      </c>
      <c r="I19" s="201">
        <f t="shared" si="6"/>
        <v>94.55</v>
      </c>
      <c r="J19" s="201">
        <f t="shared" si="2"/>
        <v>747.5</v>
      </c>
      <c r="K19"/>
      <c r="L19" s="190"/>
      <c r="N19" s="70"/>
      <c r="O19" s="70"/>
      <c r="P19" s="70"/>
      <c r="Q19" s="253"/>
      <c r="R19" s="70"/>
    </row>
    <row r="20" spans="2:19">
      <c r="B20" s="210">
        <f t="shared" si="1"/>
        <v>2026</v>
      </c>
      <c r="C20" s="211"/>
      <c r="D20" s="199">
        <f>ROUND(D19*(1+$G66),2)</f>
        <v>0</v>
      </c>
      <c r="E20" s="199">
        <f>ROUND(E19*(1+$G66),2)</f>
        <v>0</v>
      </c>
      <c r="F20" s="201">
        <f t="shared" si="0"/>
        <v>0</v>
      </c>
      <c r="G20" s="199">
        <f>ROUND(G19*(1+$G66),2)</f>
        <v>96.72</v>
      </c>
      <c r="H20" s="212">
        <f>ROUND(H19*(1+$G66),2)</f>
        <v>0</v>
      </c>
      <c r="I20" s="201">
        <f t="shared" si="6"/>
        <v>96.72</v>
      </c>
      <c r="J20" s="201">
        <f t="shared" si="2"/>
        <v>764.66</v>
      </c>
      <c r="K20"/>
      <c r="L20" s="190"/>
      <c r="N20" s="70"/>
      <c r="O20" s="70"/>
      <c r="P20" s="70"/>
      <c r="Q20" s="253"/>
      <c r="R20" s="70"/>
    </row>
    <row r="21" spans="2:19">
      <c r="B21" s="210">
        <f t="shared" si="1"/>
        <v>2027</v>
      </c>
      <c r="C21" s="211"/>
      <c r="D21" s="199">
        <f t="shared" ref="D21:E28" si="14">ROUND(D20*(1+$G67),2)</f>
        <v>0</v>
      </c>
      <c r="E21" s="199">
        <f t="shared" si="14"/>
        <v>0</v>
      </c>
      <c r="F21" s="201">
        <f t="shared" si="0"/>
        <v>0</v>
      </c>
      <c r="G21" s="199">
        <f t="shared" ref="G21:G28" si="15">ROUND(G20*(1+$G67),2)</f>
        <v>98.94</v>
      </c>
      <c r="H21" s="212">
        <f t="shared" ref="H21" si="16">ROUND(H20*(1+$G67),2)</f>
        <v>0</v>
      </c>
      <c r="I21" s="201">
        <f t="shared" si="6"/>
        <v>98.94</v>
      </c>
      <c r="J21" s="201">
        <f t="shared" si="2"/>
        <v>782.21</v>
      </c>
      <c r="K21"/>
      <c r="L21" s="190"/>
      <c r="N21" s="70"/>
      <c r="O21" s="70"/>
      <c r="P21" s="70"/>
      <c r="Q21" s="253"/>
      <c r="R21" s="70"/>
    </row>
    <row r="22" spans="2:19">
      <c r="B22" s="210">
        <f t="shared" si="1"/>
        <v>2028</v>
      </c>
      <c r="C22" s="211"/>
      <c r="D22" s="205">
        <f t="shared" si="14"/>
        <v>0</v>
      </c>
      <c r="E22" s="205">
        <f t="shared" si="14"/>
        <v>0</v>
      </c>
      <c r="F22" s="206">
        <f t="shared" si="0"/>
        <v>0</v>
      </c>
      <c r="G22" s="205">
        <f t="shared" si="15"/>
        <v>101.22</v>
      </c>
      <c r="H22" s="205">
        <f t="shared" ref="H22" si="17">ROUND(H21*(1+$G68),2)</f>
        <v>0</v>
      </c>
      <c r="I22" s="206">
        <f t="shared" si="6"/>
        <v>101.22</v>
      </c>
      <c r="J22" s="206">
        <f t="shared" si="2"/>
        <v>800.24</v>
      </c>
      <c r="K22"/>
      <c r="L22" s="190"/>
      <c r="N22" s="70"/>
      <c r="O22" s="70"/>
      <c r="P22" s="70"/>
      <c r="Q22" s="253"/>
      <c r="R22" s="70"/>
    </row>
    <row r="23" spans="2:19">
      <c r="B23" s="210">
        <f t="shared" si="1"/>
        <v>2029</v>
      </c>
      <c r="C23" s="211"/>
      <c r="D23" s="199">
        <f t="shared" si="14"/>
        <v>0</v>
      </c>
      <c r="E23" s="199">
        <f t="shared" si="14"/>
        <v>0</v>
      </c>
      <c r="F23" s="201">
        <f t="shared" si="0"/>
        <v>0</v>
      </c>
      <c r="G23" s="199">
        <f t="shared" si="15"/>
        <v>103.55</v>
      </c>
      <c r="H23" s="212">
        <f t="shared" ref="H23" si="18">ROUND(H22*(1+$G69),2)</f>
        <v>0</v>
      </c>
      <c r="I23" s="201">
        <f t="shared" si="6"/>
        <v>103.55</v>
      </c>
      <c r="J23" s="201">
        <f t="shared" si="2"/>
        <v>818.66</v>
      </c>
      <c r="K23"/>
      <c r="L23" s="190"/>
      <c r="N23" s="70"/>
      <c r="O23" s="70"/>
      <c r="P23" s="253"/>
      <c r="Q23" s="253"/>
      <c r="R23" s="199"/>
      <c r="S23" s="230"/>
    </row>
    <row r="24" spans="2:19">
      <c r="B24" s="210">
        <f t="shared" si="1"/>
        <v>2030</v>
      </c>
      <c r="C24" s="211"/>
      <c r="D24" s="199">
        <f t="shared" si="14"/>
        <v>0</v>
      </c>
      <c r="E24" s="199">
        <f t="shared" si="14"/>
        <v>0</v>
      </c>
      <c r="F24" s="201">
        <f t="shared" si="0"/>
        <v>0</v>
      </c>
      <c r="G24" s="199">
        <f t="shared" si="15"/>
        <v>105.93</v>
      </c>
      <c r="H24" s="212">
        <f t="shared" ref="H24" si="19">ROUND(H23*(1+$G70),2)</f>
        <v>0</v>
      </c>
      <c r="I24" s="201">
        <f t="shared" si="6"/>
        <v>105.93</v>
      </c>
      <c r="J24" s="201">
        <f t="shared" si="2"/>
        <v>837.47</v>
      </c>
      <c r="K24"/>
      <c r="L24" s="190"/>
      <c r="N24" s="70"/>
      <c r="O24" s="70"/>
      <c r="P24" s="253"/>
      <c r="Q24" s="253"/>
      <c r="R24" s="199"/>
      <c r="S24" s="230"/>
    </row>
    <row r="25" spans="2:19">
      <c r="B25" s="210">
        <f t="shared" si="1"/>
        <v>2031</v>
      </c>
      <c r="C25" s="211"/>
      <c r="D25" s="199">
        <f t="shared" si="14"/>
        <v>0</v>
      </c>
      <c r="E25" s="199">
        <f t="shared" si="14"/>
        <v>0</v>
      </c>
      <c r="F25" s="201">
        <f t="shared" si="0"/>
        <v>0</v>
      </c>
      <c r="G25" s="199">
        <f t="shared" si="15"/>
        <v>108.37</v>
      </c>
      <c r="H25" s="212">
        <f t="shared" ref="H25" si="20">ROUND(H24*(1+$G71),2)</f>
        <v>0</v>
      </c>
      <c r="I25" s="201">
        <f t="shared" si="6"/>
        <v>108.37</v>
      </c>
      <c r="J25" s="201">
        <f t="shared" si="2"/>
        <v>856.76</v>
      </c>
      <c r="K25"/>
      <c r="L25" s="190"/>
      <c r="N25" s="70"/>
      <c r="O25" s="70"/>
      <c r="P25" s="253"/>
      <c r="Q25" s="253"/>
      <c r="R25" s="199"/>
      <c r="S25" s="230"/>
    </row>
    <row r="26" spans="2:19">
      <c r="B26" s="210">
        <f t="shared" si="1"/>
        <v>2032</v>
      </c>
      <c r="C26" s="211"/>
      <c r="D26" s="199">
        <f t="shared" si="14"/>
        <v>0</v>
      </c>
      <c r="E26" s="199">
        <f t="shared" si="14"/>
        <v>0</v>
      </c>
      <c r="F26" s="201">
        <f t="shared" si="0"/>
        <v>0</v>
      </c>
      <c r="G26" s="199">
        <f t="shared" si="15"/>
        <v>110.75</v>
      </c>
      <c r="H26" s="212">
        <f t="shared" ref="H26" si="21">ROUND(H25*(1+$G72),2)</f>
        <v>0</v>
      </c>
      <c r="I26" s="201">
        <f t="shared" si="6"/>
        <v>110.75</v>
      </c>
      <c r="J26" s="201">
        <f t="shared" si="2"/>
        <v>875.58</v>
      </c>
      <c r="K26"/>
      <c r="L26" s="190"/>
      <c r="N26" s="70"/>
      <c r="O26" s="70"/>
      <c r="P26" s="253"/>
      <c r="Q26" s="253"/>
      <c r="R26" s="199"/>
      <c r="S26" s="230"/>
    </row>
    <row r="27" spans="2:19">
      <c r="B27" s="210">
        <f t="shared" si="1"/>
        <v>2033</v>
      </c>
      <c r="C27" s="211"/>
      <c r="D27" s="199">
        <f t="shared" si="14"/>
        <v>0</v>
      </c>
      <c r="E27" s="199">
        <f t="shared" si="14"/>
        <v>0</v>
      </c>
      <c r="F27" s="201">
        <f t="shared" si="0"/>
        <v>0</v>
      </c>
      <c r="G27" s="199">
        <f t="shared" si="15"/>
        <v>113.19</v>
      </c>
      <c r="H27" s="212">
        <f t="shared" ref="H27" si="22">ROUND(H26*(1+$G73),2)</f>
        <v>0</v>
      </c>
      <c r="I27" s="201">
        <f t="shared" si="6"/>
        <v>113.19</v>
      </c>
      <c r="J27" s="201">
        <f t="shared" si="2"/>
        <v>894.87</v>
      </c>
      <c r="K27"/>
      <c r="L27" s="190"/>
      <c r="N27" s="70"/>
      <c r="O27" s="70"/>
      <c r="P27" s="253"/>
      <c r="Q27" s="253"/>
      <c r="R27" s="199"/>
      <c r="S27" s="230"/>
    </row>
    <row r="28" spans="2:19">
      <c r="B28" s="210">
        <f t="shared" si="1"/>
        <v>2034</v>
      </c>
      <c r="C28" s="211"/>
      <c r="D28" s="199">
        <f t="shared" si="14"/>
        <v>0</v>
      </c>
      <c r="E28" s="199">
        <f t="shared" si="14"/>
        <v>0</v>
      </c>
      <c r="F28" s="201">
        <f t="shared" si="0"/>
        <v>0</v>
      </c>
      <c r="G28" s="199">
        <f t="shared" si="15"/>
        <v>115.79</v>
      </c>
      <c r="H28" s="212">
        <f t="shared" ref="H28" si="23">ROUND(H27*(1+$G74),2)</f>
        <v>0</v>
      </c>
      <c r="I28" s="201">
        <f t="shared" si="6"/>
        <v>115.79</v>
      </c>
      <c r="J28" s="201">
        <f t="shared" si="2"/>
        <v>915.42</v>
      </c>
      <c r="K28"/>
      <c r="L28" s="190"/>
      <c r="N28" s="70"/>
      <c r="O28" s="70"/>
      <c r="P28" s="253"/>
      <c r="Q28" s="253"/>
      <c r="R28" s="199"/>
      <c r="S28" s="230"/>
    </row>
    <row r="29" spans="2:19">
      <c r="B29" s="210">
        <f t="shared" si="1"/>
        <v>2035</v>
      </c>
      <c r="C29" s="211"/>
      <c r="D29" s="199">
        <f>ROUND(D28*(1+$J66),2)</f>
        <v>0</v>
      </c>
      <c r="E29" s="199">
        <f>ROUND(E28*(1+$J66),2)</f>
        <v>0</v>
      </c>
      <c r="F29" s="201">
        <f t="shared" si="0"/>
        <v>0</v>
      </c>
      <c r="G29" s="199">
        <f>ROUND(G28*(1+$J66),2)</f>
        <v>118.45</v>
      </c>
      <c r="H29" s="212">
        <f>ROUND(H28*(1+$J66),2)</f>
        <v>0</v>
      </c>
      <c r="I29" s="201">
        <f t="shared" si="6"/>
        <v>118.45</v>
      </c>
      <c r="J29" s="201">
        <f t="shared" si="2"/>
        <v>936.45</v>
      </c>
      <c r="K29"/>
      <c r="L29" s="190"/>
      <c r="N29" s="70"/>
      <c r="O29" s="70"/>
      <c r="P29" s="253"/>
      <c r="Q29" s="253"/>
      <c r="R29" s="199"/>
      <c r="S29" s="230"/>
    </row>
    <row r="30" spans="2:19">
      <c r="B30" s="210">
        <f t="shared" si="1"/>
        <v>2036</v>
      </c>
      <c r="C30" s="211"/>
      <c r="D30" s="199">
        <f t="shared" ref="D30:E36" si="24">ROUND(D29*(1+$J67),2)</f>
        <v>0</v>
      </c>
      <c r="E30" s="199">
        <f t="shared" si="24"/>
        <v>0</v>
      </c>
      <c r="F30" s="201">
        <f t="shared" si="0"/>
        <v>0</v>
      </c>
      <c r="G30" s="199">
        <f t="shared" ref="G30:G36" si="25">ROUND(G29*(1+$J67),2)</f>
        <v>121.17</v>
      </c>
      <c r="H30" s="212">
        <f t="shared" ref="H30" si="26">ROUND(H29*(1+$J67),2)</f>
        <v>0</v>
      </c>
      <c r="I30" s="201">
        <f t="shared" si="6"/>
        <v>121.17</v>
      </c>
      <c r="J30" s="201">
        <f t="shared" si="2"/>
        <v>957.96</v>
      </c>
      <c r="K30"/>
      <c r="L30" s="190"/>
      <c r="N30" s="70"/>
      <c r="O30" s="70"/>
      <c r="P30" s="253"/>
      <c r="Q30" s="253"/>
      <c r="R30" s="199"/>
      <c r="S30" s="230"/>
    </row>
    <row r="31" spans="2:19">
      <c r="B31" s="210">
        <f t="shared" si="1"/>
        <v>2037</v>
      </c>
      <c r="C31" s="211"/>
      <c r="D31" s="199">
        <f t="shared" si="24"/>
        <v>0</v>
      </c>
      <c r="E31" s="199">
        <f t="shared" si="24"/>
        <v>0</v>
      </c>
      <c r="F31" s="201">
        <f t="shared" si="0"/>
        <v>0</v>
      </c>
      <c r="G31" s="199">
        <f t="shared" si="25"/>
        <v>123.84</v>
      </c>
      <c r="H31" s="212">
        <f t="shared" ref="H31" si="27">ROUND(H30*(1+$J68),2)</f>
        <v>0</v>
      </c>
      <c r="I31" s="201">
        <f t="shared" si="6"/>
        <v>123.84</v>
      </c>
      <c r="J31" s="201">
        <f t="shared" si="2"/>
        <v>979.07</v>
      </c>
      <c r="K31"/>
      <c r="L31" s="190"/>
      <c r="N31" s="70"/>
      <c r="O31" s="70"/>
      <c r="P31" s="70"/>
      <c r="Q31" s="253"/>
      <c r="R31" s="199"/>
      <c r="S31" s="199"/>
    </row>
    <row r="32" spans="2:19">
      <c r="B32" s="210">
        <f t="shared" si="1"/>
        <v>2038</v>
      </c>
      <c r="C32" s="211"/>
      <c r="D32" s="199">
        <f t="shared" si="24"/>
        <v>0</v>
      </c>
      <c r="E32" s="199">
        <f t="shared" si="24"/>
        <v>0</v>
      </c>
      <c r="F32" s="201">
        <f t="shared" si="0"/>
        <v>0</v>
      </c>
      <c r="G32" s="199">
        <f t="shared" si="25"/>
        <v>126.56</v>
      </c>
      <c r="H32" s="212">
        <f t="shared" ref="H32" si="28">ROUND(H31*(1+$J69),2)</f>
        <v>0</v>
      </c>
      <c r="I32" s="201">
        <f t="shared" si="6"/>
        <v>126.56</v>
      </c>
      <c r="J32" s="201">
        <f t="shared" si="2"/>
        <v>1000.57</v>
      </c>
      <c r="K32"/>
      <c r="L32" s="190"/>
      <c r="N32" s="70"/>
      <c r="O32" s="70"/>
      <c r="Q32" s="240"/>
      <c r="R32" s="199"/>
      <c r="S32" s="199"/>
    </row>
    <row r="33" spans="2:19">
      <c r="B33" s="210">
        <f t="shared" si="1"/>
        <v>2039</v>
      </c>
      <c r="C33" s="211"/>
      <c r="D33" s="199">
        <f t="shared" si="24"/>
        <v>0</v>
      </c>
      <c r="E33" s="199">
        <f t="shared" si="24"/>
        <v>0</v>
      </c>
      <c r="F33" s="201">
        <f t="shared" si="0"/>
        <v>0</v>
      </c>
      <c r="G33" s="199">
        <f t="shared" si="25"/>
        <v>129.34</v>
      </c>
      <c r="H33" s="212">
        <f t="shared" ref="H33" si="29">ROUND(H32*(1+$J70),2)</f>
        <v>0</v>
      </c>
      <c r="I33" s="201">
        <f t="shared" si="6"/>
        <v>129.34</v>
      </c>
      <c r="J33" s="201">
        <f t="shared" si="2"/>
        <v>1022.55</v>
      </c>
      <c r="K33"/>
      <c r="L33" s="190"/>
      <c r="N33" s="70"/>
      <c r="O33" s="70"/>
      <c r="Q33" s="240"/>
      <c r="R33" s="199"/>
      <c r="S33" s="199"/>
    </row>
    <row r="34" spans="2:19">
      <c r="B34" s="210">
        <f t="shared" si="1"/>
        <v>2040</v>
      </c>
      <c r="C34" s="211"/>
      <c r="D34" s="199">
        <f t="shared" si="24"/>
        <v>0</v>
      </c>
      <c r="E34" s="199">
        <f t="shared" si="24"/>
        <v>0</v>
      </c>
      <c r="F34" s="201">
        <f t="shared" si="0"/>
        <v>0</v>
      </c>
      <c r="G34" s="199">
        <f t="shared" si="25"/>
        <v>132.19</v>
      </c>
      <c r="H34" s="212">
        <f t="shared" ref="H34" si="30">ROUND(H33*(1+$J71),2)</f>
        <v>0</v>
      </c>
      <c r="I34" s="201">
        <f t="shared" si="6"/>
        <v>132.19</v>
      </c>
      <c r="J34" s="201">
        <f t="shared" si="2"/>
        <v>1045.08</v>
      </c>
      <c r="K34"/>
      <c r="L34" s="190"/>
      <c r="N34" s="70"/>
      <c r="O34" s="70"/>
      <c r="Q34" s="240"/>
      <c r="R34" s="199"/>
      <c r="S34" s="199"/>
    </row>
    <row r="35" spans="2:19">
      <c r="B35" s="210">
        <f t="shared" si="1"/>
        <v>2041</v>
      </c>
      <c r="C35" s="211"/>
      <c r="D35" s="199">
        <f t="shared" si="24"/>
        <v>0</v>
      </c>
      <c r="E35" s="199">
        <f t="shared" si="24"/>
        <v>0</v>
      </c>
      <c r="F35" s="201">
        <f t="shared" si="0"/>
        <v>0</v>
      </c>
      <c r="G35" s="199">
        <f t="shared" si="25"/>
        <v>135.1</v>
      </c>
      <c r="H35" s="212">
        <f t="shared" ref="H35" si="31">ROUND(H34*(1+$J72),2)</f>
        <v>0</v>
      </c>
      <c r="I35" s="201">
        <f t="shared" si="6"/>
        <v>135.1</v>
      </c>
      <c r="J35" s="201">
        <f t="shared" si="2"/>
        <v>1068.0899999999999</v>
      </c>
      <c r="K35"/>
      <c r="L35" s="190"/>
      <c r="N35" s="70"/>
      <c r="O35" s="70"/>
      <c r="Q35" s="240"/>
      <c r="R35" s="199"/>
      <c r="S35" s="199"/>
    </row>
    <row r="36" spans="2:19">
      <c r="B36" s="210">
        <f t="shared" si="1"/>
        <v>2042</v>
      </c>
      <c r="C36" s="211"/>
      <c r="D36" s="199">
        <f t="shared" si="24"/>
        <v>0</v>
      </c>
      <c r="E36" s="199">
        <f t="shared" si="24"/>
        <v>0</v>
      </c>
      <c r="F36" s="201">
        <f t="shared" si="0"/>
        <v>0</v>
      </c>
      <c r="G36" s="199">
        <f t="shared" si="25"/>
        <v>138.07</v>
      </c>
      <c r="H36" s="212">
        <f t="shared" ref="H36" si="32">ROUND(H35*(1+$J73),2)</f>
        <v>0</v>
      </c>
      <c r="I36" s="201">
        <f t="shared" si="6"/>
        <v>138.07</v>
      </c>
      <c r="J36" s="201">
        <f t="shared" si="2"/>
        <v>1091.57</v>
      </c>
      <c r="K36"/>
      <c r="L36" s="190"/>
      <c r="N36" s="70"/>
      <c r="O36" s="70"/>
      <c r="Q36" s="240"/>
      <c r="R36" s="199"/>
      <c r="S36" s="199"/>
    </row>
    <row r="37" spans="2:19">
      <c r="B37" s="210"/>
      <c r="C37" s="203"/>
      <c r="D37" s="199"/>
      <c r="E37" s="199"/>
      <c r="F37" s="200"/>
      <c r="G37" s="199"/>
      <c r="H37" s="199"/>
      <c r="I37" s="201"/>
      <c r="J37" s="213"/>
    </row>
    <row r="38" spans="2:19" hidden="1">
      <c r="B38" s="197"/>
      <c r="C38" s="203"/>
      <c r="D38" s="199"/>
      <c r="E38" s="199"/>
      <c r="F38" s="200"/>
      <c r="G38" s="199"/>
      <c r="H38" s="199"/>
      <c r="I38" s="201"/>
      <c r="J38" s="213"/>
    </row>
    <row r="39" spans="2:19" hidden="1">
      <c r="B39" s="197"/>
      <c r="C39" s="203"/>
      <c r="D39" s="199"/>
      <c r="E39" s="199"/>
      <c r="F39" s="200"/>
      <c r="G39" s="199"/>
      <c r="H39" s="199"/>
      <c r="I39" s="201"/>
      <c r="J39" s="213"/>
    </row>
    <row r="40" spans="2:19" hidden="1">
      <c r="B40" s="197"/>
      <c r="C40" s="203"/>
      <c r="D40" s="199"/>
      <c r="E40" s="199"/>
      <c r="F40" s="200"/>
      <c r="G40" s="199"/>
      <c r="H40" s="199"/>
      <c r="I40" s="201"/>
      <c r="J40" s="213"/>
    </row>
    <row r="42" spans="2:19" ht="14.25">
      <c r="B42" s="214" t="s">
        <v>31</v>
      </c>
      <c r="C42" s="215"/>
      <c r="D42" s="215"/>
      <c r="E42" s="215"/>
      <c r="F42" s="215"/>
      <c r="G42" s="215"/>
      <c r="H42" s="215"/>
    </row>
    <row r="44" spans="2:19">
      <c r="B44" s="188" t="s">
        <v>114</v>
      </c>
      <c r="C44" s="216" t="s">
        <v>115</v>
      </c>
      <c r="D44" s="217" t="str">
        <f>'Table 3 200 MW (Wyo) 2033'!E68</f>
        <v xml:space="preserve">Plant Costs  - 2017 IRP - Table 6.1 &amp; 6.2 </v>
      </c>
    </row>
    <row r="45" spans="2:19">
      <c r="C45" s="216" t="str">
        <f>C7</f>
        <v>(a)</v>
      </c>
      <c r="D45" s="188" t="s">
        <v>116</v>
      </c>
    </row>
    <row r="46" spans="2:19">
      <c r="C46" s="216" t="str">
        <f>D7</f>
        <v>(b)</v>
      </c>
      <c r="D46" s="201" t="str">
        <f>"= "&amp;C7&amp;" x "&amp;C62</f>
        <v>= (a) x 0.0631141369791985</v>
      </c>
    </row>
    <row r="47" spans="2:19">
      <c r="C47" s="216" t="str">
        <f>F7</f>
        <v>(d)</v>
      </c>
      <c r="D47" s="201" t="str">
        <f>"= ("&amp;$D$7&amp;" + "&amp;$E$7&amp;") /  (8.76 x "&amp;TEXT(C63,"0.0%")&amp;")"</f>
        <v>= ((b) + (c)) /  (8.76 x 90.3%)</v>
      </c>
    </row>
    <row r="48" spans="2:19">
      <c r="C48" s="216" t="str">
        <f>I7</f>
        <v>(g)</v>
      </c>
      <c r="D48" s="201" t="str">
        <f>"= "&amp;$F$7&amp;" + "&amp;$H$7</f>
        <v>= (d) + (f)</v>
      </c>
    </row>
    <row r="49" spans="2:24">
      <c r="C49" s="216" t="str">
        <f>J7</f>
        <v>(h)</v>
      </c>
      <c r="D49" s="104" t="str">
        <f>D44</f>
        <v xml:space="preserve">Plant Costs  - 2017 IRP - Table 6.1 &amp; 6.2 </v>
      </c>
    </row>
    <row r="50" spans="2:24">
      <c r="C50" s="216"/>
      <c r="D50" s="201"/>
    </row>
    <row r="51" spans="2:24" ht="13.5" thickBot="1"/>
    <row r="52" spans="2:24" ht="13.5" thickBot="1">
      <c r="C52" s="58" t="str">
        <f>B2&amp;" - "&amp;B3</f>
        <v>2017 IRP Geothermal PPA West Side Resource - 90% Capacity Factor</v>
      </c>
      <c r="D52" s="218"/>
      <c r="E52" s="218"/>
      <c r="F52" s="218"/>
      <c r="G52" s="218"/>
      <c r="H52" s="218"/>
      <c r="I52" s="219"/>
      <c r="J52" s="220"/>
    </row>
    <row r="53" spans="2:24" ht="13.5" thickBot="1">
      <c r="C53" s="221" t="s">
        <v>123</v>
      </c>
      <c r="D53" s="222" t="s">
        <v>118</v>
      </c>
      <c r="E53" s="222"/>
      <c r="F53" s="222"/>
      <c r="G53" s="222"/>
      <c r="H53" s="223"/>
      <c r="I53" s="219"/>
      <c r="J53" s="220"/>
    </row>
    <row r="55" spans="2:24">
      <c r="B55" s="104" t="s">
        <v>105</v>
      </c>
      <c r="C55" s="224">
        <v>0</v>
      </c>
      <c r="D55" s="188" t="s">
        <v>116</v>
      </c>
      <c r="H55" s="188" t="s">
        <v>9</v>
      </c>
    </row>
    <row r="56" spans="2:24">
      <c r="B56" s="104" t="s">
        <v>105</v>
      </c>
      <c r="C56" s="225">
        <v>0</v>
      </c>
      <c r="D56" s="188" t="s">
        <v>119</v>
      </c>
      <c r="H56" s="188" t="s">
        <v>9</v>
      </c>
    </row>
    <row r="57" spans="2:24">
      <c r="B57" s="104" t="s">
        <v>105</v>
      </c>
      <c r="C57" s="230">
        <v>0</v>
      </c>
      <c r="D57" s="188" t="s">
        <v>124</v>
      </c>
      <c r="H57" s="188" t="s">
        <v>121</v>
      </c>
    </row>
    <row r="58" spans="2:24">
      <c r="B58" s="104" t="s">
        <v>105</v>
      </c>
      <c r="C58" s="225">
        <v>77.34</v>
      </c>
      <c r="D58" s="188" t="s">
        <v>120</v>
      </c>
      <c r="H58" s="188" t="s">
        <v>121</v>
      </c>
      <c r="J58" s="190"/>
      <c r="K58" s="226"/>
      <c r="L58" s="69"/>
      <c r="M58" s="227"/>
      <c r="N58" s="227"/>
      <c r="O58" s="69"/>
      <c r="P58" s="227"/>
      <c r="Q58" s="69"/>
      <c r="R58" s="190"/>
      <c r="S58" s="190"/>
      <c r="T58" s="190"/>
      <c r="U58" s="190"/>
      <c r="V58" s="190"/>
      <c r="W58" s="190"/>
      <c r="X58" s="190"/>
    </row>
    <row r="59" spans="2:24">
      <c r="B59" s="104" t="s">
        <v>105</v>
      </c>
      <c r="C59" s="238">
        <v>0</v>
      </c>
      <c r="D59" s="188" t="s">
        <v>122</v>
      </c>
      <c r="H59" s="188" t="s">
        <v>121</v>
      </c>
      <c r="J59" s="228"/>
      <c r="K59" s="228"/>
      <c r="L59" s="229"/>
      <c r="M59" s="230"/>
      <c r="N59" s="230"/>
      <c r="O59" s="227"/>
      <c r="P59" s="231"/>
      <c r="Q59" s="190"/>
      <c r="R59" s="190"/>
      <c r="S59" s="190"/>
      <c r="T59" s="190"/>
      <c r="U59" s="190"/>
      <c r="V59" s="190"/>
      <c r="W59" s="190"/>
      <c r="X59" s="190"/>
    </row>
    <row r="60" spans="2:24">
      <c r="J60" s="228"/>
      <c r="K60" s="228"/>
      <c r="L60" s="228"/>
      <c r="M60" s="190"/>
      <c r="N60" s="190"/>
      <c r="O60" s="227"/>
      <c r="P60" s="231"/>
      <c r="Q60" s="190"/>
      <c r="R60" s="190"/>
      <c r="S60" s="190"/>
      <c r="T60" s="190"/>
      <c r="U60" s="190"/>
      <c r="V60" s="190"/>
      <c r="W60" s="190"/>
      <c r="X60" s="190"/>
    </row>
    <row r="61" spans="2:24">
      <c r="C61" s="232"/>
      <c r="J61" s="228"/>
      <c r="K61" s="228"/>
      <c r="L61" s="228"/>
      <c r="M61" s="190"/>
      <c r="N61" s="190"/>
      <c r="O61" s="228"/>
      <c r="P61" s="231"/>
      <c r="S61" s="190"/>
      <c r="T61" s="190"/>
      <c r="U61" s="190"/>
      <c r="V61" s="190"/>
      <c r="W61" s="190"/>
      <c r="X61" s="190"/>
    </row>
    <row r="62" spans="2:24">
      <c r="C62" s="233">
        <v>6.3114136979198515E-2</v>
      </c>
      <c r="D62" s="188" t="s">
        <v>54</v>
      </c>
      <c r="J62" s="234"/>
      <c r="K62" s="235"/>
      <c r="L62" s="235"/>
      <c r="O62" s="236"/>
    </row>
    <row r="63" spans="2:24">
      <c r="C63" s="239">
        <v>0.90249999999999997</v>
      </c>
      <c r="D63" s="188" t="s">
        <v>55</v>
      </c>
    </row>
    <row r="64" spans="2:24" ht="13.5" thickBot="1">
      <c r="D64" s="231"/>
    </row>
    <row r="65" spans="3:10" ht="13.5" thickBot="1">
      <c r="C65" s="54" t="str">
        <f>"Company Official Inflation Forecast Dated "&amp;TEXT('Table 4'!$G$5,"mmmm dd, yyyy")</f>
        <v>Company Official Inflation Forecast Dated December 29, 2017</v>
      </c>
      <c r="D65" s="218"/>
      <c r="E65" s="218"/>
      <c r="F65" s="218"/>
      <c r="G65" s="218"/>
      <c r="H65" s="218"/>
      <c r="I65" s="218"/>
      <c r="J65" s="220"/>
    </row>
    <row r="66" spans="3:10">
      <c r="C66" s="129">
        <v>2017</v>
      </c>
      <c r="D66" s="57">
        <v>0.02</v>
      </c>
      <c r="E66" s="104"/>
      <c r="F66" s="129">
        <f>C74+1</f>
        <v>2026</v>
      </c>
      <c r="G66" s="57">
        <v>2.3E-2</v>
      </c>
      <c r="H66" s="104"/>
      <c r="I66" s="129">
        <f>F74+1</f>
        <v>2035</v>
      </c>
      <c r="J66" s="57">
        <v>2.3E-2</v>
      </c>
    </row>
    <row r="67" spans="3:10">
      <c r="C67" s="129">
        <f t="shared" ref="C67:C74" si="33">C66+1</f>
        <v>2018</v>
      </c>
      <c r="D67" s="57">
        <v>1.9E-2</v>
      </c>
      <c r="E67" s="104"/>
      <c r="F67" s="129">
        <f t="shared" ref="F67:F74" si="34">F66+1</f>
        <v>2027</v>
      </c>
      <c r="G67" s="57">
        <v>2.3E-2</v>
      </c>
      <c r="H67" s="104"/>
      <c r="I67" s="129">
        <f t="shared" ref="I67:I74" si="35">I66+1</f>
        <v>2036</v>
      </c>
      <c r="J67" s="57">
        <v>2.3E-2</v>
      </c>
    </row>
    <row r="68" spans="3:10">
      <c r="C68" s="129">
        <f t="shared" si="33"/>
        <v>2019</v>
      </c>
      <c r="D68" s="57">
        <v>2.1999999999999999E-2</v>
      </c>
      <c r="E68" s="104"/>
      <c r="F68" s="129">
        <f t="shared" si="34"/>
        <v>2028</v>
      </c>
      <c r="G68" s="57">
        <v>2.3E-2</v>
      </c>
      <c r="H68" s="104"/>
      <c r="I68" s="129">
        <f t="shared" si="35"/>
        <v>2037</v>
      </c>
      <c r="J68" s="57">
        <v>2.1999999999999999E-2</v>
      </c>
    </row>
    <row r="69" spans="3:10">
      <c r="C69" s="129">
        <f t="shared" si="33"/>
        <v>2020</v>
      </c>
      <c r="D69" s="57">
        <v>2.5999999999999999E-2</v>
      </c>
      <c r="E69" s="104"/>
      <c r="F69" s="129">
        <f t="shared" si="34"/>
        <v>2029</v>
      </c>
      <c r="G69" s="57">
        <v>2.3E-2</v>
      </c>
      <c r="H69" s="104"/>
      <c r="I69" s="129">
        <f t="shared" si="35"/>
        <v>2038</v>
      </c>
      <c r="J69" s="57">
        <v>2.1999999999999999E-2</v>
      </c>
    </row>
    <row r="70" spans="3:10">
      <c r="C70" s="129">
        <f t="shared" si="33"/>
        <v>2021</v>
      </c>
      <c r="D70" s="57">
        <v>2.4E-2</v>
      </c>
      <c r="E70" s="104"/>
      <c r="F70" s="129">
        <f t="shared" si="34"/>
        <v>2030</v>
      </c>
      <c r="G70" s="57">
        <v>2.3E-2</v>
      </c>
      <c r="H70" s="104"/>
      <c r="I70" s="129">
        <f t="shared" si="35"/>
        <v>2039</v>
      </c>
      <c r="J70" s="57">
        <v>2.1999999999999999E-2</v>
      </c>
    </row>
    <row r="71" spans="3:10">
      <c r="C71" s="129">
        <f t="shared" si="33"/>
        <v>2022</v>
      </c>
      <c r="D71" s="57">
        <v>2.3E-2</v>
      </c>
      <c r="E71" s="104"/>
      <c r="F71" s="129">
        <f t="shared" si="34"/>
        <v>2031</v>
      </c>
      <c r="G71" s="57">
        <v>2.3E-2</v>
      </c>
      <c r="H71" s="104"/>
      <c r="I71" s="129">
        <f t="shared" si="35"/>
        <v>2040</v>
      </c>
      <c r="J71" s="57">
        <v>2.1999999999999999E-2</v>
      </c>
    </row>
    <row r="72" spans="3:10" s="190" customFormat="1">
      <c r="C72" s="129">
        <f t="shared" si="33"/>
        <v>2023</v>
      </c>
      <c r="D72" s="57">
        <v>2.3E-2</v>
      </c>
      <c r="E72" s="106"/>
      <c r="F72" s="129">
        <f t="shared" si="34"/>
        <v>2032</v>
      </c>
      <c r="G72" s="57">
        <v>2.1999999999999999E-2</v>
      </c>
      <c r="H72" s="106"/>
      <c r="I72" s="129">
        <f t="shared" si="35"/>
        <v>2041</v>
      </c>
      <c r="J72" s="57">
        <v>2.1999999999999999E-2</v>
      </c>
    </row>
    <row r="73" spans="3:10" s="190" customFormat="1">
      <c r="C73" s="129">
        <f t="shared" si="33"/>
        <v>2024</v>
      </c>
      <c r="D73" s="57">
        <v>2.3E-2</v>
      </c>
      <c r="E73" s="106"/>
      <c r="F73" s="129">
        <f t="shared" si="34"/>
        <v>2033</v>
      </c>
      <c r="G73" s="57">
        <v>2.1999999999999999E-2</v>
      </c>
      <c r="H73" s="106"/>
      <c r="I73" s="129">
        <f t="shared" si="35"/>
        <v>2042</v>
      </c>
      <c r="J73" s="57">
        <v>2.1999999999999999E-2</v>
      </c>
    </row>
    <row r="74" spans="3:10" s="190" customFormat="1">
      <c r="C74" s="129">
        <f t="shared" si="33"/>
        <v>2025</v>
      </c>
      <c r="D74" s="57">
        <v>2.3E-2</v>
      </c>
      <c r="E74" s="106"/>
      <c r="F74" s="129">
        <f t="shared" si="34"/>
        <v>2034</v>
      </c>
      <c r="G74" s="57">
        <v>2.3E-2</v>
      </c>
      <c r="H74" s="106"/>
      <c r="I74" s="129">
        <f t="shared" si="35"/>
        <v>2043</v>
      </c>
      <c r="J74" s="57">
        <v>2.3E-2</v>
      </c>
    </row>
    <row r="75" spans="3:10" s="190" customFormat="1"/>
    <row r="76" spans="3:10" s="190" customFormat="1"/>
    <row r="93" spans="3:4">
      <c r="C93" s="227"/>
      <c r="D93" s="231"/>
    </row>
    <row r="94" spans="3:4">
      <c r="C94" s="227"/>
      <c r="D94" s="231"/>
    </row>
    <row r="95" spans="3:4">
      <c r="C95" s="227"/>
      <c r="D95" s="231"/>
    </row>
    <row r="96" spans="3:4">
      <c r="C96" s="227"/>
      <c r="D96" s="231"/>
    </row>
    <row r="97" spans="3:4">
      <c r="C97" s="227"/>
      <c r="D97" s="231"/>
    </row>
    <row r="98" spans="3:4">
      <c r="C98" s="227"/>
      <c r="D98" s="231"/>
    </row>
    <row r="99" spans="3:4">
      <c r="C99" s="227"/>
      <c r="D99" s="231"/>
    </row>
    <row r="100" spans="3:4">
      <c r="C100" s="227"/>
      <c r="D100" s="231"/>
    </row>
    <row r="101" spans="3:4">
      <c r="C101" s="227"/>
      <c r="D101" s="231"/>
    </row>
    <row r="102" spans="3:4">
      <c r="C102" s="227"/>
      <c r="D102" s="231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49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B1:O95"/>
  <sheetViews>
    <sheetView view="pageBreakPreview" zoomScale="85" zoomScaleNormal="90" zoomScaleSheetLayoutView="85" workbookViewId="0">
      <pane xSplit="3" ySplit="10" topLeftCell="D11" activePane="bottomRight" state="frozen"/>
      <selection activeCell="E15" sqref="E15"/>
      <selection pane="topRight" activeCell="E15" sqref="E15"/>
      <selection pane="bottomLeft" activeCell="E15" sqref="E15"/>
      <selection pane="bottomRight" activeCell="D27" sqref="D27"/>
    </sheetView>
  </sheetViews>
  <sheetFormatPr defaultColWidth="9.33203125" defaultRowHeight="12.75"/>
  <cols>
    <col min="1" max="1" width="2.83203125" style="104" customWidth="1"/>
    <col min="2" max="2" width="10.83203125" style="104" customWidth="1"/>
    <col min="3" max="3" width="14.1640625" style="104" customWidth="1"/>
    <col min="4" max="4" width="12.33203125" style="104" customWidth="1"/>
    <col min="5" max="5" width="9.1640625" style="104" customWidth="1"/>
    <col min="6" max="6" width="10.5" style="104" customWidth="1"/>
    <col min="7" max="7" width="10.5" style="104" bestFit="1" customWidth="1"/>
    <col min="8" max="8" width="11.6640625" style="104" bestFit="1" customWidth="1"/>
    <col min="9" max="9" width="11.1640625" style="104" customWidth="1"/>
    <col min="10" max="10" width="12" style="104" bestFit="1" customWidth="1"/>
    <col min="11" max="11" width="12" style="104" customWidth="1"/>
    <col min="12" max="13" width="9.33203125" style="104"/>
    <col min="14" max="15" width="9.33203125" style="104" customWidth="1"/>
    <col min="16" max="16384" width="9.33203125" style="104"/>
  </cols>
  <sheetData>
    <row r="1" spans="2:14" ht="15.75" hidden="1">
      <c r="B1" s="1" t="s">
        <v>52</v>
      </c>
      <c r="C1" s="103"/>
      <c r="D1" s="103"/>
      <c r="E1" s="103"/>
      <c r="F1" s="103"/>
      <c r="G1" s="103"/>
      <c r="H1" s="103"/>
      <c r="I1" s="103"/>
      <c r="J1" s="103"/>
      <c r="K1" s="103"/>
    </row>
    <row r="2" spans="2:14" ht="15.75">
      <c r="B2" s="1"/>
      <c r="C2" s="103"/>
      <c r="D2" s="103"/>
      <c r="E2" s="103"/>
      <c r="F2" s="103"/>
      <c r="G2" s="103"/>
      <c r="H2" s="103"/>
      <c r="I2" s="103"/>
      <c r="J2" s="103"/>
      <c r="K2" s="103"/>
    </row>
    <row r="3" spans="2:14" ht="15.75">
      <c r="B3" s="1" t="s">
        <v>85</v>
      </c>
      <c r="C3" s="103"/>
      <c r="D3" s="103"/>
      <c r="E3" s="103"/>
      <c r="F3" s="103"/>
      <c r="G3" s="103"/>
      <c r="H3" s="103"/>
      <c r="I3" s="103"/>
      <c r="J3" s="103"/>
      <c r="K3" s="103"/>
    </row>
    <row r="4" spans="2:14" ht="15.75">
      <c r="B4" s="1" t="s">
        <v>162</v>
      </c>
      <c r="C4" s="103"/>
      <c r="D4" s="103"/>
      <c r="E4" s="103"/>
      <c r="F4" s="103"/>
      <c r="G4" s="103"/>
      <c r="H4" s="103"/>
      <c r="I4" s="103"/>
      <c r="J4" s="103"/>
      <c r="K4" s="103"/>
    </row>
    <row r="5" spans="2:14" ht="15.75">
      <c r="B5" s="1" t="str">
        <f>C54</f>
        <v>UT N - 200 MW - SCCT Frame "F" x1 - East Side Resource (5,050')</v>
      </c>
      <c r="C5" s="103"/>
      <c r="D5" s="103"/>
      <c r="E5" s="103"/>
      <c r="F5" s="103"/>
      <c r="G5" s="103"/>
      <c r="H5" s="103"/>
      <c r="I5" s="103"/>
      <c r="J5" s="103"/>
      <c r="K5" s="103"/>
    </row>
    <row r="6" spans="2:14" ht="15.75">
      <c r="B6" s="1"/>
      <c r="C6" s="103"/>
      <c r="D6" s="103"/>
      <c r="E6" s="103"/>
      <c r="F6" s="103"/>
      <c r="G6" s="103"/>
      <c r="H6" s="103"/>
      <c r="I6" s="103"/>
      <c r="K6" s="17"/>
    </row>
    <row r="7" spans="2:14">
      <c r="B7" s="105"/>
      <c r="C7" s="105"/>
      <c r="D7" s="105"/>
      <c r="E7" s="105"/>
      <c r="F7" s="105"/>
      <c r="G7" s="105"/>
      <c r="H7" s="105"/>
      <c r="I7" s="103"/>
      <c r="J7" s="106"/>
      <c r="K7" s="106"/>
      <c r="L7" s="106"/>
      <c r="M7" s="106"/>
      <c r="N7" s="106"/>
    </row>
    <row r="8" spans="2:14" ht="51.75" customHeight="1">
      <c r="B8" s="18" t="s">
        <v>0</v>
      </c>
      <c r="C8" s="19" t="s">
        <v>10</v>
      </c>
      <c r="D8" s="19" t="s">
        <v>11</v>
      </c>
      <c r="E8" s="19" t="s">
        <v>12</v>
      </c>
      <c r="F8" s="19" t="s">
        <v>13</v>
      </c>
      <c r="G8" s="19" t="s">
        <v>14</v>
      </c>
      <c r="H8" s="19" t="s">
        <v>15</v>
      </c>
      <c r="I8" s="20" t="s">
        <v>26</v>
      </c>
      <c r="J8" s="20" t="s">
        <v>72</v>
      </c>
      <c r="K8" s="19" t="s">
        <v>73</v>
      </c>
      <c r="L8" s="106"/>
    </row>
    <row r="9" spans="2:14" ht="18.75" customHeight="1">
      <c r="B9" s="21"/>
      <c r="C9" s="22" t="s">
        <v>8</v>
      </c>
      <c r="D9" s="23" t="s">
        <v>9</v>
      </c>
      <c r="E9" s="23" t="s">
        <v>9</v>
      </c>
      <c r="F9" s="22" t="s">
        <v>39</v>
      </c>
      <c r="G9" s="23" t="s">
        <v>9</v>
      </c>
      <c r="H9" s="23" t="s">
        <v>9</v>
      </c>
      <c r="I9" s="23" t="s">
        <v>27</v>
      </c>
      <c r="J9" s="22" t="s">
        <v>39</v>
      </c>
      <c r="K9" s="22" t="s">
        <v>39</v>
      </c>
      <c r="L9" s="106"/>
    </row>
    <row r="10" spans="2:14">
      <c r="C10" s="2" t="s">
        <v>1</v>
      </c>
      <c r="D10" s="2" t="s">
        <v>2</v>
      </c>
      <c r="E10" s="2" t="s">
        <v>3</v>
      </c>
      <c r="F10" s="2" t="s">
        <v>4</v>
      </c>
      <c r="G10" s="2" t="s">
        <v>5</v>
      </c>
      <c r="H10" s="2" t="s">
        <v>7</v>
      </c>
      <c r="I10" s="2" t="s">
        <v>28</v>
      </c>
      <c r="J10" s="2" t="s">
        <v>29</v>
      </c>
      <c r="K10" s="2" t="s">
        <v>30</v>
      </c>
    </row>
    <row r="11" spans="2:14" ht="6" customHeight="1"/>
    <row r="12" spans="2:14" ht="15.75">
      <c r="B12" s="60" t="str">
        <f>C54</f>
        <v>UT N - 200 MW - SCCT Frame "F" x1 - East Side Resource (5,050')</v>
      </c>
      <c r="C12" s="106"/>
      <c r="E12" s="106"/>
      <c r="F12" s="106"/>
      <c r="G12" s="106"/>
      <c r="H12" s="106"/>
      <c r="I12" s="105"/>
      <c r="J12" s="105"/>
      <c r="K12" s="105"/>
      <c r="L12" s="106"/>
    </row>
    <row r="13" spans="2:14" ht="4.5" customHeight="1">
      <c r="B13" s="107"/>
      <c r="C13" s="108"/>
      <c r="D13" s="109"/>
      <c r="E13" s="110"/>
      <c r="F13" s="110"/>
      <c r="G13" s="111"/>
      <c r="H13" s="111"/>
      <c r="I13" s="111"/>
      <c r="J13" s="111"/>
      <c r="K13" s="111"/>
    </row>
    <row r="14" spans="2:14">
      <c r="B14" s="107">
        <v>2016</v>
      </c>
      <c r="C14" s="108">
        <f>$H$60</f>
        <v>702</v>
      </c>
      <c r="D14" s="109">
        <f>ROUND(C14*$C$76,2)</f>
        <v>51.76</v>
      </c>
      <c r="E14" s="110">
        <f>$I$60</f>
        <v>30.66</v>
      </c>
      <c r="F14" s="110">
        <f>$J$65</f>
        <v>7.53</v>
      </c>
      <c r="G14" s="111">
        <f t="shared" ref="G14:G24" si="0">ROUND(F14*(8.76*$G$65)+E14,2)</f>
        <v>52.43</v>
      </c>
      <c r="H14" s="111">
        <f t="shared" ref="H14:H24" si="1">ROUND(D14+G14,2)</f>
        <v>104.19</v>
      </c>
      <c r="I14" s="111"/>
      <c r="J14" s="111"/>
      <c r="K14" s="111"/>
    </row>
    <row r="15" spans="2:14">
      <c r="B15" s="107">
        <f t="shared" ref="B15:B40" si="2">B14+1</f>
        <v>2017</v>
      </c>
      <c r="C15" s="112"/>
      <c r="D15" s="109">
        <f t="shared" ref="D15:F17" si="3">ROUND(D14*(1+$D83),2)</f>
        <v>52.8</v>
      </c>
      <c r="E15" s="109">
        <f t="shared" si="3"/>
        <v>31.27</v>
      </c>
      <c r="F15" s="109">
        <f t="shared" si="3"/>
        <v>7.68</v>
      </c>
      <c r="G15" s="113">
        <f t="shared" si="0"/>
        <v>53.47</v>
      </c>
      <c r="H15" s="113">
        <f t="shared" si="1"/>
        <v>106.27</v>
      </c>
      <c r="I15" s="111"/>
      <c r="J15" s="111"/>
      <c r="K15" s="111"/>
      <c r="M15" s="57"/>
    </row>
    <row r="16" spans="2:14">
      <c r="B16" s="107">
        <f t="shared" si="2"/>
        <v>2018</v>
      </c>
      <c r="C16" s="112"/>
      <c r="D16" s="109">
        <f t="shared" si="3"/>
        <v>53.8</v>
      </c>
      <c r="E16" s="109">
        <f t="shared" si="3"/>
        <v>31.86</v>
      </c>
      <c r="F16" s="109">
        <f t="shared" si="3"/>
        <v>7.83</v>
      </c>
      <c r="G16" s="111">
        <f t="shared" si="0"/>
        <v>54.49</v>
      </c>
      <c r="H16" s="111">
        <f t="shared" si="1"/>
        <v>108.29</v>
      </c>
      <c r="I16" s="111"/>
      <c r="J16" s="111"/>
      <c r="K16" s="111"/>
      <c r="M16" s="57"/>
    </row>
    <row r="17" spans="2:13">
      <c r="B17" s="107">
        <f t="shared" si="2"/>
        <v>2019</v>
      </c>
      <c r="C17" s="112"/>
      <c r="D17" s="109">
        <f t="shared" si="3"/>
        <v>54.98</v>
      </c>
      <c r="E17" s="109">
        <f t="shared" si="3"/>
        <v>32.56</v>
      </c>
      <c r="F17" s="109">
        <f t="shared" si="3"/>
        <v>8</v>
      </c>
      <c r="G17" s="111">
        <f t="shared" si="0"/>
        <v>55.69</v>
      </c>
      <c r="H17" s="111">
        <f t="shared" si="1"/>
        <v>110.67</v>
      </c>
      <c r="I17" s="111"/>
      <c r="J17" s="111"/>
      <c r="K17" s="111"/>
      <c r="M17" s="57"/>
    </row>
    <row r="18" spans="2:13">
      <c r="B18" s="107">
        <f t="shared" si="2"/>
        <v>2020</v>
      </c>
      <c r="C18" s="112"/>
      <c r="D18" s="109">
        <f t="shared" ref="D18:F18" si="4">ROUND(D17*(1+$D86),2)</f>
        <v>56.41</v>
      </c>
      <c r="E18" s="109">
        <f t="shared" si="4"/>
        <v>33.409999999999997</v>
      </c>
      <c r="F18" s="109">
        <f t="shared" si="4"/>
        <v>8.2100000000000009</v>
      </c>
      <c r="G18" s="111">
        <f t="shared" ref="G18:G23" si="5">ROUND(F18*(8.76*$G$65)+E18,2)</f>
        <v>57.14</v>
      </c>
      <c r="H18" s="111">
        <f t="shared" ref="H18:H23" si="6">ROUND(D18+G18,2)</f>
        <v>113.55</v>
      </c>
      <c r="I18" s="111"/>
      <c r="J18" s="111"/>
      <c r="K18" s="111"/>
      <c r="M18" s="57"/>
    </row>
    <row r="19" spans="2:13">
      <c r="B19" s="107">
        <f t="shared" si="2"/>
        <v>2021</v>
      </c>
      <c r="C19" s="112"/>
      <c r="D19" s="109">
        <f t="shared" ref="D19:F19" si="7">ROUND(D18*(1+$D87),2)</f>
        <v>57.76</v>
      </c>
      <c r="E19" s="109">
        <f t="shared" si="7"/>
        <v>34.21</v>
      </c>
      <c r="F19" s="109">
        <f t="shared" si="7"/>
        <v>8.41</v>
      </c>
      <c r="G19" s="111">
        <f t="shared" si="5"/>
        <v>58.52</v>
      </c>
      <c r="H19" s="111">
        <f t="shared" si="6"/>
        <v>116.28</v>
      </c>
      <c r="I19" s="111"/>
      <c r="J19" s="111"/>
      <c r="K19" s="111"/>
      <c r="M19" s="57"/>
    </row>
    <row r="20" spans="2:13">
      <c r="B20" s="107">
        <f t="shared" si="2"/>
        <v>2022</v>
      </c>
      <c r="C20" s="112"/>
      <c r="D20" s="109">
        <f t="shared" ref="D20:F20" si="8">ROUND(D19*(1+$D88),2)</f>
        <v>59.09</v>
      </c>
      <c r="E20" s="109">
        <f t="shared" si="8"/>
        <v>35</v>
      </c>
      <c r="F20" s="109">
        <f t="shared" si="8"/>
        <v>8.6</v>
      </c>
      <c r="G20" s="111">
        <f t="shared" si="5"/>
        <v>59.86</v>
      </c>
      <c r="H20" s="111">
        <f t="shared" si="6"/>
        <v>118.95</v>
      </c>
      <c r="I20" s="111"/>
      <c r="J20" s="111"/>
      <c r="K20" s="111"/>
      <c r="M20" s="57"/>
    </row>
    <row r="21" spans="2:13">
      <c r="B21" s="107">
        <f t="shared" si="2"/>
        <v>2023</v>
      </c>
      <c r="C21" s="112"/>
      <c r="D21" s="109">
        <f t="shared" ref="D21:F21" si="9">ROUND(D20*(1+$D89),2)</f>
        <v>60.45</v>
      </c>
      <c r="E21" s="109">
        <f t="shared" si="9"/>
        <v>35.81</v>
      </c>
      <c r="F21" s="109">
        <f t="shared" si="9"/>
        <v>8.8000000000000007</v>
      </c>
      <c r="G21" s="111">
        <f t="shared" si="5"/>
        <v>61.25</v>
      </c>
      <c r="H21" s="111">
        <f t="shared" si="6"/>
        <v>121.7</v>
      </c>
      <c r="I21" s="111"/>
      <c r="J21" s="111"/>
      <c r="K21" s="111"/>
      <c r="M21" s="57"/>
    </row>
    <row r="22" spans="2:13">
      <c r="B22" s="107">
        <f t="shared" si="2"/>
        <v>2024</v>
      </c>
      <c r="C22" s="112"/>
      <c r="D22" s="109">
        <f t="shared" ref="D22:F22" si="10">ROUND(D21*(1+$D90),2)</f>
        <v>61.84</v>
      </c>
      <c r="E22" s="109">
        <f t="shared" si="10"/>
        <v>36.630000000000003</v>
      </c>
      <c r="F22" s="109">
        <f t="shared" si="10"/>
        <v>9</v>
      </c>
      <c r="G22" s="111">
        <f t="shared" si="5"/>
        <v>62.65</v>
      </c>
      <c r="H22" s="111">
        <f t="shared" si="6"/>
        <v>124.49</v>
      </c>
      <c r="I22" s="111"/>
      <c r="J22" s="111"/>
      <c r="K22" s="111"/>
      <c r="M22" s="57"/>
    </row>
    <row r="23" spans="2:13">
      <c r="B23" s="107">
        <f t="shared" si="2"/>
        <v>2025</v>
      </c>
      <c r="C23" s="112"/>
      <c r="D23" s="109">
        <f t="shared" ref="D23:F23" si="11">ROUND(D22*(1+$D91),2)</f>
        <v>63.26</v>
      </c>
      <c r="E23" s="109">
        <f t="shared" si="11"/>
        <v>37.47</v>
      </c>
      <c r="F23" s="109">
        <f t="shared" si="11"/>
        <v>9.2100000000000009</v>
      </c>
      <c r="G23" s="111">
        <f t="shared" si="5"/>
        <v>64.09</v>
      </c>
      <c r="H23" s="111">
        <f t="shared" si="6"/>
        <v>127.35</v>
      </c>
      <c r="I23" s="111"/>
      <c r="J23" s="111"/>
      <c r="K23" s="111"/>
      <c r="M23" s="57"/>
    </row>
    <row r="24" spans="2:13">
      <c r="B24" s="107">
        <f t="shared" si="2"/>
        <v>2026</v>
      </c>
      <c r="C24" s="112"/>
      <c r="D24" s="113">
        <f>ROUND(D23*(1+$G83),2)</f>
        <v>64.709999999999994</v>
      </c>
      <c r="E24" s="113">
        <f>ROUND(E23*(1+$G83),2)</f>
        <v>38.33</v>
      </c>
      <c r="F24" s="113">
        <f>ROUND(F23*(1+$G83),2)</f>
        <v>9.42</v>
      </c>
      <c r="G24" s="111">
        <f t="shared" si="0"/>
        <v>65.56</v>
      </c>
      <c r="H24" s="111">
        <f t="shared" si="1"/>
        <v>130.27000000000001</v>
      </c>
      <c r="I24" s="111"/>
      <c r="J24" s="111"/>
      <c r="K24" s="111"/>
      <c r="M24" s="57"/>
    </row>
    <row r="25" spans="2:13">
      <c r="B25" s="107">
        <f t="shared" si="2"/>
        <v>2027</v>
      </c>
      <c r="C25" s="112"/>
      <c r="D25" s="113">
        <f t="shared" ref="D25:F25" si="12">ROUND(D24*(1+$G84),2)</f>
        <v>66.2</v>
      </c>
      <c r="E25" s="113">
        <f t="shared" si="12"/>
        <v>39.21</v>
      </c>
      <c r="F25" s="113">
        <f t="shared" si="12"/>
        <v>9.64</v>
      </c>
      <c r="G25" s="111">
        <f t="shared" ref="G25:G30" si="13">ROUND(F25*(8.76*$G$65)+E25,2)</f>
        <v>67.08</v>
      </c>
      <c r="H25" s="111">
        <f t="shared" ref="H25:H30" si="14">ROUND(D25+G25,2)</f>
        <v>133.28</v>
      </c>
      <c r="I25" s="111"/>
      <c r="J25" s="111"/>
      <c r="K25" s="111"/>
      <c r="M25" s="57"/>
    </row>
    <row r="26" spans="2:13">
      <c r="B26" s="107">
        <f t="shared" si="2"/>
        <v>2028</v>
      </c>
      <c r="C26" s="112"/>
      <c r="D26" s="183">
        <f t="shared" ref="D26:F26" si="15">ROUND(D25*(1+$G85),2)</f>
        <v>67.72</v>
      </c>
      <c r="E26" s="183">
        <f t="shared" si="15"/>
        <v>40.11</v>
      </c>
      <c r="F26" s="183">
        <f t="shared" si="15"/>
        <v>9.86</v>
      </c>
      <c r="G26" s="184">
        <f t="shared" si="13"/>
        <v>68.61</v>
      </c>
      <c r="H26" s="184">
        <f t="shared" si="14"/>
        <v>136.33000000000001</v>
      </c>
      <c r="I26" s="184"/>
      <c r="J26" s="184"/>
      <c r="K26" s="184"/>
      <c r="M26" s="57"/>
    </row>
    <row r="27" spans="2:13">
      <c r="B27" s="107">
        <f t="shared" si="2"/>
        <v>2029</v>
      </c>
      <c r="C27" s="112"/>
      <c r="D27" s="113">
        <f t="shared" ref="D27:F28" si="16">ROUND(D26*(1+$G86),2)</f>
        <v>69.28</v>
      </c>
      <c r="E27" s="113">
        <f t="shared" si="16"/>
        <v>41.03</v>
      </c>
      <c r="F27" s="113">
        <f t="shared" si="16"/>
        <v>10.09</v>
      </c>
      <c r="G27" s="111">
        <f t="shared" si="13"/>
        <v>70.2</v>
      </c>
      <c r="H27" s="111">
        <f t="shared" si="14"/>
        <v>139.47999999999999</v>
      </c>
      <c r="I27" s="111">
        <f>VLOOKUP(B27,'Table 4'!$B$13:$D$43,2,FALSE)</f>
        <v>4.51</v>
      </c>
      <c r="J27" s="111">
        <f t="shared" ref="J27" si="17">ROUND($K$65*I27/1000,2)</f>
        <v>43.36</v>
      </c>
      <c r="K27" s="111">
        <f t="shared" ref="K27" si="18">ROUND(H27*1000/8760/$G$65+J27,2)</f>
        <v>91.61</v>
      </c>
      <c r="M27" s="57"/>
    </row>
    <row r="28" spans="2:13" s="145" customFormat="1">
      <c r="B28" s="148">
        <f t="shared" si="2"/>
        <v>2030</v>
      </c>
      <c r="C28" s="149"/>
      <c r="D28" s="143">
        <f t="shared" si="16"/>
        <v>70.87</v>
      </c>
      <c r="E28" s="143">
        <f t="shared" si="16"/>
        <v>41.97</v>
      </c>
      <c r="F28" s="143">
        <f t="shared" si="16"/>
        <v>10.32</v>
      </c>
      <c r="G28" s="143">
        <f t="shared" ref="G28" si="19">ROUND(F28*(8.76*$G$65)+E28,2)</f>
        <v>71.8</v>
      </c>
      <c r="H28" s="143">
        <f t="shared" ref="H28" si="20">ROUND(D28+G28,2)</f>
        <v>142.66999999999999</v>
      </c>
      <c r="I28" s="111">
        <f>VLOOKUP(B28,'Table 4'!$B$13:$D$43,3,FALSE)</f>
        <v>4.7699999999999996</v>
      </c>
      <c r="J28" s="111">
        <f t="shared" ref="J28" si="21">ROUND($K$65*I28/1000,2)</f>
        <v>45.86</v>
      </c>
      <c r="K28" s="111">
        <f t="shared" ref="K28" si="22">ROUND(H28*1000/8760/$G$65+J28,2)</f>
        <v>95.21</v>
      </c>
      <c r="M28" s="67"/>
    </row>
    <row r="29" spans="2:13" s="145" customFormat="1">
      <c r="B29" s="148">
        <f t="shared" si="2"/>
        <v>2031</v>
      </c>
      <c r="C29" s="149"/>
      <c r="D29" s="143">
        <f t="shared" ref="D29" si="23">ROUND(D28*(1+$G88),2)</f>
        <v>72.5</v>
      </c>
      <c r="E29" s="143">
        <f t="shared" ref="E29" si="24">ROUND(E28*(1+$G88),2)</f>
        <v>42.94</v>
      </c>
      <c r="F29" s="143">
        <f t="shared" ref="F29" si="25">ROUND(F28*(1+$G88),2)</f>
        <v>10.56</v>
      </c>
      <c r="G29" s="143">
        <f t="shared" ref="G29" si="26">ROUND(F29*(8.76*$G$65)+E29,2)</f>
        <v>73.47</v>
      </c>
      <c r="H29" s="143">
        <f t="shared" ref="H29" si="27">ROUND(D29+G29,2)</f>
        <v>145.97</v>
      </c>
      <c r="I29" s="111">
        <f>VLOOKUP(B29,'Table 4'!$B$13:$C$43,2,FALSE)</f>
        <v>5.08</v>
      </c>
      <c r="J29" s="111">
        <f t="shared" ref="J29" si="28">ROUND($K$65*I29/1000,2)</f>
        <v>48.84</v>
      </c>
      <c r="K29" s="111">
        <f t="shared" ref="K29" si="29">ROUND(H29*1000/8760/$G$65+J29,2)</f>
        <v>99.33</v>
      </c>
      <c r="M29" s="67"/>
    </row>
    <row r="30" spans="2:13" s="145" customFormat="1">
      <c r="B30" s="148">
        <f t="shared" si="2"/>
        <v>2032</v>
      </c>
      <c r="C30" s="149"/>
      <c r="D30" s="143">
        <f t="shared" ref="D30:F30" si="30">ROUND(D29*(1+$G89),2)</f>
        <v>74.099999999999994</v>
      </c>
      <c r="E30" s="143">
        <f t="shared" si="30"/>
        <v>43.88</v>
      </c>
      <c r="F30" s="143">
        <f t="shared" si="30"/>
        <v>10.79</v>
      </c>
      <c r="G30" s="143">
        <f t="shared" si="13"/>
        <v>75.069999999999993</v>
      </c>
      <c r="H30" s="143">
        <f t="shared" si="14"/>
        <v>149.16999999999999</v>
      </c>
      <c r="I30" s="111">
        <f>VLOOKUP(B30,'Table 4'!$B$13:$C$43,2,FALSE)</f>
        <v>5.25</v>
      </c>
      <c r="J30" s="111">
        <f t="shared" ref="J30:J40" si="31">ROUND($K$65*I30/1000,2)</f>
        <v>50.47</v>
      </c>
      <c r="K30" s="111">
        <f t="shared" ref="K30:K40" si="32">ROUND(H30*1000/8760/$G$65+J30,2)</f>
        <v>102.07</v>
      </c>
      <c r="M30" s="67"/>
    </row>
    <row r="31" spans="2:13" s="145" customFormat="1">
      <c r="B31" s="148">
        <f t="shared" si="2"/>
        <v>2033</v>
      </c>
      <c r="C31" s="149"/>
      <c r="D31" s="143">
        <f t="shared" ref="D31:D32" si="33">ROUND(D30*(1+$G90),2)</f>
        <v>75.73</v>
      </c>
      <c r="E31" s="143">
        <f t="shared" ref="E31:E32" si="34">ROUND(E30*(1+$G90),2)</f>
        <v>44.85</v>
      </c>
      <c r="F31" s="143">
        <f t="shared" ref="F31:F32" si="35">ROUND(F30*(1+$G90),2)</f>
        <v>11.03</v>
      </c>
      <c r="G31" s="143">
        <f t="shared" ref="G31:G33" si="36">ROUND(F31*(8.76*$G$65)+E31,2)</f>
        <v>76.739999999999995</v>
      </c>
      <c r="H31" s="143">
        <f t="shared" ref="H31:H33" si="37">ROUND(D31+G31,2)</f>
        <v>152.47</v>
      </c>
      <c r="I31" s="111">
        <f>VLOOKUP(B31,'Table 4'!$B$13:$C$43,2,FALSE)</f>
        <v>5.5</v>
      </c>
      <c r="J31" s="111">
        <f t="shared" si="31"/>
        <v>52.88</v>
      </c>
      <c r="K31" s="111">
        <f t="shared" si="32"/>
        <v>105.62</v>
      </c>
      <c r="M31" s="67"/>
    </row>
    <row r="32" spans="2:13" s="145" customFormat="1">
      <c r="B32" s="148">
        <f t="shared" si="2"/>
        <v>2034</v>
      </c>
      <c r="C32" s="149"/>
      <c r="D32" s="143">
        <f t="shared" si="33"/>
        <v>77.47</v>
      </c>
      <c r="E32" s="143">
        <f t="shared" si="34"/>
        <v>45.88</v>
      </c>
      <c r="F32" s="143">
        <f t="shared" si="35"/>
        <v>11.28</v>
      </c>
      <c r="G32" s="143">
        <f t="shared" si="36"/>
        <v>78.489999999999995</v>
      </c>
      <c r="H32" s="143">
        <f t="shared" si="37"/>
        <v>155.96</v>
      </c>
      <c r="I32" s="111">
        <f>VLOOKUP(B32,'Table 4'!$B$13:$C$43,2,FALSE)</f>
        <v>5.78</v>
      </c>
      <c r="J32" s="111">
        <f t="shared" si="31"/>
        <v>55.57</v>
      </c>
      <c r="K32" s="111">
        <f t="shared" si="32"/>
        <v>109.52</v>
      </c>
      <c r="M32" s="67"/>
    </row>
    <row r="33" spans="2:15">
      <c r="B33" s="107">
        <f t="shared" si="2"/>
        <v>2035</v>
      </c>
      <c r="C33" s="112"/>
      <c r="D33" s="111">
        <f>ROUND(D32*(1+$J83),2)</f>
        <v>79.25</v>
      </c>
      <c r="E33" s="109">
        <f>ROUND(E32*(1+$J83),2)</f>
        <v>46.94</v>
      </c>
      <c r="F33" s="109">
        <f>ROUND(F32*(1+$J83),2)</f>
        <v>11.54</v>
      </c>
      <c r="G33" s="111">
        <f t="shared" si="36"/>
        <v>80.3</v>
      </c>
      <c r="H33" s="111">
        <f t="shared" si="37"/>
        <v>159.55000000000001</v>
      </c>
      <c r="I33" s="111">
        <f>VLOOKUP(B33,'Table 4'!$B$13:$C$43,2,FALSE)</f>
        <v>6</v>
      </c>
      <c r="J33" s="111">
        <f t="shared" si="31"/>
        <v>57.68</v>
      </c>
      <c r="K33" s="111">
        <f t="shared" si="32"/>
        <v>112.87</v>
      </c>
      <c r="M33" s="67"/>
    </row>
    <row r="34" spans="2:15">
      <c r="B34" s="107">
        <f t="shared" si="2"/>
        <v>2036</v>
      </c>
      <c r="C34" s="112"/>
      <c r="D34" s="111">
        <f t="shared" ref="D34:F34" si="38">ROUND(D33*(1+$J84),2)</f>
        <v>81.069999999999993</v>
      </c>
      <c r="E34" s="109">
        <f t="shared" si="38"/>
        <v>48.02</v>
      </c>
      <c r="F34" s="109">
        <f t="shared" si="38"/>
        <v>11.81</v>
      </c>
      <c r="G34" s="111">
        <f t="shared" ref="G34:G40" si="39">ROUND(F34*(8.76*$G$65)+E34,2)</f>
        <v>82.16</v>
      </c>
      <c r="H34" s="111">
        <f t="shared" ref="H34:H40" si="40">ROUND(D34+G34,2)</f>
        <v>163.22999999999999</v>
      </c>
      <c r="I34" s="111">
        <f>VLOOKUP(B34,'Table 4'!$B$13:$C$43,2,FALSE)</f>
        <v>6.37</v>
      </c>
      <c r="J34" s="111">
        <f t="shared" si="31"/>
        <v>61.24</v>
      </c>
      <c r="K34" s="111">
        <f t="shared" si="32"/>
        <v>117.71</v>
      </c>
      <c r="M34" s="67"/>
    </row>
    <row r="35" spans="2:15">
      <c r="B35" s="107">
        <f t="shared" si="2"/>
        <v>2037</v>
      </c>
      <c r="C35" s="112"/>
      <c r="D35" s="111">
        <f t="shared" ref="D35:F35" si="41">ROUND(D34*(1+$J85),2)</f>
        <v>82.85</v>
      </c>
      <c r="E35" s="109">
        <f t="shared" si="41"/>
        <v>49.08</v>
      </c>
      <c r="F35" s="109">
        <f t="shared" si="41"/>
        <v>12.07</v>
      </c>
      <c r="G35" s="111">
        <f t="shared" si="39"/>
        <v>83.97</v>
      </c>
      <c r="H35" s="111">
        <f t="shared" si="40"/>
        <v>166.82</v>
      </c>
      <c r="I35" s="111">
        <f>VLOOKUP(B35,'Table 4'!$B$13:$C$43,2,FALSE)</f>
        <v>6.55</v>
      </c>
      <c r="J35" s="111">
        <f t="shared" si="31"/>
        <v>62.97</v>
      </c>
      <c r="K35" s="111">
        <f t="shared" si="32"/>
        <v>120.68</v>
      </c>
      <c r="M35" s="67"/>
    </row>
    <row r="36" spans="2:15">
      <c r="B36" s="107">
        <f t="shared" si="2"/>
        <v>2038</v>
      </c>
      <c r="C36" s="112"/>
      <c r="D36" s="111">
        <f t="shared" ref="D36:F36" si="42">ROUND(D35*(1+$J86),2)</f>
        <v>84.67</v>
      </c>
      <c r="E36" s="109">
        <f t="shared" si="42"/>
        <v>50.16</v>
      </c>
      <c r="F36" s="109">
        <f t="shared" si="42"/>
        <v>12.34</v>
      </c>
      <c r="G36" s="111">
        <f t="shared" si="39"/>
        <v>85.83</v>
      </c>
      <c r="H36" s="111">
        <f t="shared" si="40"/>
        <v>170.5</v>
      </c>
      <c r="I36" s="111">
        <f>VLOOKUP(B36,'Table 4'!$B$13:$C$43,2,FALSE)</f>
        <v>6.83</v>
      </c>
      <c r="J36" s="111">
        <f t="shared" si="31"/>
        <v>65.66</v>
      </c>
      <c r="K36" s="111">
        <f t="shared" si="32"/>
        <v>124.64</v>
      </c>
      <c r="M36" s="67"/>
    </row>
    <row r="37" spans="2:15">
      <c r="B37" s="107">
        <f t="shared" si="2"/>
        <v>2039</v>
      </c>
      <c r="C37" s="112"/>
      <c r="D37" s="111">
        <f t="shared" ref="D37:F37" si="43">ROUND(D36*(1+$J87),2)</f>
        <v>86.53</v>
      </c>
      <c r="E37" s="109">
        <f t="shared" si="43"/>
        <v>51.26</v>
      </c>
      <c r="F37" s="109">
        <f t="shared" si="43"/>
        <v>12.61</v>
      </c>
      <c r="G37" s="111">
        <f t="shared" si="39"/>
        <v>87.71</v>
      </c>
      <c r="H37" s="111">
        <f t="shared" si="40"/>
        <v>174.24</v>
      </c>
      <c r="I37" s="111">
        <f>VLOOKUP(B37,'Table 4'!$B$13:$C$43,2,FALSE)</f>
        <v>6.99</v>
      </c>
      <c r="J37" s="111">
        <f t="shared" si="31"/>
        <v>67.2</v>
      </c>
      <c r="K37" s="111">
        <f t="shared" si="32"/>
        <v>127.47</v>
      </c>
      <c r="M37" s="67"/>
    </row>
    <row r="38" spans="2:15">
      <c r="B38" s="107">
        <f t="shared" si="2"/>
        <v>2040</v>
      </c>
      <c r="C38" s="112"/>
      <c r="D38" s="111">
        <f t="shared" ref="D38:F38" si="44">ROUND(D37*(1+$J88),2)</f>
        <v>88.43</v>
      </c>
      <c r="E38" s="109">
        <f t="shared" si="44"/>
        <v>52.39</v>
      </c>
      <c r="F38" s="109">
        <f t="shared" si="44"/>
        <v>12.89</v>
      </c>
      <c r="G38" s="111">
        <f t="shared" si="39"/>
        <v>89.65</v>
      </c>
      <c r="H38" s="111">
        <f t="shared" si="40"/>
        <v>178.08</v>
      </c>
      <c r="I38" s="111">
        <f>VLOOKUP(B38,'Table 4'!$B$13:$C$43,2,FALSE)</f>
        <v>7.17</v>
      </c>
      <c r="J38" s="111">
        <f t="shared" si="31"/>
        <v>68.930000000000007</v>
      </c>
      <c r="K38" s="111">
        <f t="shared" si="32"/>
        <v>130.53</v>
      </c>
      <c r="M38" s="67"/>
    </row>
    <row r="39" spans="2:15">
      <c r="B39" s="107">
        <f t="shared" si="2"/>
        <v>2041</v>
      </c>
      <c r="C39" s="112"/>
      <c r="D39" s="111">
        <f t="shared" ref="D39:F39" si="45">ROUND(D38*(1+$J89),2)</f>
        <v>90.38</v>
      </c>
      <c r="E39" s="109">
        <f t="shared" si="45"/>
        <v>53.54</v>
      </c>
      <c r="F39" s="109">
        <f t="shared" si="45"/>
        <v>13.17</v>
      </c>
      <c r="G39" s="111">
        <f t="shared" si="39"/>
        <v>91.61</v>
      </c>
      <c r="H39" s="111">
        <f t="shared" si="40"/>
        <v>181.99</v>
      </c>
      <c r="I39" s="111">
        <f>VLOOKUP(B39,'Table 4'!$B$13:$C$43,2,FALSE)</f>
        <v>7.33</v>
      </c>
      <c r="J39" s="111">
        <f t="shared" si="31"/>
        <v>70.47</v>
      </c>
      <c r="K39" s="111">
        <f t="shared" si="32"/>
        <v>133.41999999999999</v>
      </c>
      <c r="M39" s="67"/>
    </row>
    <row r="40" spans="2:15">
      <c r="B40" s="107">
        <f t="shared" si="2"/>
        <v>2042</v>
      </c>
      <c r="C40" s="112"/>
      <c r="D40" s="111">
        <f t="shared" ref="D40:F40" si="46">ROUND(D39*(1+$J90),2)</f>
        <v>92.37</v>
      </c>
      <c r="E40" s="109">
        <f t="shared" si="46"/>
        <v>54.72</v>
      </c>
      <c r="F40" s="109">
        <f t="shared" si="46"/>
        <v>13.46</v>
      </c>
      <c r="G40" s="111">
        <f t="shared" si="39"/>
        <v>93.63</v>
      </c>
      <c r="H40" s="111">
        <f t="shared" si="40"/>
        <v>186</v>
      </c>
      <c r="I40" s="111">
        <f>VLOOKUP(B40,'Table 4'!$B$13:$C$43,2,FALSE)</f>
        <v>5.01</v>
      </c>
      <c r="J40" s="111">
        <f t="shared" si="31"/>
        <v>48.17</v>
      </c>
      <c r="K40" s="111">
        <f t="shared" si="32"/>
        <v>112.51</v>
      </c>
      <c r="M40" s="67"/>
    </row>
    <row r="41" spans="2:15">
      <c r="B41" s="107"/>
      <c r="C41" s="112"/>
      <c r="D41" s="111"/>
      <c r="E41" s="109"/>
      <c r="F41" s="109"/>
      <c r="G41" s="111"/>
      <c r="H41" s="111"/>
      <c r="I41" s="111"/>
      <c r="J41" s="111"/>
      <c r="K41" s="111"/>
    </row>
    <row r="42" spans="2:15">
      <c r="B42" s="107"/>
      <c r="C42" s="112"/>
      <c r="D42" s="111"/>
      <c r="E42" s="109"/>
      <c r="F42" s="109"/>
      <c r="G42" s="111"/>
      <c r="H42" s="111"/>
      <c r="I42" s="111"/>
      <c r="J42" s="111"/>
      <c r="K42" s="111"/>
    </row>
    <row r="43" spans="2:15">
      <c r="M43" s="107"/>
      <c r="O43" s="114"/>
    </row>
    <row r="44" spans="2:15" ht="14.25">
      <c r="B44" s="5" t="s">
        <v>31</v>
      </c>
      <c r="C44" s="24"/>
      <c r="D44" s="24"/>
      <c r="E44" s="24"/>
      <c r="F44" s="24"/>
      <c r="G44" s="24"/>
      <c r="H44" s="24"/>
      <c r="I44" s="24"/>
      <c r="J44" s="24"/>
      <c r="K44" s="24"/>
      <c r="M44" s="107"/>
      <c r="N44" s="114"/>
      <c r="O44" s="114"/>
    </row>
    <row r="46" spans="2:15">
      <c r="B46" s="104" t="s">
        <v>16</v>
      </c>
      <c r="D46" s="115" t="str">
        <f>'Table 3 436MW (West M) 2030'!D46</f>
        <v xml:space="preserve">Plant Costs  - 2017 IRP - Table 6.1 &amp; 6.2 </v>
      </c>
    </row>
    <row r="47" spans="2:15">
      <c r="C47" s="116" t="str">
        <f>D10</f>
        <v>(b)</v>
      </c>
      <c r="D47" s="111" t="str">
        <f>"= "&amp;C10&amp;" x "&amp;C76</f>
        <v>= (a) x 0.0737263117964292</v>
      </c>
    </row>
    <row r="48" spans="2:15">
      <c r="C48" s="116" t="str">
        <f>G10</f>
        <v>(e)</v>
      </c>
      <c r="D48" s="111" t="str">
        <f>"= "&amp;$F$10&amp;" x  (8.76 x "&amp;TEXT(G65,"0.0%")&amp;") + "&amp;$E$10</f>
        <v>= (d) x  (8.76 x 33.0%) + (c)</v>
      </c>
    </row>
    <row r="49" spans="3:11">
      <c r="C49" s="116" t="str">
        <f>H10</f>
        <v>(f)</v>
      </c>
      <c r="D49" s="111" t="str">
        <f>"= "&amp;D10&amp;" + "&amp;G10</f>
        <v>= (b) + (e)</v>
      </c>
    </row>
    <row r="50" spans="3:11">
      <c r="C50" s="116" t="str">
        <f>I10</f>
        <v>(g)</v>
      </c>
      <c r="D50" s="144" t="str">
        <f>'Table 4'!B3&amp;" - "&amp;'Table 4'!B4</f>
        <v>Table 4 - Burnertip Natural Gas Price Forecast</v>
      </c>
    </row>
    <row r="51" spans="3:11">
      <c r="C51" s="116" t="str">
        <f>J10</f>
        <v>(h)</v>
      </c>
      <c r="D51" s="111" t="str">
        <f>"= "&amp;TEXT(K65,"?,0")&amp;" MMBtu/MWH x "&amp;I9</f>
        <v>= 9,614 MMBtu/MWH x $/MMBtu</v>
      </c>
    </row>
    <row r="52" spans="3:11">
      <c r="C52" s="116" t="str">
        <f>K10</f>
        <v>(i)</v>
      </c>
      <c r="D52" s="111" t="str">
        <f>"= "&amp;H10&amp;" / (8.76 x 'Capacity Factor' ) + "&amp;J10</f>
        <v>= (f) / (8.76 x 'Capacity Factor' ) + (h)</v>
      </c>
    </row>
    <row r="53" spans="3:11" ht="13.5" thickBot="1"/>
    <row r="54" spans="3:11" ht="13.5" thickBot="1">
      <c r="C54" s="58" t="s">
        <v>106</v>
      </c>
      <c r="D54" s="55"/>
      <c r="E54" s="55"/>
      <c r="F54" s="55"/>
      <c r="G54" s="55"/>
      <c r="H54" s="55"/>
      <c r="I54" s="55"/>
      <c r="J54" s="56"/>
      <c r="K54" s="117"/>
    </row>
    <row r="55" spans="3:11" ht="5.25" customHeight="1"/>
    <row r="56" spans="3:11" ht="5.25" customHeight="1"/>
    <row r="57" spans="3:11">
      <c r="C57" s="42" t="s">
        <v>40</v>
      </c>
      <c r="D57" s="32"/>
      <c r="E57" s="42"/>
      <c r="F57" s="41" t="s">
        <v>41</v>
      </c>
      <c r="G57" s="41" t="s">
        <v>42</v>
      </c>
      <c r="H57" s="41" t="s">
        <v>43</v>
      </c>
      <c r="I57" s="41" t="s">
        <v>44</v>
      </c>
    </row>
    <row r="58" spans="3:11">
      <c r="C58" s="145" t="s">
        <v>108</v>
      </c>
      <c r="F58" s="118">
        <f>C69</f>
        <v>199.924125</v>
      </c>
      <c r="G58" s="57">
        <f>F58/F60</f>
        <v>1</v>
      </c>
      <c r="H58" s="132">
        <f>C70</f>
        <v>701.59905041057641</v>
      </c>
      <c r="I58" s="134">
        <f>C73</f>
        <v>30.657239904849501</v>
      </c>
    </row>
    <row r="59" spans="3:11">
      <c r="C59" s="145"/>
      <c r="F59" s="48">
        <f>D69</f>
        <v>0</v>
      </c>
      <c r="G59" s="44">
        <f>1-G58</f>
        <v>0</v>
      </c>
      <c r="H59" s="133">
        <f>D70</f>
        <v>0</v>
      </c>
      <c r="I59" s="135">
        <f>D73</f>
        <v>0</v>
      </c>
    </row>
    <row r="60" spans="3:11">
      <c r="C60" s="145" t="s">
        <v>45</v>
      </c>
      <c r="F60" s="118">
        <f>F58+F59</f>
        <v>199.924125</v>
      </c>
      <c r="G60" s="57">
        <f>G58+G59</f>
        <v>1</v>
      </c>
      <c r="H60" s="132">
        <f>ROUND(((F58*H58)+(F59*H59))/F60,0)</f>
        <v>702</v>
      </c>
      <c r="I60" s="134">
        <f>ROUND(((F58*I58)+(F59*I59))/F60,2)</f>
        <v>30.66</v>
      </c>
    </row>
    <row r="61" spans="3:11">
      <c r="C61" s="145"/>
      <c r="F61" s="118"/>
      <c r="G61" s="57"/>
      <c r="H61" s="119"/>
      <c r="I61" s="120"/>
    </row>
    <row r="62" spans="3:11">
      <c r="C62" s="146" t="s">
        <v>40</v>
      </c>
      <c r="D62" s="32"/>
      <c r="E62" s="42"/>
      <c r="F62" s="41" t="s">
        <v>41</v>
      </c>
      <c r="G62" s="41" t="s">
        <v>46</v>
      </c>
      <c r="H62" s="41" t="s">
        <v>47</v>
      </c>
      <c r="I62" s="41" t="s">
        <v>42</v>
      </c>
      <c r="J62" s="41" t="s">
        <v>48</v>
      </c>
      <c r="K62" s="41" t="s">
        <v>49</v>
      </c>
    </row>
    <row r="63" spans="3:11">
      <c r="C63" s="147" t="str">
        <f>C58</f>
        <v>SCCT Dry "F" - Turbine</v>
      </c>
      <c r="D63" s="121"/>
      <c r="E63" s="121"/>
      <c r="F63" s="104">
        <f>C69</f>
        <v>199.924125</v>
      </c>
      <c r="G63" s="57">
        <f>C77</f>
        <v>0.33</v>
      </c>
      <c r="H63" s="168">
        <f>G63*F63</f>
        <v>65.974961250000007</v>
      </c>
      <c r="I63" s="57">
        <f>H63/H65</f>
        <v>1</v>
      </c>
      <c r="J63" s="120">
        <f>C74</f>
        <v>7.5299874286936257</v>
      </c>
      <c r="K63" s="122">
        <f>C75</f>
        <v>9614</v>
      </c>
    </row>
    <row r="64" spans="3:11">
      <c r="C64" s="147">
        <f>C59</f>
        <v>0</v>
      </c>
      <c r="D64" s="121"/>
      <c r="E64" s="121"/>
      <c r="F64" s="43">
        <f>D69</f>
        <v>0</v>
      </c>
      <c r="G64" s="44">
        <f>D77</f>
        <v>0</v>
      </c>
      <c r="H64" s="169">
        <f>G64*F64</f>
        <v>0</v>
      </c>
      <c r="I64" s="44">
        <f>1-I63</f>
        <v>0</v>
      </c>
      <c r="J64" s="45">
        <f>D74</f>
        <v>0</v>
      </c>
      <c r="K64" s="46">
        <f>D75</f>
        <v>0</v>
      </c>
    </row>
    <row r="65" spans="2:11">
      <c r="C65" s="145" t="s">
        <v>50</v>
      </c>
      <c r="F65" s="104">
        <f>F63+F64</f>
        <v>199.924125</v>
      </c>
      <c r="G65" s="123">
        <f>ROUND(H65/F65,3)</f>
        <v>0.33</v>
      </c>
      <c r="H65" s="168">
        <f>SUM(H63:H64)</f>
        <v>65.974961250000007</v>
      </c>
      <c r="I65" s="57">
        <f>I63+I64</f>
        <v>1</v>
      </c>
      <c r="J65" s="120">
        <f>ROUND(($I63*J63)+($I64*J64),2)</f>
        <v>7.53</v>
      </c>
      <c r="K65" s="124">
        <f>ROUND(($I63*K63)+($I64*K64),0)</f>
        <v>9614</v>
      </c>
    </row>
    <row r="66" spans="2:11">
      <c r="G66" s="123"/>
      <c r="I66" s="57"/>
      <c r="J66" s="120"/>
      <c r="K66" s="47" t="s">
        <v>51</v>
      </c>
    </row>
    <row r="68" spans="2:11">
      <c r="C68" s="41" t="s">
        <v>107</v>
      </c>
      <c r="D68" s="41" t="s">
        <v>35</v>
      </c>
      <c r="E68" s="59" t="str">
        <f>D46</f>
        <v xml:space="preserve">Plant Costs  - 2017 IRP - Table 6.1 &amp; 6.2 </v>
      </c>
      <c r="F68" s="125"/>
      <c r="G68" s="125"/>
      <c r="H68" s="125"/>
      <c r="I68" s="125"/>
      <c r="J68" s="125"/>
      <c r="K68" s="126"/>
    </row>
    <row r="69" spans="2:11">
      <c r="C69" s="104">
        <v>199.924125</v>
      </c>
      <c r="E69" s="104" t="s">
        <v>77</v>
      </c>
      <c r="H69" s="127"/>
    </row>
    <row r="70" spans="2:11">
      <c r="B70" s="104" t="s">
        <v>105</v>
      </c>
      <c r="C70" s="119">
        <v>701.59905041057641</v>
      </c>
      <c r="D70" s="119"/>
      <c r="E70" s="104" t="s">
        <v>78</v>
      </c>
    </row>
    <row r="71" spans="2:11">
      <c r="B71" s="104" t="s">
        <v>105</v>
      </c>
      <c r="C71" s="120">
        <v>16.0158293408495</v>
      </c>
      <c r="D71" s="120"/>
      <c r="E71" s="104" t="s">
        <v>79</v>
      </c>
    </row>
    <row r="72" spans="2:11">
      <c r="B72" s="104" t="s">
        <v>105</v>
      </c>
      <c r="C72" s="49">
        <v>14.641410564000001</v>
      </c>
      <c r="D72" s="49"/>
      <c r="E72" s="104" t="s">
        <v>75</v>
      </c>
    </row>
    <row r="73" spans="2:11">
      <c r="B73" s="104" t="s">
        <v>105</v>
      </c>
      <c r="C73" s="120">
        <f>C71+C72</f>
        <v>30.657239904849501</v>
      </c>
      <c r="D73" s="120"/>
      <c r="E73" s="104" t="s">
        <v>80</v>
      </c>
    </row>
    <row r="74" spans="2:11">
      <c r="B74" s="104" t="s">
        <v>105</v>
      </c>
      <c r="C74" s="120">
        <v>7.5299874286936257</v>
      </c>
      <c r="D74" s="120"/>
      <c r="E74" s="104" t="s">
        <v>81</v>
      </c>
    </row>
    <row r="75" spans="2:11">
      <c r="C75" s="124">
        <v>9614</v>
      </c>
      <c r="D75" s="124"/>
      <c r="E75" s="104" t="s">
        <v>53</v>
      </c>
    </row>
    <row r="76" spans="2:11">
      <c r="C76" s="142">
        <v>7.3726311796429175E-2</v>
      </c>
      <c r="D76" s="142"/>
      <c r="E76" s="104" t="s">
        <v>54</v>
      </c>
    </row>
    <row r="77" spans="2:11">
      <c r="C77" s="128">
        <v>0.33</v>
      </c>
      <c r="D77" s="128"/>
      <c r="E77" s="104" t="s">
        <v>55</v>
      </c>
    </row>
    <row r="78" spans="2:11">
      <c r="D78" s="57">
        <f>ROUND(H65/F65,3)</f>
        <v>0.33</v>
      </c>
      <c r="E78" s="104" t="s">
        <v>56</v>
      </c>
    </row>
    <row r="79" spans="2:11">
      <c r="D79" s="123"/>
      <c r="E79" s="67"/>
    </row>
    <row r="80" spans="2:11">
      <c r="C80" s="128"/>
      <c r="D80" s="128"/>
    </row>
    <row r="82" spans="3:15" ht="13.5" thickBot="1">
      <c r="C82" s="54" t="str">
        <f>"Company Official Inflation Forecast Dated "&amp;TEXT('Table 4'!G5,"mmmm dd, yyyy")</f>
        <v>Company Official Inflation Forecast Dated December 29, 2017</v>
      </c>
      <c r="D82" s="55"/>
      <c r="E82" s="55"/>
      <c r="F82" s="55"/>
      <c r="G82" s="55"/>
      <c r="H82" s="55"/>
      <c r="I82" s="55"/>
      <c r="J82" s="56"/>
      <c r="K82" s="117"/>
    </row>
    <row r="83" spans="3:15">
      <c r="C83" s="129">
        <v>2017</v>
      </c>
      <c r="D83" s="57">
        <v>0.02</v>
      </c>
      <c r="F83" s="129">
        <f>C91+1</f>
        <v>2026</v>
      </c>
      <c r="G83" s="57">
        <v>2.3E-2</v>
      </c>
      <c r="I83" s="129">
        <f>F91+1</f>
        <v>2035</v>
      </c>
      <c r="J83" s="57">
        <v>2.3E-2</v>
      </c>
    </row>
    <row r="84" spans="3:15">
      <c r="C84" s="129">
        <f t="shared" ref="C84:C91" si="47">C83+1</f>
        <v>2018</v>
      </c>
      <c r="D84" s="57">
        <v>1.9E-2</v>
      </c>
      <c r="F84" s="129">
        <f t="shared" ref="F84:F91" si="48">F83+1</f>
        <v>2027</v>
      </c>
      <c r="G84" s="57">
        <v>2.3E-2</v>
      </c>
      <c r="I84" s="129">
        <f t="shared" ref="I84:I91" si="49">I83+1</f>
        <v>2036</v>
      </c>
      <c r="J84" s="57">
        <v>2.3E-2</v>
      </c>
    </row>
    <row r="85" spans="3:15">
      <c r="C85" s="129">
        <f t="shared" si="47"/>
        <v>2019</v>
      </c>
      <c r="D85" s="57">
        <v>2.1999999999999999E-2</v>
      </c>
      <c r="F85" s="129">
        <f t="shared" si="48"/>
        <v>2028</v>
      </c>
      <c r="G85" s="57">
        <v>2.3E-2</v>
      </c>
      <c r="I85" s="129">
        <f t="shared" si="49"/>
        <v>2037</v>
      </c>
      <c r="J85" s="57">
        <v>2.1999999999999999E-2</v>
      </c>
    </row>
    <row r="86" spans="3:15">
      <c r="C86" s="129">
        <f t="shared" si="47"/>
        <v>2020</v>
      </c>
      <c r="D86" s="57">
        <v>2.5999999999999999E-2</v>
      </c>
      <c r="F86" s="129">
        <f t="shared" si="48"/>
        <v>2029</v>
      </c>
      <c r="G86" s="57">
        <v>2.3E-2</v>
      </c>
      <c r="I86" s="129">
        <f t="shared" si="49"/>
        <v>2038</v>
      </c>
      <c r="J86" s="57">
        <v>2.1999999999999999E-2</v>
      </c>
    </row>
    <row r="87" spans="3:15">
      <c r="C87" s="129">
        <f t="shared" si="47"/>
        <v>2021</v>
      </c>
      <c r="D87" s="57">
        <v>2.4E-2</v>
      </c>
      <c r="F87" s="129">
        <f t="shared" si="48"/>
        <v>2030</v>
      </c>
      <c r="G87" s="57">
        <v>2.3E-2</v>
      </c>
      <c r="I87" s="129">
        <f t="shared" si="49"/>
        <v>2039</v>
      </c>
      <c r="J87" s="57">
        <v>2.1999999999999999E-2</v>
      </c>
    </row>
    <row r="88" spans="3:15">
      <c r="C88" s="129">
        <f t="shared" si="47"/>
        <v>2022</v>
      </c>
      <c r="D88" s="57">
        <v>2.3E-2</v>
      </c>
      <c r="F88" s="129">
        <f t="shared" si="48"/>
        <v>2031</v>
      </c>
      <c r="G88" s="57">
        <v>2.3E-2</v>
      </c>
      <c r="I88" s="129">
        <f t="shared" si="49"/>
        <v>2040</v>
      </c>
      <c r="J88" s="57">
        <v>2.1999999999999999E-2</v>
      </c>
    </row>
    <row r="89" spans="3:15" s="106" customFormat="1">
      <c r="C89" s="129">
        <f t="shared" si="47"/>
        <v>2023</v>
      </c>
      <c r="D89" s="57">
        <v>2.3E-2</v>
      </c>
      <c r="F89" s="129">
        <f t="shared" si="48"/>
        <v>2032</v>
      </c>
      <c r="G89" s="57">
        <v>2.1999999999999999E-2</v>
      </c>
      <c r="I89" s="129">
        <f t="shared" si="49"/>
        <v>2041</v>
      </c>
      <c r="J89" s="57">
        <v>2.1999999999999999E-2</v>
      </c>
      <c r="N89" s="104"/>
      <c r="O89" s="104"/>
    </row>
    <row r="90" spans="3:15" s="106" customFormat="1">
      <c r="C90" s="129">
        <f t="shared" si="47"/>
        <v>2024</v>
      </c>
      <c r="D90" s="57">
        <v>2.3E-2</v>
      </c>
      <c r="F90" s="129">
        <f t="shared" si="48"/>
        <v>2033</v>
      </c>
      <c r="G90" s="57">
        <v>2.1999999999999999E-2</v>
      </c>
      <c r="I90" s="129">
        <f t="shared" si="49"/>
        <v>2042</v>
      </c>
      <c r="J90" s="57">
        <v>2.1999999999999999E-2</v>
      </c>
      <c r="N90" s="104"/>
      <c r="O90" s="104"/>
    </row>
    <row r="91" spans="3:15" s="106" customFormat="1">
      <c r="C91" s="129">
        <f t="shared" si="47"/>
        <v>2025</v>
      </c>
      <c r="D91" s="57">
        <v>2.3E-2</v>
      </c>
      <c r="F91" s="129">
        <f t="shared" si="48"/>
        <v>2034</v>
      </c>
      <c r="G91" s="57">
        <v>2.3E-2</v>
      </c>
      <c r="I91" s="129">
        <f t="shared" si="49"/>
        <v>2043</v>
      </c>
      <c r="J91" s="57">
        <v>2.3E-2</v>
      </c>
      <c r="N91" s="104"/>
      <c r="O91" s="104"/>
    </row>
    <row r="92" spans="3:15" s="106" customFormat="1">
      <c r="N92" s="104"/>
      <c r="O92" s="104"/>
    </row>
    <row r="93" spans="3:15" s="106" customFormat="1">
      <c r="N93" s="104"/>
      <c r="O93" s="104"/>
    </row>
    <row r="94" spans="3:15">
      <c r="D94" s="136"/>
    </row>
    <row r="95" spans="3:15">
      <c r="D95" s="136"/>
    </row>
  </sheetData>
  <phoneticPr fontId="7" type="noConversion"/>
  <printOptions horizontalCentered="1"/>
  <pageMargins left="0.25" right="0.25" top="0.75" bottom="0.75" header="0.3" footer="0.3"/>
  <pageSetup scale="96" fitToHeight="0" orientation="portrait" r:id="rId1"/>
  <headerFooter alignWithMargins="0"/>
  <rowBreaks count="1" manualBreakCount="1">
    <brk id="52" max="1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O95"/>
  <sheetViews>
    <sheetView view="pageBreakPreview" topLeftCell="A11" zoomScale="85" zoomScaleNormal="85" zoomScaleSheetLayoutView="85" workbookViewId="0">
      <selection activeCell="C45" sqref="C45"/>
    </sheetView>
  </sheetViews>
  <sheetFormatPr defaultColWidth="9.33203125" defaultRowHeight="12.75"/>
  <cols>
    <col min="1" max="1" width="2.83203125" style="104" customWidth="1"/>
    <col min="2" max="2" width="10.83203125" style="104" customWidth="1"/>
    <col min="3" max="3" width="26.1640625" style="104" customWidth="1"/>
    <col min="4" max="4" width="12.33203125" style="104" customWidth="1"/>
    <col min="5" max="5" width="9.1640625" style="104" customWidth="1"/>
    <col min="6" max="6" width="10.5" style="104" customWidth="1"/>
    <col min="7" max="7" width="10.5" style="104" bestFit="1" customWidth="1"/>
    <col min="8" max="8" width="11.6640625" style="104" bestFit="1" customWidth="1"/>
    <col min="9" max="9" width="11.1640625" style="104" customWidth="1"/>
    <col min="10" max="10" width="12" style="104" bestFit="1" customWidth="1"/>
    <col min="11" max="11" width="12" style="104" customWidth="1"/>
    <col min="12" max="13" width="9.33203125" style="104"/>
    <col min="14" max="15" width="9.33203125" style="104" customWidth="1"/>
    <col min="16" max="16384" width="9.33203125" style="104"/>
  </cols>
  <sheetData>
    <row r="1" spans="2:15" ht="15.75" hidden="1">
      <c r="B1" s="1" t="s">
        <v>52</v>
      </c>
      <c r="C1" s="103"/>
      <c r="D1" s="103"/>
      <c r="E1" s="103"/>
      <c r="F1" s="103"/>
      <c r="G1" s="103"/>
      <c r="H1" s="103"/>
      <c r="I1" s="103"/>
      <c r="J1" s="103"/>
      <c r="K1" s="103"/>
    </row>
    <row r="2" spans="2:15" ht="15.75">
      <c r="B2" s="1"/>
      <c r="C2" s="103"/>
      <c r="D2" s="103"/>
      <c r="E2" s="103"/>
      <c r="F2" s="103"/>
      <c r="G2" s="103"/>
      <c r="H2" s="103"/>
      <c r="I2" s="103"/>
      <c r="J2" s="103"/>
      <c r="K2" s="103"/>
    </row>
    <row r="3" spans="2:15" ht="15.75">
      <c r="B3" s="1" t="s">
        <v>85</v>
      </c>
      <c r="C3" s="103"/>
      <c r="D3" s="103"/>
      <c r="E3" s="103"/>
      <c r="F3" s="103"/>
      <c r="G3" s="103"/>
      <c r="H3" s="103"/>
      <c r="I3" s="103"/>
      <c r="J3" s="103"/>
      <c r="K3" s="103"/>
    </row>
    <row r="4" spans="2:15" ht="15.75">
      <c r="B4" s="1" t="s">
        <v>95</v>
      </c>
      <c r="C4" s="103"/>
      <c r="D4" s="103"/>
      <c r="E4" s="103"/>
      <c r="F4" s="103"/>
      <c r="G4" s="103"/>
      <c r="H4" s="103"/>
      <c r="I4" s="103"/>
      <c r="J4" s="103"/>
      <c r="K4" s="103"/>
    </row>
    <row r="5" spans="2:15" ht="15.75">
      <c r="B5" s="1" t="str">
        <f>C54</f>
        <v>Willamette Valley - 436 MW - CCCT Dry "G/H", 1x1 - West Side Resource (1,500')</v>
      </c>
      <c r="C5" s="103"/>
      <c r="D5" s="103"/>
      <c r="E5" s="103"/>
      <c r="F5" s="103"/>
      <c r="G5" s="103"/>
      <c r="H5" s="103"/>
      <c r="I5" s="103"/>
      <c r="J5" s="103"/>
      <c r="K5" s="103"/>
    </row>
    <row r="6" spans="2:15" ht="15.75">
      <c r="B6" s="1"/>
      <c r="C6" s="103"/>
      <c r="D6" s="103"/>
      <c r="E6" s="103"/>
      <c r="F6" s="103"/>
      <c r="G6" s="103"/>
      <c r="H6" s="103"/>
      <c r="I6" s="103"/>
      <c r="K6" s="17"/>
    </row>
    <row r="7" spans="2:15">
      <c r="B7" s="105"/>
      <c r="C7" s="105"/>
      <c r="D7" s="105"/>
      <c r="E7" s="105"/>
      <c r="F7" s="105"/>
      <c r="G7" s="105"/>
      <c r="H7" s="105"/>
      <c r="I7" s="103"/>
      <c r="J7" s="106"/>
      <c r="K7" s="106"/>
      <c r="L7" s="106"/>
      <c r="M7" s="106"/>
      <c r="N7" s="106"/>
    </row>
    <row r="8" spans="2:15" ht="51.75" customHeight="1">
      <c r="B8" s="18" t="s">
        <v>0</v>
      </c>
      <c r="C8" s="19" t="s">
        <v>10</v>
      </c>
      <c r="D8" s="19" t="s">
        <v>11</v>
      </c>
      <c r="E8" s="19" t="s">
        <v>12</v>
      </c>
      <c r="F8" s="19" t="s">
        <v>13</v>
      </c>
      <c r="G8" s="19" t="s">
        <v>14</v>
      </c>
      <c r="H8" s="19" t="s">
        <v>15</v>
      </c>
      <c r="I8" s="20" t="s">
        <v>26</v>
      </c>
      <c r="J8" s="20" t="s">
        <v>72</v>
      </c>
      <c r="K8" s="19" t="s">
        <v>73</v>
      </c>
      <c r="L8" s="106"/>
    </row>
    <row r="9" spans="2:15" ht="18.75" customHeight="1">
      <c r="B9" s="21"/>
      <c r="C9" s="22" t="s">
        <v>8</v>
      </c>
      <c r="D9" s="23" t="s">
        <v>9</v>
      </c>
      <c r="E9" s="23" t="s">
        <v>9</v>
      </c>
      <c r="F9" s="22" t="s">
        <v>39</v>
      </c>
      <c r="G9" s="23" t="s">
        <v>9</v>
      </c>
      <c r="H9" s="23" t="s">
        <v>9</v>
      </c>
      <c r="I9" s="23" t="s">
        <v>27</v>
      </c>
      <c r="J9" s="22" t="s">
        <v>39</v>
      </c>
      <c r="K9" s="22" t="s">
        <v>39</v>
      </c>
      <c r="L9" s="106"/>
    </row>
    <row r="10" spans="2:15">
      <c r="C10" s="2" t="s">
        <v>1</v>
      </c>
      <c r="D10" s="2" t="s">
        <v>2</v>
      </c>
      <c r="E10" s="2" t="s">
        <v>3</v>
      </c>
      <c r="F10" s="2" t="s">
        <v>4</v>
      </c>
      <c r="G10" s="2" t="s">
        <v>5</v>
      </c>
      <c r="H10" s="2" t="s">
        <v>7</v>
      </c>
      <c r="I10" s="2" t="s">
        <v>28</v>
      </c>
      <c r="J10" s="2" t="s">
        <v>29</v>
      </c>
      <c r="K10" s="2" t="s">
        <v>30</v>
      </c>
    </row>
    <row r="11" spans="2:15" ht="6" customHeight="1"/>
    <row r="12" spans="2:15" ht="15.75">
      <c r="B12" s="60" t="str">
        <f>C54</f>
        <v>Willamette Valley - 436 MW - CCCT Dry "G/H", 1x1 - West Side Resource (1,500')</v>
      </c>
      <c r="C12" s="106"/>
      <c r="E12" s="106"/>
      <c r="F12" s="106"/>
      <c r="G12" s="106"/>
      <c r="H12" s="106"/>
      <c r="I12" s="105"/>
      <c r="J12" s="105"/>
      <c r="K12" s="105"/>
      <c r="L12" s="106"/>
    </row>
    <row r="13" spans="2:15" ht="4.5" customHeight="1">
      <c r="B13" s="107"/>
      <c r="C13" s="108"/>
      <c r="D13" s="109"/>
      <c r="E13" s="110"/>
      <c r="F13" s="110"/>
      <c r="G13" s="111"/>
      <c r="H13" s="111"/>
      <c r="I13" s="111"/>
      <c r="J13" s="111"/>
      <c r="K13" s="111"/>
    </row>
    <row r="14" spans="2:15">
      <c r="B14" s="107">
        <v>2016</v>
      </c>
      <c r="C14" s="108">
        <f>$H$60</f>
        <v>1363</v>
      </c>
      <c r="D14" s="109">
        <f>ROUND(C14*$C$76,2)</f>
        <v>98.9</v>
      </c>
      <c r="E14" s="110">
        <f>$I$60</f>
        <v>43.7</v>
      </c>
      <c r="F14" s="110">
        <f>$J$65</f>
        <v>2.02</v>
      </c>
      <c r="G14" s="111">
        <f t="shared" ref="G14:G24" si="0">ROUND(F14*(8.76*$G$65)+E14,2)</f>
        <v>56.14</v>
      </c>
      <c r="H14" s="111">
        <f t="shared" ref="H14:H24" si="1">ROUND(D14+G14,2)</f>
        <v>155.04</v>
      </c>
      <c r="I14" s="111"/>
      <c r="J14" s="111"/>
      <c r="K14" s="111"/>
      <c r="O14" s="104" t="s">
        <v>126</v>
      </c>
    </row>
    <row r="15" spans="2:15">
      <c r="B15" s="107">
        <f t="shared" ref="B15:B40" si="2">B14+1</f>
        <v>2017</v>
      </c>
      <c r="C15" s="112"/>
      <c r="D15" s="109">
        <f>ROUND(D14*(1+$D83),2)</f>
        <v>100.88</v>
      </c>
      <c r="E15" s="109">
        <f t="shared" ref="D15:F17" si="3">ROUND(E14*(1+$D83),2)</f>
        <v>44.57</v>
      </c>
      <c r="F15" s="109">
        <f t="shared" si="3"/>
        <v>2.06</v>
      </c>
      <c r="G15" s="113">
        <f t="shared" si="0"/>
        <v>57.26</v>
      </c>
      <c r="H15" s="113">
        <f t="shared" si="1"/>
        <v>158.13999999999999</v>
      </c>
      <c r="I15" s="111"/>
      <c r="J15" s="111"/>
      <c r="K15" s="111"/>
    </row>
    <row r="16" spans="2:15">
      <c r="B16" s="107">
        <f t="shared" si="2"/>
        <v>2018</v>
      </c>
      <c r="C16" s="112"/>
      <c r="D16" s="109">
        <f t="shared" si="3"/>
        <v>102.8</v>
      </c>
      <c r="E16" s="109">
        <f t="shared" si="3"/>
        <v>45.42</v>
      </c>
      <c r="F16" s="109">
        <f t="shared" si="3"/>
        <v>2.1</v>
      </c>
      <c r="G16" s="111">
        <f t="shared" si="0"/>
        <v>58.35</v>
      </c>
      <c r="H16" s="111">
        <f t="shared" si="1"/>
        <v>161.15</v>
      </c>
      <c r="I16" s="111"/>
      <c r="J16" s="111"/>
      <c r="K16" s="111"/>
    </row>
    <row r="17" spans="2:13">
      <c r="B17" s="107">
        <f t="shared" si="2"/>
        <v>2019</v>
      </c>
      <c r="C17" s="112"/>
      <c r="D17" s="109">
        <f t="shared" si="3"/>
        <v>105.06</v>
      </c>
      <c r="E17" s="109">
        <f t="shared" si="3"/>
        <v>46.42</v>
      </c>
      <c r="F17" s="109">
        <f t="shared" si="3"/>
        <v>2.15</v>
      </c>
      <c r="G17" s="111">
        <f t="shared" si="0"/>
        <v>59.66</v>
      </c>
      <c r="H17" s="111">
        <f t="shared" si="1"/>
        <v>164.72</v>
      </c>
      <c r="I17" s="111"/>
      <c r="J17" s="111"/>
      <c r="K17" s="111"/>
    </row>
    <row r="18" spans="2:13">
      <c r="B18" s="107">
        <f t="shared" si="2"/>
        <v>2020</v>
      </c>
      <c r="C18" s="112"/>
      <c r="D18" s="109">
        <f t="shared" ref="D18:F18" si="4">ROUND(D17*(1+$D86),2)</f>
        <v>107.79</v>
      </c>
      <c r="E18" s="109">
        <f t="shared" si="4"/>
        <v>47.63</v>
      </c>
      <c r="F18" s="109">
        <f t="shared" si="4"/>
        <v>2.21</v>
      </c>
      <c r="G18" s="111">
        <f t="shared" ref="G18:G23" si="5">ROUND(F18*(8.76*$G$65)+E18,2)</f>
        <v>61.24</v>
      </c>
      <c r="H18" s="111">
        <f t="shared" ref="H18:H23" si="6">ROUND(D18+G18,2)</f>
        <v>169.03</v>
      </c>
      <c r="I18" s="111"/>
      <c r="J18" s="111"/>
      <c r="K18" s="111"/>
    </row>
    <row r="19" spans="2:13">
      <c r="B19" s="107">
        <f t="shared" si="2"/>
        <v>2021</v>
      </c>
      <c r="C19" s="112"/>
      <c r="D19" s="109">
        <f t="shared" ref="D19:F19" si="7">ROUND(D18*(1+$D87),2)</f>
        <v>110.38</v>
      </c>
      <c r="E19" s="109">
        <f t="shared" si="7"/>
        <v>48.77</v>
      </c>
      <c r="F19" s="109">
        <f t="shared" si="7"/>
        <v>2.2599999999999998</v>
      </c>
      <c r="G19" s="111">
        <f t="shared" si="5"/>
        <v>62.69</v>
      </c>
      <c r="H19" s="111">
        <f t="shared" si="6"/>
        <v>173.07</v>
      </c>
      <c r="I19" s="111"/>
      <c r="J19" s="111"/>
      <c r="K19" s="111"/>
    </row>
    <row r="20" spans="2:13">
      <c r="B20" s="107">
        <f t="shared" si="2"/>
        <v>2022</v>
      </c>
      <c r="C20" s="112"/>
      <c r="D20" s="109">
        <f t="shared" ref="D20:F20" si="8">ROUND(D19*(1+$D88),2)</f>
        <v>112.92</v>
      </c>
      <c r="E20" s="109">
        <f t="shared" si="8"/>
        <v>49.89</v>
      </c>
      <c r="F20" s="109">
        <f t="shared" si="8"/>
        <v>2.31</v>
      </c>
      <c r="G20" s="111">
        <f t="shared" si="5"/>
        <v>64.12</v>
      </c>
      <c r="H20" s="111">
        <f t="shared" si="6"/>
        <v>177.04</v>
      </c>
      <c r="I20" s="111"/>
      <c r="J20" s="111"/>
      <c r="K20" s="111"/>
    </row>
    <row r="21" spans="2:13">
      <c r="B21" s="107">
        <f t="shared" si="2"/>
        <v>2023</v>
      </c>
      <c r="C21" s="112"/>
      <c r="D21" s="109">
        <f t="shared" ref="D21:F21" si="9">ROUND(D20*(1+$D89),2)</f>
        <v>115.52</v>
      </c>
      <c r="E21" s="109">
        <f t="shared" si="9"/>
        <v>51.04</v>
      </c>
      <c r="F21" s="109">
        <f t="shared" si="9"/>
        <v>2.36</v>
      </c>
      <c r="G21" s="111">
        <f t="shared" si="5"/>
        <v>65.569999999999993</v>
      </c>
      <c r="H21" s="111">
        <f t="shared" si="6"/>
        <v>181.09</v>
      </c>
      <c r="I21" s="111"/>
      <c r="J21" s="111"/>
      <c r="K21" s="111"/>
    </row>
    <row r="22" spans="2:13">
      <c r="B22" s="107">
        <f t="shared" si="2"/>
        <v>2024</v>
      </c>
      <c r="C22" s="112"/>
      <c r="D22" s="109">
        <f t="shared" ref="D22:F22" si="10">ROUND(D21*(1+$D90),2)</f>
        <v>118.18</v>
      </c>
      <c r="E22" s="109">
        <f t="shared" si="10"/>
        <v>52.21</v>
      </c>
      <c r="F22" s="109">
        <f t="shared" si="10"/>
        <v>2.41</v>
      </c>
      <c r="G22" s="111">
        <f t="shared" si="5"/>
        <v>67.05</v>
      </c>
      <c r="H22" s="111">
        <f t="shared" si="6"/>
        <v>185.23</v>
      </c>
      <c r="I22" s="111"/>
      <c r="J22" s="111"/>
      <c r="K22" s="111"/>
    </row>
    <row r="23" spans="2:13">
      <c r="B23" s="107">
        <f t="shared" si="2"/>
        <v>2025</v>
      </c>
      <c r="C23" s="112"/>
      <c r="D23" s="109">
        <f t="shared" ref="D23:F23" si="11">ROUND(D22*(1+$D91),2)</f>
        <v>120.9</v>
      </c>
      <c r="E23" s="109">
        <f t="shared" si="11"/>
        <v>53.41</v>
      </c>
      <c r="F23" s="109">
        <f t="shared" si="11"/>
        <v>2.4700000000000002</v>
      </c>
      <c r="G23" s="111">
        <f t="shared" si="5"/>
        <v>68.62</v>
      </c>
      <c r="H23" s="111">
        <f t="shared" si="6"/>
        <v>189.52</v>
      </c>
      <c r="I23" s="111"/>
      <c r="J23" s="111"/>
      <c r="K23" s="111"/>
    </row>
    <row r="24" spans="2:13">
      <c r="B24" s="107">
        <f t="shared" si="2"/>
        <v>2026</v>
      </c>
      <c r="C24" s="112"/>
      <c r="D24" s="113">
        <f>ROUND(D23*(1+$G83),2)</f>
        <v>123.68</v>
      </c>
      <c r="E24" s="113">
        <f>ROUND(E23*(1+$G83),2)</f>
        <v>54.64</v>
      </c>
      <c r="F24" s="113">
        <f>ROUND(F23*(1+$G83),2)</f>
        <v>2.5299999999999998</v>
      </c>
      <c r="G24" s="111">
        <f t="shared" si="0"/>
        <v>70.22</v>
      </c>
      <c r="H24" s="111">
        <f t="shared" si="1"/>
        <v>193.9</v>
      </c>
      <c r="I24" s="111"/>
      <c r="J24" s="111"/>
      <c r="K24" s="111"/>
    </row>
    <row r="25" spans="2:13">
      <c r="B25" s="107">
        <f t="shared" si="2"/>
        <v>2027</v>
      </c>
      <c r="C25" s="112"/>
      <c r="D25" s="113">
        <f t="shared" ref="D25:F25" si="12">ROUND(D24*(1+$G84),2)</f>
        <v>126.52</v>
      </c>
      <c r="E25" s="113">
        <f t="shared" si="12"/>
        <v>55.9</v>
      </c>
      <c r="F25" s="113">
        <f t="shared" si="12"/>
        <v>2.59</v>
      </c>
      <c r="G25" s="111">
        <f t="shared" ref="G25:G30" si="13">ROUND(F25*(8.76*$G$65)+E25,2)</f>
        <v>71.849999999999994</v>
      </c>
      <c r="H25" s="111">
        <f t="shared" ref="H25:H30" si="14">ROUND(D25+G25,2)</f>
        <v>198.37</v>
      </c>
      <c r="I25" s="111"/>
      <c r="J25" s="111"/>
      <c r="K25" s="111"/>
    </row>
    <row r="26" spans="2:13">
      <c r="B26" s="107">
        <f t="shared" si="2"/>
        <v>2028</v>
      </c>
      <c r="C26" s="112"/>
      <c r="D26" s="113">
        <f t="shared" ref="D26:F26" si="15">ROUND(D25*(1+$G85),2)</f>
        <v>129.43</v>
      </c>
      <c r="E26" s="113">
        <f t="shared" si="15"/>
        <v>57.19</v>
      </c>
      <c r="F26" s="113">
        <f t="shared" si="15"/>
        <v>2.65</v>
      </c>
      <c r="G26" s="111">
        <f t="shared" si="13"/>
        <v>73.510000000000005</v>
      </c>
      <c r="H26" s="111">
        <f t="shared" si="14"/>
        <v>202.94</v>
      </c>
      <c r="I26" s="111"/>
      <c r="J26" s="111"/>
      <c r="K26" s="111"/>
    </row>
    <row r="27" spans="2:13">
      <c r="B27" s="107">
        <f t="shared" si="2"/>
        <v>2029</v>
      </c>
      <c r="C27" s="112"/>
      <c r="D27" s="113">
        <f t="shared" ref="D27:F27" si="16">ROUND(D26*(1+$G86),2)</f>
        <v>132.41</v>
      </c>
      <c r="E27" s="113">
        <f t="shared" si="16"/>
        <v>58.51</v>
      </c>
      <c r="F27" s="113">
        <f t="shared" si="16"/>
        <v>2.71</v>
      </c>
      <c r="G27" s="111">
        <f t="shared" si="13"/>
        <v>75.2</v>
      </c>
      <c r="H27" s="111">
        <f t="shared" si="14"/>
        <v>207.61</v>
      </c>
      <c r="I27" s="111"/>
      <c r="J27" s="111"/>
      <c r="K27" s="111"/>
    </row>
    <row r="28" spans="2:13">
      <c r="B28" s="107">
        <f t="shared" si="2"/>
        <v>2030</v>
      </c>
      <c r="C28" s="112"/>
      <c r="D28" s="113">
        <f t="shared" ref="D28:D29" si="17">ROUND(D27*(1+$G87),2)</f>
        <v>135.46</v>
      </c>
      <c r="E28" s="113">
        <f t="shared" ref="E28:E29" si="18">ROUND(E27*(1+$G87),2)</f>
        <v>59.86</v>
      </c>
      <c r="F28" s="113">
        <f t="shared" ref="F28:F29" si="19">ROUND(F27*(1+$G87),2)</f>
        <v>2.77</v>
      </c>
      <c r="G28" s="111">
        <f t="shared" ref="G28:G29" si="20">ROUND(F28*(8.76*$G$65)+E28,2)</f>
        <v>76.92</v>
      </c>
      <c r="H28" s="111">
        <f t="shared" ref="H28:H29" si="21">ROUND(D28+G28,2)</f>
        <v>212.38</v>
      </c>
      <c r="I28" s="111"/>
      <c r="J28" s="111"/>
      <c r="K28" s="111"/>
    </row>
    <row r="29" spans="2:13" ht="13.5" thickBot="1">
      <c r="B29" s="176">
        <f t="shared" si="2"/>
        <v>2031</v>
      </c>
      <c r="C29" s="177"/>
      <c r="D29" s="164">
        <f t="shared" si="17"/>
        <v>138.58000000000001</v>
      </c>
      <c r="E29" s="164">
        <f t="shared" si="18"/>
        <v>61.24</v>
      </c>
      <c r="F29" s="164">
        <f t="shared" si="19"/>
        <v>2.83</v>
      </c>
      <c r="G29" s="138">
        <f t="shared" si="20"/>
        <v>78.67</v>
      </c>
      <c r="H29" s="138">
        <f t="shared" si="21"/>
        <v>217.25</v>
      </c>
      <c r="I29" s="138"/>
      <c r="J29" s="138"/>
      <c r="K29" s="138"/>
    </row>
    <row r="30" spans="2:13" s="145" customFormat="1">
      <c r="B30" s="148">
        <f t="shared" si="2"/>
        <v>2032</v>
      </c>
      <c r="C30" s="149"/>
      <c r="D30" s="113">
        <f t="shared" ref="D30:F30" si="22">ROUND(D29*(1+$G89),2)</f>
        <v>141.63</v>
      </c>
      <c r="E30" s="113">
        <f t="shared" si="22"/>
        <v>62.59</v>
      </c>
      <c r="F30" s="113">
        <f t="shared" si="22"/>
        <v>2.89</v>
      </c>
      <c r="G30" s="111">
        <f t="shared" si="13"/>
        <v>80.39</v>
      </c>
      <c r="H30" s="111">
        <f t="shared" si="14"/>
        <v>222.02</v>
      </c>
      <c r="I30" s="111">
        <f>VLOOKUP(B30,'Table 4'!$B$13:$D$43,3,FALSE)</f>
        <v>5.2</v>
      </c>
      <c r="J30" s="111">
        <f t="shared" ref="J30:J32" si="23">ROUND($K$65*I30/1000,2)</f>
        <v>33.36</v>
      </c>
      <c r="K30" s="111">
        <f t="shared" ref="K30:K32" si="24">ROUND(H30*1000/8760/$G$65+J30,2)</f>
        <v>69.41</v>
      </c>
      <c r="M30" s="104"/>
    </row>
    <row r="31" spans="2:13" s="145" customFormat="1">
      <c r="B31" s="148">
        <f t="shared" si="2"/>
        <v>2033</v>
      </c>
      <c r="C31" s="149"/>
      <c r="D31" s="113">
        <f t="shared" ref="D31:D32" si="25">ROUND(D30*(1+$G90),2)</f>
        <v>144.75</v>
      </c>
      <c r="E31" s="113">
        <f t="shared" ref="E31:E32" si="26">ROUND(E30*(1+$G90),2)</f>
        <v>63.97</v>
      </c>
      <c r="F31" s="113">
        <f t="shared" ref="F31:F32" si="27">ROUND(F30*(1+$G90),2)</f>
        <v>2.95</v>
      </c>
      <c r="G31" s="111">
        <f t="shared" ref="G31:G32" si="28">ROUND(F31*(8.76*$G$65)+E31,2)</f>
        <v>82.14</v>
      </c>
      <c r="H31" s="111">
        <f t="shared" ref="H31:H32" si="29">ROUND(D31+G31,2)</f>
        <v>226.89</v>
      </c>
      <c r="I31" s="111">
        <f>VLOOKUP(B31,'Table 4'!$B$13:$D$43,3,FALSE)</f>
        <v>5.44</v>
      </c>
      <c r="J31" s="111">
        <f t="shared" si="23"/>
        <v>34.9</v>
      </c>
      <c r="K31" s="111">
        <f t="shared" si="24"/>
        <v>71.739999999999995</v>
      </c>
      <c r="M31" s="104"/>
    </row>
    <row r="32" spans="2:13" s="145" customFormat="1">
      <c r="B32" s="107">
        <f t="shared" si="2"/>
        <v>2034</v>
      </c>
      <c r="C32" s="112"/>
      <c r="D32" s="111">
        <f t="shared" si="25"/>
        <v>148.08000000000001</v>
      </c>
      <c r="E32" s="109">
        <f t="shared" si="26"/>
        <v>65.44</v>
      </c>
      <c r="F32" s="109">
        <f t="shared" si="27"/>
        <v>3.02</v>
      </c>
      <c r="G32" s="111">
        <f t="shared" si="28"/>
        <v>84.04</v>
      </c>
      <c r="H32" s="111">
        <f t="shared" si="29"/>
        <v>232.12</v>
      </c>
      <c r="I32" s="111">
        <f>VLOOKUP(B32,'Table 4'!$B$13:$D$43,3,FALSE)</f>
        <v>5.73</v>
      </c>
      <c r="J32" s="111">
        <f t="shared" si="23"/>
        <v>36.76</v>
      </c>
      <c r="K32" s="111">
        <f t="shared" si="24"/>
        <v>74.45</v>
      </c>
      <c r="M32" s="104"/>
    </row>
    <row r="33" spans="2:15">
      <c r="B33" s="107">
        <f t="shared" si="2"/>
        <v>2035</v>
      </c>
      <c r="C33" s="112"/>
      <c r="D33" s="111">
        <f>ROUND(D32*(1+$J83),2)</f>
        <v>151.49</v>
      </c>
      <c r="E33" s="109">
        <f>ROUND(E32*(1+$J83),2)</f>
        <v>66.95</v>
      </c>
      <c r="F33" s="109">
        <f>ROUND(F32*(1+$J83),2)</f>
        <v>3.09</v>
      </c>
      <c r="G33" s="111">
        <f t="shared" ref="G33" si="30">ROUND(F33*(8.76*$G$65)+E33,2)</f>
        <v>85.98</v>
      </c>
      <c r="H33" s="111">
        <f t="shared" ref="H33" si="31">ROUND(D33+G33,2)</f>
        <v>237.47</v>
      </c>
      <c r="I33" s="111">
        <f>VLOOKUP(B33,'Table 4'!$B$13:$D$43,3,FALSE)</f>
        <v>5.93</v>
      </c>
      <c r="J33" s="111">
        <f t="shared" ref="J33:J35" si="32">ROUND($K$65*I33/1000,2)</f>
        <v>38.04</v>
      </c>
      <c r="K33" s="111">
        <f t="shared" ref="K33:K35" si="33">ROUND(H33*1000/8760/$G$65+J33,2)</f>
        <v>76.599999999999994</v>
      </c>
    </row>
    <row r="34" spans="2:15">
      <c r="B34" s="107">
        <f t="shared" si="2"/>
        <v>2036</v>
      </c>
      <c r="C34" s="112"/>
      <c r="D34" s="111">
        <f t="shared" ref="D34:F34" si="34">ROUND(D33*(1+$J84),2)</f>
        <v>154.97</v>
      </c>
      <c r="E34" s="109">
        <f t="shared" si="34"/>
        <v>68.489999999999995</v>
      </c>
      <c r="F34" s="109">
        <f t="shared" si="34"/>
        <v>3.16</v>
      </c>
      <c r="G34" s="111">
        <f t="shared" ref="G34:G39" si="35">ROUND(F34*(8.76*$G$65)+E34,2)</f>
        <v>87.95</v>
      </c>
      <c r="H34" s="111">
        <f t="shared" ref="H34:H39" si="36">ROUND(D34+G34,2)</f>
        <v>242.92</v>
      </c>
      <c r="I34" s="111">
        <f>VLOOKUP(B34,'Table 4'!$B$13:$D$43,3,FALSE)</f>
        <v>6.3</v>
      </c>
      <c r="J34" s="111">
        <f t="shared" si="32"/>
        <v>40.409999999999997</v>
      </c>
      <c r="K34" s="111">
        <f t="shared" si="33"/>
        <v>79.86</v>
      </c>
    </row>
    <row r="35" spans="2:15">
      <c r="B35" s="107">
        <f t="shared" si="2"/>
        <v>2037</v>
      </c>
      <c r="C35" s="112"/>
      <c r="D35" s="111">
        <f t="shared" ref="D35:F35" si="37">ROUND(D34*(1+$J85),2)</f>
        <v>158.38</v>
      </c>
      <c r="E35" s="109">
        <f t="shared" si="37"/>
        <v>70</v>
      </c>
      <c r="F35" s="109">
        <f t="shared" si="37"/>
        <v>3.23</v>
      </c>
      <c r="G35" s="111">
        <f t="shared" si="35"/>
        <v>89.89</v>
      </c>
      <c r="H35" s="111">
        <f t="shared" si="36"/>
        <v>248.27</v>
      </c>
      <c r="I35" s="111">
        <f>VLOOKUP(B35,'Table 4'!$B$13:$D$43,3,FALSE)</f>
        <v>6.47</v>
      </c>
      <c r="J35" s="111">
        <f t="shared" si="32"/>
        <v>41.51</v>
      </c>
      <c r="K35" s="111">
        <f t="shared" si="33"/>
        <v>81.819999999999993</v>
      </c>
    </row>
    <row r="36" spans="2:15">
      <c r="B36" s="107">
        <f t="shared" si="2"/>
        <v>2038</v>
      </c>
      <c r="C36" s="112"/>
      <c r="D36" s="111">
        <f t="shared" ref="D36:F36" si="38">ROUND(D35*(1+$J86),2)</f>
        <v>161.86000000000001</v>
      </c>
      <c r="E36" s="109">
        <f t="shared" si="38"/>
        <v>71.540000000000006</v>
      </c>
      <c r="F36" s="109">
        <f t="shared" si="38"/>
        <v>3.3</v>
      </c>
      <c r="G36" s="111">
        <f t="shared" si="35"/>
        <v>91.86</v>
      </c>
      <c r="H36" s="111">
        <f t="shared" si="36"/>
        <v>253.72</v>
      </c>
      <c r="I36" s="111">
        <f>VLOOKUP(B36,'Table 4'!$B$13:$D$43,3,FALSE)</f>
        <v>6.75</v>
      </c>
      <c r="J36" s="111">
        <f t="shared" ref="J36:J39" si="39">ROUND($K$65*I36/1000,2)</f>
        <v>43.3</v>
      </c>
      <c r="K36" s="111">
        <f t="shared" ref="K36:K39" si="40">ROUND(H36*1000/8760/$G$65+J36,2)</f>
        <v>84.5</v>
      </c>
    </row>
    <row r="37" spans="2:15">
      <c r="B37" s="107">
        <f t="shared" si="2"/>
        <v>2039</v>
      </c>
      <c r="C37" s="112"/>
      <c r="D37" s="111">
        <f t="shared" ref="D37:F37" si="41">ROUND(D36*(1+$J87),2)</f>
        <v>165.42</v>
      </c>
      <c r="E37" s="109">
        <f t="shared" si="41"/>
        <v>73.11</v>
      </c>
      <c r="F37" s="109">
        <f t="shared" si="41"/>
        <v>3.37</v>
      </c>
      <c r="G37" s="111">
        <f t="shared" si="35"/>
        <v>93.86</v>
      </c>
      <c r="H37" s="111">
        <f t="shared" si="36"/>
        <v>259.27999999999997</v>
      </c>
      <c r="I37" s="111">
        <f>VLOOKUP(B37,'Table 4'!$B$13:$D$43,3,FALSE)</f>
        <v>6.9</v>
      </c>
      <c r="J37" s="111">
        <f t="shared" si="39"/>
        <v>44.26</v>
      </c>
      <c r="K37" s="111">
        <f t="shared" si="40"/>
        <v>86.36</v>
      </c>
    </row>
    <row r="38" spans="2:15">
      <c r="B38" s="107">
        <f t="shared" si="2"/>
        <v>2040</v>
      </c>
      <c r="C38" s="112"/>
      <c r="D38" s="111">
        <f t="shared" ref="D38:F38" si="42">ROUND(D37*(1+$J88),2)</f>
        <v>169.06</v>
      </c>
      <c r="E38" s="109">
        <f t="shared" si="42"/>
        <v>74.72</v>
      </c>
      <c r="F38" s="109">
        <f t="shared" si="42"/>
        <v>3.44</v>
      </c>
      <c r="G38" s="111">
        <f t="shared" si="35"/>
        <v>95.9</v>
      </c>
      <c r="H38" s="111">
        <f t="shared" si="36"/>
        <v>264.95999999999998</v>
      </c>
      <c r="I38" s="111">
        <f>VLOOKUP(B38,'Table 4'!$B$13:$D$43,3,FALSE)</f>
        <v>7.08</v>
      </c>
      <c r="J38" s="111">
        <f t="shared" si="39"/>
        <v>45.42</v>
      </c>
      <c r="K38" s="111">
        <f t="shared" si="40"/>
        <v>88.45</v>
      </c>
    </row>
    <row r="39" spans="2:15">
      <c r="B39" s="107">
        <f t="shared" si="2"/>
        <v>2041</v>
      </c>
      <c r="C39" s="112"/>
      <c r="D39" s="111">
        <f t="shared" ref="D39:F40" si="43">ROUND(D38*(1+$J89),2)</f>
        <v>172.78</v>
      </c>
      <c r="E39" s="109">
        <f t="shared" si="43"/>
        <v>76.36</v>
      </c>
      <c r="F39" s="109">
        <f t="shared" si="43"/>
        <v>3.52</v>
      </c>
      <c r="G39" s="111">
        <f t="shared" si="35"/>
        <v>98.04</v>
      </c>
      <c r="H39" s="111">
        <f t="shared" si="36"/>
        <v>270.82</v>
      </c>
      <c r="I39" s="111">
        <f>VLOOKUP(B39,'Table 4'!$B$13:$D$43,3,FALSE)</f>
        <v>7.24</v>
      </c>
      <c r="J39" s="111">
        <f t="shared" si="39"/>
        <v>46.44</v>
      </c>
      <c r="K39" s="111">
        <f t="shared" si="40"/>
        <v>90.42</v>
      </c>
    </row>
    <row r="40" spans="2:15">
      <c r="B40" s="107">
        <f t="shared" si="2"/>
        <v>2042</v>
      </c>
      <c r="C40" s="112"/>
      <c r="D40" s="111">
        <f t="shared" si="43"/>
        <v>176.58</v>
      </c>
      <c r="E40" s="109">
        <f t="shared" si="43"/>
        <v>78.040000000000006</v>
      </c>
      <c r="F40" s="109">
        <f t="shared" si="43"/>
        <v>3.6</v>
      </c>
      <c r="G40" s="111">
        <f t="shared" ref="G40" si="44">ROUND(F40*(8.76*$G$65)+E40,2)</f>
        <v>100.21</v>
      </c>
      <c r="H40" s="111">
        <f t="shared" ref="H40" si="45">ROUND(D40+G40,2)</f>
        <v>276.79000000000002</v>
      </c>
      <c r="I40" s="111">
        <f>VLOOKUP(B40,'Table 4'!$B$13:$D$43,3,FALSE)</f>
        <v>4.95</v>
      </c>
      <c r="J40" s="111">
        <f t="shared" ref="J40" si="46">ROUND($K$65*I40/1000,2)</f>
        <v>31.75</v>
      </c>
      <c r="K40" s="111">
        <f t="shared" ref="K40" si="47">ROUND(H40*1000/8760/$G$65+J40,2)</f>
        <v>76.7</v>
      </c>
    </row>
    <row r="41" spans="2:15">
      <c r="B41" s="107"/>
      <c r="C41" s="112"/>
      <c r="D41" s="111"/>
      <c r="E41" s="109"/>
      <c r="F41" s="109"/>
      <c r="G41" s="111"/>
      <c r="H41" s="111"/>
      <c r="I41" s="111"/>
      <c r="J41" s="111"/>
      <c r="K41" s="111"/>
    </row>
    <row r="42" spans="2:15">
      <c r="B42" s="107"/>
      <c r="C42" s="112"/>
      <c r="D42" s="111"/>
      <c r="E42" s="109"/>
      <c r="F42" s="109"/>
      <c r="G42" s="111"/>
      <c r="H42" s="111"/>
      <c r="I42" s="111"/>
      <c r="J42" s="111"/>
      <c r="K42" s="111"/>
    </row>
    <row r="43" spans="2:15">
      <c r="M43" s="107"/>
      <c r="O43" s="114"/>
    </row>
    <row r="44" spans="2:15" ht="14.25">
      <c r="B44" s="5" t="s">
        <v>31</v>
      </c>
      <c r="C44" s="24"/>
      <c r="D44" s="24"/>
      <c r="E44" s="24"/>
      <c r="F44" s="24"/>
      <c r="G44" s="24"/>
      <c r="H44" s="24"/>
      <c r="I44" s="24"/>
      <c r="J44" s="24"/>
      <c r="K44" s="24"/>
      <c r="M44" s="107"/>
      <c r="N44" s="114"/>
      <c r="O44" s="114"/>
    </row>
    <row r="46" spans="2:15">
      <c r="B46" s="104" t="s">
        <v>16</v>
      </c>
      <c r="D46" s="115" t="s">
        <v>104</v>
      </c>
    </row>
    <row r="47" spans="2:15">
      <c r="C47" s="116" t="str">
        <f>D10</f>
        <v>(b)</v>
      </c>
      <c r="D47" s="111" t="str">
        <f>"= "&amp;C10&amp;" x "&amp;C76</f>
        <v>= (a) x 0.0725628795024555</v>
      </c>
    </row>
    <row r="48" spans="2:15">
      <c r="C48" s="116" t="str">
        <f>G10</f>
        <v>(e)</v>
      </c>
      <c r="D48" s="111" t="str">
        <f>"= "&amp;$F$10&amp;" x  (8.76 x "&amp;TEXT(G65,"0.0%")&amp;") + "&amp;$E$10</f>
        <v>= (d) x  (8.76 x 70.3%) + (c)</v>
      </c>
    </row>
    <row r="49" spans="3:15">
      <c r="C49" s="116" t="str">
        <f>H10</f>
        <v>(f)</v>
      </c>
      <c r="D49" s="111" t="str">
        <f>"= "&amp;D10&amp;" + "&amp;G10</f>
        <v>= (b) + (e)</v>
      </c>
    </row>
    <row r="50" spans="3:15">
      <c r="C50" s="116" t="str">
        <f>I10</f>
        <v>(g)</v>
      </c>
      <c r="D50" s="144" t="str">
        <f>'Table 4'!B3&amp;" - "&amp;'Table 4'!B4</f>
        <v>Table 4 - Burnertip Natural Gas Price Forecast</v>
      </c>
    </row>
    <row r="51" spans="3:15">
      <c r="C51" s="116" t="str">
        <f>J10</f>
        <v>(h)</v>
      </c>
      <c r="D51" s="111" t="str">
        <f>"= "&amp;TEXT(K65,"?,0")&amp;" MMBtu/MWH x "&amp;I9</f>
        <v>= 6,415 MMBtu/MWH x $/MMBtu</v>
      </c>
    </row>
    <row r="52" spans="3:15">
      <c r="C52" s="116" t="str">
        <f>K10</f>
        <v>(i)</v>
      </c>
      <c r="D52" s="111" t="str">
        <f>"= "&amp;H10&amp;" / (8.76 x 'Capacity Factor' ) + "&amp;J10</f>
        <v>= (f) / (8.76 x 'Capacity Factor' ) + (h)</v>
      </c>
    </row>
    <row r="53" spans="3:15" ht="13.5" thickBot="1"/>
    <row r="54" spans="3:15" ht="13.5" thickBot="1">
      <c r="C54" s="58" t="s">
        <v>96</v>
      </c>
      <c r="D54" s="55"/>
      <c r="E54" s="55"/>
      <c r="F54" s="55"/>
      <c r="G54" s="55"/>
      <c r="H54" s="55"/>
      <c r="I54" s="55"/>
      <c r="J54" s="56"/>
      <c r="K54" s="117"/>
    </row>
    <row r="55" spans="3:15" ht="5.25" customHeight="1"/>
    <row r="56" spans="3:15" ht="5.25" customHeight="1"/>
    <row r="57" spans="3:15">
      <c r="C57" s="42" t="s">
        <v>40</v>
      </c>
      <c r="D57" s="32"/>
      <c r="E57" s="42"/>
      <c r="F57" s="41" t="s">
        <v>41</v>
      </c>
      <c r="G57" s="41" t="s">
        <v>42</v>
      </c>
      <c r="H57" s="41" t="s">
        <v>43</v>
      </c>
      <c r="I57" s="41" t="s">
        <v>44</v>
      </c>
    </row>
    <row r="58" spans="3:15">
      <c r="C58" s="145" t="s">
        <v>97</v>
      </c>
      <c r="F58" s="118">
        <f>C69</f>
        <v>385.35346874999999</v>
      </c>
      <c r="G58" s="57">
        <f>F58/F60</f>
        <v>0.88311475045887722</v>
      </c>
      <c r="H58" s="132">
        <f>C70</f>
        <v>1484.338135058779</v>
      </c>
      <c r="I58" s="134">
        <f>C73</f>
        <v>44.501635407885907</v>
      </c>
      <c r="O58" s="182"/>
    </row>
    <row r="59" spans="3:15">
      <c r="C59" s="145" t="s">
        <v>98</v>
      </c>
      <c r="F59" s="48">
        <f>D69</f>
        <v>51.003718749999997</v>
      </c>
      <c r="G59" s="44">
        <f>1-G58</f>
        <v>0.11688524954112278</v>
      </c>
      <c r="H59" s="133">
        <f>D70</f>
        <v>443.00439708045104</v>
      </c>
      <c r="I59" s="135">
        <f>D73</f>
        <v>37.670659567999998</v>
      </c>
    </row>
    <row r="60" spans="3:15">
      <c r="C60" s="145" t="s">
        <v>45</v>
      </c>
      <c r="F60" s="118">
        <f>F58+F59</f>
        <v>436.35718750000001</v>
      </c>
      <c r="G60" s="57">
        <f>G58+G59</f>
        <v>1</v>
      </c>
      <c r="H60" s="132">
        <f>ROUND(((F58*H58)+(F59*H59))/F60,0)</f>
        <v>1363</v>
      </c>
      <c r="I60" s="134">
        <f>ROUND(((F58*I58)+(F59*I59))/F60,2)</f>
        <v>43.7</v>
      </c>
    </row>
    <row r="61" spans="3:15">
      <c r="C61" s="145"/>
      <c r="F61" s="118"/>
      <c r="G61" s="57"/>
      <c r="H61" s="119"/>
      <c r="I61" s="120"/>
    </row>
    <row r="62" spans="3:15">
      <c r="C62" s="146" t="s">
        <v>40</v>
      </c>
      <c r="D62" s="32"/>
      <c r="E62" s="42"/>
      <c r="F62" s="41" t="s">
        <v>41</v>
      </c>
      <c r="G62" s="41" t="s">
        <v>46</v>
      </c>
      <c r="H62" s="41" t="s">
        <v>47</v>
      </c>
      <c r="I62" s="41" t="s">
        <v>42</v>
      </c>
      <c r="J62" s="41" t="s">
        <v>48</v>
      </c>
      <c r="K62" s="41" t="s">
        <v>49</v>
      </c>
    </row>
    <row r="63" spans="3:15">
      <c r="C63" s="147" t="str">
        <f>C58</f>
        <v>CCCT Dry "G/H", 1x1 - Turbine</v>
      </c>
      <c r="D63" s="121"/>
      <c r="E63" s="121"/>
      <c r="F63" s="104">
        <f>C69</f>
        <v>385.35346874999999</v>
      </c>
      <c r="G63" s="57">
        <f>C77</f>
        <v>0.78</v>
      </c>
      <c r="H63" s="168">
        <f>G63*F63</f>
        <v>300.57570562500001</v>
      </c>
      <c r="I63" s="57">
        <f>H63/H65</f>
        <v>0.98004394182130306</v>
      </c>
      <c r="J63" s="120">
        <f>C74</f>
        <v>2.0592662948867351</v>
      </c>
      <c r="K63" s="122">
        <f>C75</f>
        <v>6362</v>
      </c>
    </row>
    <row r="64" spans="3:15">
      <c r="C64" s="147" t="str">
        <f>C59</f>
        <v>CCCT Dry "G/H", 1x1 - Duct Firing</v>
      </c>
      <c r="D64" s="121"/>
      <c r="E64" s="121"/>
      <c r="F64" s="43">
        <f>D69</f>
        <v>51.003718749999997</v>
      </c>
      <c r="G64" s="44">
        <f>D77</f>
        <v>0.12</v>
      </c>
      <c r="H64" s="169">
        <f>G64*F64</f>
        <v>6.1204462499999996</v>
      </c>
      <c r="I64" s="44">
        <f>1-I63</f>
        <v>1.9956058178696945E-2</v>
      </c>
      <c r="J64" s="45">
        <f>D74</f>
        <v>0.15</v>
      </c>
      <c r="K64" s="46">
        <f>D75</f>
        <v>9012</v>
      </c>
    </row>
    <row r="65" spans="2:12">
      <c r="C65" s="145" t="s">
        <v>50</v>
      </c>
      <c r="F65" s="104">
        <f>F63+F64</f>
        <v>436.35718750000001</v>
      </c>
      <c r="G65" s="123">
        <f>ROUND(H65/F65,3)</f>
        <v>0.70299999999999996</v>
      </c>
      <c r="H65" s="168">
        <f>SUM(H63:H64)</f>
        <v>306.696151875</v>
      </c>
      <c r="I65" s="57">
        <f>I63+I64</f>
        <v>1</v>
      </c>
      <c r="J65" s="120">
        <f>ROUND(($I63*J63)+($I64*J64),2)</f>
        <v>2.02</v>
      </c>
      <c r="K65" s="124">
        <f>ROUND(($I63*K63)+($I64*K64),0)</f>
        <v>6415</v>
      </c>
    </row>
    <row r="66" spans="2:12">
      <c r="G66" s="123"/>
      <c r="I66" s="57"/>
      <c r="J66" s="120"/>
      <c r="K66" s="47" t="s">
        <v>51</v>
      </c>
    </row>
    <row r="68" spans="2:12">
      <c r="C68" s="41" t="s">
        <v>34</v>
      </c>
      <c r="D68" s="41" t="s">
        <v>35</v>
      </c>
      <c r="E68" s="59" t="str">
        <f>D46</f>
        <v xml:space="preserve">Plant Costs  - 2017 IRP - Table 6.1 &amp; 6.2 </v>
      </c>
      <c r="F68" s="125"/>
      <c r="G68" s="125"/>
      <c r="H68" s="125"/>
      <c r="I68" s="125"/>
      <c r="J68" s="125"/>
      <c r="K68" s="126"/>
    </row>
    <row r="69" spans="2:12">
      <c r="C69" s="104">
        <v>385.35346874999999</v>
      </c>
      <c r="D69" s="104">
        <v>51.003718749999997</v>
      </c>
      <c r="E69" s="104" t="s">
        <v>77</v>
      </c>
      <c r="H69" s="127"/>
    </row>
    <row r="70" spans="2:12">
      <c r="B70" s="104" t="s">
        <v>105</v>
      </c>
      <c r="C70" s="119">
        <v>1484.338135058779</v>
      </c>
      <c r="D70" s="119">
        <v>443.00439708045104</v>
      </c>
      <c r="E70" s="104" t="s">
        <v>78</v>
      </c>
      <c r="L70" s="68"/>
    </row>
    <row r="71" spans="2:12">
      <c r="B71" s="104" t="s">
        <v>105</v>
      </c>
      <c r="C71" s="120">
        <v>21.713180439885903</v>
      </c>
      <c r="D71" s="120">
        <v>5.39</v>
      </c>
      <c r="E71" s="104" t="s">
        <v>79</v>
      </c>
      <c r="L71" s="68"/>
    </row>
    <row r="72" spans="2:12">
      <c r="B72" s="104" t="s">
        <v>105</v>
      </c>
      <c r="C72" s="49">
        <v>22.788454968000003</v>
      </c>
      <c r="D72" s="49">
        <v>32.280659567999997</v>
      </c>
      <c r="E72" s="104" t="s">
        <v>75</v>
      </c>
      <c r="L72" s="68"/>
    </row>
    <row r="73" spans="2:12">
      <c r="B73" s="104" t="s">
        <v>105</v>
      </c>
      <c r="C73" s="120">
        <f>C71+C72</f>
        <v>44.501635407885907</v>
      </c>
      <c r="D73" s="120">
        <f>D71+D72</f>
        <v>37.670659567999998</v>
      </c>
      <c r="E73" s="104" t="s">
        <v>80</v>
      </c>
    </row>
    <row r="74" spans="2:12">
      <c r="C74" s="120">
        <v>2.0592662948867351</v>
      </c>
      <c r="D74" s="120">
        <v>0.15</v>
      </c>
      <c r="E74" s="104" t="s">
        <v>81</v>
      </c>
    </row>
    <row r="75" spans="2:12">
      <c r="C75" s="124">
        <v>6362</v>
      </c>
      <c r="D75" s="124">
        <v>9012</v>
      </c>
      <c r="E75" s="104" t="s">
        <v>53</v>
      </c>
    </row>
    <row r="76" spans="2:12">
      <c r="C76" s="142">
        <v>7.2562879502455491E-2</v>
      </c>
      <c r="D76" s="142">
        <v>7.2562879502455491E-2</v>
      </c>
      <c r="E76" s="104" t="s">
        <v>54</v>
      </c>
    </row>
    <row r="77" spans="2:12">
      <c r="C77" s="128">
        <v>0.78</v>
      </c>
      <c r="D77" s="128">
        <v>0.12</v>
      </c>
      <c r="E77" s="104" t="s">
        <v>55</v>
      </c>
    </row>
    <row r="78" spans="2:12">
      <c r="D78" s="57">
        <f>ROUND(H65/F65,3)</f>
        <v>0.70299999999999996</v>
      </c>
      <c r="E78" s="104" t="s">
        <v>56</v>
      </c>
    </row>
    <row r="79" spans="2:12">
      <c r="D79" s="123"/>
      <c r="E79" s="67"/>
    </row>
    <row r="80" spans="2:12">
      <c r="C80" s="128"/>
      <c r="D80" s="128"/>
    </row>
    <row r="82" spans="3:15" ht="13.5" thickBot="1">
      <c r="C82" s="54" t="str">
        <f>"Company Official Inflation Forecast Dated "&amp;TEXT('Table 4'!G5,"mmmm dd, yyyy")</f>
        <v>Company Official Inflation Forecast Dated December 29, 2017</v>
      </c>
      <c r="D82" s="55"/>
      <c r="E82" s="55"/>
      <c r="F82" s="55"/>
      <c r="G82" s="55"/>
      <c r="H82" s="55"/>
      <c r="I82" s="55"/>
      <c r="J82" s="56"/>
      <c r="K82" s="117"/>
    </row>
    <row r="83" spans="3:15">
      <c r="C83" s="129">
        <v>2017</v>
      </c>
      <c r="D83" s="57">
        <v>0.02</v>
      </c>
      <c r="F83" s="129">
        <f>C91+1</f>
        <v>2026</v>
      </c>
      <c r="G83" s="57">
        <v>2.3E-2</v>
      </c>
      <c r="I83" s="129">
        <f>F91+1</f>
        <v>2035</v>
      </c>
      <c r="J83" s="57">
        <v>2.3E-2</v>
      </c>
    </row>
    <row r="84" spans="3:15">
      <c r="C84" s="129">
        <f t="shared" ref="C84:C91" si="48">C83+1</f>
        <v>2018</v>
      </c>
      <c r="D84" s="57">
        <v>1.9E-2</v>
      </c>
      <c r="F84" s="129">
        <f t="shared" ref="F84:F91" si="49">F83+1</f>
        <v>2027</v>
      </c>
      <c r="G84" s="57">
        <v>2.3E-2</v>
      </c>
      <c r="I84" s="129">
        <f t="shared" ref="I84:I91" si="50">I83+1</f>
        <v>2036</v>
      </c>
      <c r="J84" s="57">
        <v>2.3E-2</v>
      </c>
    </row>
    <row r="85" spans="3:15">
      <c r="C85" s="129">
        <f t="shared" si="48"/>
        <v>2019</v>
      </c>
      <c r="D85" s="57">
        <v>2.1999999999999999E-2</v>
      </c>
      <c r="F85" s="129">
        <f t="shared" si="49"/>
        <v>2028</v>
      </c>
      <c r="G85" s="57">
        <v>2.3E-2</v>
      </c>
      <c r="I85" s="129">
        <f t="shared" si="50"/>
        <v>2037</v>
      </c>
      <c r="J85" s="57">
        <v>2.1999999999999999E-2</v>
      </c>
    </row>
    <row r="86" spans="3:15">
      <c r="C86" s="129">
        <f t="shared" si="48"/>
        <v>2020</v>
      </c>
      <c r="D86" s="57">
        <v>2.5999999999999999E-2</v>
      </c>
      <c r="F86" s="129">
        <f t="shared" si="49"/>
        <v>2029</v>
      </c>
      <c r="G86" s="57">
        <v>2.3E-2</v>
      </c>
      <c r="I86" s="129">
        <f t="shared" si="50"/>
        <v>2038</v>
      </c>
      <c r="J86" s="57">
        <v>2.1999999999999999E-2</v>
      </c>
    </row>
    <row r="87" spans="3:15">
      <c r="C87" s="129">
        <f t="shared" si="48"/>
        <v>2021</v>
      </c>
      <c r="D87" s="57">
        <v>2.4E-2</v>
      </c>
      <c r="F87" s="129">
        <f t="shared" si="49"/>
        <v>2030</v>
      </c>
      <c r="G87" s="57">
        <v>2.3E-2</v>
      </c>
      <c r="I87" s="129">
        <f t="shared" si="50"/>
        <v>2039</v>
      </c>
      <c r="J87" s="57">
        <v>2.1999999999999999E-2</v>
      </c>
    </row>
    <row r="88" spans="3:15">
      <c r="C88" s="129">
        <f t="shared" si="48"/>
        <v>2022</v>
      </c>
      <c r="D88" s="57">
        <v>2.3E-2</v>
      </c>
      <c r="F88" s="129">
        <f t="shared" si="49"/>
        <v>2031</v>
      </c>
      <c r="G88" s="57">
        <v>2.3E-2</v>
      </c>
      <c r="I88" s="129">
        <f t="shared" si="50"/>
        <v>2040</v>
      </c>
      <c r="J88" s="57">
        <v>2.1999999999999999E-2</v>
      </c>
    </row>
    <row r="89" spans="3:15" s="106" customFormat="1">
      <c r="C89" s="129">
        <f t="shared" si="48"/>
        <v>2023</v>
      </c>
      <c r="D89" s="57">
        <v>2.3E-2</v>
      </c>
      <c r="F89" s="129">
        <f t="shared" si="49"/>
        <v>2032</v>
      </c>
      <c r="G89" s="57">
        <v>2.1999999999999999E-2</v>
      </c>
      <c r="I89" s="129">
        <f t="shared" si="50"/>
        <v>2041</v>
      </c>
      <c r="J89" s="57">
        <v>2.1999999999999999E-2</v>
      </c>
      <c r="N89" s="104"/>
      <c r="O89" s="104"/>
    </row>
    <row r="90" spans="3:15" s="106" customFormat="1">
      <c r="C90" s="129">
        <f t="shared" si="48"/>
        <v>2024</v>
      </c>
      <c r="D90" s="57">
        <v>2.3E-2</v>
      </c>
      <c r="F90" s="129">
        <f t="shared" si="49"/>
        <v>2033</v>
      </c>
      <c r="G90" s="57">
        <v>2.1999999999999999E-2</v>
      </c>
      <c r="I90" s="129">
        <f t="shared" si="50"/>
        <v>2042</v>
      </c>
      <c r="J90" s="57">
        <v>2.1999999999999999E-2</v>
      </c>
      <c r="N90" s="104"/>
      <c r="O90" s="104"/>
    </row>
    <row r="91" spans="3:15" s="106" customFormat="1">
      <c r="C91" s="129">
        <f t="shared" si="48"/>
        <v>2025</v>
      </c>
      <c r="D91" s="57">
        <v>2.3E-2</v>
      </c>
      <c r="F91" s="129">
        <f t="shared" si="49"/>
        <v>2034</v>
      </c>
      <c r="G91" s="57">
        <v>2.3E-2</v>
      </c>
      <c r="I91" s="129">
        <f t="shared" si="50"/>
        <v>2043</v>
      </c>
      <c r="J91" s="57">
        <v>2.3E-2</v>
      </c>
      <c r="N91" s="104"/>
      <c r="O91" s="104"/>
    </row>
    <row r="92" spans="3:15" s="106" customFormat="1">
      <c r="N92" s="104"/>
      <c r="O92" s="104"/>
    </row>
    <row r="93" spans="3:15" s="106" customFormat="1">
      <c r="N93" s="104"/>
      <c r="O93" s="104"/>
    </row>
    <row r="94" spans="3:15">
      <c r="D94" s="136"/>
    </row>
    <row r="95" spans="3:15">
      <c r="D95" s="136"/>
    </row>
  </sheetData>
  <printOptions horizontalCentered="1"/>
  <pageMargins left="0.25" right="0.25" top="0.75" bottom="0.75" header="0.3" footer="0.3"/>
  <pageSetup scale="75" fitToHeight="0" orientation="portrait" r:id="rId1"/>
  <headerFooter alignWithMargins="0"/>
  <rowBreaks count="1" manualBreakCount="1">
    <brk id="52" max="10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B1:O95"/>
  <sheetViews>
    <sheetView view="pageBreakPreview" topLeftCell="A2" zoomScale="85" zoomScaleNormal="90" zoomScaleSheetLayoutView="85" workbookViewId="0">
      <pane xSplit="2" ySplit="9" topLeftCell="C11" activePane="bottomRight" state="frozen"/>
      <selection activeCell="E17" sqref="E17"/>
      <selection pane="topRight" activeCell="E17" sqref="E17"/>
      <selection pane="bottomLeft" activeCell="E17" sqref="E17"/>
      <selection pane="bottomRight" activeCell="D24" sqref="D24"/>
    </sheetView>
  </sheetViews>
  <sheetFormatPr defaultColWidth="9.33203125" defaultRowHeight="12.75"/>
  <cols>
    <col min="1" max="1" width="2.83203125" style="104" customWidth="1"/>
    <col min="2" max="2" width="10.83203125" style="104" customWidth="1"/>
    <col min="3" max="3" width="14.1640625" style="104" customWidth="1"/>
    <col min="4" max="4" width="12.33203125" style="104" customWidth="1"/>
    <col min="5" max="5" width="10.1640625" style="104" customWidth="1"/>
    <col min="6" max="6" width="10.5" style="104" customWidth="1"/>
    <col min="7" max="7" width="10.5" style="104" bestFit="1" customWidth="1"/>
    <col min="8" max="8" width="11.6640625" style="104" bestFit="1" customWidth="1"/>
    <col min="9" max="9" width="11.1640625" style="104" customWidth="1"/>
    <col min="10" max="10" width="12" style="104" bestFit="1" customWidth="1"/>
    <col min="11" max="11" width="12" style="104" customWidth="1"/>
    <col min="12" max="13" width="9.33203125" style="104"/>
    <col min="14" max="15" width="9.33203125" style="104" customWidth="1"/>
    <col min="16" max="16384" width="9.33203125" style="104"/>
  </cols>
  <sheetData>
    <row r="1" spans="2:14" ht="15.75" hidden="1">
      <c r="B1" s="1" t="s">
        <v>52</v>
      </c>
      <c r="C1" s="103"/>
      <c r="D1" s="103"/>
      <c r="E1" s="103"/>
      <c r="F1" s="103"/>
      <c r="G1" s="103"/>
      <c r="H1" s="103"/>
      <c r="I1" s="103"/>
      <c r="J1" s="103"/>
      <c r="K1" s="103"/>
    </row>
    <row r="2" spans="2:14" ht="5.25" hidden="1" customHeight="1">
      <c r="B2" s="1"/>
      <c r="C2" s="103"/>
      <c r="D2" s="103"/>
      <c r="E2" s="103"/>
      <c r="F2" s="103"/>
      <c r="G2" s="103"/>
      <c r="H2" s="103"/>
      <c r="I2" s="103"/>
      <c r="J2" s="103"/>
      <c r="K2" s="103"/>
    </row>
    <row r="3" spans="2:14" ht="15.75">
      <c r="B3" s="1" t="s">
        <v>85</v>
      </c>
      <c r="C3" s="103"/>
      <c r="D3" s="103"/>
      <c r="E3" s="103"/>
      <c r="F3" s="103"/>
      <c r="G3" s="103"/>
      <c r="H3" s="103"/>
      <c r="I3" s="103"/>
      <c r="J3" s="103"/>
      <c r="K3" s="103"/>
    </row>
    <row r="4" spans="2:14" ht="15.75">
      <c r="B4" s="1" t="s">
        <v>95</v>
      </c>
      <c r="C4" s="103"/>
      <c r="D4" s="103"/>
      <c r="E4" s="103"/>
      <c r="F4" s="103"/>
      <c r="G4" s="103"/>
      <c r="H4" s="103"/>
      <c r="I4" s="103"/>
      <c r="J4" s="103"/>
      <c r="K4" s="103"/>
    </row>
    <row r="5" spans="2:14" ht="15.75">
      <c r="B5" s="1" t="str">
        <f>C54</f>
        <v>WYNE  DJohns - 477 MW - CCCT Dry "J/HA.02", 1x1 - East Side Resource (5,050')</v>
      </c>
      <c r="C5" s="103"/>
      <c r="D5" s="103"/>
      <c r="E5" s="103"/>
      <c r="F5" s="103"/>
      <c r="G5" s="103"/>
      <c r="H5" s="103"/>
      <c r="I5" s="103"/>
      <c r="J5" s="103"/>
      <c r="K5" s="103"/>
    </row>
    <row r="6" spans="2:14" ht="15.75">
      <c r="B6" s="1"/>
      <c r="C6" s="103"/>
      <c r="D6" s="103"/>
      <c r="E6" s="103"/>
      <c r="F6" s="103"/>
      <c r="G6" s="103"/>
      <c r="H6" s="103"/>
      <c r="I6" s="103"/>
      <c r="K6" s="17"/>
    </row>
    <row r="7" spans="2:14">
      <c r="B7" s="105"/>
      <c r="C7" s="105"/>
      <c r="D7" s="105"/>
      <c r="E7" s="105"/>
      <c r="F7" s="105"/>
      <c r="G7" s="105"/>
      <c r="H7" s="105"/>
      <c r="I7" s="103"/>
      <c r="J7" s="106"/>
      <c r="K7" s="106"/>
      <c r="L7" s="106"/>
      <c r="M7" s="106"/>
      <c r="N7" s="106"/>
    </row>
    <row r="8" spans="2:14" ht="51.75" customHeight="1">
      <c r="B8" s="18" t="s">
        <v>0</v>
      </c>
      <c r="C8" s="19" t="s">
        <v>10</v>
      </c>
      <c r="D8" s="19" t="s">
        <v>11</v>
      </c>
      <c r="E8" s="19" t="s">
        <v>12</v>
      </c>
      <c r="F8" s="19" t="s">
        <v>13</v>
      </c>
      <c r="G8" s="19" t="s">
        <v>14</v>
      </c>
      <c r="H8" s="19" t="s">
        <v>15</v>
      </c>
      <c r="I8" s="20" t="s">
        <v>26</v>
      </c>
      <c r="J8" s="20" t="s">
        <v>72</v>
      </c>
      <c r="K8" s="19" t="s">
        <v>73</v>
      </c>
      <c r="L8" s="106"/>
    </row>
    <row r="9" spans="2:14" ht="18.75" customHeight="1">
      <c r="B9" s="21"/>
      <c r="C9" s="22" t="s">
        <v>8</v>
      </c>
      <c r="D9" s="23" t="s">
        <v>9</v>
      </c>
      <c r="E9" s="23" t="s">
        <v>9</v>
      </c>
      <c r="F9" s="22" t="s">
        <v>39</v>
      </c>
      <c r="G9" s="23" t="s">
        <v>9</v>
      </c>
      <c r="H9" s="23" t="s">
        <v>9</v>
      </c>
      <c r="I9" s="23" t="s">
        <v>27</v>
      </c>
      <c r="J9" s="22" t="s">
        <v>39</v>
      </c>
      <c r="K9" s="22" t="s">
        <v>39</v>
      </c>
      <c r="L9" s="106"/>
    </row>
    <row r="10" spans="2:14">
      <c r="C10" s="2" t="s">
        <v>1</v>
      </c>
      <c r="D10" s="2" t="s">
        <v>2</v>
      </c>
      <c r="E10" s="2" t="s">
        <v>3</v>
      </c>
      <c r="F10" s="2" t="s">
        <v>4</v>
      </c>
      <c r="G10" s="2" t="s">
        <v>5</v>
      </c>
      <c r="H10" s="2" t="s">
        <v>7</v>
      </c>
      <c r="I10" s="2" t="s">
        <v>28</v>
      </c>
      <c r="J10" s="2" t="s">
        <v>29</v>
      </c>
      <c r="K10" s="2" t="s">
        <v>30</v>
      </c>
    </row>
    <row r="11" spans="2:14" ht="6" customHeight="1"/>
    <row r="12" spans="2:14" ht="15.75">
      <c r="B12" s="60" t="str">
        <f>C54</f>
        <v>WYNE  DJohns - 477 MW - CCCT Dry "J/HA.02", 1x1 - East Side Resource (5,050')</v>
      </c>
      <c r="C12" s="106"/>
      <c r="E12" s="106"/>
      <c r="F12" s="106"/>
      <c r="G12" s="106"/>
      <c r="H12" s="106"/>
      <c r="I12" s="105"/>
      <c r="J12" s="105"/>
      <c r="K12" s="105"/>
      <c r="L12" s="106"/>
    </row>
    <row r="13" spans="2:14" ht="4.5" customHeight="1">
      <c r="B13" s="107"/>
      <c r="C13" s="108"/>
      <c r="D13" s="109"/>
      <c r="E13" s="110"/>
      <c r="F13" s="110"/>
      <c r="G13" s="111"/>
      <c r="H13" s="111"/>
      <c r="I13" s="111"/>
      <c r="J13" s="111"/>
      <c r="K13" s="111"/>
    </row>
    <row r="14" spans="2:14">
      <c r="B14" s="107">
        <v>2016</v>
      </c>
      <c r="C14" s="108">
        <f>$H$60</f>
        <v>1203</v>
      </c>
      <c r="D14" s="109">
        <f>ROUND(C14*$C$76,2)</f>
        <v>87.29</v>
      </c>
      <c r="E14" s="110">
        <f>$I$60</f>
        <v>57.97</v>
      </c>
      <c r="F14" s="110">
        <f>$J$65</f>
        <v>2.2200000000000002</v>
      </c>
      <c r="G14" s="111">
        <f t="shared" ref="G14:G24" si="0">ROUND(F14*(8.76*$G$65)+E14,2)</f>
        <v>71.45</v>
      </c>
      <c r="H14" s="111">
        <f t="shared" ref="H14:H24" si="1">ROUND(D14+G14,2)</f>
        <v>158.74</v>
      </c>
      <c r="I14" s="111"/>
      <c r="J14" s="111"/>
      <c r="K14" s="111"/>
    </row>
    <row r="15" spans="2:14">
      <c r="B15" s="107">
        <f t="shared" ref="B15:B40" si="2">B14+1</f>
        <v>2017</v>
      </c>
      <c r="C15" s="112"/>
      <c r="D15" s="109">
        <f t="shared" ref="D15:F17" si="3">ROUND(D14*(1+$D83),2)</f>
        <v>89.04</v>
      </c>
      <c r="E15" s="109">
        <f t="shared" si="3"/>
        <v>59.13</v>
      </c>
      <c r="F15" s="109">
        <f t="shared" si="3"/>
        <v>2.2599999999999998</v>
      </c>
      <c r="G15" s="113">
        <f t="shared" si="0"/>
        <v>72.849999999999994</v>
      </c>
      <c r="H15" s="113">
        <f t="shared" si="1"/>
        <v>161.88999999999999</v>
      </c>
      <c r="I15" s="111"/>
      <c r="J15" s="111"/>
      <c r="K15" s="111"/>
      <c r="M15" s="57"/>
    </row>
    <row r="16" spans="2:14">
      <c r="B16" s="107">
        <f t="shared" si="2"/>
        <v>2018</v>
      </c>
      <c r="C16" s="112"/>
      <c r="D16" s="109">
        <f t="shared" si="3"/>
        <v>90.73</v>
      </c>
      <c r="E16" s="109">
        <f t="shared" si="3"/>
        <v>60.25</v>
      </c>
      <c r="F16" s="109">
        <f t="shared" si="3"/>
        <v>2.2999999999999998</v>
      </c>
      <c r="G16" s="111">
        <f t="shared" si="0"/>
        <v>74.209999999999994</v>
      </c>
      <c r="H16" s="111">
        <f t="shared" si="1"/>
        <v>164.94</v>
      </c>
      <c r="I16" s="111"/>
      <c r="J16" s="111"/>
      <c r="K16" s="111"/>
      <c r="M16" s="57"/>
    </row>
    <row r="17" spans="2:13">
      <c r="B17" s="107">
        <f t="shared" si="2"/>
        <v>2019</v>
      </c>
      <c r="C17" s="112"/>
      <c r="D17" s="109">
        <f t="shared" si="3"/>
        <v>92.73</v>
      </c>
      <c r="E17" s="109">
        <f t="shared" si="3"/>
        <v>61.58</v>
      </c>
      <c r="F17" s="109">
        <f t="shared" si="3"/>
        <v>2.35</v>
      </c>
      <c r="G17" s="111">
        <f t="shared" si="0"/>
        <v>75.849999999999994</v>
      </c>
      <c r="H17" s="111">
        <f t="shared" si="1"/>
        <v>168.58</v>
      </c>
      <c r="I17" s="111"/>
      <c r="J17" s="111"/>
      <c r="K17" s="111"/>
      <c r="M17" s="57"/>
    </row>
    <row r="18" spans="2:13">
      <c r="B18" s="107">
        <f t="shared" si="2"/>
        <v>2020</v>
      </c>
      <c r="C18" s="112"/>
      <c r="D18" s="109">
        <f t="shared" ref="D18:F18" si="4">ROUND(D17*(1+$D86),2)</f>
        <v>95.14</v>
      </c>
      <c r="E18" s="109">
        <f t="shared" si="4"/>
        <v>63.18</v>
      </c>
      <c r="F18" s="109">
        <f t="shared" si="4"/>
        <v>2.41</v>
      </c>
      <c r="G18" s="111">
        <f t="shared" ref="G18:G23" si="5">ROUND(F18*(8.76*$G$65)+E18,2)</f>
        <v>77.81</v>
      </c>
      <c r="H18" s="111">
        <f t="shared" ref="H18:H23" si="6">ROUND(D18+G18,2)</f>
        <v>172.95</v>
      </c>
      <c r="I18" s="111"/>
      <c r="J18" s="111"/>
      <c r="K18" s="111"/>
      <c r="M18" s="57"/>
    </row>
    <row r="19" spans="2:13">
      <c r="B19" s="107">
        <f t="shared" si="2"/>
        <v>2021</v>
      </c>
      <c r="C19" s="112"/>
      <c r="D19" s="109">
        <f t="shared" ref="D19:F19" si="7">ROUND(D18*(1+$D87),2)</f>
        <v>97.42</v>
      </c>
      <c r="E19" s="109">
        <f t="shared" si="7"/>
        <v>64.7</v>
      </c>
      <c r="F19" s="109">
        <f t="shared" si="7"/>
        <v>2.4700000000000002</v>
      </c>
      <c r="G19" s="111">
        <f t="shared" si="5"/>
        <v>79.69</v>
      </c>
      <c r="H19" s="111">
        <f t="shared" si="6"/>
        <v>177.11</v>
      </c>
      <c r="I19" s="111"/>
      <c r="J19" s="111"/>
      <c r="K19" s="111"/>
      <c r="M19" s="57"/>
    </row>
    <row r="20" spans="2:13">
      <c r="B20" s="107">
        <f t="shared" si="2"/>
        <v>2022</v>
      </c>
      <c r="C20" s="112"/>
      <c r="D20" s="109">
        <f t="shared" ref="D20:F20" si="8">ROUND(D19*(1+$D88),2)</f>
        <v>99.66</v>
      </c>
      <c r="E20" s="109">
        <f t="shared" si="8"/>
        <v>66.19</v>
      </c>
      <c r="F20" s="109">
        <f t="shared" si="8"/>
        <v>2.5299999999999998</v>
      </c>
      <c r="G20" s="111">
        <f t="shared" si="5"/>
        <v>81.55</v>
      </c>
      <c r="H20" s="111">
        <f t="shared" si="6"/>
        <v>181.21</v>
      </c>
      <c r="I20" s="111"/>
      <c r="J20" s="111"/>
      <c r="K20" s="111"/>
      <c r="M20" s="57"/>
    </row>
    <row r="21" spans="2:13">
      <c r="B21" s="107">
        <f t="shared" si="2"/>
        <v>2023</v>
      </c>
      <c r="C21" s="112"/>
      <c r="D21" s="109">
        <f t="shared" ref="D21:F21" si="9">ROUND(D20*(1+$D89),2)</f>
        <v>101.95</v>
      </c>
      <c r="E21" s="109">
        <f t="shared" si="9"/>
        <v>67.709999999999994</v>
      </c>
      <c r="F21" s="109">
        <f t="shared" si="9"/>
        <v>2.59</v>
      </c>
      <c r="G21" s="111">
        <f t="shared" si="5"/>
        <v>83.43</v>
      </c>
      <c r="H21" s="111">
        <f t="shared" si="6"/>
        <v>185.38</v>
      </c>
      <c r="I21" s="111"/>
      <c r="J21" s="111"/>
      <c r="K21" s="111"/>
      <c r="M21" s="57"/>
    </row>
    <row r="22" spans="2:13">
      <c r="B22" s="107">
        <f t="shared" si="2"/>
        <v>2024</v>
      </c>
      <c r="C22" s="112"/>
      <c r="D22" s="109">
        <f t="shared" ref="D22:F22" si="10">ROUND(D21*(1+$D90),2)</f>
        <v>104.29</v>
      </c>
      <c r="E22" s="109">
        <f t="shared" si="10"/>
        <v>69.27</v>
      </c>
      <c r="F22" s="109">
        <f t="shared" si="10"/>
        <v>2.65</v>
      </c>
      <c r="G22" s="111">
        <f t="shared" si="5"/>
        <v>85.36</v>
      </c>
      <c r="H22" s="111">
        <f t="shared" si="6"/>
        <v>189.65</v>
      </c>
      <c r="I22" s="111"/>
      <c r="J22" s="111"/>
      <c r="K22" s="111"/>
      <c r="M22" s="57"/>
    </row>
    <row r="23" spans="2:13">
      <c r="B23" s="107">
        <f t="shared" si="2"/>
        <v>2025</v>
      </c>
      <c r="C23" s="112"/>
      <c r="D23" s="109">
        <f t="shared" ref="D23:F23" si="11">ROUND(D22*(1+$D91),2)</f>
        <v>106.69</v>
      </c>
      <c r="E23" s="109">
        <f t="shared" si="11"/>
        <v>70.86</v>
      </c>
      <c r="F23" s="109">
        <f t="shared" si="11"/>
        <v>2.71</v>
      </c>
      <c r="G23" s="111">
        <f t="shared" si="5"/>
        <v>87.31</v>
      </c>
      <c r="H23" s="111">
        <f t="shared" si="6"/>
        <v>194</v>
      </c>
      <c r="I23" s="111"/>
      <c r="J23" s="111"/>
      <c r="K23" s="111"/>
      <c r="M23" s="57"/>
    </row>
    <row r="24" spans="2:13">
      <c r="B24" s="107">
        <f t="shared" si="2"/>
        <v>2026</v>
      </c>
      <c r="C24" s="112"/>
      <c r="D24" s="113">
        <f>ROUND(D23*(1+$G83),2)</f>
        <v>109.14</v>
      </c>
      <c r="E24" s="113">
        <f>ROUND(E23*(1+$G83),2)</f>
        <v>72.489999999999995</v>
      </c>
      <c r="F24" s="113">
        <f>ROUND(F23*(1+$G83),2)</f>
        <v>2.77</v>
      </c>
      <c r="G24" s="111">
        <f t="shared" si="0"/>
        <v>89.31</v>
      </c>
      <c r="H24" s="111">
        <f t="shared" si="1"/>
        <v>198.45</v>
      </c>
      <c r="I24" s="111"/>
      <c r="J24" s="111"/>
      <c r="K24" s="111"/>
      <c r="M24" s="57"/>
    </row>
    <row r="25" spans="2:13" ht="12" customHeight="1">
      <c r="B25" s="107">
        <f t="shared" si="2"/>
        <v>2027</v>
      </c>
      <c r="C25" s="112"/>
      <c r="D25" s="113">
        <f t="shared" ref="D25:F25" si="12">ROUND(D24*(1+$G84),2)</f>
        <v>111.65</v>
      </c>
      <c r="E25" s="113">
        <f t="shared" si="12"/>
        <v>74.16</v>
      </c>
      <c r="F25" s="113">
        <f t="shared" si="12"/>
        <v>2.83</v>
      </c>
      <c r="G25" s="111">
        <f t="shared" ref="G25:G30" si="13">ROUND(F25*(8.76*$G$65)+E25,2)</f>
        <v>91.34</v>
      </c>
      <c r="H25" s="111">
        <f t="shared" ref="H25:H30" si="14">ROUND(D25+G25,2)</f>
        <v>202.99</v>
      </c>
      <c r="I25" s="111"/>
      <c r="J25" s="111"/>
      <c r="K25" s="111"/>
      <c r="M25" s="57"/>
    </row>
    <row r="26" spans="2:13">
      <c r="B26" s="107">
        <f t="shared" si="2"/>
        <v>2028</v>
      </c>
      <c r="C26" s="112"/>
      <c r="D26" s="113">
        <f t="shared" ref="D26:F26" si="15">ROUND(D25*(1+$G85),2)</f>
        <v>114.22</v>
      </c>
      <c r="E26" s="113">
        <f t="shared" si="15"/>
        <v>75.87</v>
      </c>
      <c r="F26" s="113">
        <f t="shared" si="15"/>
        <v>2.9</v>
      </c>
      <c r="G26" s="111">
        <f t="shared" si="13"/>
        <v>93.47</v>
      </c>
      <c r="H26" s="111">
        <f t="shared" si="14"/>
        <v>207.69</v>
      </c>
      <c r="I26" s="111"/>
      <c r="J26" s="111"/>
      <c r="K26" s="111"/>
      <c r="M26" s="57"/>
    </row>
    <row r="27" spans="2:13">
      <c r="B27" s="107">
        <f t="shared" si="2"/>
        <v>2029</v>
      </c>
      <c r="C27" s="112"/>
      <c r="D27" s="113">
        <f t="shared" ref="D27:F27" si="16">ROUND(D26*(1+$G86),2)</f>
        <v>116.85</v>
      </c>
      <c r="E27" s="113">
        <f t="shared" si="16"/>
        <v>77.62</v>
      </c>
      <c r="F27" s="113">
        <f t="shared" si="16"/>
        <v>2.97</v>
      </c>
      <c r="G27" s="111">
        <f t="shared" si="13"/>
        <v>95.65</v>
      </c>
      <c r="H27" s="111">
        <f t="shared" si="14"/>
        <v>212.5</v>
      </c>
      <c r="I27" s="111"/>
      <c r="J27" s="111"/>
      <c r="K27" s="111"/>
      <c r="M27" s="57"/>
    </row>
    <row r="28" spans="2:13">
      <c r="B28" s="107">
        <f t="shared" si="2"/>
        <v>2030</v>
      </c>
      <c r="C28" s="112"/>
      <c r="D28" s="113">
        <f t="shared" ref="D28:D29" si="17">ROUND(D27*(1+$G87),2)</f>
        <v>119.54</v>
      </c>
      <c r="E28" s="113">
        <f t="shared" ref="E28:E29" si="18">ROUND(E27*(1+$G87),2)</f>
        <v>79.41</v>
      </c>
      <c r="F28" s="113">
        <f t="shared" ref="F28:F29" si="19">ROUND(F27*(1+$G87),2)</f>
        <v>3.04</v>
      </c>
      <c r="G28" s="111">
        <f t="shared" ref="G28:G29" si="20">ROUND(F28*(8.76*$G$65)+E28,2)</f>
        <v>97.86</v>
      </c>
      <c r="H28" s="111">
        <f t="shared" ref="H28:H29" si="21">ROUND(D28+G28,2)</f>
        <v>217.4</v>
      </c>
      <c r="I28" s="111"/>
      <c r="J28" s="111"/>
      <c r="K28" s="111"/>
      <c r="M28" s="57"/>
    </row>
    <row r="29" spans="2:13">
      <c r="B29" s="148">
        <f t="shared" si="2"/>
        <v>2031</v>
      </c>
      <c r="C29" s="149"/>
      <c r="D29" s="143">
        <f t="shared" si="17"/>
        <v>122.29</v>
      </c>
      <c r="E29" s="143">
        <f t="shared" si="18"/>
        <v>81.239999999999995</v>
      </c>
      <c r="F29" s="143">
        <f t="shared" si="19"/>
        <v>3.11</v>
      </c>
      <c r="G29" s="143">
        <f t="shared" si="20"/>
        <v>100.12</v>
      </c>
      <c r="H29" s="143">
        <f t="shared" si="21"/>
        <v>222.41</v>
      </c>
      <c r="I29" s="111"/>
      <c r="J29" s="111"/>
      <c r="K29" s="111"/>
      <c r="M29" s="57"/>
    </row>
    <row r="30" spans="2:13" s="145" customFormat="1">
      <c r="B30" s="148">
        <f t="shared" si="2"/>
        <v>2032</v>
      </c>
      <c r="C30" s="149"/>
      <c r="D30" s="185">
        <f t="shared" ref="D30:F30" si="22">ROUND(D29*(1+$G89),2)</f>
        <v>124.98</v>
      </c>
      <c r="E30" s="185">
        <f t="shared" si="22"/>
        <v>83.03</v>
      </c>
      <c r="F30" s="185">
        <f t="shared" si="22"/>
        <v>3.18</v>
      </c>
      <c r="G30" s="185">
        <f t="shared" si="13"/>
        <v>102.33</v>
      </c>
      <c r="H30" s="185">
        <f t="shared" si="14"/>
        <v>227.31</v>
      </c>
      <c r="I30" s="184"/>
      <c r="J30" s="184"/>
      <c r="K30" s="184"/>
      <c r="M30" s="57"/>
    </row>
    <row r="31" spans="2:13" s="145" customFormat="1">
      <c r="B31" s="148">
        <f t="shared" si="2"/>
        <v>2033</v>
      </c>
      <c r="C31" s="149"/>
      <c r="D31" s="143">
        <f t="shared" ref="D31:D32" si="23">ROUND(D30*(1+$G90),2)</f>
        <v>127.73</v>
      </c>
      <c r="E31" s="143">
        <f t="shared" ref="E31:E32" si="24">ROUND(E30*(1+$G90),2)</f>
        <v>84.86</v>
      </c>
      <c r="F31" s="143">
        <f t="shared" ref="F31:F32" si="25">ROUND(F30*(1+$G90),2)</f>
        <v>3.25</v>
      </c>
      <c r="G31" s="143">
        <f t="shared" ref="G31:G33" si="26">ROUND(F31*(8.76*$G$65)+E31,2)</f>
        <v>104.59</v>
      </c>
      <c r="H31" s="143">
        <f t="shared" ref="H31:H33" si="27">ROUND(D31+G31,2)</f>
        <v>232.32</v>
      </c>
      <c r="I31" s="111">
        <f>VLOOKUP(B31,'Table 4'!$B$13:$E$43,4,FALSE)</f>
        <v>5.53</v>
      </c>
      <c r="J31" s="111">
        <f t="shared" ref="J31:J40" si="28">ROUND($K$65*I31/1000,2)</f>
        <v>35.35</v>
      </c>
      <c r="K31" s="111">
        <f t="shared" ref="K31:K40" si="29">ROUND(H31*1000/8760/$G$65+J31,2)</f>
        <v>73.62</v>
      </c>
      <c r="M31" s="57"/>
    </row>
    <row r="32" spans="2:13" s="145" customFormat="1">
      <c r="B32" s="148">
        <f t="shared" si="2"/>
        <v>2034</v>
      </c>
      <c r="C32" s="149"/>
      <c r="D32" s="143">
        <f t="shared" si="23"/>
        <v>130.66999999999999</v>
      </c>
      <c r="E32" s="143">
        <f t="shared" si="24"/>
        <v>86.81</v>
      </c>
      <c r="F32" s="143">
        <f t="shared" si="25"/>
        <v>3.32</v>
      </c>
      <c r="G32" s="143">
        <f t="shared" si="26"/>
        <v>106.96</v>
      </c>
      <c r="H32" s="143">
        <f t="shared" si="27"/>
        <v>237.63</v>
      </c>
      <c r="I32" s="111">
        <f>VLOOKUP(B32,'Table 4'!$B$13:$E$43,4,FALSE)</f>
        <v>5.81</v>
      </c>
      <c r="J32" s="111">
        <f t="shared" si="28"/>
        <v>37.14</v>
      </c>
      <c r="K32" s="111">
        <f t="shared" si="29"/>
        <v>76.28</v>
      </c>
      <c r="M32" s="57"/>
    </row>
    <row r="33" spans="2:15">
      <c r="B33" s="107">
        <f t="shared" si="2"/>
        <v>2035</v>
      </c>
      <c r="C33" s="112"/>
      <c r="D33" s="111">
        <f>ROUND(D32*(1+$J83),2)</f>
        <v>133.68</v>
      </c>
      <c r="E33" s="109">
        <f>ROUND(E32*(1+$J83),2)</f>
        <v>88.81</v>
      </c>
      <c r="F33" s="109">
        <f>ROUND(F32*(1+$J83),2)</f>
        <v>3.4</v>
      </c>
      <c r="G33" s="111">
        <f t="shared" si="26"/>
        <v>109.45</v>
      </c>
      <c r="H33" s="111">
        <f t="shared" si="27"/>
        <v>243.13</v>
      </c>
      <c r="I33" s="111">
        <f>VLOOKUP(B33,'Table 4'!$B$13:$E$43,4,FALSE)</f>
        <v>6.03</v>
      </c>
      <c r="J33" s="111">
        <f t="shared" si="28"/>
        <v>38.54</v>
      </c>
      <c r="K33" s="111">
        <f t="shared" si="29"/>
        <v>78.59</v>
      </c>
      <c r="M33" s="57"/>
    </row>
    <row r="34" spans="2:15">
      <c r="B34" s="107">
        <f t="shared" si="2"/>
        <v>2036</v>
      </c>
      <c r="C34" s="112"/>
      <c r="D34" s="111">
        <f t="shared" ref="D34:F34" si="30">ROUND(D33*(1+$J84),2)</f>
        <v>136.75</v>
      </c>
      <c r="E34" s="109">
        <f t="shared" si="30"/>
        <v>90.85</v>
      </c>
      <c r="F34" s="109">
        <f t="shared" si="30"/>
        <v>3.48</v>
      </c>
      <c r="G34" s="111">
        <f t="shared" ref="G34:G40" si="31">ROUND(F34*(8.76*$G$65)+E34,2)</f>
        <v>111.98</v>
      </c>
      <c r="H34" s="111">
        <f t="shared" ref="H34:H40" si="32">ROUND(D34+G34,2)</f>
        <v>248.73</v>
      </c>
      <c r="I34" s="111">
        <f>VLOOKUP(B34,'Table 4'!$B$13:$E$43,4,FALSE)</f>
        <v>6.4</v>
      </c>
      <c r="J34" s="111">
        <f t="shared" si="28"/>
        <v>40.909999999999997</v>
      </c>
      <c r="K34" s="111">
        <f t="shared" si="29"/>
        <v>81.88</v>
      </c>
      <c r="M34" s="57"/>
    </row>
    <row r="35" spans="2:15">
      <c r="B35" s="107">
        <f t="shared" si="2"/>
        <v>2037</v>
      </c>
      <c r="C35" s="112"/>
      <c r="D35" s="111">
        <f t="shared" ref="D35:F35" si="33">ROUND(D34*(1+$J85),2)</f>
        <v>139.76</v>
      </c>
      <c r="E35" s="109">
        <f t="shared" si="33"/>
        <v>92.85</v>
      </c>
      <c r="F35" s="109">
        <f t="shared" si="33"/>
        <v>3.56</v>
      </c>
      <c r="G35" s="111">
        <f t="shared" si="31"/>
        <v>114.46</v>
      </c>
      <c r="H35" s="111">
        <f t="shared" si="32"/>
        <v>254.22</v>
      </c>
      <c r="I35" s="111">
        <f>VLOOKUP(B35,'Table 4'!$B$13:$E$43,4,FALSE)</f>
        <v>6.58</v>
      </c>
      <c r="J35" s="111">
        <f t="shared" si="28"/>
        <v>42.06</v>
      </c>
      <c r="K35" s="111">
        <f t="shared" si="29"/>
        <v>83.94</v>
      </c>
      <c r="M35" s="57"/>
    </row>
    <row r="36" spans="2:15">
      <c r="B36" s="107">
        <f t="shared" si="2"/>
        <v>2038</v>
      </c>
      <c r="C36" s="112"/>
      <c r="D36" s="111">
        <f t="shared" ref="D36:F36" si="34">ROUND(D35*(1+$J86),2)</f>
        <v>142.83000000000001</v>
      </c>
      <c r="E36" s="109">
        <f t="shared" si="34"/>
        <v>94.89</v>
      </c>
      <c r="F36" s="109">
        <f t="shared" si="34"/>
        <v>3.64</v>
      </c>
      <c r="G36" s="111">
        <f t="shared" si="31"/>
        <v>116.99</v>
      </c>
      <c r="H36" s="111">
        <f t="shared" si="32"/>
        <v>259.82</v>
      </c>
      <c r="I36" s="111">
        <f>VLOOKUP(B36,'Table 4'!$B$13:$E$43,4,FALSE)</f>
        <v>6.87</v>
      </c>
      <c r="J36" s="111">
        <f t="shared" si="28"/>
        <v>43.91</v>
      </c>
      <c r="K36" s="111">
        <f t="shared" si="29"/>
        <v>86.71</v>
      </c>
      <c r="M36" s="57"/>
    </row>
    <row r="37" spans="2:15">
      <c r="B37" s="107">
        <f t="shared" si="2"/>
        <v>2039</v>
      </c>
      <c r="C37" s="112"/>
      <c r="D37" s="111">
        <f t="shared" ref="D37:F37" si="35">ROUND(D36*(1+$J87),2)</f>
        <v>145.97</v>
      </c>
      <c r="E37" s="109">
        <f t="shared" si="35"/>
        <v>96.98</v>
      </c>
      <c r="F37" s="109">
        <f t="shared" si="35"/>
        <v>3.72</v>
      </c>
      <c r="G37" s="111">
        <f t="shared" si="31"/>
        <v>119.56</v>
      </c>
      <c r="H37" s="111">
        <f t="shared" si="32"/>
        <v>265.52999999999997</v>
      </c>
      <c r="I37" s="111">
        <f>VLOOKUP(B37,'Table 4'!$B$13:$E$43,4,FALSE)</f>
        <v>7.03</v>
      </c>
      <c r="J37" s="111">
        <f t="shared" si="28"/>
        <v>44.94</v>
      </c>
      <c r="K37" s="111">
        <f t="shared" si="29"/>
        <v>88.68</v>
      </c>
      <c r="M37" s="57"/>
    </row>
    <row r="38" spans="2:15">
      <c r="B38" s="107">
        <f t="shared" si="2"/>
        <v>2040</v>
      </c>
      <c r="C38" s="112"/>
      <c r="D38" s="111">
        <f t="shared" ref="D38:F38" si="36">ROUND(D37*(1+$J88),2)</f>
        <v>149.18</v>
      </c>
      <c r="E38" s="109">
        <f t="shared" si="36"/>
        <v>99.11</v>
      </c>
      <c r="F38" s="109">
        <f t="shared" si="36"/>
        <v>3.8</v>
      </c>
      <c r="G38" s="111">
        <f t="shared" si="31"/>
        <v>122.18</v>
      </c>
      <c r="H38" s="111">
        <f t="shared" si="32"/>
        <v>271.36</v>
      </c>
      <c r="I38" s="111">
        <f>VLOOKUP(B38,'Table 4'!$B$13:$E$43,4,FALSE)</f>
        <v>7.21</v>
      </c>
      <c r="J38" s="111">
        <f t="shared" si="28"/>
        <v>46.09</v>
      </c>
      <c r="K38" s="111">
        <f t="shared" si="29"/>
        <v>90.79</v>
      </c>
      <c r="M38" s="57"/>
    </row>
    <row r="39" spans="2:15">
      <c r="B39" s="107">
        <f t="shared" si="2"/>
        <v>2041</v>
      </c>
      <c r="C39" s="112"/>
      <c r="D39" s="111">
        <f t="shared" ref="D39:F39" si="37">ROUND(D38*(1+$J89),2)</f>
        <v>152.46</v>
      </c>
      <c r="E39" s="109">
        <f t="shared" si="37"/>
        <v>101.29</v>
      </c>
      <c r="F39" s="109">
        <f t="shared" si="37"/>
        <v>3.88</v>
      </c>
      <c r="G39" s="111">
        <f t="shared" si="31"/>
        <v>124.84</v>
      </c>
      <c r="H39" s="111">
        <f t="shared" si="32"/>
        <v>277.3</v>
      </c>
      <c r="I39" s="111">
        <f>VLOOKUP(B39,'Table 4'!$B$13:$E$43,4,FALSE)</f>
        <v>7.37</v>
      </c>
      <c r="J39" s="111">
        <f t="shared" si="28"/>
        <v>47.11</v>
      </c>
      <c r="K39" s="111">
        <f t="shared" si="29"/>
        <v>92.79</v>
      </c>
      <c r="M39" s="57"/>
    </row>
    <row r="40" spans="2:15">
      <c r="B40" s="107">
        <f t="shared" si="2"/>
        <v>2042</v>
      </c>
      <c r="C40" s="112"/>
      <c r="D40" s="111">
        <f t="shared" ref="D40:F40" si="38">ROUND(D39*(1+$J90),2)</f>
        <v>155.81</v>
      </c>
      <c r="E40" s="109">
        <f t="shared" si="38"/>
        <v>103.52</v>
      </c>
      <c r="F40" s="109">
        <f t="shared" si="38"/>
        <v>3.97</v>
      </c>
      <c r="G40" s="111">
        <f t="shared" si="31"/>
        <v>127.62</v>
      </c>
      <c r="H40" s="111">
        <f t="shared" si="32"/>
        <v>283.43</v>
      </c>
      <c r="I40" s="111">
        <f>VLOOKUP(B40,'Table 4'!$B$13:$E$43,4,FALSE)</f>
        <v>5.03</v>
      </c>
      <c r="J40" s="111">
        <f t="shared" si="28"/>
        <v>32.15</v>
      </c>
      <c r="K40" s="111">
        <f t="shared" si="29"/>
        <v>78.84</v>
      </c>
      <c r="M40" s="57"/>
    </row>
    <row r="41" spans="2:15">
      <c r="B41" s="107"/>
      <c r="C41" s="112"/>
      <c r="D41" s="111"/>
      <c r="E41" s="109"/>
      <c r="F41" s="109"/>
      <c r="G41" s="111"/>
      <c r="H41" s="111"/>
      <c r="I41" s="111"/>
      <c r="J41" s="111"/>
      <c r="K41" s="111"/>
    </row>
    <row r="42" spans="2:15">
      <c r="B42" s="107"/>
      <c r="C42" s="112"/>
      <c r="D42" s="111"/>
      <c r="E42" s="109"/>
      <c r="F42" s="109"/>
      <c r="G42" s="111"/>
      <c r="H42" s="111"/>
      <c r="I42" s="111"/>
      <c r="J42" s="111"/>
      <c r="K42" s="111"/>
    </row>
    <row r="43" spans="2:15">
      <c r="M43" s="107"/>
      <c r="O43" s="114"/>
    </row>
    <row r="44" spans="2:15" ht="14.25">
      <c r="B44" s="5" t="s">
        <v>31</v>
      </c>
      <c r="C44" s="24"/>
      <c r="D44" s="24"/>
      <c r="E44" s="24"/>
      <c r="F44" s="24"/>
      <c r="G44" s="24"/>
      <c r="H44" s="24"/>
      <c r="I44" s="24"/>
      <c r="J44" s="24"/>
      <c r="K44" s="24"/>
      <c r="M44" s="107"/>
      <c r="N44" s="114"/>
      <c r="O44" s="114"/>
    </row>
    <row r="46" spans="2:15">
      <c r="B46" s="104" t="s">
        <v>16</v>
      </c>
      <c r="D46" s="115" t="s">
        <v>87</v>
      </c>
    </row>
    <row r="47" spans="2:15">
      <c r="C47" s="116" t="str">
        <f>D10</f>
        <v>(b)</v>
      </c>
      <c r="D47" s="111" t="str">
        <f>"= "&amp;C10&amp;" x "&amp;C76</f>
        <v>= (a) x 0.0725628795024555</v>
      </c>
    </row>
    <row r="48" spans="2:15">
      <c r="C48" s="116" t="str">
        <f>G10</f>
        <v>(e)</v>
      </c>
      <c r="D48" s="111" t="str">
        <f>"= "&amp;$F$10&amp;" x  (8.76 x "&amp;TEXT(G65,"0.0%")&amp;") + "&amp;$E$10</f>
        <v>= (d) x  (8.76 x 69.3%) + (c)</v>
      </c>
    </row>
    <row r="49" spans="3:11">
      <c r="C49" s="116" t="str">
        <f>H10</f>
        <v>(f)</v>
      </c>
      <c r="D49" s="111" t="str">
        <f>"= "&amp;D10&amp;" + "&amp;G10</f>
        <v>= (b) + (e)</v>
      </c>
    </row>
    <row r="50" spans="3:11">
      <c r="C50" s="116" t="str">
        <f>I10</f>
        <v>(g)</v>
      </c>
      <c r="D50" s="144" t="str">
        <f>'Table 4'!B3&amp;" - "&amp;'Table 4'!B4</f>
        <v>Table 4 - Burnertip Natural Gas Price Forecast</v>
      </c>
    </row>
    <row r="51" spans="3:11">
      <c r="C51" s="116" t="str">
        <f>J10</f>
        <v>(h)</v>
      </c>
      <c r="D51" s="111" t="str">
        <f>"= "&amp;TEXT(K65,"?,0")&amp;" MMBtu/MWH x "&amp;I9</f>
        <v>= 6,392 MMBtu/MWH x $/MMBtu</v>
      </c>
    </row>
    <row r="52" spans="3:11">
      <c r="C52" s="116" t="str">
        <f>K10</f>
        <v>(i)</v>
      </c>
      <c r="D52" s="111" t="str">
        <f>"= "&amp;H10&amp;" / (8.76 x 'Capacity Factor' ) + "&amp;J10</f>
        <v>= (f) / (8.76 x 'Capacity Factor' ) + (h)</v>
      </c>
    </row>
    <row r="53" spans="3:11" ht="13.5" thickBot="1"/>
    <row r="54" spans="3:11" ht="13.5" thickBot="1">
      <c r="C54" s="58" t="s">
        <v>109</v>
      </c>
      <c r="D54" s="55"/>
      <c r="E54" s="55"/>
      <c r="F54" s="55"/>
      <c r="G54" s="55"/>
      <c r="H54" s="55"/>
      <c r="I54" s="55"/>
      <c r="J54" s="56"/>
      <c r="K54" s="117"/>
    </row>
    <row r="55" spans="3:11" ht="5.25" customHeight="1"/>
    <row r="56" spans="3:11" ht="5.25" customHeight="1"/>
    <row r="57" spans="3:11">
      <c r="C57" s="42" t="s">
        <v>40</v>
      </c>
      <c r="D57" s="32"/>
      <c r="E57" s="42"/>
      <c r="F57" s="41" t="s">
        <v>41</v>
      </c>
      <c r="G57" s="41" t="s">
        <v>42</v>
      </c>
      <c r="H57" s="41" t="s">
        <v>43</v>
      </c>
      <c r="I57" s="41" t="s">
        <v>44</v>
      </c>
    </row>
    <row r="58" spans="3:11">
      <c r="C58" s="145" t="s">
        <v>82</v>
      </c>
      <c r="F58" s="118">
        <f>C69</f>
        <v>413.5678125</v>
      </c>
      <c r="G58" s="57">
        <f>F58/F60</f>
        <v>0.86778904695639725</v>
      </c>
      <c r="H58" s="132">
        <f>C70</f>
        <v>1334.2100235755099</v>
      </c>
      <c r="I58" s="134">
        <f>C73</f>
        <v>57.933984723786267</v>
      </c>
    </row>
    <row r="59" spans="3:11">
      <c r="C59" s="145" t="s">
        <v>83</v>
      </c>
      <c r="F59" s="48">
        <f>D69</f>
        <v>63.008625000000002</v>
      </c>
      <c r="G59" s="44">
        <f>1-G58</f>
        <v>0.13221095304360275</v>
      </c>
      <c r="H59" s="133">
        <f>D70</f>
        <v>341.60689307865113</v>
      </c>
      <c r="I59" s="135">
        <f>D73</f>
        <v>58.211939462399997</v>
      </c>
    </row>
    <row r="60" spans="3:11">
      <c r="C60" s="145" t="s">
        <v>45</v>
      </c>
      <c r="F60" s="118">
        <f>F58+F59</f>
        <v>476.5764375</v>
      </c>
      <c r="G60" s="57">
        <f>G58+G59</f>
        <v>1</v>
      </c>
      <c r="H60" s="132">
        <f>ROUND(((F58*H58)+(F59*H59))/F60,0)</f>
        <v>1203</v>
      </c>
      <c r="I60" s="134">
        <f>ROUND(((F58*I58)+(F59*I59))/F60,2)</f>
        <v>57.97</v>
      </c>
    </row>
    <row r="61" spans="3:11">
      <c r="C61" s="145"/>
      <c r="F61" s="118"/>
      <c r="G61" s="57"/>
      <c r="H61" s="119"/>
      <c r="I61" s="120"/>
    </row>
    <row r="62" spans="3:11">
      <c r="C62" s="146" t="s">
        <v>40</v>
      </c>
      <c r="D62" s="32"/>
      <c r="E62" s="42"/>
      <c r="F62" s="41" t="s">
        <v>41</v>
      </c>
      <c r="G62" s="41" t="s">
        <v>46</v>
      </c>
      <c r="H62" s="41" t="s">
        <v>47</v>
      </c>
      <c r="I62" s="41" t="s">
        <v>42</v>
      </c>
      <c r="J62" s="41" t="s">
        <v>48</v>
      </c>
      <c r="K62" s="41" t="s">
        <v>49</v>
      </c>
    </row>
    <row r="63" spans="3:11">
      <c r="C63" s="147" t="str">
        <f>C58</f>
        <v>CCCT Dry "J" - Turbine</v>
      </c>
      <c r="D63" s="121"/>
      <c r="E63" s="121"/>
      <c r="F63" s="104">
        <f>C69</f>
        <v>413.5678125</v>
      </c>
      <c r="G63" s="57">
        <f>C77</f>
        <v>0.78</v>
      </c>
      <c r="H63" s="168">
        <f>G63*F63</f>
        <v>322.58289375000004</v>
      </c>
      <c r="I63" s="57">
        <f>H63/H65</f>
        <v>0.97709776148654981</v>
      </c>
      <c r="J63" s="120">
        <f>C74</f>
        <v>2.2696214540418311</v>
      </c>
      <c r="K63" s="122">
        <f>C75</f>
        <v>6326</v>
      </c>
    </row>
    <row r="64" spans="3:11">
      <c r="C64" s="147" t="str">
        <f>C59</f>
        <v>CCCT Dry "J" - Duct Firing</v>
      </c>
      <c r="D64" s="121"/>
      <c r="E64" s="121"/>
      <c r="F64" s="43">
        <f>D69</f>
        <v>63.008625000000002</v>
      </c>
      <c r="G64" s="44">
        <f>D77</f>
        <v>0.12</v>
      </c>
      <c r="H64" s="169">
        <f>G64*F64</f>
        <v>7.5610350000000004</v>
      </c>
      <c r="I64" s="44">
        <f>1-I63</f>
        <v>2.290223851345019E-2</v>
      </c>
      <c r="J64" s="45">
        <f>D74</f>
        <v>0.16</v>
      </c>
      <c r="K64" s="46">
        <f>D75</f>
        <v>9211</v>
      </c>
    </row>
    <row r="65" spans="3:11">
      <c r="C65" s="145" t="s">
        <v>50</v>
      </c>
      <c r="F65" s="104">
        <f>F63+F64</f>
        <v>476.5764375</v>
      </c>
      <c r="G65" s="123">
        <f>ROUND(H65/F65,3)</f>
        <v>0.69299999999999995</v>
      </c>
      <c r="H65" s="168">
        <f>SUM(H63:H64)</f>
        <v>330.14392875000004</v>
      </c>
      <c r="I65" s="57">
        <f>I63+I64</f>
        <v>1</v>
      </c>
      <c r="J65" s="120">
        <f>ROUND(($I63*J63)+($I64*J64),2)</f>
        <v>2.2200000000000002</v>
      </c>
      <c r="K65" s="124">
        <f>ROUND(($I63*K63)+($I64*K64),0)</f>
        <v>6392</v>
      </c>
    </row>
    <row r="66" spans="3:11">
      <c r="G66" s="123"/>
      <c r="I66" s="57"/>
      <c r="J66" s="120"/>
      <c r="K66" s="47" t="s">
        <v>51</v>
      </c>
    </row>
    <row r="68" spans="3:11">
      <c r="C68" s="41" t="s">
        <v>34</v>
      </c>
      <c r="D68" s="41" t="s">
        <v>35</v>
      </c>
      <c r="E68" s="59" t="str">
        <f>D46</f>
        <v>Plant Costs  - 2015 IRP - Table 6.1 &amp; 6.2 - Page 92</v>
      </c>
      <c r="F68" s="125"/>
      <c r="G68" s="125"/>
      <c r="H68" s="125"/>
      <c r="I68" s="125"/>
      <c r="J68" s="125"/>
      <c r="K68" s="126"/>
    </row>
    <row r="69" spans="3:11">
      <c r="C69" s="104">
        <v>413.5678125</v>
      </c>
      <c r="D69" s="104">
        <v>63.008625000000002</v>
      </c>
      <c r="E69" s="104" t="s">
        <v>77</v>
      </c>
      <c r="H69" s="127"/>
    </row>
    <row r="70" spans="3:11">
      <c r="C70" s="119">
        <v>1334.2100235755099</v>
      </c>
      <c r="D70" s="119">
        <v>341.60689307865113</v>
      </c>
      <c r="E70" s="104" t="s">
        <v>78</v>
      </c>
    </row>
    <row r="71" spans="3:11">
      <c r="C71" s="120">
        <v>21.292537645386268</v>
      </c>
      <c r="D71" s="120">
        <v>4.8600000000000003</v>
      </c>
      <c r="E71" s="104" t="s">
        <v>79</v>
      </c>
    </row>
    <row r="72" spans="3:11">
      <c r="C72" s="49">
        <v>36.641447078399999</v>
      </c>
      <c r="D72" s="49">
        <v>53.351939462399997</v>
      </c>
      <c r="E72" s="104" t="s">
        <v>75</v>
      </c>
    </row>
    <row r="73" spans="3:11">
      <c r="C73" s="120">
        <f>C71+C72</f>
        <v>57.933984723786267</v>
      </c>
      <c r="D73" s="120">
        <f>D71+D72</f>
        <v>58.211939462399997</v>
      </c>
      <c r="E73" s="104" t="s">
        <v>80</v>
      </c>
    </row>
    <row r="74" spans="3:11">
      <c r="C74" s="120">
        <v>2.2696214540418311</v>
      </c>
      <c r="D74" s="120">
        <v>0.16</v>
      </c>
      <c r="E74" s="104" t="s">
        <v>81</v>
      </c>
    </row>
    <row r="75" spans="3:11">
      <c r="C75" s="124">
        <v>6326</v>
      </c>
      <c r="D75" s="124">
        <v>9211</v>
      </c>
      <c r="E75" s="104" t="s">
        <v>53</v>
      </c>
    </row>
    <row r="76" spans="3:11">
      <c r="C76" s="142">
        <v>7.2562879502455491E-2</v>
      </c>
      <c r="D76" s="142">
        <v>7.2562879502455491E-2</v>
      </c>
      <c r="E76" s="104" t="s">
        <v>54</v>
      </c>
    </row>
    <row r="77" spans="3:11">
      <c r="C77" s="128">
        <v>0.78</v>
      </c>
      <c r="D77" s="128">
        <v>0.12</v>
      </c>
      <c r="E77" s="104" t="s">
        <v>55</v>
      </c>
    </row>
    <row r="78" spans="3:11">
      <c r="D78" s="57">
        <f>ROUND(H65/F65,3)</f>
        <v>0.69299999999999995</v>
      </c>
      <c r="E78" s="104" t="s">
        <v>56</v>
      </c>
    </row>
    <row r="79" spans="3:11">
      <c r="D79" s="123"/>
      <c r="E79" s="67"/>
    </row>
    <row r="80" spans="3:11">
      <c r="C80" s="128"/>
      <c r="D80" s="128"/>
    </row>
    <row r="82" spans="3:15" ht="13.5" thickBot="1">
      <c r="C82" s="54" t="str">
        <f>"Company Official Inflation Forecast Dated "&amp;TEXT('Table 4'!G5,"mmmm dd, yyyy")</f>
        <v>Company Official Inflation Forecast Dated December 29, 2017</v>
      </c>
      <c r="D82" s="55"/>
      <c r="E82" s="55"/>
      <c r="F82" s="55"/>
      <c r="G82" s="55"/>
      <c r="H82" s="55"/>
      <c r="I82" s="55"/>
      <c r="J82" s="56"/>
      <c r="K82" s="117"/>
    </row>
    <row r="83" spans="3:15">
      <c r="C83" s="129">
        <v>2017</v>
      </c>
      <c r="D83" s="57">
        <v>0.02</v>
      </c>
      <c r="F83" s="129">
        <f>C91+1</f>
        <v>2026</v>
      </c>
      <c r="G83" s="57">
        <v>2.3E-2</v>
      </c>
      <c r="I83" s="129">
        <f>F91+1</f>
        <v>2035</v>
      </c>
      <c r="J83" s="57">
        <v>2.3E-2</v>
      </c>
    </row>
    <row r="84" spans="3:15">
      <c r="C84" s="129">
        <f t="shared" ref="C84:C91" si="39">C83+1</f>
        <v>2018</v>
      </c>
      <c r="D84" s="57">
        <v>1.9E-2</v>
      </c>
      <c r="F84" s="129">
        <f t="shared" ref="F84:F91" si="40">F83+1</f>
        <v>2027</v>
      </c>
      <c r="G84" s="57">
        <v>2.3E-2</v>
      </c>
      <c r="I84" s="129">
        <f t="shared" ref="I84:I91" si="41">I83+1</f>
        <v>2036</v>
      </c>
      <c r="J84" s="57">
        <v>2.3E-2</v>
      </c>
    </row>
    <row r="85" spans="3:15">
      <c r="C85" s="129">
        <f t="shared" si="39"/>
        <v>2019</v>
      </c>
      <c r="D85" s="57">
        <v>2.1999999999999999E-2</v>
      </c>
      <c r="F85" s="129">
        <f t="shared" si="40"/>
        <v>2028</v>
      </c>
      <c r="G85" s="57">
        <v>2.3E-2</v>
      </c>
      <c r="I85" s="129">
        <f t="shared" si="41"/>
        <v>2037</v>
      </c>
      <c r="J85" s="57">
        <v>2.1999999999999999E-2</v>
      </c>
    </row>
    <row r="86" spans="3:15">
      <c r="C86" s="129">
        <f t="shared" si="39"/>
        <v>2020</v>
      </c>
      <c r="D86" s="57">
        <v>2.5999999999999999E-2</v>
      </c>
      <c r="F86" s="129">
        <f t="shared" si="40"/>
        <v>2029</v>
      </c>
      <c r="G86" s="57">
        <v>2.3E-2</v>
      </c>
      <c r="I86" s="129">
        <f t="shared" si="41"/>
        <v>2038</v>
      </c>
      <c r="J86" s="57">
        <v>2.1999999999999999E-2</v>
      </c>
    </row>
    <row r="87" spans="3:15">
      <c r="C87" s="129">
        <f t="shared" si="39"/>
        <v>2021</v>
      </c>
      <c r="D87" s="57">
        <v>2.4E-2</v>
      </c>
      <c r="F87" s="129">
        <f t="shared" si="40"/>
        <v>2030</v>
      </c>
      <c r="G87" s="57">
        <v>2.3E-2</v>
      </c>
      <c r="I87" s="129">
        <f t="shared" si="41"/>
        <v>2039</v>
      </c>
      <c r="J87" s="57">
        <v>2.1999999999999999E-2</v>
      </c>
    </row>
    <row r="88" spans="3:15">
      <c r="C88" s="129">
        <f t="shared" si="39"/>
        <v>2022</v>
      </c>
      <c r="D88" s="57">
        <v>2.3E-2</v>
      </c>
      <c r="F88" s="129">
        <f t="shared" si="40"/>
        <v>2031</v>
      </c>
      <c r="G88" s="57">
        <v>2.3E-2</v>
      </c>
      <c r="I88" s="129">
        <f t="shared" si="41"/>
        <v>2040</v>
      </c>
      <c r="J88" s="57">
        <v>2.1999999999999999E-2</v>
      </c>
    </row>
    <row r="89" spans="3:15" s="106" customFormat="1">
      <c r="C89" s="129">
        <f t="shared" si="39"/>
        <v>2023</v>
      </c>
      <c r="D89" s="57">
        <v>2.3E-2</v>
      </c>
      <c r="F89" s="129">
        <f t="shared" si="40"/>
        <v>2032</v>
      </c>
      <c r="G89" s="57">
        <v>2.1999999999999999E-2</v>
      </c>
      <c r="I89" s="129">
        <f t="shared" si="41"/>
        <v>2041</v>
      </c>
      <c r="J89" s="57">
        <v>2.1999999999999999E-2</v>
      </c>
      <c r="N89" s="104"/>
      <c r="O89" s="104"/>
    </row>
    <row r="90" spans="3:15" s="106" customFormat="1">
      <c r="C90" s="129">
        <f t="shared" si="39"/>
        <v>2024</v>
      </c>
      <c r="D90" s="57">
        <v>2.3E-2</v>
      </c>
      <c r="F90" s="129">
        <f t="shared" si="40"/>
        <v>2033</v>
      </c>
      <c r="G90" s="57">
        <v>2.1999999999999999E-2</v>
      </c>
      <c r="I90" s="129">
        <f t="shared" si="41"/>
        <v>2042</v>
      </c>
      <c r="J90" s="57">
        <v>2.1999999999999999E-2</v>
      </c>
      <c r="N90" s="104"/>
      <c r="O90" s="104"/>
    </row>
    <row r="91" spans="3:15" s="106" customFormat="1">
      <c r="C91" s="129">
        <f t="shared" si="39"/>
        <v>2025</v>
      </c>
      <c r="D91" s="57">
        <v>2.3E-2</v>
      </c>
      <c r="F91" s="129">
        <f t="shared" si="40"/>
        <v>2034</v>
      </c>
      <c r="G91" s="57">
        <v>2.3E-2</v>
      </c>
      <c r="I91" s="129">
        <f t="shared" si="41"/>
        <v>2043</v>
      </c>
      <c r="J91" s="57">
        <v>2.3E-2</v>
      </c>
      <c r="N91" s="104"/>
      <c r="O91" s="104"/>
    </row>
    <row r="92" spans="3:15" s="106" customFormat="1">
      <c r="N92" s="104"/>
      <c r="O92" s="104"/>
    </row>
    <row r="93" spans="3:15" s="106" customFormat="1">
      <c r="N93" s="104"/>
      <c r="O93" s="104"/>
    </row>
    <row r="94" spans="3:15">
      <c r="D94" s="136"/>
    </row>
    <row r="95" spans="3:15">
      <c r="D95" s="136"/>
    </row>
  </sheetData>
  <printOptions horizontalCentered="1"/>
  <pageMargins left="0.25" right="0.25" top="0.75" bottom="0.75" header="0.3" footer="0.3"/>
  <pageSetup scale="96" fitToHeight="0" orientation="portrait" r:id="rId1"/>
  <headerFooter alignWithMargins="0"/>
  <rowBreaks count="1" manualBreakCount="1">
    <brk id="52" max="10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95"/>
  <sheetViews>
    <sheetView view="pageBreakPreview" zoomScale="85" zoomScaleNormal="90" zoomScaleSheetLayoutView="85" workbookViewId="0">
      <pane xSplit="3" ySplit="10" topLeftCell="D11" activePane="bottomRight" state="frozen"/>
      <selection activeCell="E15" sqref="E15"/>
      <selection pane="topRight" activeCell="E15" sqref="E15"/>
      <selection pane="bottomLeft" activeCell="E15" sqref="E15"/>
      <selection pane="bottomRight" activeCell="E8" sqref="E8"/>
    </sheetView>
  </sheetViews>
  <sheetFormatPr defaultColWidth="9.33203125" defaultRowHeight="12.75"/>
  <cols>
    <col min="1" max="1" width="2.83203125" style="104" customWidth="1"/>
    <col min="2" max="2" width="10.83203125" style="104" customWidth="1"/>
    <col min="3" max="3" width="14.1640625" style="104" customWidth="1"/>
    <col min="4" max="4" width="12.33203125" style="104" customWidth="1"/>
    <col min="5" max="5" width="9.5" style="104" customWidth="1"/>
    <col min="6" max="6" width="10.5" style="104" customWidth="1"/>
    <col min="7" max="7" width="10.5" style="104" bestFit="1" customWidth="1"/>
    <col min="8" max="8" width="11.6640625" style="104" bestFit="1" customWidth="1"/>
    <col min="9" max="9" width="11.1640625" style="104" customWidth="1"/>
    <col min="10" max="10" width="12" style="104" bestFit="1" customWidth="1"/>
    <col min="11" max="11" width="12" style="104" customWidth="1"/>
    <col min="12" max="13" width="9.33203125" style="104"/>
    <col min="14" max="15" width="9.33203125" style="104" customWidth="1"/>
    <col min="16" max="16384" width="9.33203125" style="104"/>
  </cols>
  <sheetData>
    <row r="1" spans="2:14" ht="15.75" hidden="1">
      <c r="B1" s="1" t="s">
        <v>52</v>
      </c>
      <c r="C1" s="103"/>
      <c r="D1" s="103"/>
      <c r="E1" s="103"/>
      <c r="F1" s="103"/>
      <c r="G1" s="103"/>
      <c r="H1" s="103"/>
      <c r="I1" s="103"/>
      <c r="J1" s="103"/>
      <c r="K1" s="103"/>
    </row>
    <row r="2" spans="2:14" ht="15.75">
      <c r="B2" s="1"/>
      <c r="C2" s="103"/>
      <c r="D2" s="103"/>
      <c r="E2" s="103"/>
      <c r="F2" s="103"/>
      <c r="G2" s="103"/>
      <c r="H2" s="103"/>
      <c r="I2" s="103"/>
      <c r="J2" s="103"/>
      <c r="K2" s="103"/>
    </row>
    <row r="3" spans="2:14" ht="15.75">
      <c r="B3" s="1" t="s">
        <v>85</v>
      </c>
      <c r="C3" s="103"/>
      <c r="D3" s="103"/>
      <c r="E3" s="103"/>
      <c r="F3" s="103"/>
      <c r="G3" s="103"/>
      <c r="H3" s="103"/>
      <c r="I3" s="103"/>
      <c r="J3" s="103"/>
      <c r="K3" s="103"/>
    </row>
    <row r="4" spans="2:14" ht="15.75">
      <c r="B4" s="1" t="s">
        <v>162</v>
      </c>
      <c r="C4" s="103"/>
      <c r="D4" s="103"/>
      <c r="E4" s="103"/>
      <c r="F4" s="103"/>
      <c r="G4" s="103"/>
      <c r="H4" s="103"/>
      <c r="I4" s="103"/>
      <c r="J4" s="103"/>
      <c r="K4" s="103"/>
    </row>
    <row r="5" spans="2:14" ht="15.75">
      <c r="B5" s="1" t="str">
        <f>C54</f>
        <v>WYNE DJohns- 200 MW - SCCT Frame "F" x1 - East Side Resource (5,050')</v>
      </c>
      <c r="C5" s="103"/>
      <c r="D5" s="103"/>
      <c r="E5" s="103"/>
      <c r="F5" s="103"/>
      <c r="G5" s="103"/>
      <c r="H5" s="103"/>
      <c r="I5" s="103"/>
      <c r="J5" s="103"/>
      <c r="K5" s="103"/>
    </row>
    <row r="6" spans="2:14" ht="15.75">
      <c r="B6" s="1"/>
      <c r="C6" s="103"/>
      <c r="D6" s="103"/>
      <c r="E6" s="103"/>
      <c r="F6" s="103"/>
      <c r="G6" s="103"/>
      <c r="H6" s="103"/>
      <c r="I6" s="103"/>
      <c r="K6" s="17"/>
    </row>
    <row r="7" spans="2:14">
      <c r="B7" s="105"/>
      <c r="C7" s="105"/>
      <c r="D7" s="105"/>
      <c r="E7" s="105"/>
      <c r="F7" s="105"/>
      <c r="G7" s="105"/>
      <c r="H7" s="105"/>
      <c r="I7" s="103"/>
      <c r="J7" s="106"/>
      <c r="K7" s="106"/>
      <c r="L7" s="106"/>
      <c r="M7" s="106"/>
      <c r="N7" s="106"/>
    </row>
    <row r="8" spans="2:14" ht="51.75" customHeight="1">
      <c r="B8" s="18" t="s">
        <v>0</v>
      </c>
      <c r="C8" s="19" t="s">
        <v>10</v>
      </c>
      <c r="D8" s="19" t="s">
        <v>11</v>
      </c>
      <c r="E8" s="19" t="s">
        <v>12</v>
      </c>
      <c r="F8" s="19" t="s">
        <v>13</v>
      </c>
      <c r="G8" s="19" t="s">
        <v>14</v>
      </c>
      <c r="H8" s="19" t="s">
        <v>15</v>
      </c>
      <c r="I8" s="20" t="s">
        <v>26</v>
      </c>
      <c r="J8" s="20" t="s">
        <v>72</v>
      </c>
      <c r="K8" s="19" t="s">
        <v>73</v>
      </c>
      <c r="L8" s="106"/>
    </row>
    <row r="9" spans="2:14" ht="18.75" customHeight="1">
      <c r="B9" s="21"/>
      <c r="C9" s="22" t="s">
        <v>8</v>
      </c>
      <c r="D9" s="23" t="s">
        <v>9</v>
      </c>
      <c r="E9" s="23" t="s">
        <v>9</v>
      </c>
      <c r="F9" s="22" t="s">
        <v>39</v>
      </c>
      <c r="G9" s="23" t="s">
        <v>9</v>
      </c>
      <c r="H9" s="23" t="s">
        <v>9</v>
      </c>
      <c r="I9" s="23" t="s">
        <v>27</v>
      </c>
      <c r="J9" s="22" t="s">
        <v>39</v>
      </c>
      <c r="K9" s="22" t="s">
        <v>39</v>
      </c>
      <c r="L9" s="106"/>
    </row>
    <row r="10" spans="2:14">
      <c r="C10" s="2" t="s">
        <v>1</v>
      </c>
      <c r="D10" s="2" t="s">
        <v>2</v>
      </c>
      <c r="E10" s="2" t="s">
        <v>3</v>
      </c>
      <c r="F10" s="2" t="s">
        <v>4</v>
      </c>
      <c r="G10" s="2" t="s">
        <v>5</v>
      </c>
      <c r="H10" s="2" t="s">
        <v>7</v>
      </c>
      <c r="I10" s="2" t="s">
        <v>28</v>
      </c>
      <c r="J10" s="2" t="s">
        <v>29</v>
      </c>
      <c r="K10" s="2" t="s">
        <v>30</v>
      </c>
    </row>
    <row r="11" spans="2:14" ht="6" customHeight="1"/>
    <row r="12" spans="2:14" ht="15.75">
      <c r="B12" s="60" t="str">
        <f>C54</f>
        <v>WYNE DJohns- 200 MW - SCCT Frame "F" x1 - East Side Resource (5,050')</v>
      </c>
      <c r="C12" s="106"/>
      <c r="E12" s="106"/>
      <c r="F12" s="106"/>
      <c r="G12" s="106"/>
      <c r="H12" s="106"/>
      <c r="I12" s="105"/>
      <c r="J12" s="105"/>
      <c r="K12" s="105"/>
      <c r="L12" s="106"/>
    </row>
    <row r="13" spans="2:14" ht="4.5" customHeight="1">
      <c r="B13" s="107"/>
      <c r="C13" s="108"/>
      <c r="D13" s="109"/>
      <c r="E13" s="110"/>
      <c r="F13" s="110"/>
      <c r="G13" s="111"/>
      <c r="H13" s="111"/>
      <c r="I13" s="111"/>
      <c r="J13" s="111"/>
      <c r="K13" s="111"/>
    </row>
    <row r="14" spans="2:14">
      <c r="B14" s="107">
        <v>2016</v>
      </c>
      <c r="C14" s="108">
        <f>$H$60</f>
        <v>589</v>
      </c>
      <c r="D14" s="109">
        <f>ROUND(C14*$C$76,2)</f>
        <v>43.42</v>
      </c>
      <c r="E14" s="110">
        <f>$I$60</f>
        <v>71.7</v>
      </c>
      <c r="F14" s="110">
        <f>$J$65</f>
        <v>7.53</v>
      </c>
      <c r="G14" s="111">
        <f t="shared" ref="G14:G40" si="0">ROUND(F14*(8.76*$G$65)+E14,2)</f>
        <v>93.47</v>
      </c>
      <c r="H14" s="111">
        <f t="shared" ref="H14:H40" si="1">ROUND(D14+G14,2)</f>
        <v>136.88999999999999</v>
      </c>
      <c r="I14" s="111"/>
      <c r="J14" s="111"/>
      <c r="K14" s="111"/>
    </row>
    <row r="15" spans="2:14">
      <c r="B15" s="107">
        <f t="shared" ref="B15:B40" si="2">B14+1</f>
        <v>2017</v>
      </c>
      <c r="C15" s="112"/>
      <c r="D15" s="109">
        <f t="shared" ref="D15:F23" si="3">ROUND(D14*(1+$D83),2)</f>
        <v>44.29</v>
      </c>
      <c r="E15" s="109">
        <f t="shared" si="3"/>
        <v>73.13</v>
      </c>
      <c r="F15" s="109">
        <f t="shared" si="3"/>
        <v>7.68</v>
      </c>
      <c r="G15" s="113">
        <f t="shared" si="0"/>
        <v>95.33</v>
      </c>
      <c r="H15" s="113">
        <f t="shared" si="1"/>
        <v>139.62</v>
      </c>
      <c r="I15" s="111"/>
      <c r="J15" s="111"/>
      <c r="K15" s="111"/>
      <c r="M15" s="57"/>
    </row>
    <row r="16" spans="2:14">
      <c r="B16" s="107">
        <f t="shared" si="2"/>
        <v>2018</v>
      </c>
      <c r="C16" s="112"/>
      <c r="D16" s="109">
        <f t="shared" si="3"/>
        <v>45.13</v>
      </c>
      <c r="E16" s="109">
        <f t="shared" si="3"/>
        <v>74.52</v>
      </c>
      <c r="F16" s="109">
        <f t="shared" si="3"/>
        <v>7.83</v>
      </c>
      <c r="G16" s="111">
        <f t="shared" si="0"/>
        <v>97.15</v>
      </c>
      <c r="H16" s="111">
        <f t="shared" si="1"/>
        <v>142.28</v>
      </c>
      <c r="I16" s="111"/>
      <c r="J16" s="111"/>
      <c r="K16" s="111"/>
      <c r="M16" s="57"/>
    </row>
    <row r="17" spans="2:13">
      <c r="B17" s="107">
        <f t="shared" si="2"/>
        <v>2019</v>
      </c>
      <c r="C17" s="112"/>
      <c r="D17" s="109">
        <f t="shared" si="3"/>
        <v>46.12</v>
      </c>
      <c r="E17" s="109">
        <f t="shared" si="3"/>
        <v>76.16</v>
      </c>
      <c r="F17" s="109">
        <f t="shared" si="3"/>
        <v>8</v>
      </c>
      <c r="G17" s="111">
        <f t="shared" si="0"/>
        <v>99.29</v>
      </c>
      <c r="H17" s="111">
        <f t="shared" si="1"/>
        <v>145.41</v>
      </c>
      <c r="I17" s="111"/>
      <c r="J17" s="111"/>
      <c r="K17" s="111"/>
      <c r="M17" s="57"/>
    </row>
    <row r="18" spans="2:13">
      <c r="B18" s="107">
        <f t="shared" si="2"/>
        <v>2020</v>
      </c>
      <c r="C18" s="112"/>
      <c r="D18" s="109">
        <f t="shared" si="3"/>
        <v>47.32</v>
      </c>
      <c r="E18" s="109">
        <f t="shared" si="3"/>
        <v>78.14</v>
      </c>
      <c r="F18" s="109">
        <f t="shared" si="3"/>
        <v>8.2100000000000009</v>
      </c>
      <c r="G18" s="111">
        <f t="shared" si="0"/>
        <v>101.87</v>
      </c>
      <c r="H18" s="111">
        <f t="shared" si="1"/>
        <v>149.19</v>
      </c>
      <c r="I18" s="111"/>
      <c r="J18" s="111"/>
      <c r="K18" s="111"/>
      <c r="M18" s="57"/>
    </row>
    <row r="19" spans="2:13">
      <c r="B19" s="107">
        <f t="shared" si="2"/>
        <v>2021</v>
      </c>
      <c r="C19" s="112"/>
      <c r="D19" s="109">
        <f t="shared" si="3"/>
        <v>48.46</v>
      </c>
      <c r="E19" s="109">
        <f t="shared" si="3"/>
        <v>80.02</v>
      </c>
      <c r="F19" s="109">
        <f t="shared" si="3"/>
        <v>8.41</v>
      </c>
      <c r="G19" s="111">
        <f t="shared" si="0"/>
        <v>104.33</v>
      </c>
      <c r="H19" s="111">
        <f t="shared" si="1"/>
        <v>152.79</v>
      </c>
      <c r="I19" s="111"/>
      <c r="J19" s="111"/>
      <c r="K19" s="111"/>
      <c r="M19" s="57"/>
    </row>
    <row r="20" spans="2:13">
      <c r="B20" s="107">
        <f t="shared" si="2"/>
        <v>2022</v>
      </c>
      <c r="C20" s="112"/>
      <c r="D20" s="109">
        <f t="shared" si="3"/>
        <v>49.57</v>
      </c>
      <c r="E20" s="109">
        <f t="shared" si="3"/>
        <v>81.86</v>
      </c>
      <c r="F20" s="109">
        <f t="shared" si="3"/>
        <v>8.6</v>
      </c>
      <c r="G20" s="111">
        <f t="shared" si="0"/>
        <v>106.72</v>
      </c>
      <c r="H20" s="111">
        <f t="shared" si="1"/>
        <v>156.29</v>
      </c>
      <c r="I20" s="111"/>
      <c r="J20" s="111"/>
      <c r="K20" s="111"/>
      <c r="M20" s="57"/>
    </row>
    <row r="21" spans="2:13">
      <c r="B21" s="107">
        <f t="shared" si="2"/>
        <v>2023</v>
      </c>
      <c r="C21" s="112"/>
      <c r="D21" s="109">
        <f t="shared" si="3"/>
        <v>50.71</v>
      </c>
      <c r="E21" s="109">
        <f t="shared" si="3"/>
        <v>83.74</v>
      </c>
      <c r="F21" s="109">
        <f t="shared" si="3"/>
        <v>8.8000000000000007</v>
      </c>
      <c r="G21" s="111">
        <f t="shared" si="0"/>
        <v>109.18</v>
      </c>
      <c r="H21" s="111">
        <f t="shared" si="1"/>
        <v>159.88999999999999</v>
      </c>
      <c r="I21" s="111"/>
      <c r="J21" s="111"/>
      <c r="K21" s="111"/>
      <c r="M21" s="57"/>
    </row>
    <row r="22" spans="2:13">
      <c r="B22" s="107">
        <f t="shared" si="2"/>
        <v>2024</v>
      </c>
      <c r="C22" s="112"/>
      <c r="D22" s="109">
        <f t="shared" si="3"/>
        <v>51.88</v>
      </c>
      <c r="E22" s="109">
        <f t="shared" si="3"/>
        <v>85.67</v>
      </c>
      <c r="F22" s="109">
        <f t="shared" si="3"/>
        <v>9</v>
      </c>
      <c r="G22" s="111">
        <f t="shared" si="0"/>
        <v>111.69</v>
      </c>
      <c r="H22" s="111">
        <f t="shared" si="1"/>
        <v>163.57</v>
      </c>
      <c r="I22" s="111"/>
      <c r="J22" s="111"/>
      <c r="K22" s="111"/>
      <c r="M22" s="57"/>
    </row>
    <row r="23" spans="2:13">
      <c r="B23" s="107">
        <f t="shared" si="2"/>
        <v>2025</v>
      </c>
      <c r="C23" s="112"/>
      <c r="D23" s="109">
        <f t="shared" si="3"/>
        <v>53.07</v>
      </c>
      <c r="E23" s="109">
        <f t="shared" si="3"/>
        <v>87.64</v>
      </c>
      <c r="F23" s="109">
        <f t="shared" si="3"/>
        <v>9.2100000000000009</v>
      </c>
      <c r="G23" s="111">
        <f t="shared" si="0"/>
        <v>114.26</v>
      </c>
      <c r="H23" s="111">
        <f t="shared" si="1"/>
        <v>167.33</v>
      </c>
      <c r="I23" s="111"/>
      <c r="J23" s="111"/>
      <c r="K23" s="111"/>
      <c r="M23" s="57"/>
    </row>
    <row r="24" spans="2:13">
      <c r="B24" s="107">
        <f t="shared" si="2"/>
        <v>2026</v>
      </c>
      <c r="C24" s="112"/>
      <c r="D24" s="113">
        <f>ROUND(D23*(1+$G83),2)</f>
        <v>54.29</v>
      </c>
      <c r="E24" s="113">
        <f>ROUND(E23*(1+$G83),2)</f>
        <v>89.66</v>
      </c>
      <c r="F24" s="113">
        <f>ROUND(F23*(1+$G83),2)</f>
        <v>9.42</v>
      </c>
      <c r="G24" s="111">
        <f t="shared" si="0"/>
        <v>116.89</v>
      </c>
      <c r="H24" s="111">
        <f t="shared" si="1"/>
        <v>171.18</v>
      </c>
      <c r="I24" s="111"/>
      <c r="J24" s="111"/>
      <c r="K24" s="111"/>
      <c r="M24" s="57"/>
    </row>
    <row r="25" spans="2:13">
      <c r="B25" s="107">
        <f t="shared" si="2"/>
        <v>2027</v>
      </c>
      <c r="C25" s="112"/>
      <c r="D25" s="113">
        <f t="shared" ref="D25:F32" si="4">ROUND(D24*(1+$G84),2)</f>
        <v>55.54</v>
      </c>
      <c r="E25" s="113">
        <f t="shared" si="4"/>
        <v>91.72</v>
      </c>
      <c r="F25" s="113">
        <f t="shared" si="4"/>
        <v>9.64</v>
      </c>
      <c r="G25" s="111">
        <f t="shared" si="0"/>
        <v>119.59</v>
      </c>
      <c r="H25" s="111">
        <f t="shared" si="1"/>
        <v>175.13</v>
      </c>
      <c r="I25" s="111"/>
      <c r="J25" s="111"/>
      <c r="K25" s="111"/>
      <c r="M25" s="57"/>
    </row>
    <row r="26" spans="2:13">
      <c r="B26" s="107">
        <f t="shared" si="2"/>
        <v>2028</v>
      </c>
      <c r="C26" s="112"/>
      <c r="D26" s="113">
        <f t="shared" si="4"/>
        <v>56.82</v>
      </c>
      <c r="E26" s="113">
        <f t="shared" si="4"/>
        <v>93.83</v>
      </c>
      <c r="F26" s="113">
        <f t="shared" si="4"/>
        <v>9.86</v>
      </c>
      <c r="G26" s="111">
        <f t="shared" si="0"/>
        <v>122.33</v>
      </c>
      <c r="H26" s="111">
        <f t="shared" si="1"/>
        <v>179.15</v>
      </c>
      <c r="I26" s="111"/>
      <c r="J26" s="111"/>
      <c r="K26" s="111"/>
      <c r="M26" s="57"/>
    </row>
    <row r="27" spans="2:13">
      <c r="B27" s="107">
        <f t="shared" si="2"/>
        <v>2029</v>
      </c>
      <c r="C27" s="112"/>
      <c r="D27" s="113">
        <f t="shared" si="4"/>
        <v>58.13</v>
      </c>
      <c r="E27" s="113">
        <f t="shared" si="4"/>
        <v>95.99</v>
      </c>
      <c r="F27" s="113">
        <f t="shared" si="4"/>
        <v>10.09</v>
      </c>
      <c r="G27" s="111">
        <f t="shared" si="0"/>
        <v>125.16</v>
      </c>
      <c r="H27" s="111">
        <f t="shared" si="1"/>
        <v>183.29</v>
      </c>
      <c r="I27" s="111"/>
      <c r="J27" s="111"/>
      <c r="K27" s="111"/>
      <c r="M27" s="57"/>
    </row>
    <row r="28" spans="2:13" s="145" customFormat="1">
      <c r="B28" s="148">
        <f t="shared" si="2"/>
        <v>2030</v>
      </c>
      <c r="C28" s="149"/>
      <c r="D28" s="143">
        <f t="shared" si="4"/>
        <v>59.47</v>
      </c>
      <c r="E28" s="143">
        <f t="shared" si="4"/>
        <v>98.2</v>
      </c>
      <c r="F28" s="143">
        <f t="shared" si="4"/>
        <v>10.32</v>
      </c>
      <c r="G28" s="143">
        <f t="shared" si="0"/>
        <v>128.03</v>
      </c>
      <c r="H28" s="143">
        <f t="shared" si="1"/>
        <v>187.5</v>
      </c>
      <c r="I28" s="111"/>
      <c r="J28" s="111"/>
      <c r="K28" s="111"/>
      <c r="M28" s="67"/>
    </row>
    <row r="29" spans="2:13" s="145" customFormat="1">
      <c r="B29" s="148">
        <f t="shared" si="2"/>
        <v>2031</v>
      </c>
      <c r="C29" s="149"/>
      <c r="D29" s="143">
        <f t="shared" si="4"/>
        <v>60.84</v>
      </c>
      <c r="E29" s="143">
        <f t="shared" si="4"/>
        <v>100.46</v>
      </c>
      <c r="F29" s="143">
        <f t="shared" si="4"/>
        <v>10.56</v>
      </c>
      <c r="G29" s="143">
        <f t="shared" si="0"/>
        <v>130.99</v>
      </c>
      <c r="H29" s="143">
        <f t="shared" si="1"/>
        <v>191.83</v>
      </c>
      <c r="I29" s="111"/>
      <c r="J29" s="111"/>
      <c r="K29" s="111"/>
      <c r="M29" s="67"/>
    </row>
    <row r="30" spans="2:13" s="145" customFormat="1">
      <c r="B30" s="148">
        <f t="shared" si="2"/>
        <v>2032</v>
      </c>
      <c r="C30" s="149"/>
      <c r="D30" s="185">
        <f t="shared" si="4"/>
        <v>62.18</v>
      </c>
      <c r="E30" s="185">
        <f t="shared" si="4"/>
        <v>102.67</v>
      </c>
      <c r="F30" s="185">
        <f t="shared" si="4"/>
        <v>10.79</v>
      </c>
      <c r="G30" s="185">
        <f t="shared" si="0"/>
        <v>133.86000000000001</v>
      </c>
      <c r="H30" s="185">
        <f t="shared" si="1"/>
        <v>196.04</v>
      </c>
      <c r="I30" s="184"/>
      <c r="J30" s="184"/>
      <c r="K30" s="184"/>
      <c r="M30" s="67"/>
    </row>
    <row r="31" spans="2:13" s="145" customFormat="1">
      <c r="B31" s="148">
        <f t="shared" si="2"/>
        <v>2033</v>
      </c>
      <c r="C31" s="149"/>
      <c r="D31" s="143">
        <f t="shared" si="4"/>
        <v>63.55</v>
      </c>
      <c r="E31" s="143">
        <f t="shared" si="4"/>
        <v>104.93</v>
      </c>
      <c r="F31" s="143">
        <f t="shared" si="4"/>
        <v>11.03</v>
      </c>
      <c r="G31" s="143">
        <f t="shared" si="0"/>
        <v>136.82</v>
      </c>
      <c r="H31" s="143">
        <f t="shared" si="1"/>
        <v>200.37</v>
      </c>
      <c r="I31" s="111">
        <f>VLOOKUP(B31,'Table 4'!$B$13:$E$43,4,FALSE)</f>
        <v>5.53</v>
      </c>
      <c r="J31" s="111">
        <f t="shared" ref="J31:J40" si="5">ROUND($K$65*I31/1000,2)</f>
        <v>53.17</v>
      </c>
      <c r="K31" s="111">
        <f t="shared" ref="K31:K40" si="6">ROUND(H31*1000/8760/$G$65+J31,2)</f>
        <v>122.48</v>
      </c>
      <c r="M31" s="67"/>
    </row>
    <row r="32" spans="2:13" s="145" customFormat="1">
      <c r="B32" s="148">
        <f t="shared" si="2"/>
        <v>2034</v>
      </c>
      <c r="C32" s="149"/>
      <c r="D32" s="143">
        <f t="shared" si="4"/>
        <v>65.010000000000005</v>
      </c>
      <c r="E32" s="143">
        <f t="shared" si="4"/>
        <v>107.34</v>
      </c>
      <c r="F32" s="143">
        <f t="shared" si="4"/>
        <v>11.28</v>
      </c>
      <c r="G32" s="143">
        <f t="shared" si="0"/>
        <v>139.94999999999999</v>
      </c>
      <c r="H32" s="143">
        <f t="shared" si="1"/>
        <v>204.96</v>
      </c>
      <c r="I32" s="111">
        <f>VLOOKUP(B32,'Table 4'!$B$13:$E$43,4,FALSE)</f>
        <v>5.81</v>
      </c>
      <c r="J32" s="111">
        <f t="shared" si="5"/>
        <v>55.86</v>
      </c>
      <c r="K32" s="111">
        <f t="shared" si="6"/>
        <v>126.76</v>
      </c>
      <c r="M32" s="67"/>
    </row>
    <row r="33" spans="2:15">
      <c r="B33" s="107">
        <f t="shared" si="2"/>
        <v>2035</v>
      </c>
      <c r="C33" s="112"/>
      <c r="D33" s="111">
        <f>ROUND(D32*(1+$J83),2)</f>
        <v>66.510000000000005</v>
      </c>
      <c r="E33" s="109">
        <f>ROUND(E32*(1+$J83),2)</f>
        <v>109.81</v>
      </c>
      <c r="F33" s="109">
        <f>ROUND(F32*(1+$J83),2)</f>
        <v>11.54</v>
      </c>
      <c r="G33" s="111">
        <f t="shared" si="0"/>
        <v>143.16999999999999</v>
      </c>
      <c r="H33" s="111">
        <f t="shared" si="1"/>
        <v>209.68</v>
      </c>
      <c r="I33" s="111">
        <f>VLOOKUP(B33,'Table 4'!$B$13:$E$43,4,FALSE)</f>
        <v>6.03</v>
      </c>
      <c r="J33" s="111">
        <f t="shared" si="5"/>
        <v>57.97</v>
      </c>
      <c r="K33" s="111">
        <f t="shared" si="6"/>
        <v>130.5</v>
      </c>
      <c r="M33" s="67"/>
    </row>
    <row r="34" spans="2:15">
      <c r="B34" s="107">
        <f t="shared" si="2"/>
        <v>2036</v>
      </c>
      <c r="C34" s="112"/>
      <c r="D34" s="111">
        <f t="shared" ref="D34:F40" si="7">ROUND(D33*(1+$J84),2)</f>
        <v>68.040000000000006</v>
      </c>
      <c r="E34" s="109">
        <f t="shared" si="7"/>
        <v>112.34</v>
      </c>
      <c r="F34" s="109">
        <f t="shared" si="7"/>
        <v>11.81</v>
      </c>
      <c r="G34" s="111">
        <f t="shared" si="0"/>
        <v>146.47999999999999</v>
      </c>
      <c r="H34" s="111">
        <f t="shared" si="1"/>
        <v>214.52</v>
      </c>
      <c r="I34" s="111">
        <f>VLOOKUP(B34,'Table 4'!$B$13:$E$43,4,FALSE)</f>
        <v>6.4</v>
      </c>
      <c r="J34" s="111">
        <f t="shared" si="5"/>
        <v>61.53</v>
      </c>
      <c r="K34" s="111">
        <f t="shared" si="6"/>
        <v>135.74</v>
      </c>
      <c r="M34" s="67"/>
    </row>
    <row r="35" spans="2:15">
      <c r="B35" s="107">
        <f t="shared" si="2"/>
        <v>2037</v>
      </c>
      <c r="C35" s="112"/>
      <c r="D35" s="111">
        <f t="shared" si="7"/>
        <v>69.540000000000006</v>
      </c>
      <c r="E35" s="109">
        <f t="shared" si="7"/>
        <v>114.81</v>
      </c>
      <c r="F35" s="109">
        <f t="shared" si="7"/>
        <v>12.07</v>
      </c>
      <c r="G35" s="111">
        <f t="shared" si="0"/>
        <v>149.69999999999999</v>
      </c>
      <c r="H35" s="111">
        <f t="shared" si="1"/>
        <v>219.24</v>
      </c>
      <c r="I35" s="111">
        <f>VLOOKUP(B35,'Table 4'!$B$13:$E$43,4,FALSE)</f>
        <v>6.58</v>
      </c>
      <c r="J35" s="111">
        <f t="shared" si="5"/>
        <v>63.26</v>
      </c>
      <c r="K35" s="111">
        <f t="shared" si="6"/>
        <v>139.1</v>
      </c>
      <c r="M35" s="67"/>
    </row>
    <row r="36" spans="2:15">
      <c r="B36" s="107">
        <f t="shared" si="2"/>
        <v>2038</v>
      </c>
      <c r="C36" s="112"/>
      <c r="D36" s="111">
        <f t="shared" si="7"/>
        <v>71.069999999999993</v>
      </c>
      <c r="E36" s="109">
        <f t="shared" si="7"/>
        <v>117.34</v>
      </c>
      <c r="F36" s="109">
        <f t="shared" si="7"/>
        <v>12.34</v>
      </c>
      <c r="G36" s="111">
        <f t="shared" si="0"/>
        <v>153.01</v>
      </c>
      <c r="H36" s="111">
        <f t="shared" si="1"/>
        <v>224.08</v>
      </c>
      <c r="I36" s="111">
        <f>VLOOKUP(B36,'Table 4'!$B$13:$E$43,4,FALSE)</f>
        <v>6.87</v>
      </c>
      <c r="J36" s="111">
        <f t="shared" si="5"/>
        <v>66.05</v>
      </c>
      <c r="K36" s="111">
        <f t="shared" si="6"/>
        <v>143.56</v>
      </c>
      <c r="M36" s="67"/>
    </row>
    <row r="37" spans="2:15">
      <c r="B37" s="107">
        <f t="shared" si="2"/>
        <v>2039</v>
      </c>
      <c r="C37" s="112"/>
      <c r="D37" s="111">
        <f t="shared" si="7"/>
        <v>72.63</v>
      </c>
      <c r="E37" s="109">
        <f t="shared" si="7"/>
        <v>119.92</v>
      </c>
      <c r="F37" s="109">
        <f t="shared" si="7"/>
        <v>12.61</v>
      </c>
      <c r="G37" s="111">
        <f t="shared" si="0"/>
        <v>156.37</v>
      </c>
      <c r="H37" s="111">
        <f t="shared" si="1"/>
        <v>229</v>
      </c>
      <c r="I37" s="111">
        <f>VLOOKUP(B37,'Table 4'!$B$13:$E$43,4,FALSE)</f>
        <v>7.03</v>
      </c>
      <c r="J37" s="111">
        <f t="shared" si="5"/>
        <v>67.59</v>
      </c>
      <c r="K37" s="111">
        <f t="shared" si="6"/>
        <v>146.81</v>
      </c>
      <c r="M37" s="67"/>
    </row>
    <row r="38" spans="2:15">
      <c r="B38" s="107">
        <f t="shared" si="2"/>
        <v>2040</v>
      </c>
      <c r="C38" s="112"/>
      <c r="D38" s="111">
        <f t="shared" si="7"/>
        <v>74.23</v>
      </c>
      <c r="E38" s="109">
        <f t="shared" si="7"/>
        <v>122.56</v>
      </c>
      <c r="F38" s="109">
        <f t="shared" si="7"/>
        <v>12.89</v>
      </c>
      <c r="G38" s="111">
        <f t="shared" si="0"/>
        <v>159.82</v>
      </c>
      <c r="H38" s="111">
        <f t="shared" si="1"/>
        <v>234.05</v>
      </c>
      <c r="I38" s="111">
        <f>VLOOKUP(B38,'Table 4'!$B$13:$E$43,4,FALSE)</f>
        <v>7.21</v>
      </c>
      <c r="J38" s="111">
        <f t="shared" si="5"/>
        <v>69.319999999999993</v>
      </c>
      <c r="K38" s="111">
        <f t="shared" si="6"/>
        <v>150.28</v>
      </c>
      <c r="M38" s="67"/>
    </row>
    <row r="39" spans="2:15">
      <c r="B39" s="107">
        <f t="shared" si="2"/>
        <v>2041</v>
      </c>
      <c r="C39" s="112"/>
      <c r="D39" s="111">
        <f t="shared" si="7"/>
        <v>75.86</v>
      </c>
      <c r="E39" s="109">
        <f t="shared" si="7"/>
        <v>125.26</v>
      </c>
      <c r="F39" s="109">
        <f t="shared" si="7"/>
        <v>13.17</v>
      </c>
      <c r="G39" s="111">
        <f t="shared" si="0"/>
        <v>163.33000000000001</v>
      </c>
      <c r="H39" s="111">
        <f t="shared" si="1"/>
        <v>239.19</v>
      </c>
      <c r="I39" s="111">
        <f>VLOOKUP(B39,'Table 4'!$B$13:$E$43,4,FALSE)</f>
        <v>7.37</v>
      </c>
      <c r="J39" s="111">
        <f t="shared" si="5"/>
        <v>70.86</v>
      </c>
      <c r="K39" s="111">
        <f t="shared" si="6"/>
        <v>153.6</v>
      </c>
      <c r="M39" s="67"/>
    </row>
    <row r="40" spans="2:15">
      <c r="B40" s="107">
        <f t="shared" si="2"/>
        <v>2042</v>
      </c>
      <c r="C40" s="112"/>
      <c r="D40" s="111">
        <f t="shared" si="7"/>
        <v>77.53</v>
      </c>
      <c r="E40" s="109">
        <f t="shared" si="7"/>
        <v>128.02000000000001</v>
      </c>
      <c r="F40" s="109">
        <f t="shared" si="7"/>
        <v>13.46</v>
      </c>
      <c r="G40" s="111">
        <f t="shared" si="0"/>
        <v>166.93</v>
      </c>
      <c r="H40" s="111">
        <f t="shared" si="1"/>
        <v>244.46</v>
      </c>
      <c r="I40" s="111">
        <f>VLOOKUP(B40,'Table 4'!$B$13:$E$43,4,FALSE)</f>
        <v>5.03</v>
      </c>
      <c r="J40" s="111">
        <f t="shared" si="5"/>
        <v>48.36</v>
      </c>
      <c r="K40" s="111">
        <f t="shared" si="6"/>
        <v>132.91999999999999</v>
      </c>
      <c r="M40" s="67"/>
    </row>
    <row r="41" spans="2:15">
      <c r="B41" s="107"/>
      <c r="C41" s="112"/>
      <c r="D41" s="111"/>
      <c r="E41" s="109"/>
      <c r="F41" s="109"/>
      <c r="G41" s="111"/>
      <c r="H41" s="111"/>
      <c r="I41" s="111"/>
      <c r="J41" s="111"/>
      <c r="K41" s="111"/>
    </row>
    <row r="42" spans="2:15">
      <c r="B42" s="107"/>
      <c r="C42" s="112"/>
      <c r="D42" s="111"/>
      <c r="E42" s="109"/>
      <c r="F42" s="109"/>
      <c r="G42" s="111"/>
      <c r="H42" s="111"/>
      <c r="I42" s="111"/>
      <c r="J42" s="111"/>
      <c r="K42" s="111"/>
    </row>
    <row r="43" spans="2:15">
      <c r="M43" s="107"/>
      <c r="O43" s="114"/>
    </row>
    <row r="44" spans="2:15" ht="14.25">
      <c r="B44" s="5" t="s">
        <v>31</v>
      </c>
      <c r="C44" s="24"/>
      <c r="D44" s="24"/>
      <c r="E44" s="24"/>
      <c r="F44" s="24"/>
      <c r="G44" s="24"/>
      <c r="H44" s="24"/>
      <c r="I44" s="24"/>
      <c r="J44" s="24"/>
      <c r="K44" s="24"/>
      <c r="M44" s="107"/>
      <c r="N44" s="114"/>
      <c r="O44" s="114"/>
    </row>
    <row r="46" spans="2:15">
      <c r="B46" s="104" t="s">
        <v>16</v>
      </c>
      <c r="D46" s="115" t="str">
        <f>'Table 3 436MW (West M) 2030'!D46</f>
        <v xml:space="preserve">Plant Costs  - 2017 IRP - Table 6.1 &amp; 6.2 </v>
      </c>
    </row>
    <row r="47" spans="2:15">
      <c r="C47" s="116" t="str">
        <f>D10</f>
        <v>(b)</v>
      </c>
      <c r="D47" s="111" t="str">
        <f>"= "&amp;C10&amp;" x "&amp;C76</f>
        <v>= (a) x 0.0737263117964292</v>
      </c>
    </row>
    <row r="48" spans="2:15">
      <c r="C48" s="116" t="str">
        <f>G10</f>
        <v>(e)</v>
      </c>
      <c r="D48" s="111" t="str">
        <f>"= "&amp;$F$10&amp;" x  (8.76 x "&amp;TEXT(G65,"0.0%")&amp;") + "&amp;$E$10</f>
        <v>= (d) x  (8.76 x 33.0%) + (c)</v>
      </c>
    </row>
    <row r="49" spans="3:11">
      <c r="C49" s="116" t="str">
        <f>H10</f>
        <v>(f)</v>
      </c>
      <c r="D49" s="111" t="str">
        <f>"= "&amp;D10&amp;" + "&amp;G10</f>
        <v>= (b) + (e)</v>
      </c>
    </row>
    <row r="50" spans="3:11">
      <c r="C50" s="116" t="str">
        <f>I10</f>
        <v>(g)</v>
      </c>
      <c r="D50" s="144" t="str">
        <f>'Table 4'!B3&amp;" - "&amp;'Table 4'!B4</f>
        <v>Table 4 - Burnertip Natural Gas Price Forecast</v>
      </c>
    </row>
    <row r="51" spans="3:11">
      <c r="C51" s="116" t="str">
        <f>J10</f>
        <v>(h)</v>
      </c>
      <c r="D51" s="111" t="str">
        <f>"= "&amp;TEXT(K65,"?,0")&amp;" MMBtu/MWH x "&amp;I9</f>
        <v>= 9,614 MMBtu/MWH x $/MMBtu</v>
      </c>
    </row>
    <row r="52" spans="3:11">
      <c r="C52" s="116" t="str">
        <f>K10</f>
        <v>(i)</v>
      </c>
      <c r="D52" s="111" t="str">
        <f>"= "&amp;H10&amp;" / (8.76 x 'Capacity Factor' ) + "&amp;J10</f>
        <v>= (f) / (8.76 x 'Capacity Factor' ) + (h)</v>
      </c>
    </row>
    <row r="53" spans="3:11" ht="13.5" thickBot="1"/>
    <row r="54" spans="3:11" ht="13.5" thickBot="1">
      <c r="C54" s="58" t="s">
        <v>110</v>
      </c>
      <c r="D54" s="55"/>
      <c r="E54" s="55"/>
      <c r="F54" s="55"/>
      <c r="G54" s="55"/>
      <c r="H54" s="55"/>
      <c r="I54" s="55"/>
      <c r="J54" s="56"/>
      <c r="K54" s="117"/>
    </row>
    <row r="55" spans="3:11" ht="5.25" customHeight="1"/>
    <row r="56" spans="3:11" ht="5.25" customHeight="1"/>
    <row r="57" spans="3:11">
      <c r="C57" s="42" t="s">
        <v>40</v>
      </c>
      <c r="D57" s="32"/>
      <c r="E57" s="42"/>
      <c r="F57" s="41" t="s">
        <v>41</v>
      </c>
      <c r="G57" s="41" t="s">
        <v>42</v>
      </c>
      <c r="H57" s="41" t="s">
        <v>43</v>
      </c>
      <c r="I57" s="41" t="s">
        <v>44</v>
      </c>
    </row>
    <row r="58" spans="3:11">
      <c r="C58" s="145" t="s">
        <v>108</v>
      </c>
      <c r="F58" s="118">
        <f>C69</f>
        <v>199.924125</v>
      </c>
      <c r="G58" s="57">
        <f>F58/F60</f>
        <v>1</v>
      </c>
      <c r="H58" s="132">
        <f>C70</f>
        <v>589.49609575732859</v>
      </c>
      <c r="I58" s="134">
        <f>C73</f>
        <v>71.702024758449483</v>
      </c>
    </row>
    <row r="59" spans="3:11">
      <c r="C59" s="145"/>
      <c r="F59" s="48">
        <f>D69</f>
        <v>0</v>
      </c>
      <c r="G59" s="44">
        <f>1-G58</f>
        <v>0</v>
      </c>
      <c r="H59" s="133">
        <f>D70</f>
        <v>0</v>
      </c>
      <c r="I59" s="135">
        <f>D73</f>
        <v>0</v>
      </c>
    </row>
    <row r="60" spans="3:11">
      <c r="C60" s="145" t="s">
        <v>45</v>
      </c>
      <c r="F60" s="118">
        <f>F58+F59</f>
        <v>199.924125</v>
      </c>
      <c r="G60" s="57">
        <f>G58+G59</f>
        <v>1</v>
      </c>
      <c r="H60" s="132">
        <f>ROUND(((F58*H58)+(F59*H59))/F60,0)</f>
        <v>589</v>
      </c>
      <c r="I60" s="134">
        <f>ROUND(((F58*I58)+(F59*I59))/F60,2)</f>
        <v>71.7</v>
      </c>
    </row>
    <row r="61" spans="3:11">
      <c r="C61" s="145"/>
      <c r="F61" s="118"/>
      <c r="G61" s="57"/>
      <c r="H61" s="119"/>
      <c r="I61" s="120"/>
    </row>
    <row r="62" spans="3:11">
      <c r="C62" s="146" t="s">
        <v>40</v>
      </c>
      <c r="D62" s="32"/>
      <c r="E62" s="42"/>
      <c r="F62" s="41" t="s">
        <v>41</v>
      </c>
      <c r="G62" s="41" t="s">
        <v>46</v>
      </c>
      <c r="H62" s="41" t="s">
        <v>47</v>
      </c>
      <c r="I62" s="41" t="s">
        <v>42</v>
      </c>
      <c r="J62" s="41" t="s">
        <v>48</v>
      </c>
      <c r="K62" s="41" t="s">
        <v>49</v>
      </c>
    </row>
    <row r="63" spans="3:11">
      <c r="C63" s="147" t="str">
        <f>C58</f>
        <v>SCCT Dry "F" - Turbine</v>
      </c>
      <c r="D63" s="121"/>
      <c r="E63" s="121"/>
      <c r="F63" s="104">
        <f>C69</f>
        <v>199.924125</v>
      </c>
      <c r="G63" s="57">
        <f>C77</f>
        <v>0.33</v>
      </c>
      <c r="H63" s="168">
        <f>G63*F63</f>
        <v>65.974961250000007</v>
      </c>
      <c r="I63" s="57">
        <f>H63/H65</f>
        <v>1</v>
      </c>
      <c r="J63" s="120">
        <f>C74</f>
        <v>7.5299874286936257</v>
      </c>
      <c r="K63" s="122">
        <f>C75</f>
        <v>9614</v>
      </c>
    </row>
    <row r="64" spans="3:11">
      <c r="C64" s="147">
        <f>C59</f>
        <v>0</v>
      </c>
      <c r="D64" s="121"/>
      <c r="E64" s="121"/>
      <c r="F64" s="43">
        <f>D69</f>
        <v>0</v>
      </c>
      <c r="G64" s="44">
        <f>D77</f>
        <v>0</v>
      </c>
      <c r="H64" s="169">
        <f>G64*F64</f>
        <v>0</v>
      </c>
      <c r="I64" s="44">
        <f>1-I63</f>
        <v>0</v>
      </c>
      <c r="J64" s="45">
        <f>D74</f>
        <v>0</v>
      </c>
      <c r="K64" s="46">
        <f>D75</f>
        <v>0</v>
      </c>
    </row>
    <row r="65" spans="2:11">
      <c r="C65" s="145" t="s">
        <v>50</v>
      </c>
      <c r="F65" s="104">
        <f>F63+F64</f>
        <v>199.924125</v>
      </c>
      <c r="G65" s="123">
        <f>ROUND(H65/F65,3)</f>
        <v>0.33</v>
      </c>
      <c r="H65" s="168">
        <f>SUM(H63:H64)</f>
        <v>65.974961250000007</v>
      </c>
      <c r="I65" s="57">
        <f>I63+I64</f>
        <v>1</v>
      </c>
      <c r="J65" s="120">
        <f>ROUND(($I63*J63)+($I64*J64),2)</f>
        <v>7.53</v>
      </c>
      <c r="K65" s="124">
        <f>ROUND(($I63*K63)+($I64*K64),0)</f>
        <v>9614</v>
      </c>
    </row>
    <row r="66" spans="2:11">
      <c r="G66" s="123"/>
      <c r="I66" s="57"/>
      <c r="J66" s="120"/>
      <c r="K66" s="47" t="s">
        <v>51</v>
      </c>
    </row>
    <row r="68" spans="2:11">
      <c r="C68" s="41" t="s">
        <v>107</v>
      </c>
      <c r="D68" s="41" t="s">
        <v>35</v>
      </c>
      <c r="E68" s="59" t="str">
        <f>D46</f>
        <v xml:space="preserve">Plant Costs  - 2017 IRP - Table 6.1 &amp; 6.2 </v>
      </c>
      <c r="F68" s="125"/>
      <c r="G68" s="125"/>
      <c r="H68" s="125"/>
      <c r="I68" s="125"/>
      <c r="J68" s="125"/>
      <c r="K68" s="126"/>
    </row>
    <row r="69" spans="2:11">
      <c r="C69" s="104">
        <v>199.924125</v>
      </c>
      <c r="E69" s="104" t="s">
        <v>77</v>
      </c>
      <c r="H69" s="127"/>
    </row>
    <row r="70" spans="2:11">
      <c r="B70" s="104" t="s">
        <v>105</v>
      </c>
      <c r="C70" s="119">
        <v>589.49609575732859</v>
      </c>
      <c r="D70" s="119"/>
      <c r="E70" s="104" t="s">
        <v>78</v>
      </c>
    </row>
    <row r="71" spans="2:11">
      <c r="B71" s="104" t="s">
        <v>105</v>
      </c>
      <c r="C71" s="120">
        <v>16.0158293408495</v>
      </c>
      <c r="D71" s="120"/>
      <c r="E71" s="104" t="s">
        <v>79</v>
      </c>
    </row>
    <row r="72" spans="2:11">
      <c r="B72" s="104" t="s">
        <v>105</v>
      </c>
      <c r="C72" s="49">
        <v>55.68619541759999</v>
      </c>
      <c r="D72" s="49"/>
      <c r="E72" s="104" t="s">
        <v>75</v>
      </c>
    </row>
    <row r="73" spans="2:11">
      <c r="B73" s="104" t="s">
        <v>105</v>
      </c>
      <c r="C73" s="120">
        <f>C71+C72</f>
        <v>71.702024758449483</v>
      </c>
      <c r="D73" s="120"/>
      <c r="E73" s="104" t="s">
        <v>80</v>
      </c>
    </row>
    <row r="74" spans="2:11">
      <c r="B74" s="104" t="s">
        <v>105</v>
      </c>
      <c r="C74" s="120">
        <v>7.5299874286936257</v>
      </c>
      <c r="D74" s="120"/>
      <c r="E74" s="104" t="s">
        <v>81</v>
      </c>
    </row>
    <row r="75" spans="2:11">
      <c r="C75" s="124">
        <v>9614</v>
      </c>
      <c r="D75" s="124"/>
      <c r="E75" s="104" t="s">
        <v>53</v>
      </c>
    </row>
    <row r="76" spans="2:11">
      <c r="C76" s="142">
        <v>7.3726311796429175E-2</v>
      </c>
      <c r="D76" s="142"/>
      <c r="E76" s="104" t="s">
        <v>54</v>
      </c>
    </row>
    <row r="77" spans="2:11">
      <c r="C77" s="128">
        <v>0.33</v>
      </c>
      <c r="D77" s="128"/>
      <c r="E77" s="104" t="s">
        <v>55</v>
      </c>
    </row>
    <row r="78" spans="2:11">
      <c r="D78" s="57">
        <f>ROUND(H65/F65,3)</f>
        <v>0.33</v>
      </c>
      <c r="E78" s="104" t="s">
        <v>56</v>
      </c>
    </row>
    <row r="79" spans="2:11">
      <c r="D79" s="123"/>
      <c r="E79" s="67"/>
    </row>
    <row r="80" spans="2:11">
      <c r="C80" s="128"/>
      <c r="D80" s="128"/>
    </row>
    <row r="82" spans="3:15" ht="13.5" thickBot="1">
      <c r="C82" s="54" t="str">
        <f>"Company Official Inflation Forecast Dated "&amp;TEXT('Table 4'!$G$5,"mmmm dd, yyyy")</f>
        <v>Company Official Inflation Forecast Dated December 29, 2017</v>
      </c>
      <c r="D82" s="55"/>
      <c r="E82" s="55"/>
      <c r="F82" s="55"/>
      <c r="G82" s="55"/>
      <c r="H82" s="55"/>
      <c r="I82" s="55"/>
      <c r="J82" s="56"/>
      <c r="K82" s="117"/>
    </row>
    <row r="83" spans="3:15">
      <c r="C83" s="129">
        <v>2017</v>
      </c>
      <c r="D83" s="57">
        <v>0.02</v>
      </c>
      <c r="F83" s="129">
        <f>C91+1</f>
        <v>2026</v>
      </c>
      <c r="G83" s="57">
        <v>2.3E-2</v>
      </c>
      <c r="I83" s="129">
        <f>F91+1</f>
        <v>2035</v>
      </c>
      <c r="J83" s="57">
        <v>2.3E-2</v>
      </c>
    </row>
    <row r="84" spans="3:15">
      <c r="C84" s="129">
        <f t="shared" ref="C84:C91" si="8">C83+1</f>
        <v>2018</v>
      </c>
      <c r="D84" s="57">
        <v>1.9E-2</v>
      </c>
      <c r="F84" s="129">
        <f t="shared" ref="F84:F91" si="9">F83+1</f>
        <v>2027</v>
      </c>
      <c r="G84" s="57">
        <v>2.3E-2</v>
      </c>
      <c r="I84" s="129">
        <f t="shared" ref="I84:I91" si="10">I83+1</f>
        <v>2036</v>
      </c>
      <c r="J84" s="57">
        <v>2.3E-2</v>
      </c>
    </row>
    <row r="85" spans="3:15">
      <c r="C85" s="129">
        <f t="shared" si="8"/>
        <v>2019</v>
      </c>
      <c r="D85" s="57">
        <v>2.1999999999999999E-2</v>
      </c>
      <c r="F85" s="129">
        <f t="shared" si="9"/>
        <v>2028</v>
      </c>
      <c r="G85" s="57">
        <v>2.3E-2</v>
      </c>
      <c r="I85" s="129">
        <f t="shared" si="10"/>
        <v>2037</v>
      </c>
      <c r="J85" s="57">
        <v>2.1999999999999999E-2</v>
      </c>
    </row>
    <row r="86" spans="3:15">
      <c r="C86" s="129">
        <f t="shared" si="8"/>
        <v>2020</v>
      </c>
      <c r="D86" s="57">
        <v>2.5999999999999999E-2</v>
      </c>
      <c r="F86" s="129">
        <f t="shared" si="9"/>
        <v>2029</v>
      </c>
      <c r="G86" s="57">
        <v>2.3E-2</v>
      </c>
      <c r="I86" s="129">
        <f t="shared" si="10"/>
        <v>2038</v>
      </c>
      <c r="J86" s="57">
        <v>2.1999999999999999E-2</v>
      </c>
    </row>
    <row r="87" spans="3:15">
      <c r="C87" s="129">
        <f t="shared" si="8"/>
        <v>2021</v>
      </c>
      <c r="D87" s="57">
        <v>2.4E-2</v>
      </c>
      <c r="F87" s="129">
        <f t="shared" si="9"/>
        <v>2030</v>
      </c>
      <c r="G87" s="57">
        <v>2.3E-2</v>
      </c>
      <c r="I87" s="129">
        <f t="shared" si="10"/>
        <v>2039</v>
      </c>
      <c r="J87" s="57">
        <v>2.1999999999999999E-2</v>
      </c>
    </row>
    <row r="88" spans="3:15">
      <c r="C88" s="129">
        <f t="shared" si="8"/>
        <v>2022</v>
      </c>
      <c r="D88" s="57">
        <v>2.3E-2</v>
      </c>
      <c r="F88" s="129">
        <f t="shared" si="9"/>
        <v>2031</v>
      </c>
      <c r="G88" s="57">
        <v>2.3E-2</v>
      </c>
      <c r="I88" s="129">
        <f t="shared" si="10"/>
        <v>2040</v>
      </c>
      <c r="J88" s="57">
        <v>2.1999999999999999E-2</v>
      </c>
    </row>
    <row r="89" spans="3:15" s="106" customFormat="1">
      <c r="C89" s="129">
        <f t="shared" si="8"/>
        <v>2023</v>
      </c>
      <c r="D89" s="57">
        <v>2.3E-2</v>
      </c>
      <c r="F89" s="129">
        <f t="shared" si="9"/>
        <v>2032</v>
      </c>
      <c r="G89" s="57">
        <v>2.1999999999999999E-2</v>
      </c>
      <c r="I89" s="129">
        <f t="shared" si="10"/>
        <v>2041</v>
      </c>
      <c r="J89" s="57">
        <v>2.1999999999999999E-2</v>
      </c>
      <c r="N89" s="104"/>
      <c r="O89" s="104"/>
    </row>
    <row r="90" spans="3:15" s="106" customFormat="1">
      <c r="C90" s="129">
        <f t="shared" si="8"/>
        <v>2024</v>
      </c>
      <c r="D90" s="57">
        <v>2.3E-2</v>
      </c>
      <c r="F90" s="129">
        <f t="shared" si="9"/>
        <v>2033</v>
      </c>
      <c r="G90" s="57">
        <v>2.1999999999999999E-2</v>
      </c>
      <c r="I90" s="129">
        <f t="shared" si="10"/>
        <v>2042</v>
      </c>
      <c r="J90" s="57">
        <v>2.1999999999999999E-2</v>
      </c>
      <c r="N90" s="104"/>
      <c r="O90" s="104"/>
    </row>
    <row r="91" spans="3:15" s="106" customFormat="1">
      <c r="C91" s="129">
        <f t="shared" si="8"/>
        <v>2025</v>
      </c>
      <c r="D91" s="57">
        <v>2.3E-2</v>
      </c>
      <c r="F91" s="129">
        <f t="shared" si="9"/>
        <v>2034</v>
      </c>
      <c r="G91" s="57">
        <v>2.3E-2</v>
      </c>
      <c r="I91" s="129">
        <f t="shared" si="10"/>
        <v>2043</v>
      </c>
      <c r="J91" s="57">
        <v>2.3E-2</v>
      </c>
      <c r="N91" s="104"/>
      <c r="O91" s="104"/>
    </row>
    <row r="92" spans="3:15" s="106" customFormat="1">
      <c r="N92" s="104"/>
      <c r="O92" s="104"/>
    </row>
    <row r="93" spans="3:15" s="106" customFormat="1">
      <c r="N93" s="104"/>
      <c r="O93" s="104"/>
    </row>
    <row r="94" spans="3:15">
      <c r="D94" s="136"/>
    </row>
    <row r="95" spans="3:15">
      <c r="D95" s="136"/>
    </row>
  </sheetData>
  <printOptions horizontalCentered="1"/>
  <pageMargins left="0.25" right="0.25" top="0.75" bottom="0.75" header="0.3" footer="0.3"/>
  <pageSetup scale="96" fitToHeight="0" orientation="portrait" r:id="rId1"/>
  <headerFooter alignWithMargins="0"/>
  <rowBreaks count="1" manualBreakCount="1">
    <brk id="52" max="10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02"/>
  <sheetViews>
    <sheetView view="pageBreakPreview" zoomScale="60" zoomScaleNormal="100" workbookViewId="0">
      <selection activeCell="W53" sqref="W53"/>
    </sheetView>
  </sheetViews>
  <sheetFormatPr defaultColWidth="9.33203125" defaultRowHeight="12.75"/>
  <cols>
    <col min="1" max="1" width="1.5" style="188" customWidth="1"/>
    <col min="2" max="2" width="10.83203125" style="188" customWidth="1"/>
    <col min="3" max="3" width="14.1640625" style="188" customWidth="1"/>
    <col min="4" max="4" width="12.33203125" style="188" customWidth="1"/>
    <col min="5" max="5" width="9.1640625" style="188" customWidth="1"/>
    <col min="6" max="6" width="9.83203125" style="188" bestFit="1" customWidth="1"/>
    <col min="7" max="7" width="9.83203125" style="188" customWidth="1"/>
    <col min="8" max="8" width="10.5" style="188" customWidth="1"/>
    <col min="9" max="10" width="12.5" style="188" customWidth="1"/>
    <col min="11" max="11" width="11.6640625" style="188" customWidth="1"/>
    <col min="12" max="15" width="9.33203125" style="188"/>
    <col min="16" max="16" width="0" style="188" hidden="1" customWidth="1"/>
    <col min="17" max="16384" width="9.33203125" style="188"/>
  </cols>
  <sheetData>
    <row r="1" spans="2:18" ht="15.75">
      <c r="B1" s="186" t="s">
        <v>85</v>
      </c>
      <c r="C1" s="187"/>
      <c r="D1" s="187"/>
      <c r="E1" s="187"/>
      <c r="F1" s="187"/>
      <c r="G1" s="187"/>
      <c r="H1" s="187"/>
      <c r="I1" s="187"/>
      <c r="J1" s="187"/>
    </row>
    <row r="2" spans="2:18" ht="15.75">
      <c r="B2" s="186" t="s">
        <v>163</v>
      </c>
      <c r="C2" s="187"/>
      <c r="D2" s="187"/>
      <c r="E2" s="187"/>
      <c r="F2" s="187"/>
      <c r="G2" s="187"/>
      <c r="H2" s="187"/>
      <c r="I2" s="187"/>
      <c r="J2" s="187"/>
    </row>
    <row r="3" spans="2:18" ht="15.75">
      <c r="B3" s="186" t="str">
        <f>TEXT($C$63,"0%")&amp;" Capacity Factor"</f>
        <v>38% Capacity Factor</v>
      </c>
      <c r="C3" s="187"/>
      <c r="D3" s="187"/>
      <c r="E3" s="187"/>
      <c r="F3" s="187"/>
      <c r="G3" s="187"/>
      <c r="H3" s="187"/>
      <c r="I3" s="187"/>
      <c r="J3" s="187"/>
    </row>
    <row r="4" spans="2:18">
      <c r="B4" s="189"/>
      <c r="C4" s="189"/>
      <c r="D4" s="189"/>
      <c r="E4" s="189"/>
      <c r="F4" s="189"/>
      <c r="G4" s="189"/>
      <c r="H4" s="189"/>
      <c r="I4" s="190"/>
      <c r="J4" s="190"/>
      <c r="K4" s="190"/>
    </row>
    <row r="5" spans="2:18" ht="51.75" customHeight="1">
      <c r="B5" s="191" t="s">
        <v>0</v>
      </c>
      <c r="C5" s="192" t="s">
        <v>10</v>
      </c>
      <c r="D5" s="192" t="s">
        <v>11</v>
      </c>
      <c r="E5" s="192" t="s">
        <v>12</v>
      </c>
      <c r="F5" s="192" t="s">
        <v>111</v>
      </c>
      <c r="G5" s="19" t="s">
        <v>13</v>
      </c>
      <c r="H5" s="192" t="s">
        <v>112</v>
      </c>
      <c r="I5" s="19" t="s">
        <v>73</v>
      </c>
      <c r="J5" s="19" t="s">
        <v>73</v>
      </c>
      <c r="K5" s="192" t="s">
        <v>113</v>
      </c>
      <c r="P5" s="192" t="s">
        <v>112</v>
      </c>
    </row>
    <row r="6" spans="2:18" ht="24" customHeight="1">
      <c r="B6" s="193"/>
      <c r="C6" s="194" t="s">
        <v>8</v>
      </c>
      <c r="D6" s="195" t="s">
        <v>9</v>
      </c>
      <c r="E6" s="195" t="s">
        <v>9</v>
      </c>
      <c r="F6" s="194" t="s">
        <v>39</v>
      </c>
      <c r="G6" s="22" t="s">
        <v>39</v>
      </c>
      <c r="H6" s="194" t="s">
        <v>39</v>
      </c>
      <c r="I6" s="194" t="s">
        <v>39</v>
      </c>
      <c r="J6" s="23" t="s">
        <v>9</v>
      </c>
      <c r="K6" s="194" t="s">
        <v>39</v>
      </c>
    </row>
    <row r="7" spans="2:18">
      <c r="C7" s="196" t="s">
        <v>1</v>
      </c>
      <c r="D7" s="196" t="s">
        <v>2</v>
      </c>
      <c r="E7" s="196" t="s">
        <v>3</v>
      </c>
      <c r="F7" s="196" t="s">
        <v>4</v>
      </c>
      <c r="G7" s="196" t="s">
        <v>5</v>
      </c>
      <c r="H7" s="196" t="s">
        <v>7</v>
      </c>
      <c r="I7" s="196" t="s">
        <v>28</v>
      </c>
      <c r="J7" s="196" t="s">
        <v>29</v>
      </c>
      <c r="K7" s="196" t="s">
        <v>29</v>
      </c>
    </row>
    <row r="8" spans="2:18" ht="6" customHeight="1">
      <c r="K8" s="190"/>
    </row>
    <row r="9" spans="2:18" ht="15.75">
      <c r="B9" s="60" t="str">
        <f>C52</f>
        <v>2017 IRP ID Wind Resource - 38% Capacity Factor</v>
      </c>
      <c r="C9" s="190"/>
      <c r="E9" s="190"/>
      <c r="F9" s="190"/>
      <c r="G9" s="190"/>
      <c r="H9" s="190"/>
      <c r="I9" s="190"/>
      <c r="J9" s="190"/>
      <c r="K9" s="190"/>
    </row>
    <row r="10" spans="2:18">
      <c r="B10" s="197">
        <v>2016</v>
      </c>
      <c r="C10" s="198">
        <f>C55</f>
        <v>1811.0329095752811</v>
      </c>
      <c r="D10" s="199">
        <f>C10*$C$62</f>
        <v>127.99449484849457</v>
      </c>
      <c r="E10" s="199">
        <f>C56</f>
        <v>37.565582271006477</v>
      </c>
      <c r="F10" s="200">
        <f t="shared" ref="F10:F36" si="0">(D10+E10)/(8.76*$C$63)</f>
        <v>49.735663638398542</v>
      </c>
      <c r="G10" s="200">
        <f>C58</f>
        <v>0</v>
      </c>
      <c r="H10" s="247">
        <f>C59</f>
        <v>0</v>
      </c>
      <c r="I10" s="201">
        <f>F10+H10+G10</f>
        <v>49.735663638398542</v>
      </c>
      <c r="J10" s="201">
        <f>ROUND(I10*$C$63*8.76,2)</f>
        <v>165.56</v>
      </c>
      <c r="K10" s="199">
        <f>$C$57</f>
        <v>0.57299999999999995</v>
      </c>
      <c r="N10" s="202"/>
      <c r="P10" s="240">
        <f>$C$59</f>
        <v>0</v>
      </c>
    </row>
    <row r="11" spans="2:18">
      <c r="B11" s="197">
        <f t="shared" ref="B11:B36" si="1">B10+1</f>
        <v>2017</v>
      </c>
      <c r="C11" s="203"/>
      <c r="D11" s="199">
        <f>ROUND(D10*(1+$D66),2)</f>
        <v>130.55000000000001</v>
      </c>
      <c r="E11" s="199">
        <f>ROUND(E10*(1+$D66),2)</f>
        <v>38.32</v>
      </c>
      <c r="F11" s="200">
        <f t="shared" si="0"/>
        <v>50.729992790194672</v>
      </c>
      <c r="G11" s="199">
        <f>ROUND(G10*(1+$D66),2)</f>
        <v>0</v>
      </c>
      <c r="H11" s="199">
        <f>ROUND(H10*(1+$D66),2)</f>
        <v>0</v>
      </c>
      <c r="I11" s="201">
        <f>F11+H11+G11</f>
        <v>50.729992790194672</v>
      </c>
      <c r="J11" s="201">
        <f t="shared" ref="J11:J36" si="2">ROUND(I11*$C$63*8.76,2)</f>
        <v>168.87</v>
      </c>
      <c r="K11" s="199">
        <f>ROUND(K10*(1+$D66),2)</f>
        <v>0.57999999999999996</v>
      </c>
      <c r="N11" s="202"/>
      <c r="P11" s="240">
        <f>ROUND(P10*(1+$D66),2)</f>
        <v>0</v>
      </c>
    </row>
    <row r="12" spans="2:18">
      <c r="B12" s="210">
        <f t="shared" si="1"/>
        <v>2018</v>
      </c>
      <c r="C12" s="211"/>
      <c r="D12" s="199">
        <f t="shared" ref="D12:G19" si="3">ROUND(D11*(1+$D67),2)</f>
        <v>133.03</v>
      </c>
      <c r="E12" s="199">
        <f t="shared" si="3"/>
        <v>39.049999999999997</v>
      </c>
      <c r="F12" s="201">
        <f t="shared" si="0"/>
        <v>51.694304253785148</v>
      </c>
      <c r="G12" s="199">
        <f t="shared" si="3"/>
        <v>0</v>
      </c>
      <c r="H12" s="199">
        <f t="shared" ref="H12" si="4">ROUND(H11*(1+$D67),2)</f>
        <v>0</v>
      </c>
      <c r="I12" s="201">
        <f t="shared" ref="I12:I36" si="5">F12+H12+G12</f>
        <v>51.694304253785148</v>
      </c>
      <c r="J12" s="201">
        <f t="shared" si="2"/>
        <v>172.08</v>
      </c>
      <c r="K12" s="199">
        <f t="shared" ref="K12:K19" si="6">ROUND(K11*(1+$D67),2)</f>
        <v>0.59</v>
      </c>
      <c r="L12" s="190"/>
      <c r="N12" s="202"/>
      <c r="P12" s="240">
        <f t="shared" ref="P12:P19" si="7">ROUND(P11*(1+$D67),2)</f>
        <v>0</v>
      </c>
    </row>
    <row r="13" spans="2:18">
      <c r="B13" s="210">
        <f t="shared" si="1"/>
        <v>2019</v>
      </c>
      <c r="C13" s="211"/>
      <c r="D13" s="199">
        <f t="shared" si="3"/>
        <v>135.96</v>
      </c>
      <c r="E13" s="199">
        <f t="shared" si="3"/>
        <v>39.909999999999997</v>
      </c>
      <c r="F13" s="201">
        <f t="shared" si="0"/>
        <v>52.832852679644319</v>
      </c>
      <c r="G13" s="199">
        <f t="shared" si="3"/>
        <v>0</v>
      </c>
      <c r="H13" s="199">
        <f t="shared" ref="H13" si="8">ROUND(H12*(1+$D68),2)</f>
        <v>0</v>
      </c>
      <c r="I13" s="201">
        <f t="shared" si="5"/>
        <v>52.832852679644319</v>
      </c>
      <c r="J13" s="201">
        <f t="shared" si="2"/>
        <v>175.87</v>
      </c>
      <c r="K13" s="199">
        <f t="shared" si="6"/>
        <v>0.6</v>
      </c>
      <c r="L13" s="190"/>
      <c r="N13" s="202"/>
      <c r="P13" s="240">
        <f t="shared" si="7"/>
        <v>0</v>
      </c>
    </row>
    <row r="14" spans="2:18">
      <c r="B14" s="210">
        <f t="shared" si="1"/>
        <v>2020</v>
      </c>
      <c r="C14" s="211"/>
      <c r="D14" s="199">
        <f t="shared" si="3"/>
        <v>139.49</v>
      </c>
      <c r="E14" s="199">
        <f t="shared" si="3"/>
        <v>40.950000000000003</v>
      </c>
      <c r="F14" s="201">
        <f t="shared" si="0"/>
        <v>54.205719778899308</v>
      </c>
      <c r="G14" s="199">
        <f t="shared" si="3"/>
        <v>0</v>
      </c>
      <c r="H14" s="199">
        <f t="shared" ref="H14" si="9">ROUND(H13*(1+$D69),2)</f>
        <v>0</v>
      </c>
      <c r="I14" s="201">
        <f t="shared" si="5"/>
        <v>54.205719778899308</v>
      </c>
      <c r="J14" s="201">
        <f t="shared" si="2"/>
        <v>180.44</v>
      </c>
      <c r="K14" s="199">
        <f t="shared" si="6"/>
        <v>0.62</v>
      </c>
      <c r="L14" s="190"/>
      <c r="N14" s="202"/>
      <c r="O14" s="207"/>
      <c r="P14" s="240">
        <f t="shared" si="7"/>
        <v>0</v>
      </c>
      <c r="Q14" s="208"/>
      <c r="R14" s="209"/>
    </row>
    <row r="15" spans="2:18">
      <c r="B15" s="210">
        <f t="shared" si="1"/>
        <v>2021</v>
      </c>
      <c r="C15" s="211"/>
      <c r="D15" s="199">
        <f t="shared" si="3"/>
        <v>142.84</v>
      </c>
      <c r="E15" s="199">
        <f t="shared" si="3"/>
        <v>41.93</v>
      </c>
      <c r="F15" s="201">
        <f t="shared" si="0"/>
        <v>55.506488824801735</v>
      </c>
      <c r="G15" s="199">
        <f t="shared" si="3"/>
        <v>0</v>
      </c>
      <c r="H15" s="199">
        <f t="shared" ref="H15" si="10">ROUND(H14*(1+$D70),2)</f>
        <v>0</v>
      </c>
      <c r="I15" s="201">
        <f t="shared" si="5"/>
        <v>55.506488824801735</v>
      </c>
      <c r="J15" s="201">
        <f t="shared" si="2"/>
        <v>184.77</v>
      </c>
      <c r="K15" s="199">
        <f t="shared" si="6"/>
        <v>0.63</v>
      </c>
      <c r="L15" s="190"/>
      <c r="N15" s="208"/>
      <c r="O15" s="208"/>
      <c r="P15" s="240">
        <f t="shared" si="7"/>
        <v>0</v>
      </c>
      <c r="Q15" s="208"/>
      <c r="R15" s="209"/>
    </row>
    <row r="16" spans="2:18">
      <c r="B16" s="210">
        <f t="shared" si="1"/>
        <v>2022</v>
      </c>
      <c r="C16" s="211"/>
      <c r="D16" s="199">
        <f t="shared" si="3"/>
        <v>146.13</v>
      </c>
      <c r="E16" s="199">
        <f t="shared" si="3"/>
        <v>42.89</v>
      </c>
      <c r="F16" s="201">
        <f t="shared" si="0"/>
        <v>56.783225186253304</v>
      </c>
      <c r="G16" s="199">
        <f t="shared" si="3"/>
        <v>0</v>
      </c>
      <c r="H16" s="199">
        <f t="shared" ref="H16" si="11">ROUND(H15*(1+$D71),2)</f>
        <v>0</v>
      </c>
      <c r="I16" s="201">
        <f t="shared" si="5"/>
        <v>56.783225186253304</v>
      </c>
      <c r="J16" s="201">
        <f t="shared" si="2"/>
        <v>189.02</v>
      </c>
      <c r="K16" s="199">
        <f t="shared" si="6"/>
        <v>0.64</v>
      </c>
      <c r="L16" s="190"/>
      <c r="N16" s="202"/>
      <c r="P16" s="240">
        <f t="shared" si="7"/>
        <v>0</v>
      </c>
    </row>
    <row r="17" spans="2:16">
      <c r="B17" s="210">
        <f t="shared" si="1"/>
        <v>2023</v>
      </c>
      <c r="C17" s="211"/>
      <c r="D17" s="199">
        <f t="shared" si="3"/>
        <v>149.49</v>
      </c>
      <c r="E17" s="199">
        <f t="shared" si="3"/>
        <v>43.88</v>
      </c>
      <c r="F17" s="201">
        <f t="shared" si="0"/>
        <v>58.09000240326845</v>
      </c>
      <c r="G17" s="199">
        <f t="shared" si="3"/>
        <v>0</v>
      </c>
      <c r="H17" s="199">
        <f t="shared" ref="H17" si="12">ROUND(H16*(1+$D72),2)</f>
        <v>0</v>
      </c>
      <c r="I17" s="201">
        <f t="shared" si="5"/>
        <v>58.09000240326845</v>
      </c>
      <c r="J17" s="201">
        <f t="shared" si="2"/>
        <v>193.37</v>
      </c>
      <c r="K17" s="199">
        <f t="shared" si="6"/>
        <v>0.65</v>
      </c>
      <c r="L17" s="190"/>
      <c r="N17" s="202"/>
      <c r="O17" s="207"/>
      <c r="P17" s="240">
        <f t="shared" si="7"/>
        <v>0</v>
      </c>
    </row>
    <row r="18" spans="2:16">
      <c r="B18" s="210">
        <f t="shared" si="1"/>
        <v>2024</v>
      </c>
      <c r="C18" s="211"/>
      <c r="D18" s="199">
        <f t="shared" si="3"/>
        <v>152.93</v>
      </c>
      <c r="E18" s="199">
        <f t="shared" si="3"/>
        <v>44.89</v>
      </c>
      <c r="F18" s="201">
        <f t="shared" si="0"/>
        <v>59.426820475847151</v>
      </c>
      <c r="G18" s="199">
        <f t="shared" si="3"/>
        <v>0</v>
      </c>
      <c r="H18" s="199">
        <f t="shared" ref="H18" si="13">ROUND(H17*(1+$D73),2)</f>
        <v>0</v>
      </c>
      <c r="I18" s="201">
        <f t="shared" si="5"/>
        <v>59.426820475847151</v>
      </c>
      <c r="J18" s="201">
        <f t="shared" si="2"/>
        <v>197.82</v>
      </c>
      <c r="K18" s="199">
        <f t="shared" si="6"/>
        <v>0.66</v>
      </c>
      <c r="L18" s="190"/>
      <c r="N18" s="202"/>
      <c r="O18" s="207"/>
      <c r="P18" s="240">
        <f t="shared" si="7"/>
        <v>0</v>
      </c>
    </row>
    <row r="19" spans="2:16">
      <c r="B19" s="210">
        <f t="shared" si="1"/>
        <v>2025</v>
      </c>
      <c r="C19" s="211"/>
      <c r="D19" s="199">
        <f t="shared" si="3"/>
        <v>156.44999999999999</v>
      </c>
      <c r="E19" s="199">
        <f t="shared" si="3"/>
        <v>45.92</v>
      </c>
      <c r="F19" s="201">
        <f t="shared" si="0"/>
        <v>60.793679403989429</v>
      </c>
      <c r="G19" s="199">
        <f t="shared" si="3"/>
        <v>0</v>
      </c>
      <c r="H19" s="199">
        <f t="shared" ref="H19" si="14">ROUND(H18*(1+$D74),2)</f>
        <v>0</v>
      </c>
      <c r="I19" s="201">
        <f t="shared" si="5"/>
        <v>60.793679403989429</v>
      </c>
      <c r="J19" s="201">
        <f t="shared" si="2"/>
        <v>202.37</v>
      </c>
      <c r="K19" s="199">
        <f t="shared" si="6"/>
        <v>0.68</v>
      </c>
      <c r="L19" s="190"/>
      <c r="N19" s="202"/>
      <c r="O19" s="207"/>
      <c r="P19" s="240">
        <f t="shared" si="7"/>
        <v>0</v>
      </c>
    </row>
    <row r="20" spans="2:16">
      <c r="B20" s="210">
        <f t="shared" si="1"/>
        <v>2026</v>
      </c>
      <c r="C20" s="211"/>
      <c r="D20" s="199">
        <f>ROUND(D19*(1+$G66),2)</f>
        <v>160.05000000000001</v>
      </c>
      <c r="E20" s="199">
        <f>ROUND(E19*(1+$G66),2)</f>
        <v>46.98</v>
      </c>
      <c r="F20" s="201">
        <f t="shared" si="0"/>
        <v>62.193583273251626</v>
      </c>
      <c r="G20" s="199">
        <f>ROUND(G19*(1+$G66),2)</f>
        <v>0</v>
      </c>
      <c r="H20" s="199">
        <f>ROUND(H19*(1+$G66),2)</f>
        <v>0</v>
      </c>
      <c r="I20" s="201">
        <f t="shared" si="5"/>
        <v>62.193583273251626</v>
      </c>
      <c r="J20" s="201">
        <f t="shared" si="2"/>
        <v>207.03</v>
      </c>
      <c r="K20" s="199">
        <f>ROUND(K19*(1+$G66),2)</f>
        <v>0.7</v>
      </c>
      <c r="L20" s="190"/>
      <c r="N20" s="202"/>
      <c r="O20" s="207"/>
      <c r="P20" s="240">
        <f>ROUND(P19*(1+$G66),2)</f>
        <v>0</v>
      </c>
    </row>
    <row r="21" spans="2:16">
      <c r="B21" s="210">
        <f t="shared" si="1"/>
        <v>2027</v>
      </c>
      <c r="C21" s="211"/>
      <c r="D21" s="199">
        <f t="shared" ref="D21:G28" si="15">ROUND(D20*(1+$G67),2)</f>
        <v>163.72999999999999</v>
      </c>
      <c r="E21" s="199">
        <f t="shared" si="15"/>
        <v>48.06</v>
      </c>
      <c r="F21" s="201">
        <f t="shared" si="0"/>
        <v>63.623527998077385</v>
      </c>
      <c r="G21" s="199">
        <f t="shared" si="15"/>
        <v>0</v>
      </c>
      <c r="H21" s="199">
        <f t="shared" ref="H21" si="16">ROUND(H20*(1+$G67),2)</f>
        <v>0</v>
      </c>
      <c r="I21" s="201">
        <f t="shared" si="5"/>
        <v>63.623527998077385</v>
      </c>
      <c r="J21" s="201">
        <f t="shared" si="2"/>
        <v>211.79</v>
      </c>
      <c r="K21" s="199">
        <f t="shared" ref="K21:K28" si="17">ROUND(K20*(1+$G67),2)</f>
        <v>0.72</v>
      </c>
      <c r="L21" s="190"/>
      <c r="N21" s="202"/>
      <c r="O21" s="207"/>
      <c r="P21" s="240">
        <f t="shared" ref="P21:P28" si="18">ROUND(P20*(1+$G67),2)</f>
        <v>0</v>
      </c>
    </row>
    <row r="22" spans="2:16">
      <c r="B22" s="210">
        <f t="shared" si="1"/>
        <v>2028</v>
      </c>
      <c r="C22" s="211"/>
      <c r="D22" s="199">
        <f t="shared" si="15"/>
        <v>167.5</v>
      </c>
      <c r="E22" s="199">
        <f t="shared" si="15"/>
        <v>49.17</v>
      </c>
      <c r="F22" s="201">
        <f t="shared" si="0"/>
        <v>65.089521749579433</v>
      </c>
      <c r="G22" s="199">
        <f t="shared" si="15"/>
        <v>0</v>
      </c>
      <c r="H22" s="199">
        <f t="shared" ref="H22" si="19">ROUND(H21*(1+$G68),2)</f>
        <v>0</v>
      </c>
      <c r="I22" s="201">
        <f t="shared" si="5"/>
        <v>65.089521749579433</v>
      </c>
      <c r="J22" s="201">
        <f t="shared" si="2"/>
        <v>216.67</v>
      </c>
      <c r="K22" s="199">
        <f t="shared" si="17"/>
        <v>0.74</v>
      </c>
      <c r="L22" s="190"/>
      <c r="N22" s="202"/>
      <c r="O22" s="207"/>
      <c r="P22" s="240">
        <f t="shared" si="18"/>
        <v>0</v>
      </c>
    </row>
    <row r="23" spans="2:16">
      <c r="B23" s="210">
        <f t="shared" si="1"/>
        <v>2029</v>
      </c>
      <c r="C23" s="211"/>
      <c r="D23" s="199">
        <f t="shared" si="15"/>
        <v>171.35</v>
      </c>
      <c r="E23" s="199">
        <f t="shared" si="15"/>
        <v>50.3</v>
      </c>
      <c r="F23" s="201">
        <f t="shared" si="0"/>
        <v>66.585556356645029</v>
      </c>
      <c r="G23" s="199">
        <f t="shared" si="15"/>
        <v>0</v>
      </c>
      <c r="H23" s="199">
        <f t="shared" ref="H23" si="20">ROUND(H22*(1+$G69),2)</f>
        <v>0</v>
      </c>
      <c r="I23" s="201">
        <f t="shared" si="5"/>
        <v>66.585556356645029</v>
      </c>
      <c r="J23" s="201">
        <f t="shared" si="2"/>
        <v>221.65</v>
      </c>
      <c r="K23" s="199">
        <f t="shared" si="17"/>
        <v>0.76</v>
      </c>
      <c r="L23" s="190"/>
      <c r="N23" s="202"/>
      <c r="O23" s="207"/>
      <c r="P23" s="240">
        <f t="shared" si="18"/>
        <v>0</v>
      </c>
    </row>
    <row r="24" spans="2:16">
      <c r="B24" s="210">
        <f t="shared" si="1"/>
        <v>2030</v>
      </c>
      <c r="C24" s="211"/>
      <c r="D24" s="199">
        <f t="shared" si="15"/>
        <v>175.29</v>
      </c>
      <c r="E24" s="199">
        <f t="shared" si="15"/>
        <v>51.46</v>
      </c>
      <c r="F24" s="201">
        <f t="shared" si="0"/>
        <v>68.117639990386934</v>
      </c>
      <c r="G24" s="199">
        <f t="shared" si="15"/>
        <v>0</v>
      </c>
      <c r="H24" s="199">
        <f t="shared" ref="H24" si="21">ROUND(H23*(1+$G70),2)</f>
        <v>0</v>
      </c>
      <c r="I24" s="201">
        <f t="shared" si="5"/>
        <v>68.117639990386934</v>
      </c>
      <c r="J24" s="201">
        <f t="shared" si="2"/>
        <v>226.75</v>
      </c>
      <c r="K24" s="199">
        <f t="shared" si="17"/>
        <v>0.78</v>
      </c>
      <c r="L24" s="190"/>
      <c r="N24" s="202"/>
      <c r="O24" s="207"/>
      <c r="P24" s="240">
        <f t="shared" si="18"/>
        <v>0</v>
      </c>
    </row>
    <row r="25" spans="2:16">
      <c r="B25" s="210">
        <f t="shared" si="1"/>
        <v>2031</v>
      </c>
      <c r="C25" s="211"/>
      <c r="D25" s="199">
        <f t="shared" si="15"/>
        <v>179.32</v>
      </c>
      <c r="E25" s="199">
        <f t="shared" si="15"/>
        <v>52.64</v>
      </c>
      <c r="F25" s="201">
        <f t="shared" si="0"/>
        <v>69.682768565248736</v>
      </c>
      <c r="G25" s="199">
        <f t="shared" si="15"/>
        <v>0</v>
      </c>
      <c r="H25" s="199">
        <f t="shared" ref="H25" si="22">ROUND(H24*(1+$G71),2)</f>
        <v>0</v>
      </c>
      <c r="I25" s="201">
        <f t="shared" si="5"/>
        <v>69.682768565248736</v>
      </c>
      <c r="J25" s="201">
        <f t="shared" si="2"/>
        <v>231.96</v>
      </c>
      <c r="K25" s="199">
        <f t="shared" si="17"/>
        <v>0.8</v>
      </c>
      <c r="L25" s="190"/>
      <c r="N25" s="202"/>
      <c r="O25" s="207"/>
      <c r="P25" s="240">
        <f t="shared" si="18"/>
        <v>0</v>
      </c>
    </row>
    <row r="26" spans="2:16">
      <c r="B26" s="210">
        <f t="shared" si="1"/>
        <v>2032</v>
      </c>
      <c r="C26" s="211"/>
      <c r="D26" s="199">
        <f t="shared" si="15"/>
        <v>183.27</v>
      </c>
      <c r="E26" s="199">
        <f t="shared" si="15"/>
        <v>53.8</v>
      </c>
      <c r="F26" s="201">
        <f t="shared" si="0"/>
        <v>71.217856284546983</v>
      </c>
      <c r="G26" s="199">
        <f t="shared" si="15"/>
        <v>0</v>
      </c>
      <c r="H26" s="199">
        <f t="shared" ref="H26" si="23">ROUND(H25*(1+$G72),2)</f>
        <v>0</v>
      </c>
      <c r="I26" s="201">
        <f t="shared" si="5"/>
        <v>71.217856284546983</v>
      </c>
      <c r="J26" s="201">
        <f t="shared" si="2"/>
        <v>237.07</v>
      </c>
      <c r="K26" s="199">
        <f t="shared" si="17"/>
        <v>0.82</v>
      </c>
      <c r="L26" s="190"/>
      <c r="N26" s="202"/>
      <c r="O26" s="207"/>
      <c r="P26" s="240">
        <f t="shared" si="18"/>
        <v>0</v>
      </c>
    </row>
    <row r="27" spans="2:16">
      <c r="B27" s="210">
        <f t="shared" si="1"/>
        <v>2033</v>
      </c>
      <c r="C27" s="211"/>
      <c r="D27" s="199">
        <f t="shared" si="15"/>
        <v>187.3</v>
      </c>
      <c r="E27" s="199">
        <f t="shared" si="15"/>
        <v>54.98</v>
      </c>
      <c r="F27" s="201">
        <f t="shared" si="0"/>
        <v>72.782984859408799</v>
      </c>
      <c r="G27" s="199">
        <f t="shared" si="15"/>
        <v>0</v>
      </c>
      <c r="H27" s="199">
        <f t="shared" ref="H27" si="24">ROUND(H26*(1+$G73),2)</f>
        <v>0</v>
      </c>
      <c r="I27" s="201">
        <f t="shared" si="5"/>
        <v>72.782984859408799</v>
      </c>
      <c r="J27" s="201">
        <f t="shared" si="2"/>
        <v>242.28</v>
      </c>
      <c r="K27" s="199">
        <f t="shared" si="17"/>
        <v>0.84</v>
      </c>
      <c r="L27" s="190"/>
      <c r="P27" s="240">
        <f t="shared" si="18"/>
        <v>0</v>
      </c>
    </row>
    <row r="28" spans="2:16">
      <c r="B28" s="210">
        <f t="shared" si="1"/>
        <v>2034</v>
      </c>
      <c r="C28" s="211"/>
      <c r="D28" s="199">
        <f t="shared" si="15"/>
        <v>191.61</v>
      </c>
      <c r="E28" s="199">
        <f t="shared" si="15"/>
        <v>56.24</v>
      </c>
      <c r="F28" s="201">
        <f t="shared" si="0"/>
        <v>74.456260514299458</v>
      </c>
      <c r="G28" s="199">
        <f t="shared" si="15"/>
        <v>0</v>
      </c>
      <c r="H28" s="199">
        <f t="shared" ref="H28" si="25">ROUND(H27*(1+$G74),2)</f>
        <v>0</v>
      </c>
      <c r="I28" s="201">
        <f t="shared" si="5"/>
        <v>74.456260514299458</v>
      </c>
      <c r="J28" s="201">
        <f t="shared" si="2"/>
        <v>247.85</v>
      </c>
      <c r="K28" s="199">
        <f t="shared" si="17"/>
        <v>0.86</v>
      </c>
      <c r="L28" s="190"/>
      <c r="P28" s="240">
        <f t="shared" si="18"/>
        <v>0</v>
      </c>
    </row>
    <row r="29" spans="2:16">
      <c r="B29" s="210">
        <f t="shared" si="1"/>
        <v>2035</v>
      </c>
      <c r="C29" s="211"/>
      <c r="D29" s="199">
        <f t="shared" ref="D29:E36" si="26">ROUND(D28*(1+$K66),2)</f>
        <v>196.02</v>
      </c>
      <c r="E29" s="199">
        <f t="shared" si="26"/>
        <v>57.53</v>
      </c>
      <c r="F29" s="201">
        <f t="shared" si="0"/>
        <v>76.16858928142274</v>
      </c>
      <c r="G29" s="199">
        <f t="shared" ref="G29:H36" si="27">ROUND(G28*(1+$K66),2)</f>
        <v>0</v>
      </c>
      <c r="H29" s="199">
        <f t="shared" si="27"/>
        <v>0</v>
      </c>
      <c r="I29" s="201">
        <f t="shared" si="5"/>
        <v>76.16858928142274</v>
      </c>
      <c r="J29" s="201">
        <f t="shared" si="2"/>
        <v>253.55</v>
      </c>
      <c r="K29" s="199">
        <f>ROUND(K28*(1+$K66),2)</f>
        <v>0.88</v>
      </c>
      <c r="L29" s="190"/>
      <c r="P29" s="240">
        <f>ROUND(P28*(1+$K66),2)</f>
        <v>0</v>
      </c>
    </row>
    <row r="30" spans="2:16">
      <c r="B30" s="210">
        <f t="shared" si="1"/>
        <v>2036</v>
      </c>
      <c r="C30" s="211"/>
      <c r="D30" s="199">
        <f t="shared" si="26"/>
        <v>200.53</v>
      </c>
      <c r="E30" s="199">
        <f t="shared" si="26"/>
        <v>58.85</v>
      </c>
      <c r="F30" s="201">
        <f t="shared" si="0"/>
        <v>77.919971160778658</v>
      </c>
      <c r="G30" s="199">
        <f t="shared" si="27"/>
        <v>0</v>
      </c>
      <c r="H30" s="199">
        <f t="shared" si="27"/>
        <v>0</v>
      </c>
      <c r="I30" s="201">
        <f t="shared" si="5"/>
        <v>77.919971160778658</v>
      </c>
      <c r="J30" s="201">
        <f t="shared" si="2"/>
        <v>259.38</v>
      </c>
      <c r="K30" s="199">
        <f t="shared" ref="K30:K36" si="28">ROUND(K29*(1+$K67),2)</f>
        <v>0.9</v>
      </c>
      <c r="L30" s="190"/>
      <c r="P30" s="240">
        <f t="shared" ref="P30:P36" si="29">ROUND(P29*(1+$K67),2)</f>
        <v>0</v>
      </c>
    </row>
    <row r="31" spans="2:16">
      <c r="B31" s="210">
        <f t="shared" si="1"/>
        <v>2037</v>
      </c>
      <c r="C31" s="211"/>
      <c r="D31" s="199">
        <f t="shared" si="26"/>
        <v>204.94</v>
      </c>
      <c r="E31" s="199">
        <f t="shared" si="26"/>
        <v>60.14</v>
      </c>
      <c r="F31" s="201">
        <f t="shared" si="0"/>
        <v>79.632299927901954</v>
      </c>
      <c r="G31" s="199">
        <f t="shared" si="27"/>
        <v>0</v>
      </c>
      <c r="H31" s="199">
        <f t="shared" si="27"/>
        <v>0</v>
      </c>
      <c r="I31" s="201">
        <f t="shared" si="5"/>
        <v>79.632299927901954</v>
      </c>
      <c r="J31" s="201">
        <f t="shared" si="2"/>
        <v>265.08</v>
      </c>
      <c r="K31" s="199">
        <f t="shared" si="28"/>
        <v>0.92</v>
      </c>
      <c r="L31" s="190"/>
      <c r="P31" s="240">
        <f t="shared" si="29"/>
        <v>0</v>
      </c>
    </row>
    <row r="32" spans="2:16">
      <c r="B32" s="210">
        <f t="shared" si="1"/>
        <v>2038</v>
      </c>
      <c r="C32" s="211"/>
      <c r="D32" s="199">
        <f t="shared" si="26"/>
        <v>209.45</v>
      </c>
      <c r="E32" s="199">
        <f t="shared" si="26"/>
        <v>61.46</v>
      </c>
      <c r="F32" s="201">
        <f t="shared" si="0"/>
        <v>81.383681807257872</v>
      </c>
      <c r="G32" s="199">
        <f t="shared" si="27"/>
        <v>0</v>
      </c>
      <c r="H32" s="199">
        <f t="shared" si="27"/>
        <v>0</v>
      </c>
      <c r="I32" s="201">
        <f t="shared" si="5"/>
        <v>81.383681807257872</v>
      </c>
      <c r="J32" s="201">
        <f t="shared" si="2"/>
        <v>270.91000000000003</v>
      </c>
      <c r="K32" s="199">
        <f t="shared" si="28"/>
        <v>0.94</v>
      </c>
      <c r="L32" s="190"/>
      <c r="P32" s="240">
        <f t="shared" si="29"/>
        <v>0</v>
      </c>
    </row>
    <row r="33" spans="2:16">
      <c r="B33" s="210">
        <f t="shared" si="1"/>
        <v>2039</v>
      </c>
      <c r="C33" s="211"/>
      <c r="D33" s="199">
        <f t="shared" si="26"/>
        <v>214.06</v>
      </c>
      <c r="E33" s="199">
        <f t="shared" si="26"/>
        <v>62.81</v>
      </c>
      <c r="F33" s="201">
        <f t="shared" si="0"/>
        <v>83.174116798846441</v>
      </c>
      <c r="G33" s="199">
        <f t="shared" si="27"/>
        <v>0</v>
      </c>
      <c r="H33" s="199">
        <f t="shared" si="27"/>
        <v>0</v>
      </c>
      <c r="I33" s="201">
        <f t="shared" si="5"/>
        <v>83.174116798846441</v>
      </c>
      <c r="J33" s="201">
        <f t="shared" si="2"/>
        <v>276.87</v>
      </c>
      <c r="K33" s="199">
        <f t="shared" si="28"/>
        <v>0.96</v>
      </c>
      <c r="L33" s="190"/>
      <c r="P33" s="240">
        <f t="shared" si="29"/>
        <v>0</v>
      </c>
    </row>
    <row r="34" spans="2:16">
      <c r="B34" s="210">
        <f t="shared" si="1"/>
        <v>2040</v>
      </c>
      <c r="C34" s="211"/>
      <c r="D34" s="199">
        <f t="shared" si="26"/>
        <v>218.77</v>
      </c>
      <c r="E34" s="199">
        <f t="shared" si="26"/>
        <v>64.19</v>
      </c>
      <c r="F34" s="201">
        <f t="shared" si="0"/>
        <v>85.003604902667647</v>
      </c>
      <c r="G34" s="199">
        <f t="shared" si="27"/>
        <v>0</v>
      </c>
      <c r="H34" s="199">
        <f t="shared" si="27"/>
        <v>0</v>
      </c>
      <c r="I34" s="201">
        <f t="shared" si="5"/>
        <v>85.003604902667647</v>
      </c>
      <c r="J34" s="201">
        <f t="shared" si="2"/>
        <v>282.95999999999998</v>
      </c>
      <c r="K34" s="199">
        <f t="shared" si="28"/>
        <v>0.98</v>
      </c>
      <c r="L34" s="190"/>
      <c r="P34" s="240">
        <f t="shared" si="29"/>
        <v>0</v>
      </c>
    </row>
    <row r="35" spans="2:16">
      <c r="B35" s="210">
        <f t="shared" si="1"/>
        <v>2041</v>
      </c>
      <c r="C35" s="211"/>
      <c r="D35" s="199">
        <f t="shared" si="26"/>
        <v>223.58</v>
      </c>
      <c r="E35" s="199">
        <f t="shared" si="26"/>
        <v>65.599999999999994</v>
      </c>
      <c r="F35" s="201">
        <f t="shared" si="0"/>
        <v>86.872146118721474</v>
      </c>
      <c r="G35" s="199">
        <f t="shared" si="27"/>
        <v>0</v>
      </c>
      <c r="H35" s="199">
        <f t="shared" si="27"/>
        <v>0</v>
      </c>
      <c r="I35" s="201">
        <f t="shared" si="5"/>
        <v>86.872146118721474</v>
      </c>
      <c r="J35" s="201">
        <f t="shared" si="2"/>
        <v>289.18</v>
      </c>
      <c r="K35" s="199">
        <f t="shared" si="28"/>
        <v>1</v>
      </c>
      <c r="L35" s="190"/>
      <c r="P35" s="240">
        <f t="shared" si="29"/>
        <v>0</v>
      </c>
    </row>
    <row r="36" spans="2:16">
      <c r="B36" s="210">
        <f t="shared" si="1"/>
        <v>2042</v>
      </c>
      <c r="C36" s="211"/>
      <c r="D36" s="199">
        <f t="shared" si="26"/>
        <v>228.5</v>
      </c>
      <c r="E36" s="199">
        <f t="shared" si="26"/>
        <v>67.040000000000006</v>
      </c>
      <c r="F36" s="201">
        <f t="shared" si="0"/>
        <v>88.782744532564294</v>
      </c>
      <c r="G36" s="199">
        <f t="shared" si="27"/>
        <v>0</v>
      </c>
      <c r="H36" s="199">
        <f t="shared" si="27"/>
        <v>0</v>
      </c>
      <c r="I36" s="201">
        <f t="shared" si="5"/>
        <v>88.782744532564294</v>
      </c>
      <c r="J36" s="201">
        <f t="shared" si="2"/>
        <v>295.54000000000002</v>
      </c>
      <c r="K36" s="199">
        <f t="shared" si="28"/>
        <v>1.02</v>
      </c>
      <c r="L36" s="190"/>
      <c r="P36" s="240">
        <f t="shared" si="29"/>
        <v>0</v>
      </c>
    </row>
    <row r="37" spans="2:16">
      <c r="B37" s="210"/>
      <c r="C37" s="203"/>
      <c r="D37" s="199"/>
      <c r="E37" s="199"/>
      <c r="F37" s="200"/>
      <c r="G37" s="199"/>
      <c r="H37" s="199"/>
      <c r="I37" s="201"/>
      <c r="J37" s="201"/>
      <c r="K37" s="213"/>
    </row>
    <row r="38" spans="2:16" hidden="1">
      <c r="B38" s="197"/>
      <c r="C38" s="203"/>
      <c r="D38" s="199"/>
      <c r="E38" s="199"/>
      <c r="F38" s="200"/>
      <c r="G38" s="199"/>
      <c r="H38" s="199"/>
      <c r="I38" s="201"/>
      <c r="J38" s="201"/>
      <c r="K38" s="213"/>
    </row>
    <row r="39" spans="2:16" hidden="1">
      <c r="B39" s="197"/>
      <c r="C39" s="203"/>
      <c r="D39" s="199"/>
      <c r="E39" s="199"/>
      <c r="F39" s="200"/>
      <c r="G39" s="199"/>
      <c r="H39" s="199"/>
      <c r="I39" s="201"/>
      <c r="J39" s="201"/>
      <c r="K39" s="213"/>
    </row>
    <row r="40" spans="2:16" hidden="1">
      <c r="B40" s="197"/>
      <c r="C40" s="203"/>
      <c r="D40" s="199"/>
      <c r="E40" s="199"/>
      <c r="F40" s="200"/>
      <c r="G40" s="199"/>
      <c r="H40" s="199"/>
      <c r="I40" s="201"/>
      <c r="J40" s="201"/>
      <c r="K40" s="213"/>
    </row>
    <row r="42" spans="2:16" ht="14.25">
      <c r="B42" s="214" t="s">
        <v>31</v>
      </c>
      <c r="C42" s="215"/>
      <c r="D42" s="215"/>
      <c r="E42" s="215"/>
      <c r="F42" s="215"/>
      <c r="G42" s="215"/>
      <c r="H42" s="215"/>
    </row>
    <row r="44" spans="2:16">
      <c r="B44" s="188" t="s">
        <v>114</v>
      </c>
      <c r="C44" s="216" t="s">
        <v>115</v>
      </c>
      <c r="D44" s="217" t="str">
        <f>'Table 3 200 MW (Wyo) 2033'!E68</f>
        <v xml:space="preserve">Plant Costs  - 2017 IRP - Table 6.1 &amp; 6.2 </v>
      </c>
    </row>
    <row r="45" spans="2:16">
      <c r="C45" s="216" t="str">
        <f>C7</f>
        <v>(a)</v>
      </c>
      <c r="D45" s="188" t="s">
        <v>116</v>
      </c>
    </row>
    <row r="46" spans="2:16">
      <c r="C46" s="216" t="str">
        <f>D7</f>
        <v>(b)</v>
      </c>
      <c r="D46" s="201" t="str">
        <f>"= "&amp;C7&amp;" x "&amp;C62</f>
        <v>= (a) x 0.0706748586244695</v>
      </c>
    </row>
    <row r="47" spans="2:16">
      <c r="C47" s="216" t="str">
        <f>F7</f>
        <v>(d)</v>
      </c>
      <c r="D47" s="201" t="str">
        <f>"= ("&amp;$D$7&amp;" + "&amp;$E$7&amp;") /  (8.76 x "&amp;TEXT(C63,"0.0%")&amp;")"</f>
        <v>= ((b) + (c)) /  (8.76 x 38.0%)</v>
      </c>
    </row>
    <row r="48" spans="2:16">
      <c r="C48" s="216" t="str">
        <f>I7</f>
        <v>(g)</v>
      </c>
      <c r="D48" s="201" t="str">
        <f>"= "&amp;$F$7&amp;" + "&amp;$H$7</f>
        <v>= (d) + (f)</v>
      </c>
    </row>
    <row r="49" spans="2:24">
      <c r="C49" s="216" t="str">
        <f>K7</f>
        <v>(h)</v>
      </c>
      <c r="D49" s="104" t="str">
        <f>D44</f>
        <v xml:space="preserve">Plant Costs  - 2017 IRP - Table 6.1 &amp; 6.2 </v>
      </c>
    </row>
    <row r="50" spans="2:24">
      <c r="C50" s="216"/>
      <c r="D50" s="201"/>
    </row>
    <row r="51" spans="2:24" ht="13.5" thickBot="1"/>
    <row r="52" spans="2:24" ht="13.5" thickBot="1">
      <c r="C52" s="58" t="str">
        <f>B2&amp;" - "&amp;B3</f>
        <v>2017 IRP ID Wind Resource - 38% Capacity Factor</v>
      </c>
      <c r="D52" s="218"/>
      <c r="E52" s="218"/>
      <c r="F52" s="218"/>
      <c r="G52" s="218"/>
      <c r="H52" s="218"/>
      <c r="I52" s="219"/>
      <c r="J52" s="219"/>
      <c r="K52" s="220"/>
    </row>
    <row r="53" spans="2:24" ht="13.5" thickBot="1">
      <c r="C53" s="221" t="s">
        <v>117</v>
      </c>
      <c r="D53" s="222" t="s">
        <v>118</v>
      </c>
      <c r="E53" s="222"/>
      <c r="F53" s="222"/>
      <c r="G53" s="222"/>
      <c r="H53" s="223"/>
      <c r="I53" s="219"/>
      <c r="J53" s="219"/>
      <c r="K53" s="220"/>
    </row>
    <row r="55" spans="2:24">
      <c r="B55" s="104" t="s">
        <v>105</v>
      </c>
      <c r="C55" s="224">
        <v>1811.0329095752811</v>
      </c>
      <c r="D55" s="188" t="s">
        <v>116</v>
      </c>
      <c r="H55" s="188" t="s">
        <v>9</v>
      </c>
    </row>
    <row r="56" spans="2:24">
      <c r="B56" s="104" t="s">
        <v>105</v>
      </c>
      <c r="C56" s="225">
        <v>37.565582271006477</v>
      </c>
      <c r="D56" s="188" t="s">
        <v>119</v>
      </c>
      <c r="H56" s="188" t="s">
        <v>9</v>
      </c>
    </row>
    <row r="57" spans="2:24">
      <c r="B57" s="104" t="s">
        <v>105</v>
      </c>
      <c r="C57" s="230">
        <v>0.57299999999999995</v>
      </c>
      <c r="D57" s="188" t="s">
        <v>124</v>
      </c>
      <c r="H57" s="188" t="s">
        <v>121</v>
      </c>
    </row>
    <row r="58" spans="2:24">
      <c r="B58" s="104" t="s">
        <v>105</v>
      </c>
      <c r="C58" s="225">
        <v>0</v>
      </c>
      <c r="D58" s="188" t="s">
        <v>120</v>
      </c>
      <c r="H58" s="188" t="s">
        <v>121</v>
      </c>
      <c r="K58" s="190"/>
      <c r="L58" s="226"/>
      <c r="M58" s="69"/>
      <c r="N58" s="227"/>
      <c r="O58" s="69"/>
      <c r="P58" s="227"/>
      <c r="Q58" s="69"/>
      <c r="R58" s="190"/>
      <c r="S58" s="190"/>
      <c r="T58" s="190"/>
      <c r="U58" s="190"/>
      <c r="V58" s="190"/>
      <c r="W58" s="190"/>
      <c r="X58" s="190"/>
    </row>
    <row r="59" spans="2:24">
      <c r="B59" s="104" t="s">
        <v>105</v>
      </c>
      <c r="C59" s="238"/>
      <c r="D59" s="188" t="s">
        <v>122</v>
      </c>
      <c r="H59" s="188" t="s">
        <v>121</v>
      </c>
      <c r="K59" s="228"/>
      <c r="L59" s="228"/>
      <c r="M59" s="229"/>
      <c r="N59" s="230"/>
      <c r="O59" s="227"/>
      <c r="P59" s="231"/>
      <c r="Q59" s="190"/>
      <c r="R59" s="190"/>
      <c r="S59" s="190"/>
      <c r="T59" s="190"/>
      <c r="U59" s="190"/>
      <c r="V59" s="190"/>
      <c r="W59" s="190"/>
      <c r="X59" s="190"/>
    </row>
    <row r="60" spans="2:24">
      <c r="K60" s="228"/>
      <c r="L60" s="228"/>
      <c r="M60" s="228"/>
      <c r="N60" s="190"/>
      <c r="O60" s="227"/>
      <c r="P60" s="231"/>
      <c r="Q60" s="190"/>
      <c r="R60" s="190"/>
      <c r="S60" s="190"/>
      <c r="T60" s="190"/>
      <c r="U60" s="190"/>
      <c r="V60" s="190"/>
      <c r="W60" s="190"/>
      <c r="X60" s="190"/>
    </row>
    <row r="61" spans="2:24">
      <c r="C61" s="232"/>
      <c r="K61" s="228"/>
      <c r="L61" s="228"/>
      <c r="M61" s="228"/>
      <c r="N61" s="190"/>
      <c r="O61" s="228"/>
      <c r="P61" s="231"/>
      <c r="S61" s="190"/>
      <c r="T61" s="190"/>
      <c r="U61" s="190"/>
      <c r="V61" s="190"/>
      <c r="W61" s="190"/>
      <c r="X61" s="190"/>
    </row>
    <row r="62" spans="2:24">
      <c r="C62" s="233">
        <v>7.0674858624469455E-2</v>
      </c>
      <c r="D62" s="188" t="s">
        <v>54</v>
      </c>
      <c r="K62" s="234"/>
      <c r="L62" s="235"/>
      <c r="M62" s="235"/>
      <c r="O62" s="236"/>
    </row>
    <row r="63" spans="2:24">
      <c r="C63" s="237">
        <v>0.38</v>
      </c>
      <c r="D63" s="188" t="s">
        <v>55</v>
      </c>
    </row>
    <row r="64" spans="2:24" ht="13.5" thickBot="1">
      <c r="D64" s="231"/>
    </row>
    <row r="65" spans="3:11" ht="13.5" thickBot="1">
      <c r="C65" s="54" t="str">
        <f>"Company Official Inflation Forecast Dated "&amp;TEXT('Table 4'!$G$5,"mmmm dd, yyyy")</f>
        <v>Company Official Inflation Forecast Dated December 29, 2017</v>
      </c>
      <c r="D65" s="218"/>
      <c r="E65" s="218"/>
      <c r="F65" s="218"/>
      <c r="G65" s="218"/>
      <c r="H65" s="218"/>
      <c r="I65" s="218"/>
      <c r="J65" s="218"/>
      <c r="K65" s="220"/>
    </row>
    <row r="66" spans="3:11">
      <c r="C66" s="129">
        <v>2017</v>
      </c>
      <c r="D66" s="57">
        <v>0.02</v>
      </c>
      <c r="E66" s="104"/>
      <c r="F66" s="129">
        <f>C74+1</f>
        <v>2026</v>
      </c>
      <c r="G66" s="57">
        <v>2.3E-2</v>
      </c>
      <c r="H66" s="104"/>
      <c r="I66" s="129">
        <f>F74+1</f>
        <v>2035</v>
      </c>
      <c r="J66" s="129"/>
      <c r="K66" s="57">
        <v>2.3E-2</v>
      </c>
    </row>
    <row r="67" spans="3:11">
      <c r="C67" s="129">
        <f t="shared" ref="C67:C74" si="30">C66+1</f>
        <v>2018</v>
      </c>
      <c r="D67" s="57">
        <v>1.9E-2</v>
      </c>
      <c r="E67" s="104"/>
      <c r="F67" s="129">
        <f t="shared" ref="F67:F74" si="31">F66+1</f>
        <v>2027</v>
      </c>
      <c r="G67" s="57">
        <v>2.3E-2</v>
      </c>
      <c r="H67" s="104"/>
      <c r="I67" s="129">
        <f t="shared" ref="I67:I74" si="32">I66+1</f>
        <v>2036</v>
      </c>
      <c r="J67" s="129"/>
      <c r="K67" s="57">
        <v>2.3E-2</v>
      </c>
    </row>
    <row r="68" spans="3:11">
      <c r="C68" s="129">
        <f t="shared" si="30"/>
        <v>2019</v>
      </c>
      <c r="D68" s="57">
        <v>2.1999999999999999E-2</v>
      </c>
      <c r="E68" s="104"/>
      <c r="F68" s="129">
        <f t="shared" si="31"/>
        <v>2028</v>
      </c>
      <c r="G68" s="57">
        <v>2.3E-2</v>
      </c>
      <c r="H68" s="104"/>
      <c r="I68" s="129">
        <f t="shared" si="32"/>
        <v>2037</v>
      </c>
      <c r="J68" s="129"/>
      <c r="K68" s="57">
        <v>2.1999999999999999E-2</v>
      </c>
    </row>
    <row r="69" spans="3:11">
      <c r="C69" s="129">
        <f t="shared" si="30"/>
        <v>2020</v>
      </c>
      <c r="D69" s="57">
        <v>2.5999999999999999E-2</v>
      </c>
      <c r="E69" s="104"/>
      <c r="F69" s="129">
        <f t="shared" si="31"/>
        <v>2029</v>
      </c>
      <c r="G69" s="57">
        <v>2.3E-2</v>
      </c>
      <c r="H69" s="104"/>
      <c r="I69" s="129">
        <f t="shared" si="32"/>
        <v>2038</v>
      </c>
      <c r="J69" s="129"/>
      <c r="K69" s="57">
        <v>2.1999999999999999E-2</v>
      </c>
    </row>
    <row r="70" spans="3:11">
      <c r="C70" s="129">
        <f t="shared" si="30"/>
        <v>2021</v>
      </c>
      <c r="D70" s="57">
        <v>2.4E-2</v>
      </c>
      <c r="E70" s="104"/>
      <c r="F70" s="129">
        <f t="shared" si="31"/>
        <v>2030</v>
      </c>
      <c r="G70" s="57">
        <v>2.3E-2</v>
      </c>
      <c r="H70" s="104"/>
      <c r="I70" s="129">
        <f t="shared" si="32"/>
        <v>2039</v>
      </c>
      <c r="J70" s="129"/>
      <c r="K70" s="57">
        <v>2.1999999999999999E-2</v>
      </c>
    </row>
    <row r="71" spans="3:11">
      <c r="C71" s="129">
        <f t="shared" si="30"/>
        <v>2022</v>
      </c>
      <c r="D71" s="57">
        <v>2.3E-2</v>
      </c>
      <c r="E71" s="104"/>
      <c r="F71" s="129">
        <f t="shared" si="31"/>
        <v>2031</v>
      </c>
      <c r="G71" s="57">
        <v>2.3E-2</v>
      </c>
      <c r="H71" s="104"/>
      <c r="I71" s="129">
        <f t="shared" si="32"/>
        <v>2040</v>
      </c>
      <c r="J71" s="129"/>
      <c r="K71" s="57">
        <v>2.1999999999999999E-2</v>
      </c>
    </row>
    <row r="72" spans="3:11" s="190" customFormat="1">
      <c r="C72" s="129">
        <f t="shared" si="30"/>
        <v>2023</v>
      </c>
      <c r="D72" s="57">
        <v>2.3E-2</v>
      </c>
      <c r="E72" s="106"/>
      <c r="F72" s="129">
        <f t="shared" si="31"/>
        <v>2032</v>
      </c>
      <c r="G72" s="57">
        <v>2.1999999999999999E-2</v>
      </c>
      <c r="H72" s="106"/>
      <c r="I72" s="129">
        <f t="shared" si="32"/>
        <v>2041</v>
      </c>
      <c r="J72" s="129"/>
      <c r="K72" s="57">
        <v>2.1999999999999999E-2</v>
      </c>
    </row>
    <row r="73" spans="3:11" s="190" customFormat="1">
      <c r="C73" s="129">
        <f t="shared" si="30"/>
        <v>2024</v>
      </c>
      <c r="D73" s="57">
        <v>2.3E-2</v>
      </c>
      <c r="E73" s="106"/>
      <c r="F73" s="129">
        <f t="shared" si="31"/>
        <v>2033</v>
      </c>
      <c r="G73" s="57">
        <v>2.1999999999999999E-2</v>
      </c>
      <c r="H73" s="106"/>
      <c r="I73" s="129">
        <f t="shared" si="32"/>
        <v>2042</v>
      </c>
      <c r="J73" s="129"/>
      <c r="K73" s="57">
        <v>2.1999999999999999E-2</v>
      </c>
    </row>
    <row r="74" spans="3:11" s="190" customFormat="1">
      <c r="C74" s="129">
        <f t="shared" si="30"/>
        <v>2025</v>
      </c>
      <c r="D74" s="57">
        <v>2.3E-2</v>
      </c>
      <c r="E74" s="106"/>
      <c r="F74" s="129">
        <f t="shared" si="31"/>
        <v>2034</v>
      </c>
      <c r="G74" s="57">
        <v>2.3E-2</v>
      </c>
      <c r="H74" s="106"/>
      <c r="I74" s="129">
        <f t="shared" si="32"/>
        <v>2043</v>
      </c>
      <c r="J74" s="129"/>
      <c r="K74" s="57">
        <v>2.3E-2</v>
      </c>
    </row>
    <row r="75" spans="3:11" s="190" customFormat="1"/>
    <row r="76" spans="3:11" s="190" customFormat="1"/>
    <row r="93" spans="3:4">
      <c r="C93" s="227"/>
      <c r="D93" s="231"/>
    </row>
    <row r="94" spans="3:4">
      <c r="C94" s="227"/>
      <c r="D94" s="231"/>
    </row>
    <row r="95" spans="3:4">
      <c r="C95" s="227"/>
      <c r="D95" s="231"/>
    </row>
    <row r="96" spans="3:4">
      <c r="C96" s="227"/>
      <c r="D96" s="231"/>
    </row>
    <row r="97" spans="3:4">
      <c r="C97" s="227"/>
      <c r="D97" s="231"/>
    </row>
    <row r="98" spans="3:4">
      <c r="C98" s="227"/>
      <c r="D98" s="231"/>
    </row>
    <row r="99" spans="3:4">
      <c r="C99" s="227"/>
      <c r="D99" s="231"/>
    </row>
    <row r="100" spans="3:4">
      <c r="C100" s="227"/>
      <c r="D100" s="231"/>
    </row>
    <row r="101" spans="3:4">
      <c r="C101" s="227"/>
      <c r="D101" s="231"/>
    </row>
    <row r="102" spans="3:4">
      <c r="C102" s="227"/>
      <c r="D102" s="231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5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O72"/>
  <sheetViews>
    <sheetView view="pageBreakPreview" topLeftCell="A2" zoomScale="70" zoomScaleNormal="70" zoomScaleSheetLayoutView="70" workbookViewId="0">
      <selection activeCell="C36" sqref="C36"/>
    </sheetView>
  </sheetViews>
  <sheetFormatPr defaultRowHeight="12.75"/>
  <cols>
    <col min="1" max="1" width="12.5" style="4" customWidth="1"/>
    <col min="2" max="2" width="10.83203125" style="4" customWidth="1"/>
    <col min="3" max="3" width="18.83203125" style="4" customWidth="1"/>
    <col min="4" max="4" width="6.5" style="4" customWidth="1"/>
    <col min="5" max="5" width="18.83203125" style="4" customWidth="1"/>
    <col min="6" max="6" width="3.5" style="4" bestFit="1" customWidth="1"/>
    <col min="7" max="7" width="27.83203125" style="4" customWidth="1"/>
    <col min="8" max="8" width="8.33203125" style="4" bestFit="1" customWidth="1"/>
    <col min="9" max="9" width="14.1640625" style="4" customWidth="1"/>
    <col min="10" max="10" width="6.83203125" customWidth="1"/>
    <col min="11" max="11" width="16.6640625" customWidth="1"/>
    <col min="12" max="12" width="19.1640625" customWidth="1"/>
    <col min="20" max="20" width="13.1640625" customWidth="1"/>
    <col min="62" max="62" width="11" customWidth="1"/>
    <col min="65" max="65" width="17.33203125" customWidth="1"/>
    <col min="66" max="66" width="16.6640625" customWidth="1"/>
    <col min="67" max="67" width="15" customWidth="1"/>
  </cols>
  <sheetData>
    <row r="1" spans="2:66" customFormat="1" ht="15.75" hidden="1">
      <c r="B1" s="1" t="s">
        <v>52</v>
      </c>
      <c r="C1" s="3"/>
      <c r="D1" s="3"/>
      <c r="E1" s="3"/>
      <c r="F1" s="3"/>
      <c r="G1" s="12"/>
      <c r="H1" s="50"/>
      <c r="I1" s="6"/>
    </row>
    <row r="2" spans="2:66" customFormat="1" ht="5.25" customHeight="1">
      <c r="B2" s="1"/>
      <c r="C2" s="3"/>
      <c r="D2" s="3"/>
      <c r="E2" s="3"/>
      <c r="F2" s="4"/>
      <c r="G2" s="12"/>
      <c r="H2" s="50"/>
      <c r="I2" s="6"/>
    </row>
    <row r="3" spans="2:66" customFormat="1" ht="15.75">
      <c r="B3" s="1" t="s">
        <v>24</v>
      </c>
      <c r="C3" s="3"/>
      <c r="D3" s="3"/>
      <c r="E3" s="3"/>
      <c r="F3" s="3"/>
      <c r="G3" s="12"/>
      <c r="H3" s="50"/>
      <c r="I3" s="4"/>
      <c r="K3">
        <f>MATCH('Table 5'!K5,'Table 5'!$B$12:$B$264,FALSE)+ROW('Table 5'!B11)</f>
        <v>13</v>
      </c>
      <c r="BM3" s="296">
        <v>0</v>
      </c>
      <c r="BN3" t="s">
        <v>175</v>
      </c>
    </row>
    <row r="4" spans="2:66" customFormat="1" ht="15.75">
      <c r="B4" s="5" t="s">
        <v>21</v>
      </c>
      <c r="C4" s="5"/>
      <c r="D4" s="5"/>
      <c r="E4" s="5"/>
      <c r="F4" s="5"/>
      <c r="G4" s="1"/>
      <c r="H4" s="50"/>
      <c r="I4" s="4"/>
      <c r="K4">
        <f>MATCH('Table 5'!K6,'Table 5'!$B$12:$B$264,FALSE)+ROW('Table 5'!B11)</f>
        <v>252</v>
      </c>
      <c r="P4" s="258" t="s">
        <v>88</v>
      </c>
      <c r="BM4">
        <v>750</v>
      </c>
      <c r="BN4" t="s">
        <v>176</v>
      </c>
    </row>
    <row r="5" spans="2:66" customFormat="1" ht="15.75">
      <c r="B5" s="5" t="str">
        <f ca="1">'Table 5'!M4&amp; " - "&amp;TEXT(Study_MW,"#.0")&amp;" MW and "&amp;TEXT(Study_CF,"#.0%")&amp;" CF"</f>
        <v>Utah 2017.Q4_Solar - 80.0 MW and 31.1% CF</v>
      </c>
      <c r="C5" s="5"/>
      <c r="D5" s="5"/>
      <c r="E5" s="5"/>
      <c r="F5" s="5"/>
      <c r="G5" s="1"/>
      <c r="H5" s="50"/>
      <c r="I5" s="6"/>
      <c r="P5" s="259">
        <v>0.158</v>
      </c>
      <c r="Q5" s="259">
        <v>0.158</v>
      </c>
      <c r="R5" s="259">
        <v>0.158</v>
      </c>
      <c r="S5" s="260">
        <v>1</v>
      </c>
      <c r="T5" s="260">
        <v>1</v>
      </c>
      <c r="U5" s="260">
        <v>1</v>
      </c>
      <c r="V5" s="260">
        <v>1</v>
      </c>
      <c r="W5" s="260">
        <v>1</v>
      </c>
      <c r="X5" s="259">
        <v>0.53861399146353772</v>
      </c>
      <c r="Y5" s="259">
        <v>0.59672377662708742</v>
      </c>
      <c r="BM5" s="273">
        <f>$BM$3*$BM$4</f>
        <v>0</v>
      </c>
      <c r="BN5" t="s">
        <v>173</v>
      </c>
    </row>
    <row r="6" spans="2:66" customFormat="1" ht="14.25" hidden="1">
      <c r="B6" s="24"/>
      <c r="C6" s="5"/>
      <c r="D6" s="5"/>
      <c r="E6" s="5"/>
      <c r="F6" s="5"/>
      <c r="G6" s="12"/>
      <c r="H6" s="50"/>
      <c r="I6" s="6"/>
    </row>
    <row r="7" spans="2:66" customFormat="1">
      <c r="B7" s="4"/>
      <c r="C7" s="8"/>
      <c r="D7" s="8"/>
      <c r="E7" s="4"/>
      <c r="F7" s="4"/>
      <c r="G7" s="4"/>
      <c r="H7" s="50"/>
      <c r="I7" s="66"/>
    </row>
    <row r="8" spans="2:66" customFormat="1" ht="40.5" customHeight="1">
      <c r="B8" s="4"/>
      <c r="C8" s="4"/>
      <c r="D8" s="4"/>
      <c r="E8" s="13"/>
      <c r="F8" s="53"/>
      <c r="G8" s="7" t="s">
        <v>17</v>
      </c>
      <c r="H8" s="50"/>
      <c r="I8" s="268"/>
      <c r="K8" s="171" t="s">
        <v>88</v>
      </c>
      <c r="L8" s="171"/>
      <c r="P8" s="256" t="s">
        <v>145</v>
      </c>
      <c r="AB8" s="256" t="s">
        <v>146</v>
      </c>
      <c r="AN8" s="256" t="s">
        <v>147</v>
      </c>
      <c r="AZ8" s="256" t="s">
        <v>148</v>
      </c>
      <c r="BM8" s="289" t="s">
        <v>147</v>
      </c>
      <c r="BN8" s="290" t="s">
        <v>148</v>
      </c>
    </row>
    <row r="9" spans="2:66" customFormat="1">
      <c r="B9" s="4"/>
      <c r="C9" s="7" t="s">
        <v>6</v>
      </c>
      <c r="D9" s="7"/>
      <c r="E9" s="13" t="s">
        <v>22</v>
      </c>
      <c r="F9" s="53"/>
      <c r="G9" s="69">
        <f ca="1">Study_CF</f>
        <v>0.31060559218036532</v>
      </c>
      <c r="H9" s="50"/>
      <c r="I9" s="66"/>
      <c r="K9" s="172" t="s">
        <v>89</v>
      </c>
      <c r="L9" s="172" t="s">
        <v>71</v>
      </c>
      <c r="M9" s="261" t="s">
        <v>149</v>
      </c>
      <c r="P9" t="s">
        <v>141</v>
      </c>
      <c r="Q9" t="s">
        <v>136</v>
      </c>
      <c r="R9" t="s">
        <v>137</v>
      </c>
      <c r="S9" t="s">
        <v>142</v>
      </c>
      <c r="T9" t="s">
        <v>143</v>
      </c>
      <c r="U9" t="s">
        <v>144</v>
      </c>
      <c r="V9" t="s">
        <v>133</v>
      </c>
      <c r="W9" t="s">
        <v>132</v>
      </c>
      <c r="X9" t="s">
        <v>139</v>
      </c>
      <c r="Y9" t="s">
        <v>140</v>
      </c>
      <c r="AB9" t="s">
        <v>141</v>
      </c>
      <c r="AC9" t="s">
        <v>136</v>
      </c>
      <c r="AD9" t="s">
        <v>137</v>
      </c>
      <c r="AE9" t="s">
        <v>142</v>
      </c>
      <c r="AF9" t="s">
        <v>143</v>
      </c>
      <c r="AG9" t="s">
        <v>144</v>
      </c>
      <c r="AH9" t="s">
        <v>133</v>
      </c>
      <c r="AI9" t="s">
        <v>132</v>
      </c>
      <c r="AJ9" t="s">
        <v>139</v>
      </c>
      <c r="AK9" t="s">
        <v>140</v>
      </c>
      <c r="AN9" t="s">
        <v>141</v>
      </c>
      <c r="AO9" t="s">
        <v>136</v>
      </c>
      <c r="AP9" t="s">
        <v>137</v>
      </c>
      <c r="AQ9" t="s">
        <v>142</v>
      </c>
      <c r="AR9" t="s">
        <v>143</v>
      </c>
      <c r="AS9" t="s">
        <v>144</v>
      </c>
      <c r="AT9" t="s">
        <v>133</v>
      </c>
      <c r="AU9" t="s">
        <v>132</v>
      </c>
      <c r="AV9" t="s">
        <v>139</v>
      </c>
      <c r="AW9" t="s">
        <v>140</v>
      </c>
      <c r="AZ9" t="s">
        <v>141</v>
      </c>
      <c r="BA9" t="s">
        <v>136</v>
      </c>
      <c r="BB9" t="s">
        <v>137</v>
      </c>
      <c r="BC9" t="s">
        <v>142</v>
      </c>
      <c r="BD9" t="s">
        <v>143</v>
      </c>
      <c r="BE9" t="s">
        <v>144</v>
      </c>
      <c r="BF9" t="s">
        <v>133</v>
      </c>
      <c r="BG9" t="s">
        <v>132</v>
      </c>
      <c r="BH9" t="s">
        <v>139</v>
      </c>
      <c r="BI9" t="s">
        <v>140</v>
      </c>
      <c r="BJ9" t="s">
        <v>150</v>
      </c>
      <c r="BM9" t="s">
        <v>174</v>
      </c>
      <c r="BN9" t="s">
        <v>174</v>
      </c>
    </row>
    <row r="10" spans="2:66" customFormat="1">
      <c r="B10" s="7" t="s">
        <v>0</v>
      </c>
      <c r="C10" s="7" t="str">
        <f>"Price"&amp;IF(I8&lt;&gt;1," ","")</f>
        <v xml:space="preserve">Price </v>
      </c>
      <c r="D10" s="7"/>
      <c r="E10" s="13" t="s">
        <v>23</v>
      </c>
      <c r="F10" s="53"/>
      <c r="G10" s="13" t="s">
        <v>18</v>
      </c>
      <c r="H10" s="50"/>
      <c r="I10" s="131"/>
      <c r="K10" s="173"/>
      <c r="L10" s="173"/>
      <c r="M10" s="262"/>
    </row>
    <row r="11" spans="2:66" customFormat="1" ht="13.5">
      <c r="B11" s="7"/>
      <c r="C11" s="7" t="s">
        <v>20</v>
      </c>
      <c r="D11" s="7"/>
      <c r="E11" s="102" t="s">
        <v>74</v>
      </c>
      <c r="F11" s="53"/>
      <c r="G11" s="13" t="s">
        <v>39</v>
      </c>
      <c r="H11" s="50"/>
      <c r="I11" s="131"/>
      <c r="K11" s="174" t="s">
        <v>90</v>
      </c>
      <c r="L11" s="175">
        <v>0.158</v>
      </c>
      <c r="M11" s="175">
        <v>0.11776428835036618</v>
      </c>
      <c r="P11" t="s">
        <v>41</v>
      </c>
      <c r="Q11" t="s">
        <v>41</v>
      </c>
      <c r="R11" t="s">
        <v>41</v>
      </c>
      <c r="S11" t="s">
        <v>41</v>
      </c>
      <c r="T11" t="s">
        <v>41</v>
      </c>
      <c r="U11" t="s">
        <v>41</v>
      </c>
      <c r="V11" t="s">
        <v>41</v>
      </c>
      <c r="W11" t="s">
        <v>41</v>
      </c>
      <c r="X11" t="s">
        <v>41</v>
      </c>
      <c r="Y11" t="s">
        <v>41</v>
      </c>
      <c r="AB11" t="s">
        <v>41</v>
      </c>
      <c r="AC11" t="s">
        <v>41</v>
      </c>
      <c r="AD11" t="s">
        <v>41</v>
      </c>
      <c r="AE11" t="s">
        <v>41</v>
      </c>
      <c r="AF11" t="s">
        <v>41</v>
      </c>
      <c r="AG11" t="s">
        <v>41</v>
      </c>
      <c r="AH11" t="s">
        <v>41</v>
      </c>
      <c r="AI11" t="s">
        <v>41</v>
      </c>
      <c r="AJ11" t="s">
        <v>41</v>
      </c>
      <c r="AK11" t="s">
        <v>41</v>
      </c>
      <c r="AN11" t="s">
        <v>151</v>
      </c>
      <c r="AO11" t="s">
        <v>151</v>
      </c>
      <c r="AP11" t="s">
        <v>151</v>
      </c>
      <c r="AQ11" t="s">
        <v>151</v>
      </c>
      <c r="AR11" t="s">
        <v>151</v>
      </c>
      <c r="AS11" t="s">
        <v>151</v>
      </c>
      <c r="AT11" t="s">
        <v>151</v>
      </c>
      <c r="AU11" t="s">
        <v>151</v>
      </c>
      <c r="AV11" t="s">
        <v>151</v>
      </c>
      <c r="AW11" t="s">
        <v>151</v>
      </c>
      <c r="AZ11" t="s">
        <v>152</v>
      </c>
      <c r="BA11" t="s">
        <v>152</v>
      </c>
      <c r="BB11" t="s">
        <v>152</v>
      </c>
      <c r="BC11" t="s">
        <v>152</v>
      </c>
      <c r="BD11" t="s">
        <v>152</v>
      </c>
      <c r="BE11" t="s">
        <v>152</v>
      </c>
      <c r="BF11" t="s">
        <v>152</v>
      </c>
      <c r="BG11" t="s">
        <v>152</v>
      </c>
      <c r="BH11" t="s">
        <v>152</v>
      </c>
      <c r="BI11" t="s">
        <v>152</v>
      </c>
      <c r="BJ11" t="s">
        <v>152</v>
      </c>
      <c r="BM11" t="s">
        <v>151</v>
      </c>
      <c r="BN11" t="s">
        <v>152</v>
      </c>
    </row>
    <row r="12" spans="2:66" customFormat="1">
      <c r="B12" s="266"/>
      <c r="C12" s="267"/>
      <c r="D12" s="266"/>
      <c r="E12" s="13"/>
      <c r="F12" s="13"/>
      <c r="G12" s="4"/>
      <c r="H12" s="50"/>
      <c r="I12" s="131"/>
      <c r="K12" s="174" t="s">
        <v>44</v>
      </c>
      <c r="L12" s="175">
        <v>0.37912293315598289</v>
      </c>
      <c r="M12" s="175">
        <v>0.53861399146353772</v>
      </c>
    </row>
    <row r="13" spans="2:66" customFormat="1">
      <c r="B13" s="16">
        <f>'Table 5'!J13</f>
        <v>2018</v>
      </c>
      <c r="C13" s="10">
        <f t="shared" ref="C13:C33" si="0">(INDEX($BJ:$BJ,MATCH(B13,$O:$O,0),1)+INDEX($BN:$BN,MATCH(B13,$O:$O,0),1))*1000/Study_MW</f>
        <v>0</v>
      </c>
      <c r="D13" s="62"/>
      <c r="E13" s="9">
        <f ca="1">SUMIF(INDIRECT("'Table 5'!$J$"&amp;$K$3&amp;":$J$"&amp;$K$4),B13,INDIRECT("'Table 5'!$c$"&amp;$K$3&amp;":$c$"&amp;$K$4))/SUMIF(INDIRECT("'Table 5'!$J$"&amp;$K$3&amp;":$J$"&amp;$K$4),B13,INDIRECT("'Table 5'!$f$"&amp;$K$3&amp;":$f$"&amp;$K$4))</f>
        <v>19.328404402546269</v>
      </c>
      <c r="F13" s="61"/>
      <c r="G13" s="14">
        <f ca="1">SUMIF(INDIRECT("'Table 5'!$J$"&amp;$K$3&amp;":$J$"&amp;$K$4),B13,INDIRECT("'Table 5'!$e$"&amp;$K$3&amp;":$e$"&amp;$K$4))/SUMIF(INDIRECT("'Table 5'!$J$"&amp;$K$3&amp;":$J$"&amp;$K$4),B13,INDIRECT("'Table 5'!$f$"&amp;$K$3&amp;":$f$"&amp;$K$4))</f>
        <v>19.328404402546269</v>
      </c>
      <c r="H13" s="50"/>
      <c r="I13" s="273"/>
      <c r="J13" s="273"/>
      <c r="K13" s="174" t="s">
        <v>91</v>
      </c>
      <c r="L13" s="175">
        <v>0.59672377662708742</v>
      </c>
      <c r="M13" s="175">
        <v>0.64803174039612643</v>
      </c>
      <c r="O13">
        <f t="shared" ref="O13:O32" si="1">B13</f>
        <v>2018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AB13">
        <f>P13/P$5</f>
        <v>0</v>
      </c>
      <c r="AC13">
        <f t="shared" ref="AC13:AK32" si="2">Q13/Q$5</f>
        <v>0</v>
      </c>
      <c r="AD13">
        <f t="shared" si="2"/>
        <v>0</v>
      </c>
      <c r="AE13">
        <f t="shared" si="2"/>
        <v>0</v>
      </c>
      <c r="AF13">
        <f t="shared" si="2"/>
        <v>0</v>
      </c>
      <c r="AG13">
        <f t="shared" si="2"/>
        <v>0</v>
      </c>
      <c r="AH13">
        <f t="shared" si="2"/>
        <v>0</v>
      </c>
      <c r="AI13">
        <f t="shared" si="2"/>
        <v>0</v>
      </c>
      <c r="AJ13">
        <f t="shared" si="2"/>
        <v>0</v>
      </c>
      <c r="AK13">
        <f t="shared" si="2"/>
        <v>0</v>
      </c>
      <c r="AN13">
        <f>VLOOKUP($O13,'Table 3 WY Wind 2021'!$B$10:$J$36,9,FALSE)</f>
        <v>95.09</v>
      </c>
      <c r="AO13">
        <f>VLOOKUP($O13,'Table 3 DJ Wind 2031'!$B$10:$J$36,9,FALSE)</f>
        <v>169.19</v>
      </c>
      <c r="AP13">
        <f>VLOOKUP($O13,'Table 3 ID Wind 2036'!$B$10:$J$36,9,FALSE)</f>
        <v>172.08</v>
      </c>
      <c r="AQ13">
        <f>VLOOKUP($O13,'Table 3 30 MW Geoth 2029'!$B$10:$J$36,9,FALSE)</f>
        <v>635.55999999999995</v>
      </c>
      <c r="AR13">
        <f>VLOOKUP($O13,'Table 3 200 MW (UT N) 2029)'!$B$11:$H$41,7,FALSE)</f>
        <v>108.29</v>
      </c>
      <c r="AS13">
        <f>VLOOKUP($O13,'Table 3 436MW (West M) 2030'!$B$11:$I$41,7,FALSE)</f>
        <v>161.15</v>
      </c>
      <c r="AT13">
        <f>VLOOKUP($O13,'Table 3 477 MW (Wyo) 2033'!$B$11:$I$41,7,FALSE)</f>
        <v>164.94</v>
      </c>
      <c r="AU13">
        <f>VLOOKUP($O13,'Table 3 200 MW (Wyo) 2033'!$B$11:$I$41,7,FALSE)</f>
        <v>142.28</v>
      </c>
      <c r="AV13">
        <f>VLOOKUP($O13,'Table 3 Yakima Solar 2028'!$B$10:$K$36,9,FALSE)</f>
        <v>154.06</v>
      </c>
      <c r="AW13">
        <f>VLOOKUP($O13,'Table 3 UT Solar 2035'!$B$10:$K$36,9,FALSE)</f>
        <v>159.66</v>
      </c>
      <c r="AZ13">
        <f>SUM(AB$13:AB13)*AN13/1000</f>
        <v>0</v>
      </c>
      <c r="BA13">
        <f>SUM(AC$13:AC13)*AO13/1000</f>
        <v>0</v>
      </c>
      <c r="BB13">
        <f>SUM(AD$13:AD13)*AP13/1000</f>
        <v>0</v>
      </c>
      <c r="BC13">
        <f>SUM(AE$13:AE13)*AQ13/1000</f>
        <v>0</v>
      </c>
      <c r="BD13">
        <f>SUM(AF$13:AF13)*AR13/1000</f>
        <v>0</v>
      </c>
      <c r="BE13">
        <f>SUM(AG$13:AG13)*AS13/1000</f>
        <v>0</v>
      </c>
      <c r="BF13">
        <f>SUM(AH$13:AH13)*AT13/1000</f>
        <v>0</v>
      </c>
      <c r="BG13">
        <f>SUM(AI$13:AI13)*AU13/1000</f>
        <v>0</v>
      </c>
      <c r="BH13">
        <f>SUM(AJ$13:AJ13)*AV13/1000</f>
        <v>0</v>
      </c>
      <c r="BI13">
        <f>SUM(AK$13:AK13)*AW13/1000</f>
        <v>0</v>
      </c>
      <c r="BJ13">
        <f t="shared" ref="BJ13:BJ14" si="3">SUM(AZ13:BI13)</f>
        <v>0</v>
      </c>
      <c r="BL13">
        <f>O13</f>
        <v>2018</v>
      </c>
      <c r="BM13" s="131">
        <f>IFERROR(VLOOKUP($BL13,'Table 3 TransCost D2 '!$B$10:$E$34,4,FALSE),0)</f>
        <v>0</v>
      </c>
      <c r="BN13" s="273">
        <f>$BM$5*BM13/1000</f>
        <v>0</v>
      </c>
    </row>
    <row r="14" spans="2:66" customFormat="1">
      <c r="B14" s="16">
        <f t="shared" ref="B14:B33" si="4">B13+1</f>
        <v>2019</v>
      </c>
      <c r="C14" s="10">
        <f t="shared" si="0"/>
        <v>0</v>
      </c>
      <c r="D14" s="62"/>
      <c r="E14" s="10">
        <f t="shared" ref="E14:E32" ca="1" si="5">SUMIF(INDIRECT("'Table 5'!$J$"&amp;$K$3&amp;":$J$"&amp;$K$4),B14,INDIRECT("'Table 5'!$c$"&amp;$K$3&amp;":$c$"&amp;$K$4))/SUMIF(INDIRECT("'Table 5'!$J$"&amp;$K$3&amp;":$J$"&amp;$K$4),B14,INDIRECT("'Table 5'!$f$"&amp;$K$3&amp;":$f$"&amp;$K$4))</f>
        <v>17.836868198537179</v>
      </c>
      <c r="F14" s="51"/>
      <c r="G14" s="15">
        <f ca="1">SUMIF(INDIRECT("'Table 5'!$J$"&amp;$K$3&amp;":$J$"&amp;$K$4),B14,INDIRECT("'Table 5'!$e$"&amp;$K$3&amp;":$e$"&amp;$K$4))/SUMIF(INDIRECT("'Table 5'!$J$"&amp;$K$3&amp;":$J$"&amp;$K$4),B14,INDIRECT("'Table 5'!$f$"&amp;$K$3&amp;":$f$"&amp;$K$4))</f>
        <v>17.836868198537179</v>
      </c>
      <c r="H14" s="50"/>
      <c r="I14" s="273"/>
      <c r="J14" s="273"/>
      <c r="K14" s="174" t="s">
        <v>92</v>
      </c>
      <c r="L14" s="175">
        <v>1</v>
      </c>
      <c r="M14" s="175">
        <v>1</v>
      </c>
      <c r="O14">
        <f t="shared" si="1"/>
        <v>2019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AB14">
        <f t="shared" ref="AB14:AB32" si="6">P14/P$5</f>
        <v>0</v>
      </c>
      <c r="AC14">
        <f t="shared" si="2"/>
        <v>0</v>
      </c>
      <c r="AD14">
        <f t="shared" si="2"/>
        <v>0</v>
      </c>
      <c r="AE14">
        <f t="shared" si="2"/>
        <v>0</v>
      </c>
      <c r="AF14">
        <f t="shared" si="2"/>
        <v>0</v>
      </c>
      <c r="AG14">
        <f t="shared" si="2"/>
        <v>0</v>
      </c>
      <c r="AH14">
        <f t="shared" si="2"/>
        <v>0</v>
      </c>
      <c r="AI14">
        <f t="shared" si="2"/>
        <v>0</v>
      </c>
      <c r="AJ14">
        <f t="shared" si="2"/>
        <v>0</v>
      </c>
      <c r="AK14">
        <f t="shared" si="2"/>
        <v>0</v>
      </c>
      <c r="AN14">
        <f>VLOOKUP($O14,'Table 3 WY Wind 2021'!$B$10:$J$36,9,FALSE)</f>
        <v>97.16</v>
      </c>
      <c r="AO14">
        <f>VLOOKUP($O14,'Table 3 DJ Wind 2031'!$B$10:$J$36,9,FALSE)</f>
        <v>172.9</v>
      </c>
      <c r="AP14">
        <f>VLOOKUP($O14,'Table 3 ID Wind 2036'!$B$10:$J$36,9,FALSE)</f>
        <v>175.87</v>
      </c>
      <c r="AQ14">
        <f>VLOOKUP($O14,'Table 3 30 MW Geoth 2029'!$B$10:$J$36,9,FALSE)</f>
        <v>649.54999999999995</v>
      </c>
      <c r="AR14">
        <f>VLOOKUP($O14,'Table 3 200 MW (UT N) 2029)'!$B$11:$H$41,7,FALSE)</f>
        <v>110.67</v>
      </c>
      <c r="AS14">
        <f>VLOOKUP($O14,'Table 3 436MW (West M) 2030'!$B$11:$I$41,7,FALSE)</f>
        <v>164.72</v>
      </c>
      <c r="AT14">
        <f>VLOOKUP($O14,'Table 3 477 MW (Wyo) 2033'!$B$11:$I$41,7,FALSE)</f>
        <v>168.58</v>
      </c>
      <c r="AU14">
        <f>VLOOKUP($O14,'Table 3 200 MW (Wyo) 2033'!$B$11:$I$41,7,FALSE)</f>
        <v>145.41</v>
      </c>
      <c r="AV14">
        <f>VLOOKUP($O14,'Table 3 Yakima Solar 2028'!$B$10:$K$36,9,FALSE)</f>
        <v>157.44999999999999</v>
      </c>
      <c r="AW14">
        <f>VLOOKUP($O14,'Table 3 UT Solar 2035'!$B$10:$K$36,9,FALSE)</f>
        <v>163.16999999999999</v>
      </c>
      <c r="AZ14">
        <f>SUM(AB$13:AB14)*AN14/1000</f>
        <v>0</v>
      </c>
      <c r="BA14">
        <f>SUM(AC$13:AC14)*AO14/1000</f>
        <v>0</v>
      </c>
      <c r="BB14">
        <f>SUM(AD$13:AD14)*AP14/1000</f>
        <v>0</v>
      </c>
      <c r="BC14">
        <f>SUM(AE$13:AE14)*AQ14/1000</f>
        <v>0</v>
      </c>
      <c r="BD14">
        <f>SUM(AF$13:AF14)*AR14/1000</f>
        <v>0</v>
      </c>
      <c r="BE14">
        <f>SUM(AG$13:AG14)*AS14/1000</f>
        <v>0</v>
      </c>
      <c r="BF14">
        <f>SUM(AH$13:AH14)*AT14/1000</f>
        <v>0</v>
      </c>
      <c r="BG14">
        <f>SUM(AI$13:AI14)*AU14/1000</f>
        <v>0</v>
      </c>
      <c r="BH14">
        <f>SUM(AJ$13:AJ14)*AV14/1000</f>
        <v>0</v>
      </c>
      <c r="BI14">
        <f>SUM(AK$13:AK14)*AW14/1000</f>
        <v>0</v>
      </c>
      <c r="BJ14">
        <f t="shared" si="3"/>
        <v>0</v>
      </c>
      <c r="BL14">
        <f t="shared" ref="BL14:BL32" si="7">O14</f>
        <v>2019</v>
      </c>
      <c r="BM14" s="131">
        <f>IFERROR(VLOOKUP($BL14,'Table 3 TransCost D2 '!$B$10:$E$34,4,FALSE),0)</f>
        <v>0</v>
      </c>
      <c r="BN14" s="273">
        <f t="shared" ref="BN14:BN33" si="8">$BM$5*BM14/1000</f>
        <v>0</v>
      </c>
    </row>
    <row r="15" spans="2:66" customFormat="1">
      <c r="B15" s="16">
        <f t="shared" si="4"/>
        <v>2020</v>
      </c>
      <c r="C15" s="10">
        <f t="shared" si="0"/>
        <v>0</v>
      </c>
      <c r="D15" s="62"/>
      <c r="E15" s="10">
        <f t="shared" ca="1" si="5"/>
        <v>11.708927859753553</v>
      </c>
      <c r="F15" s="51"/>
      <c r="G15" s="15">
        <f t="shared" ref="G15:G32" ca="1" si="9">SUMIF(INDIRECT("'Table 5'!$J$"&amp;$K$3&amp;":$J$"&amp;$K$4),B15,INDIRECT("'Table 5'!$e$"&amp;$K$3&amp;":$e$"&amp;$K$4))/SUMIF(INDIRECT("'Table 5'!$J$"&amp;$K$3&amp;":$J$"&amp;$K$4),B15,INDIRECT("'Table 5'!$f$"&amp;$K$3&amp;":$f$"&amp;$K$4))</f>
        <v>11.708927859753553</v>
      </c>
      <c r="H15" s="50"/>
      <c r="I15" s="273"/>
      <c r="J15" s="273"/>
      <c r="K15" s="174" t="s">
        <v>93</v>
      </c>
      <c r="L15" s="175">
        <v>1</v>
      </c>
      <c r="M15" s="175">
        <v>1</v>
      </c>
      <c r="O15">
        <f t="shared" si="1"/>
        <v>2020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AB15">
        <f t="shared" si="6"/>
        <v>0</v>
      </c>
      <c r="AC15">
        <f t="shared" si="2"/>
        <v>0</v>
      </c>
      <c r="AD15">
        <f t="shared" si="2"/>
        <v>0</v>
      </c>
      <c r="AE15">
        <f t="shared" si="2"/>
        <v>0</v>
      </c>
      <c r="AF15">
        <f t="shared" si="2"/>
        <v>0</v>
      </c>
      <c r="AG15">
        <f t="shared" si="2"/>
        <v>0</v>
      </c>
      <c r="AH15">
        <f t="shared" si="2"/>
        <v>0</v>
      </c>
      <c r="AI15">
        <f t="shared" si="2"/>
        <v>0</v>
      </c>
      <c r="AJ15">
        <f t="shared" si="2"/>
        <v>0</v>
      </c>
      <c r="AK15">
        <f t="shared" si="2"/>
        <v>0</v>
      </c>
      <c r="AN15">
        <f>VLOOKUP($O15,'Table 3 WY Wind 2021'!$B$10:$J$36,9,FALSE)</f>
        <v>99.7</v>
      </c>
      <c r="AO15">
        <f>VLOOKUP($O15,'Table 3 DJ Wind 2031'!$B$10:$J$36,9,FALSE)</f>
        <v>177.41</v>
      </c>
      <c r="AP15">
        <f>VLOOKUP($O15,'Table 3 ID Wind 2036'!$B$10:$J$36,9,FALSE)</f>
        <v>180.44</v>
      </c>
      <c r="AQ15">
        <f>VLOOKUP($O15,'Table 3 30 MW Geoth 2029'!$B$10:$J$36,9,FALSE)</f>
        <v>666.47</v>
      </c>
      <c r="AR15">
        <f>VLOOKUP($O15,'Table 3 200 MW (UT N) 2029)'!$B$11:$H$41,7,FALSE)</f>
        <v>113.55</v>
      </c>
      <c r="AS15">
        <f>VLOOKUP($O15,'Table 3 436MW (West M) 2030'!$B$11:$I$41,7,FALSE)</f>
        <v>169.03</v>
      </c>
      <c r="AT15">
        <f>VLOOKUP($O15,'Table 3 477 MW (Wyo) 2033'!$B$11:$I$41,7,FALSE)</f>
        <v>172.95</v>
      </c>
      <c r="AU15">
        <f>VLOOKUP($O15,'Table 3 200 MW (Wyo) 2033'!$B$11:$I$41,7,FALSE)</f>
        <v>149.19</v>
      </c>
      <c r="AV15">
        <f>VLOOKUP($O15,'Table 3 Yakima Solar 2028'!$B$10:$K$36,9,FALSE)</f>
        <v>161.55000000000001</v>
      </c>
      <c r="AW15">
        <f>VLOOKUP($O15,'Table 3 UT Solar 2035'!$B$10:$K$36,9,FALSE)</f>
        <v>167.4</v>
      </c>
      <c r="AZ15">
        <f>SUM(AB$13:AB15)*AN15/1000</f>
        <v>0</v>
      </c>
      <c r="BA15">
        <f>SUM(AC$13:AC15)*AO15/1000</f>
        <v>0</v>
      </c>
      <c r="BB15">
        <f>SUM(AD$13:AD15)*AP15/1000</f>
        <v>0</v>
      </c>
      <c r="BC15">
        <f>SUM(AE$13:AE15)*AQ15/1000</f>
        <v>0</v>
      </c>
      <c r="BD15">
        <f>SUM(AF$13:AF15)*AR15/1000</f>
        <v>0</v>
      </c>
      <c r="BE15">
        <f>SUM(AG$13:AG15)*AS15/1000</f>
        <v>0</v>
      </c>
      <c r="BF15">
        <f>SUM(AH$13:AH15)*AT15/1000</f>
        <v>0</v>
      </c>
      <c r="BG15">
        <f>SUM(AI$13:AI15)*AU15/1000</f>
        <v>0</v>
      </c>
      <c r="BH15">
        <f>SUM(AJ$13:AJ15)*AV15/1000</f>
        <v>0</v>
      </c>
      <c r="BI15">
        <f>SUM(AK$13:AK15)*AW15/1000</f>
        <v>0</v>
      </c>
      <c r="BJ15">
        <f>SUM(AZ15:BI15)</f>
        <v>0</v>
      </c>
      <c r="BL15">
        <f t="shared" si="7"/>
        <v>2020</v>
      </c>
      <c r="BM15" s="131">
        <f>IFERROR(VLOOKUP($BL15,'Table 3 TransCost D2 '!$B$10:$E$34,4,FALSE),0)</f>
        <v>7.8933333333333335</v>
      </c>
      <c r="BN15" s="273">
        <f t="shared" si="8"/>
        <v>0</v>
      </c>
    </row>
    <row r="16" spans="2:66" customFormat="1">
      <c r="B16" s="16">
        <f t="shared" si="4"/>
        <v>2021</v>
      </c>
      <c r="C16" s="10">
        <f t="shared" si="0"/>
        <v>0</v>
      </c>
      <c r="D16" s="62"/>
      <c r="E16" s="10">
        <f t="shared" ca="1" si="5"/>
        <v>15.116799068386296</v>
      </c>
      <c r="F16" s="51"/>
      <c r="G16" s="15">
        <f t="shared" ca="1" si="9"/>
        <v>15.116799068386296</v>
      </c>
      <c r="H16" s="50"/>
      <c r="I16" s="273"/>
      <c r="J16" s="273"/>
      <c r="M16" s="178"/>
      <c r="O16">
        <f t="shared" si="1"/>
        <v>2021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AB16">
        <f t="shared" si="6"/>
        <v>0</v>
      </c>
      <c r="AC16">
        <f t="shared" si="2"/>
        <v>0</v>
      </c>
      <c r="AD16">
        <f t="shared" si="2"/>
        <v>0</v>
      </c>
      <c r="AE16">
        <f t="shared" si="2"/>
        <v>0</v>
      </c>
      <c r="AF16">
        <f t="shared" si="2"/>
        <v>0</v>
      </c>
      <c r="AG16">
        <f t="shared" si="2"/>
        <v>0</v>
      </c>
      <c r="AH16">
        <f t="shared" si="2"/>
        <v>0</v>
      </c>
      <c r="AI16">
        <f t="shared" si="2"/>
        <v>0</v>
      </c>
      <c r="AJ16">
        <f t="shared" si="2"/>
        <v>0</v>
      </c>
      <c r="AK16">
        <f t="shared" si="2"/>
        <v>0</v>
      </c>
      <c r="AN16">
        <f>VLOOKUP($O16,'Table 3 WY Wind 2021'!$B$10:$J$36,9,FALSE)</f>
        <v>102.13</v>
      </c>
      <c r="AO16">
        <f>VLOOKUP($O16,'Table 3 DJ Wind 2031'!$B$10:$J$36,9,FALSE)</f>
        <v>181.67</v>
      </c>
      <c r="AP16">
        <f>VLOOKUP($O16,'Table 3 ID Wind 2036'!$B$10:$J$36,9,FALSE)</f>
        <v>184.77</v>
      </c>
      <c r="AQ16">
        <f>VLOOKUP($O16,'Table 3 30 MW Geoth 2029'!$B$10:$J$36,9,FALSE)</f>
        <v>682.44</v>
      </c>
      <c r="AR16">
        <f>VLOOKUP($O16,'Table 3 200 MW (UT N) 2029)'!$B$11:$H$41,7,FALSE)</f>
        <v>116.28</v>
      </c>
      <c r="AS16">
        <f>VLOOKUP($O16,'Table 3 436MW (West M) 2030'!$B$11:$I$41,7,FALSE)</f>
        <v>173.07</v>
      </c>
      <c r="AT16">
        <f>VLOOKUP($O16,'Table 3 477 MW (Wyo) 2033'!$B$11:$I$41,7,FALSE)</f>
        <v>177.11</v>
      </c>
      <c r="AU16">
        <f>VLOOKUP($O16,'Table 3 200 MW (Wyo) 2033'!$B$11:$I$41,7,FALSE)</f>
        <v>152.79</v>
      </c>
      <c r="AV16">
        <f>VLOOKUP($O16,'Table 3 Yakima Solar 2028'!$B$10:$K$36,9,FALSE)</f>
        <v>165.42</v>
      </c>
      <c r="AW16">
        <f>VLOOKUP($O16,'Table 3 UT Solar 2035'!$B$10:$K$36,9,FALSE)</f>
        <v>171.44</v>
      </c>
      <c r="AZ16">
        <f>SUM(AB$13:AB16)*AN16/1000</f>
        <v>0</v>
      </c>
      <c r="BA16">
        <f>SUM(AC$13:AC16)*AO16/1000</f>
        <v>0</v>
      </c>
      <c r="BB16">
        <f>SUM(AD$13:AD16)*AP16/1000</f>
        <v>0</v>
      </c>
      <c r="BC16">
        <f>SUM(AE$13:AE16)*AQ16/1000</f>
        <v>0</v>
      </c>
      <c r="BD16">
        <f>SUM(AF$13:AF16)*AR16/1000</f>
        <v>0</v>
      </c>
      <c r="BE16">
        <f>SUM(AG$13:AG16)*AS16/1000</f>
        <v>0</v>
      </c>
      <c r="BF16">
        <f>SUM(AH$13:AH16)*AT16/1000</f>
        <v>0</v>
      </c>
      <c r="BG16">
        <f>SUM(AI$13:AI16)*AU16/1000</f>
        <v>0</v>
      </c>
      <c r="BH16">
        <f>SUM(AJ$13:AJ16)*AV16/1000</f>
        <v>0</v>
      </c>
      <c r="BI16">
        <f>SUM(AK$13:AK16)*AW16/1000</f>
        <v>0</v>
      </c>
      <c r="BJ16">
        <f t="shared" ref="BJ16:BJ32" si="10">SUM(AZ16:BI16)</f>
        <v>0</v>
      </c>
      <c r="BL16">
        <f t="shared" si="7"/>
        <v>2021</v>
      </c>
      <c r="BM16" s="131">
        <f>IFERROR(VLOOKUP($BL16,'Table 3 TransCost D2 '!$B$10:$E$34,4,FALSE),0)</f>
        <v>48.5910167356733</v>
      </c>
      <c r="BN16" s="273">
        <f t="shared" si="8"/>
        <v>0</v>
      </c>
    </row>
    <row r="17" spans="2:66">
      <c r="B17" s="16">
        <f t="shared" si="4"/>
        <v>2022</v>
      </c>
      <c r="C17" s="10">
        <f t="shared" si="0"/>
        <v>0</v>
      </c>
      <c r="D17" s="62"/>
      <c r="E17" s="10">
        <f t="shared" ca="1" si="5"/>
        <v>16.882103608658024</v>
      </c>
      <c r="F17" s="51"/>
      <c r="G17" s="15">
        <f t="shared" ca="1" si="9"/>
        <v>16.882103608658024</v>
      </c>
      <c r="H17" s="50"/>
      <c r="I17" s="273"/>
      <c r="J17" s="273"/>
      <c r="M17" s="179"/>
      <c r="O17">
        <f t="shared" si="1"/>
        <v>2022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AB17">
        <f t="shared" si="6"/>
        <v>0</v>
      </c>
      <c r="AC17">
        <f t="shared" si="2"/>
        <v>0</v>
      </c>
      <c r="AD17">
        <f t="shared" si="2"/>
        <v>0</v>
      </c>
      <c r="AE17">
        <f t="shared" si="2"/>
        <v>0</v>
      </c>
      <c r="AF17">
        <f t="shared" si="2"/>
        <v>0</v>
      </c>
      <c r="AG17">
        <f t="shared" si="2"/>
        <v>0</v>
      </c>
      <c r="AH17">
        <f t="shared" si="2"/>
        <v>0</v>
      </c>
      <c r="AI17">
        <f t="shared" si="2"/>
        <v>0</v>
      </c>
      <c r="AJ17">
        <f t="shared" si="2"/>
        <v>0</v>
      </c>
      <c r="AK17">
        <f t="shared" si="2"/>
        <v>0</v>
      </c>
      <c r="AN17">
        <f>VLOOKUP($O17,'Table 3 WY Wind 2021'!$B$10:$J$36,9,FALSE)</f>
        <v>104.47</v>
      </c>
      <c r="AO17">
        <f>VLOOKUP($O17,'Table 3 DJ Wind 2031'!$B$10:$J$36,9,FALSE)</f>
        <v>185.86</v>
      </c>
      <c r="AP17">
        <f>VLOOKUP($O17,'Table 3 ID Wind 2036'!$B$10:$J$36,9,FALSE)</f>
        <v>189.02</v>
      </c>
      <c r="AQ17">
        <f>VLOOKUP($O17,'Table 3 30 MW Geoth 2029'!$B$10:$J$36,9,FALSE)</f>
        <v>698.17</v>
      </c>
      <c r="AR17">
        <f>VLOOKUP($O17,'Table 3 200 MW (UT N) 2029)'!$B$11:$H$41,7,FALSE)</f>
        <v>118.95</v>
      </c>
      <c r="AS17">
        <f>VLOOKUP($O17,'Table 3 436MW (West M) 2030'!$B$11:$I$41,7,FALSE)</f>
        <v>177.04</v>
      </c>
      <c r="AT17">
        <f>VLOOKUP($O17,'Table 3 477 MW (Wyo) 2033'!$B$11:$I$41,7,FALSE)</f>
        <v>181.21</v>
      </c>
      <c r="AU17">
        <f>VLOOKUP($O17,'Table 3 200 MW (Wyo) 2033'!$B$11:$I$41,7,FALSE)</f>
        <v>156.29</v>
      </c>
      <c r="AV17">
        <f>VLOOKUP($O17,'Table 3 Yakima Solar 2028'!$B$10:$K$36,9,FALSE)</f>
        <v>169.22</v>
      </c>
      <c r="AW17">
        <f>VLOOKUP($O17,'Table 3 UT Solar 2035'!$B$10:$K$36,9,FALSE)</f>
        <v>175.39</v>
      </c>
      <c r="AZ17">
        <f>SUM(AB$13:AB17)*AN17/1000</f>
        <v>0</v>
      </c>
      <c r="BA17">
        <f>SUM(AC$13:AC17)*AO17/1000</f>
        <v>0</v>
      </c>
      <c r="BB17">
        <f>SUM(AD$13:AD17)*AP17/1000</f>
        <v>0</v>
      </c>
      <c r="BC17">
        <f>SUM(AE$13:AE17)*AQ17/1000</f>
        <v>0</v>
      </c>
      <c r="BD17">
        <f>SUM(AF$13:AF17)*AR17/1000</f>
        <v>0</v>
      </c>
      <c r="BE17">
        <f>SUM(AG$13:AG17)*AS17/1000</f>
        <v>0</v>
      </c>
      <c r="BF17">
        <f>SUM(AH$13:AH17)*AT17/1000</f>
        <v>0</v>
      </c>
      <c r="BG17">
        <f>SUM(AI$13:AI17)*AU17/1000</f>
        <v>0</v>
      </c>
      <c r="BH17">
        <f>SUM(AJ$13:AJ17)*AV17/1000</f>
        <v>0</v>
      </c>
      <c r="BI17">
        <f>SUM(AK$13:AK17)*AW17/1000</f>
        <v>0</v>
      </c>
      <c r="BJ17">
        <f t="shared" si="10"/>
        <v>0</v>
      </c>
      <c r="BL17">
        <f t="shared" si="7"/>
        <v>2022</v>
      </c>
      <c r="BM17" s="131">
        <f>IFERROR(VLOOKUP($BL17,'Table 3 TransCost D2 '!$B$10:$E$34,4,FALSE),0)</f>
        <v>49.71</v>
      </c>
      <c r="BN17" s="273">
        <f t="shared" si="8"/>
        <v>0</v>
      </c>
    </row>
    <row r="18" spans="2:66">
      <c r="B18" s="16">
        <f t="shared" si="4"/>
        <v>2023</v>
      </c>
      <c r="C18" s="10">
        <f t="shared" si="0"/>
        <v>0</v>
      </c>
      <c r="D18" s="62"/>
      <c r="E18" s="10">
        <f t="shared" ca="1" si="5"/>
        <v>17.891665537005437</v>
      </c>
      <c r="F18" s="51"/>
      <c r="G18" s="15">
        <f t="shared" ca="1" si="9"/>
        <v>17.891665537005437</v>
      </c>
      <c r="H18" s="50"/>
      <c r="I18" s="273"/>
      <c r="J18" s="273"/>
      <c r="M18" s="179"/>
      <c r="O18">
        <f t="shared" si="1"/>
        <v>2023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AB18">
        <f t="shared" si="6"/>
        <v>0</v>
      </c>
      <c r="AC18">
        <f t="shared" si="2"/>
        <v>0</v>
      </c>
      <c r="AD18">
        <f t="shared" si="2"/>
        <v>0</v>
      </c>
      <c r="AE18">
        <f t="shared" si="2"/>
        <v>0</v>
      </c>
      <c r="AF18">
        <f t="shared" si="2"/>
        <v>0</v>
      </c>
      <c r="AG18">
        <f t="shared" si="2"/>
        <v>0</v>
      </c>
      <c r="AH18">
        <f t="shared" si="2"/>
        <v>0</v>
      </c>
      <c r="AI18">
        <f t="shared" si="2"/>
        <v>0</v>
      </c>
      <c r="AJ18">
        <f t="shared" si="2"/>
        <v>0</v>
      </c>
      <c r="AK18">
        <f t="shared" si="2"/>
        <v>0</v>
      </c>
      <c r="AN18">
        <f>VLOOKUP($O18,'Table 3 WY Wind 2021'!$B$10:$J$36,9,FALSE)</f>
        <v>106.87</v>
      </c>
      <c r="AO18">
        <f>VLOOKUP($O18,'Table 3 DJ Wind 2031'!$B$10:$J$36,9,FALSE)</f>
        <v>190.14</v>
      </c>
      <c r="AP18">
        <f>VLOOKUP($O18,'Table 3 ID Wind 2036'!$B$10:$J$36,9,FALSE)</f>
        <v>193.37</v>
      </c>
      <c r="AQ18">
        <f>VLOOKUP($O18,'Table 3 30 MW Geoth 2029'!$B$10:$J$36,9,FALSE)</f>
        <v>714.22</v>
      </c>
      <c r="AR18">
        <f>VLOOKUP($O18,'Table 3 200 MW (UT N) 2029)'!$B$11:$H$41,7,FALSE)</f>
        <v>121.7</v>
      </c>
      <c r="AS18">
        <f>VLOOKUP($O18,'Table 3 436MW (West M) 2030'!$B$11:$I$41,7,FALSE)</f>
        <v>181.09</v>
      </c>
      <c r="AT18">
        <f>VLOOKUP($O18,'Table 3 477 MW (Wyo) 2033'!$B$11:$I$41,7,FALSE)</f>
        <v>185.38</v>
      </c>
      <c r="AU18">
        <f>VLOOKUP($O18,'Table 3 200 MW (Wyo) 2033'!$B$11:$I$41,7,FALSE)</f>
        <v>159.88999999999999</v>
      </c>
      <c r="AV18">
        <f>VLOOKUP($O18,'Table 3 Yakima Solar 2028'!$B$10:$K$36,9,FALSE)</f>
        <v>173.1</v>
      </c>
      <c r="AW18">
        <f>VLOOKUP($O18,'Table 3 UT Solar 2035'!$B$10:$K$36,9,FALSE)</f>
        <v>179.44</v>
      </c>
      <c r="AZ18">
        <f>SUM(AB$13:AB18)*AN18/1000</f>
        <v>0</v>
      </c>
      <c r="BA18">
        <f>SUM(AC$13:AC18)*AO18/1000</f>
        <v>0</v>
      </c>
      <c r="BB18">
        <f>SUM(AD$13:AD18)*AP18/1000</f>
        <v>0</v>
      </c>
      <c r="BC18">
        <f>SUM(AE$13:AE18)*AQ18/1000</f>
        <v>0</v>
      </c>
      <c r="BD18">
        <f>SUM(AF$13:AF18)*AR18/1000</f>
        <v>0</v>
      </c>
      <c r="BE18">
        <f>SUM(AG$13:AG18)*AS18/1000</f>
        <v>0</v>
      </c>
      <c r="BF18">
        <f>SUM(AH$13:AH18)*AT18/1000</f>
        <v>0</v>
      </c>
      <c r="BG18">
        <f>SUM(AI$13:AI18)*AU18/1000</f>
        <v>0</v>
      </c>
      <c r="BH18">
        <f>SUM(AJ$13:AJ18)*AV18/1000</f>
        <v>0</v>
      </c>
      <c r="BI18">
        <f>SUM(AK$13:AK18)*AW18/1000</f>
        <v>0</v>
      </c>
      <c r="BJ18">
        <f t="shared" si="10"/>
        <v>0</v>
      </c>
      <c r="BL18">
        <f t="shared" si="7"/>
        <v>2023</v>
      </c>
      <c r="BM18" s="131">
        <f>IFERROR(VLOOKUP($BL18,'Table 3 TransCost D2 '!$B$10:$E$34,4,FALSE),0)</f>
        <v>50.85</v>
      </c>
      <c r="BN18" s="273">
        <f t="shared" si="8"/>
        <v>0</v>
      </c>
    </row>
    <row r="19" spans="2:66">
      <c r="B19" s="16">
        <f t="shared" si="4"/>
        <v>2024</v>
      </c>
      <c r="C19" s="10">
        <f t="shared" si="0"/>
        <v>0</v>
      </c>
      <c r="D19" s="62"/>
      <c r="E19" s="10">
        <f t="shared" ca="1" si="5"/>
        <v>19.629914892137784</v>
      </c>
      <c r="F19" s="51"/>
      <c r="G19" s="15">
        <f t="shared" ca="1" si="9"/>
        <v>19.629914892137784</v>
      </c>
      <c r="H19" s="50"/>
      <c r="I19" s="273"/>
      <c r="J19" s="273"/>
      <c r="M19" s="179"/>
      <c r="O19">
        <f t="shared" si="1"/>
        <v>2024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AB19">
        <f t="shared" si="6"/>
        <v>0</v>
      </c>
      <c r="AC19">
        <f t="shared" si="2"/>
        <v>0</v>
      </c>
      <c r="AD19">
        <f t="shared" si="2"/>
        <v>0</v>
      </c>
      <c r="AE19">
        <f t="shared" si="2"/>
        <v>0</v>
      </c>
      <c r="AF19">
        <f t="shared" si="2"/>
        <v>0</v>
      </c>
      <c r="AG19">
        <f t="shared" si="2"/>
        <v>0</v>
      </c>
      <c r="AH19">
        <f t="shared" si="2"/>
        <v>0</v>
      </c>
      <c r="AI19">
        <f t="shared" si="2"/>
        <v>0</v>
      </c>
      <c r="AJ19">
        <f t="shared" si="2"/>
        <v>0</v>
      </c>
      <c r="AK19">
        <f t="shared" si="2"/>
        <v>0</v>
      </c>
      <c r="AN19">
        <f>VLOOKUP($O19,'Table 3 WY Wind 2021'!$B$10:$J$36,9,FALSE)</f>
        <v>109.33</v>
      </c>
      <c r="AO19">
        <f>VLOOKUP($O19,'Table 3 DJ Wind 2031'!$B$10:$J$36,9,FALSE)</f>
        <v>194.53</v>
      </c>
      <c r="AP19">
        <f>VLOOKUP($O19,'Table 3 ID Wind 2036'!$B$10:$J$36,9,FALSE)</f>
        <v>197.82</v>
      </c>
      <c r="AQ19">
        <f>VLOOKUP($O19,'Table 3 30 MW Geoth 2029'!$B$10:$J$36,9,FALSE)</f>
        <v>730.66</v>
      </c>
      <c r="AR19">
        <f>VLOOKUP($O19,'Table 3 200 MW (UT N) 2029)'!$B$11:$H$41,7,FALSE)</f>
        <v>124.49</v>
      </c>
      <c r="AS19">
        <f>VLOOKUP($O19,'Table 3 436MW (West M) 2030'!$B$11:$I$41,7,FALSE)</f>
        <v>185.23</v>
      </c>
      <c r="AT19">
        <f>VLOOKUP($O19,'Table 3 477 MW (Wyo) 2033'!$B$11:$I$41,7,FALSE)</f>
        <v>189.65</v>
      </c>
      <c r="AU19">
        <f>VLOOKUP($O19,'Table 3 200 MW (Wyo) 2033'!$B$11:$I$41,7,FALSE)</f>
        <v>163.57</v>
      </c>
      <c r="AV19">
        <f>VLOOKUP($O19,'Table 3 Yakima Solar 2028'!$B$10:$K$36,9,FALSE)</f>
        <v>177.08</v>
      </c>
      <c r="AW19">
        <f>VLOOKUP($O19,'Table 3 UT Solar 2035'!$B$10:$K$36,9,FALSE)</f>
        <v>183.56</v>
      </c>
      <c r="AZ19">
        <f>SUM(AB$13:AB19)*AN19/1000</f>
        <v>0</v>
      </c>
      <c r="BA19">
        <f>SUM(AC$13:AC19)*AO19/1000</f>
        <v>0</v>
      </c>
      <c r="BB19">
        <f>SUM(AD$13:AD19)*AP19/1000</f>
        <v>0</v>
      </c>
      <c r="BC19">
        <f>SUM(AE$13:AE19)*AQ19/1000</f>
        <v>0</v>
      </c>
      <c r="BD19">
        <f>SUM(AF$13:AF19)*AR19/1000</f>
        <v>0</v>
      </c>
      <c r="BE19">
        <f>SUM(AG$13:AG19)*AS19/1000</f>
        <v>0</v>
      </c>
      <c r="BF19">
        <f>SUM(AH$13:AH19)*AT19/1000</f>
        <v>0</v>
      </c>
      <c r="BG19">
        <f>SUM(AI$13:AI19)*AU19/1000</f>
        <v>0</v>
      </c>
      <c r="BH19">
        <f>SUM(AJ$13:AJ19)*AV19/1000</f>
        <v>0</v>
      </c>
      <c r="BI19">
        <f>SUM(AK$13:AK19)*AW19/1000</f>
        <v>0</v>
      </c>
      <c r="BJ19">
        <f t="shared" si="10"/>
        <v>0</v>
      </c>
      <c r="BL19">
        <f t="shared" si="7"/>
        <v>2024</v>
      </c>
      <c r="BM19" s="131">
        <f>IFERROR(VLOOKUP($BL19,'Table 3 TransCost D2 '!$B$10:$E$34,4,FALSE),0)</f>
        <v>52.02</v>
      </c>
      <c r="BN19" s="273">
        <f t="shared" si="8"/>
        <v>0</v>
      </c>
    </row>
    <row r="20" spans="2:66">
      <c r="B20" s="16">
        <f t="shared" si="4"/>
        <v>2025</v>
      </c>
      <c r="C20" s="10">
        <f t="shared" si="0"/>
        <v>0</v>
      </c>
      <c r="D20" s="62"/>
      <c r="E20" s="10">
        <f t="shared" ca="1" si="5"/>
        <v>20.972060649916422</v>
      </c>
      <c r="F20" s="51"/>
      <c r="G20" s="15">
        <f t="shared" ca="1" si="9"/>
        <v>20.972060649916422</v>
      </c>
      <c r="H20" s="50"/>
      <c r="I20" s="273"/>
      <c r="J20" s="273"/>
      <c r="M20" s="179"/>
      <c r="O20">
        <f t="shared" si="1"/>
        <v>2025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AB20">
        <f t="shared" si="6"/>
        <v>0</v>
      </c>
      <c r="AC20">
        <f t="shared" si="2"/>
        <v>0</v>
      </c>
      <c r="AD20">
        <f t="shared" si="2"/>
        <v>0</v>
      </c>
      <c r="AE20">
        <f t="shared" si="2"/>
        <v>0</v>
      </c>
      <c r="AF20">
        <f t="shared" si="2"/>
        <v>0</v>
      </c>
      <c r="AG20">
        <f t="shared" si="2"/>
        <v>0</v>
      </c>
      <c r="AH20">
        <f t="shared" si="2"/>
        <v>0</v>
      </c>
      <c r="AI20">
        <f t="shared" si="2"/>
        <v>0</v>
      </c>
      <c r="AJ20">
        <f t="shared" si="2"/>
        <v>0</v>
      </c>
      <c r="AK20">
        <f t="shared" si="2"/>
        <v>0</v>
      </c>
      <c r="AN20">
        <f>VLOOKUP($O20,'Table 3 WY Wind 2021'!$B$10:$J$36,9,FALSE)</f>
        <v>111.85</v>
      </c>
      <c r="AO20">
        <f>VLOOKUP($O20,'Table 3 DJ Wind 2031'!$B$10:$J$36,9,FALSE)</f>
        <v>199</v>
      </c>
      <c r="AP20">
        <f>VLOOKUP($O20,'Table 3 ID Wind 2036'!$B$10:$J$36,9,FALSE)</f>
        <v>202.37</v>
      </c>
      <c r="AQ20">
        <f>VLOOKUP($O20,'Table 3 30 MW Geoth 2029'!$B$10:$J$36,9,FALSE)</f>
        <v>747.5</v>
      </c>
      <c r="AR20">
        <f>VLOOKUP($O20,'Table 3 200 MW (UT N) 2029)'!$B$11:$H$41,7,FALSE)</f>
        <v>127.35</v>
      </c>
      <c r="AS20">
        <f>VLOOKUP($O20,'Table 3 436MW (West M) 2030'!$B$11:$I$41,7,FALSE)</f>
        <v>189.52</v>
      </c>
      <c r="AT20">
        <f>VLOOKUP($O20,'Table 3 477 MW (Wyo) 2033'!$B$11:$I$41,7,FALSE)</f>
        <v>194</v>
      </c>
      <c r="AU20">
        <f>VLOOKUP($O20,'Table 3 200 MW (Wyo) 2033'!$B$11:$I$41,7,FALSE)</f>
        <v>167.33</v>
      </c>
      <c r="AV20">
        <f>VLOOKUP($O20,'Table 3 Yakima Solar 2028'!$B$10:$K$36,9,FALSE)</f>
        <v>181.15</v>
      </c>
      <c r="AW20">
        <f>VLOOKUP($O20,'Table 3 UT Solar 2035'!$B$10:$K$36,9,FALSE)</f>
        <v>187.77</v>
      </c>
      <c r="AZ20">
        <f>SUM(AB$13:AB20)*AN20/1000</f>
        <v>0</v>
      </c>
      <c r="BA20">
        <f>SUM(AC$13:AC20)*AO20/1000</f>
        <v>0</v>
      </c>
      <c r="BB20">
        <f>SUM(AD$13:AD20)*AP20/1000</f>
        <v>0</v>
      </c>
      <c r="BC20">
        <f>SUM(AE$13:AE20)*AQ20/1000</f>
        <v>0</v>
      </c>
      <c r="BD20">
        <f>SUM(AF$13:AF20)*AR20/1000</f>
        <v>0</v>
      </c>
      <c r="BE20">
        <f>SUM(AG$13:AG20)*AS20/1000</f>
        <v>0</v>
      </c>
      <c r="BF20">
        <f>SUM(AH$13:AH20)*AT20/1000</f>
        <v>0</v>
      </c>
      <c r="BG20">
        <f>SUM(AI$13:AI20)*AU20/1000</f>
        <v>0</v>
      </c>
      <c r="BH20">
        <f>SUM(AJ$13:AJ20)*AV20/1000</f>
        <v>0</v>
      </c>
      <c r="BI20">
        <f>SUM(AK$13:AK20)*AW20/1000</f>
        <v>0</v>
      </c>
      <c r="BJ20">
        <f t="shared" si="10"/>
        <v>0</v>
      </c>
      <c r="BL20">
        <f t="shared" si="7"/>
        <v>2025</v>
      </c>
      <c r="BM20" s="131">
        <f>IFERROR(VLOOKUP($BL20,'Table 3 TransCost D2 '!$B$10:$E$34,4,FALSE),0)</f>
        <v>53.22</v>
      </c>
      <c r="BN20" s="273">
        <f t="shared" si="8"/>
        <v>0</v>
      </c>
    </row>
    <row r="21" spans="2:66">
      <c r="B21" s="16">
        <f t="shared" si="4"/>
        <v>2026</v>
      </c>
      <c r="C21" s="10">
        <f t="shared" si="0"/>
        <v>0</v>
      </c>
      <c r="D21" s="62"/>
      <c r="E21" s="10">
        <f t="shared" ca="1" si="5"/>
        <v>21.81053729662095</v>
      </c>
      <c r="F21" s="51"/>
      <c r="G21" s="15">
        <f t="shared" ca="1" si="9"/>
        <v>21.81053729662095</v>
      </c>
      <c r="H21" s="50"/>
      <c r="I21" s="273"/>
      <c r="J21" s="273"/>
      <c r="M21" s="179"/>
      <c r="O21">
        <f t="shared" si="1"/>
        <v>2026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AB21">
        <f t="shared" si="6"/>
        <v>0</v>
      </c>
      <c r="AC21">
        <f t="shared" si="2"/>
        <v>0</v>
      </c>
      <c r="AD21">
        <f t="shared" si="2"/>
        <v>0</v>
      </c>
      <c r="AE21">
        <f t="shared" si="2"/>
        <v>0</v>
      </c>
      <c r="AF21">
        <f t="shared" si="2"/>
        <v>0</v>
      </c>
      <c r="AG21">
        <f t="shared" si="2"/>
        <v>0</v>
      </c>
      <c r="AH21">
        <f t="shared" si="2"/>
        <v>0</v>
      </c>
      <c r="AI21">
        <f t="shared" si="2"/>
        <v>0</v>
      </c>
      <c r="AJ21">
        <f t="shared" si="2"/>
        <v>0</v>
      </c>
      <c r="AK21">
        <f t="shared" si="2"/>
        <v>0</v>
      </c>
      <c r="AN21">
        <f>VLOOKUP($O21,'Table 3 WY Wind 2021'!$B$10:$J$36,9,FALSE)</f>
        <v>114.42</v>
      </c>
      <c r="AO21">
        <f>VLOOKUP($O21,'Table 3 DJ Wind 2031'!$B$10:$J$36,9,FALSE)</f>
        <v>203.59</v>
      </c>
      <c r="AP21">
        <f>VLOOKUP($O21,'Table 3 ID Wind 2036'!$B$10:$J$36,9,FALSE)</f>
        <v>207.03</v>
      </c>
      <c r="AQ21">
        <f>VLOOKUP($O21,'Table 3 30 MW Geoth 2029'!$B$10:$J$36,9,FALSE)</f>
        <v>764.66</v>
      </c>
      <c r="AR21">
        <f>VLOOKUP($O21,'Table 3 200 MW (UT N) 2029)'!$B$11:$H$41,7,FALSE)</f>
        <v>130.27000000000001</v>
      </c>
      <c r="AS21">
        <f>VLOOKUP($O21,'Table 3 436MW (West M) 2030'!$B$11:$I$41,7,FALSE)</f>
        <v>193.9</v>
      </c>
      <c r="AT21">
        <f>VLOOKUP($O21,'Table 3 477 MW (Wyo) 2033'!$B$11:$I$41,7,FALSE)</f>
        <v>198.45</v>
      </c>
      <c r="AU21">
        <f>VLOOKUP($O21,'Table 3 200 MW (Wyo) 2033'!$B$11:$I$41,7,FALSE)</f>
        <v>171.18</v>
      </c>
      <c r="AV21">
        <f>VLOOKUP($O21,'Table 3 Yakima Solar 2028'!$B$10:$K$36,9,FALSE)</f>
        <v>185.33</v>
      </c>
      <c r="AW21">
        <f>VLOOKUP($O21,'Table 3 UT Solar 2035'!$B$10:$K$36,9,FALSE)</f>
        <v>192.08</v>
      </c>
      <c r="AZ21">
        <f>SUM(AB$13:AB21)*AN21/1000</f>
        <v>0</v>
      </c>
      <c r="BA21">
        <f>SUM(AC$13:AC21)*AO21/1000</f>
        <v>0</v>
      </c>
      <c r="BB21">
        <f>SUM(AD$13:AD21)*AP21/1000</f>
        <v>0</v>
      </c>
      <c r="BC21">
        <f>SUM(AE$13:AE21)*AQ21/1000</f>
        <v>0</v>
      </c>
      <c r="BD21">
        <f>SUM(AF$13:AF21)*AR21/1000</f>
        <v>0</v>
      </c>
      <c r="BE21">
        <f>SUM(AG$13:AG21)*AS21/1000</f>
        <v>0</v>
      </c>
      <c r="BF21">
        <f>SUM(AH$13:AH21)*AT21/1000</f>
        <v>0</v>
      </c>
      <c r="BG21">
        <f>SUM(AI$13:AI21)*AU21/1000</f>
        <v>0</v>
      </c>
      <c r="BH21">
        <f>SUM(AJ$13:AJ21)*AV21/1000</f>
        <v>0</v>
      </c>
      <c r="BI21">
        <f>SUM(AK$13:AK21)*AW21/1000</f>
        <v>0</v>
      </c>
      <c r="BJ21">
        <f t="shared" si="10"/>
        <v>0</v>
      </c>
      <c r="BL21">
        <f t="shared" si="7"/>
        <v>2026</v>
      </c>
      <c r="BM21" s="131">
        <f>IFERROR(VLOOKUP($BL21,'Table 3 TransCost D2 '!$B$10:$E$34,4,FALSE),0)</f>
        <v>54.44</v>
      </c>
      <c r="BN21" s="273">
        <f t="shared" si="8"/>
        <v>0</v>
      </c>
    </row>
    <row r="22" spans="2:66">
      <c r="B22" s="16">
        <f t="shared" si="4"/>
        <v>2027</v>
      </c>
      <c r="C22" s="10">
        <f t="shared" si="0"/>
        <v>0</v>
      </c>
      <c r="D22" s="62"/>
      <c r="E22" s="10">
        <f t="shared" ca="1" si="5"/>
        <v>23.505481331922041</v>
      </c>
      <c r="F22" s="51"/>
      <c r="G22" s="15">
        <f t="shared" ca="1" si="9"/>
        <v>23.505481331922041</v>
      </c>
      <c r="H22" s="50"/>
      <c r="I22" s="273"/>
      <c r="J22" s="273"/>
      <c r="M22" s="179"/>
      <c r="O22">
        <f t="shared" si="1"/>
        <v>2027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AB22">
        <f t="shared" si="6"/>
        <v>0</v>
      </c>
      <c r="AC22">
        <f t="shared" si="2"/>
        <v>0</v>
      </c>
      <c r="AD22">
        <f t="shared" si="2"/>
        <v>0</v>
      </c>
      <c r="AE22">
        <f t="shared" si="2"/>
        <v>0</v>
      </c>
      <c r="AF22">
        <f t="shared" si="2"/>
        <v>0</v>
      </c>
      <c r="AG22">
        <f t="shared" si="2"/>
        <v>0</v>
      </c>
      <c r="AH22">
        <f t="shared" si="2"/>
        <v>0</v>
      </c>
      <c r="AI22">
        <f t="shared" si="2"/>
        <v>0</v>
      </c>
      <c r="AJ22">
        <f t="shared" si="2"/>
        <v>0</v>
      </c>
      <c r="AK22">
        <f t="shared" si="2"/>
        <v>0</v>
      </c>
      <c r="AN22">
        <f>VLOOKUP($O22,'Table 3 WY Wind 2021'!$B$10:$J$36,9,FALSE)</f>
        <v>117.07</v>
      </c>
      <c r="AO22">
        <f>VLOOKUP($O22,'Table 3 DJ Wind 2031'!$B$10:$J$36,9,FALSE)</f>
        <v>208.27</v>
      </c>
      <c r="AP22">
        <f>VLOOKUP($O22,'Table 3 ID Wind 2036'!$B$10:$J$36,9,FALSE)</f>
        <v>211.79</v>
      </c>
      <c r="AQ22">
        <f>VLOOKUP($O22,'Table 3 30 MW Geoth 2029'!$B$10:$J$36,9,FALSE)</f>
        <v>782.21</v>
      </c>
      <c r="AR22">
        <f>VLOOKUP($O22,'Table 3 200 MW (UT N) 2029)'!$B$11:$H$41,7,FALSE)</f>
        <v>133.28</v>
      </c>
      <c r="AS22">
        <f>VLOOKUP($O22,'Table 3 436MW (West M) 2030'!$B$11:$I$41,7,FALSE)</f>
        <v>198.37</v>
      </c>
      <c r="AT22">
        <f>VLOOKUP($O22,'Table 3 477 MW (Wyo) 2033'!$B$11:$I$41,7,FALSE)</f>
        <v>202.99</v>
      </c>
      <c r="AU22">
        <f>VLOOKUP($O22,'Table 3 200 MW (Wyo) 2033'!$B$11:$I$41,7,FALSE)</f>
        <v>175.13</v>
      </c>
      <c r="AV22">
        <f>VLOOKUP($O22,'Table 3 Yakima Solar 2028'!$B$10:$K$36,9,FALSE)</f>
        <v>189.58</v>
      </c>
      <c r="AW22">
        <f>VLOOKUP($O22,'Table 3 UT Solar 2035'!$B$10:$K$36,9,FALSE)</f>
        <v>196.5</v>
      </c>
      <c r="AZ22">
        <f>SUM(AB$13:AB22)*AN22/1000</f>
        <v>0</v>
      </c>
      <c r="BA22">
        <f>SUM(AC$13:AC22)*AO22/1000</f>
        <v>0</v>
      </c>
      <c r="BB22">
        <f>SUM(AD$13:AD22)*AP22/1000</f>
        <v>0</v>
      </c>
      <c r="BC22">
        <f>SUM(AE$13:AE22)*AQ22/1000</f>
        <v>0</v>
      </c>
      <c r="BD22">
        <f>SUM(AF$13:AF22)*AR22/1000</f>
        <v>0</v>
      </c>
      <c r="BE22">
        <f>SUM(AG$13:AG22)*AS22/1000</f>
        <v>0</v>
      </c>
      <c r="BF22">
        <f>SUM(AH$13:AH22)*AT22/1000</f>
        <v>0</v>
      </c>
      <c r="BG22">
        <f>SUM(AI$13:AI22)*AU22/1000</f>
        <v>0</v>
      </c>
      <c r="BH22">
        <f>SUM(AJ$13:AJ22)*AV22/1000</f>
        <v>0</v>
      </c>
      <c r="BI22">
        <f>SUM(AK$13:AK22)*AW22/1000</f>
        <v>0</v>
      </c>
      <c r="BJ22">
        <f t="shared" si="10"/>
        <v>0</v>
      </c>
      <c r="BL22">
        <f t="shared" si="7"/>
        <v>2027</v>
      </c>
      <c r="BM22" s="131">
        <f>IFERROR(VLOOKUP($BL22,'Table 3 TransCost D2 '!$B$10:$E$34,4,FALSE),0)</f>
        <v>55.69</v>
      </c>
      <c r="BN22" s="273">
        <f t="shared" si="8"/>
        <v>0</v>
      </c>
    </row>
    <row r="23" spans="2:66">
      <c r="B23" s="16">
        <f t="shared" si="4"/>
        <v>2028</v>
      </c>
      <c r="C23" s="10">
        <f t="shared" si="0"/>
        <v>0</v>
      </c>
      <c r="D23" s="62"/>
      <c r="E23" s="10">
        <f t="shared" ca="1" si="5"/>
        <v>23.684173674802519</v>
      </c>
      <c r="F23" s="51"/>
      <c r="G23" s="15">
        <f t="shared" ca="1" si="9"/>
        <v>23.684173674802519</v>
      </c>
      <c r="H23" s="50"/>
      <c r="I23" s="273"/>
      <c r="J23" s="273"/>
      <c r="M23" s="179"/>
      <c r="O23">
        <f t="shared" si="1"/>
        <v>2028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AB23">
        <f t="shared" si="6"/>
        <v>0</v>
      </c>
      <c r="AC23">
        <f t="shared" si="2"/>
        <v>0</v>
      </c>
      <c r="AD23">
        <f t="shared" si="2"/>
        <v>0</v>
      </c>
      <c r="AE23">
        <f t="shared" si="2"/>
        <v>0</v>
      </c>
      <c r="AF23">
        <f t="shared" si="2"/>
        <v>0</v>
      </c>
      <c r="AG23">
        <f t="shared" si="2"/>
        <v>0</v>
      </c>
      <c r="AH23">
        <f t="shared" si="2"/>
        <v>0</v>
      </c>
      <c r="AI23">
        <f t="shared" si="2"/>
        <v>0</v>
      </c>
      <c r="AJ23">
        <f t="shared" si="2"/>
        <v>0</v>
      </c>
      <c r="AK23">
        <f t="shared" si="2"/>
        <v>0</v>
      </c>
      <c r="AN23">
        <f>VLOOKUP($O23,'Table 3 WY Wind 2021'!$B$10:$J$36,9,FALSE)</f>
        <v>119.77</v>
      </c>
      <c r="AO23">
        <f>VLOOKUP($O23,'Table 3 DJ Wind 2031'!$B$10:$J$36,9,FALSE)</f>
        <v>213.07</v>
      </c>
      <c r="AP23">
        <f>VLOOKUP($O23,'Table 3 ID Wind 2036'!$B$10:$J$36,9,FALSE)</f>
        <v>216.67</v>
      </c>
      <c r="AQ23">
        <f>VLOOKUP($O23,'Table 3 30 MW Geoth 2029'!$B$10:$J$36,9,FALSE)</f>
        <v>800.24</v>
      </c>
      <c r="AR23">
        <f>VLOOKUP($O23,'Table 3 200 MW (UT N) 2029)'!$B$11:$H$41,7,FALSE)</f>
        <v>136.33000000000001</v>
      </c>
      <c r="AS23">
        <f>VLOOKUP($O23,'Table 3 436MW (West M) 2030'!$B$11:$I$41,7,FALSE)</f>
        <v>202.94</v>
      </c>
      <c r="AT23">
        <f>VLOOKUP($O23,'Table 3 477 MW (Wyo) 2033'!$B$11:$I$41,7,FALSE)</f>
        <v>207.69</v>
      </c>
      <c r="AU23">
        <f>VLOOKUP($O23,'Table 3 200 MW (Wyo) 2033'!$B$11:$I$41,7,FALSE)</f>
        <v>179.15</v>
      </c>
      <c r="AV23">
        <f>VLOOKUP($O23,'Table 3 Yakima Solar 2028'!$B$10:$K$36,9,FALSE)</f>
        <v>193.94</v>
      </c>
      <c r="AW23">
        <f>VLOOKUP($O23,'Table 3 UT Solar 2035'!$B$10:$K$36,9,FALSE)</f>
        <v>201.02</v>
      </c>
      <c r="AZ23">
        <f>SUM(AB$13:AB23)*AN23/1000</f>
        <v>0</v>
      </c>
      <c r="BA23">
        <f>SUM(AC$13:AC23)*AO23/1000</f>
        <v>0</v>
      </c>
      <c r="BB23">
        <f>SUM(AD$13:AD23)*AP23/1000</f>
        <v>0</v>
      </c>
      <c r="BC23">
        <f>SUM(AE$13:AE23)*AQ23/1000</f>
        <v>0</v>
      </c>
      <c r="BD23">
        <f>SUM(AF$13:AF23)*AR23/1000</f>
        <v>0</v>
      </c>
      <c r="BE23">
        <f>SUM(AG$13:AG23)*AS23/1000</f>
        <v>0</v>
      </c>
      <c r="BF23">
        <f>SUM(AH$13:AH23)*AT23/1000</f>
        <v>0</v>
      </c>
      <c r="BG23">
        <f>SUM(AI$13:AI23)*AU23/1000</f>
        <v>0</v>
      </c>
      <c r="BH23">
        <f>SUM(AJ$13:AJ23)*AV23/1000</f>
        <v>0</v>
      </c>
      <c r="BI23">
        <f>SUM(AK$13:AK23)*AW23/1000</f>
        <v>0</v>
      </c>
      <c r="BJ23">
        <f t="shared" si="10"/>
        <v>0</v>
      </c>
      <c r="BL23">
        <f t="shared" si="7"/>
        <v>2028</v>
      </c>
      <c r="BM23" s="131">
        <f>IFERROR(VLOOKUP($BL23,'Table 3 TransCost D2 '!$B$10:$E$34,4,FALSE),0)</f>
        <v>56.97</v>
      </c>
      <c r="BN23" s="273">
        <f t="shared" si="8"/>
        <v>0</v>
      </c>
    </row>
    <row r="24" spans="2:66">
      <c r="B24" s="16">
        <f t="shared" si="4"/>
        <v>2029</v>
      </c>
      <c r="C24" s="10">
        <f t="shared" si="0"/>
        <v>0</v>
      </c>
      <c r="D24" s="62"/>
      <c r="E24" s="10">
        <f t="shared" ca="1" si="5"/>
        <v>24.874147416685805</v>
      </c>
      <c r="F24" s="51"/>
      <c r="G24" s="15">
        <f t="shared" ca="1" si="9"/>
        <v>24.874147416685805</v>
      </c>
      <c r="H24" s="50"/>
      <c r="I24" s="273"/>
      <c r="J24" s="273"/>
      <c r="M24" s="179"/>
      <c r="O24">
        <f t="shared" si="1"/>
        <v>2029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AB24">
        <f t="shared" si="6"/>
        <v>0</v>
      </c>
      <c r="AC24">
        <f t="shared" si="2"/>
        <v>0</v>
      </c>
      <c r="AD24">
        <f t="shared" si="2"/>
        <v>0</v>
      </c>
      <c r="AE24">
        <f t="shared" si="2"/>
        <v>0</v>
      </c>
      <c r="AF24">
        <f t="shared" si="2"/>
        <v>0</v>
      </c>
      <c r="AG24">
        <f t="shared" si="2"/>
        <v>0</v>
      </c>
      <c r="AH24">
        <f t="shared" si="2"/>
        <v>0</v>
      </c>
      <c r="AI24">
        <f t="shared" si="2"/>
        <v>0</v>
      </c>
      <c r="AJ24">
        <f t="shared" si="2"/>
        <v>0</v>
      </c>
      <c r="AK24">
        <f t="shared" si="2"/>
        <v>0</v>
      </c>
      <c r="AN24">
        <f>VLOOKUP($O24,'Table 3 WY Wind 2021'!$B$10:$J$36,9,FALSE)</f>
        <v>122.54</v>
      </c>
      <c r="AO24">
        <f>VLOOKUP($O24,'Table 3 DJ Wind 2031'!$B$10:$J$36,9,FALSE)</f>
        <v>217.97</v>
      </c>
      <c r="AP24">
        <f>VLOOKUP($O24,'Table 3 ID Wind 2036'!$B$10:$J$36,9,FALSE)</f>
        <v>221.65</v>
      </c>
      <c r="AQ24">
        <f>VLOOKUP($O24,'Table 3 30 MW Geoth 2029'!$B$10:$J$36,9,FALSE)</f>
        <v>818.66</v>
      </c>
      <c r="AR24">
        <f>VLOOKUP($O24,'Table 3 200 MW (UT N) 2029)'!$B$11:$H$41,7,FALSE)</f>
        <v>139.47999999999999</v>
      </c>
      <c r="AS24">
        <f>VLOOKUP($O24,'Table 3 436MW (West M) 2030'!$B$11:$I$41,7,FALSE)</f>
        <v>207.61</v>
      </c>
      <c r="AT24">
        <f>VLOOKUP($O24,'Table 3 477 MW (Wyo) 2033'!$B$11:$I$41,7,FALSE)</f>
        <v>212.5</v>
      </c>
      <c r="AU24">
        <f>VLOOKUP($O24,'Table 3 200 MW (Wyo) 2033'!$B$11:$I$41,7,FALSE)</f>
        <v>183.29</v>
      </c>
      <c r="AV24">
        <f>VLOOKUP($O24,'Table 3 Yakima Solar 2028'!$B$10:$K$36,9,FALSE)</f>
        <v>198.39</v>
      </c>
      <c r="AW24">
        <f>VLOOKUP($O24,'Table 3 UT Solar 2035'!$B$10:$K$36,9,FALSE)</f>
        <v>205.65</v>
      </c>
      <c r="AZ24">
        <f>SUM(AB$13:AB24)*AN24/1000</f>
        <v>0</v>
      </c>
      <c r="BA24">
        <f>SUM(AC$13:AC24)*AO24/1000</f>
        <v>0</v>
      </c>
      <c r="BB24">
        <f>SUM(AD$13:AD24)*AP24/1000</f>
        <v>0</v>
      </c>
      <c r="BC24">
        <f>SUM(AE$13:AE24)*AQ24/1000</f>
        <v>0</v>
      </c>
      <c r="BD24">
        <f>SUM(AF$13:AF24)*AR24/1000</f>
        <v>0</v>
      </c>
      <c r="BE24">
        <f>SUM(AG$13:AG24)*AS24/1000</f>
        <v>0</v>
      </c>
      <c r="BF24">
        <f>SUM(AH$13:AH24)*AT24/1000</f>
        <v>0</v>
      </c>
      <c r="BG24">
        <f>SUM(AI$13:AI24)*AU24/1000</f>
        <v>0</v>
      </c>
      <c r="BH24">
        <f>SUM(AJ$13:AJ24)*AV24/1000</f>
        <v>0</v>
      </c>
      <c r="BI24">
        <f>SUM(AK$13:AK24)*AW24/1000</f>
        <v>0</v>
      </c>
      <c r="BJ24">
        <f t="shared" si="10"/>
        <v>0</v>
      </c>
      <c r="BL24">
        <f t="shared" si="7"/>
        <v>2029</v>
      </c>
      <c r="BM24" s="131">
        <f>IFERROR(VLOOKUP($BL24,'Table 3 TransCost D2 '!$B$10:$E$34,4,FALSE),0)</f>
        <v>58.28</v>
      </c>
      <c r="BN24" s="273">
        <f t="shared" si="8"/>
        <v>0</v>
      </c>
    </row>
    <row r="25" spans="2:66">
      <c r="B25" s="16">
        <f t="shared" si="4"/>
        <v>2030</v>
      </c>
      <c r="C25" s="10">
        <f t="shared" si="0"/>
        <v>0</v>
      </c>
      <c r="D25" s="62"/>
      <c r="E25" s="10">
        <f t="shared" ca="1" si="5"/>
        <v>24.966553165009707</v>
      </c>
      <c r="F25" s="51"/>
      <c r="G25" s="15">
        <f t="shared" ca="1" si="9"/>
        <v>24.966553165009707</v>
      </c>
      <c r="H25" s="50"/>
      <c r="I25" s="273"/>
      <c r="J25" s="273"/>
      <c r="M25" s="179"/>
      <c r="O25">
        <f t="shared" si="1"/>
        <v>2030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AB25">
        <f t="shared" si="6"/>
        <v>0</v>
      </c>
      <c r="AC25">
        <f t="shared" si="2"/>
        <v>0</v>
      </c>
      <c r="AD25">
        <f t="shared" si="2"/>
        <v>0</v>
      </c>
      <c r="AE25">
        <f t="shared" si="2"/>
        <v>0</v>
      </c>
      <c r="AF25">
        <f t="shared" si="2"/>
        <v>0</v>
      </c>
      <c r="AG25">
        <f t="shared" si="2"/>
        <v>0</v>
      </c>
      <c r="AH25">
        <f t="shared" si="2"/>
        <v>0</v>
      </c>
      <c r="AI25">
        <f t="shared" si="2"/>
        <v>0</v>
      </c>
      <c r="AJ25">
        <f t="shared" si="2"/>
        <v>0</v>
      </c>
      <c r="AK25">
        <f t="shared" si="2"/>
        <v>0</v>
      </c>
      <c r="AN25">
        <f>VLOOKUP($O25,'Table 3 WY Wind 2021'!$B$10:$J$36,9,FALSE)</f>
        <v>125.35</v>
      </c>
      <c r="AO25">
        <f>VLOOKUP($O25,'Table 3 DJ Wind 2031'!$B$10:$J$36,9,FALSE)</f>
        <v>222.99</v>
      </c>
      <c r="AP25">
        <f>VLOOKUP($O25,'Table 3 ID Wind 2036'!$B$10:$J$36,9,FALSE)</f>
        <v>226.75</v>
      </c>
      <c r="AQ25">
        <f>VLOOKUP($O25,'Table 3 30 MW Geoth 2029'!$B$10:$J$36,9,FALSE)</f>
        <v>837.47</v>
      </c>
      <c r="AR25">
        <f>VLOOKUP($O25,'Table 3 200 MW (UT N) 2029)'!$B$11:$H$41,7,FALSE)</f>
        <v>142.66999999999999</v>
      </c>
      <c r="AS25">
        <f>VLOOKUP($O25,'Table 3 436MW (West M) 2030'!$B$11:$I$41,7,FALSE)</f>
        <v>212.38</v>
      </c>
      <c r="AT25">
        <f>VLOOKUP($O25,'Table 3 477 MW (Wyo) 2033'!$B$11:$I$41,7,FALSE)</f>
        <v>217.4</v>
      </c>
      <c r="AU25">
        <f>VLOOKUP($O25,'Table 3 200 MW (Wyo) 2033'!$B$11:$I$41,7,FALSE)</f>
        <v>187.5</v>
      </c>
      <c r="AV25">
        <f>VLOOKUP($O25,'Table 3 Yakima Solar 2028'!$B$10:$K$36,9,FALSE)</f>
        <v>202.96</v>
      </c>
      <c r="AW25">
        <f>VLOOKUP($O25,'Table 3 UT Solar 2035'!$B$10:$K$36,9,FALSE)</f>
        <v>210.38</v>
      </c>
      <c r="AZ25">
        <f>SUM(AB$13:AB25)*AN25/1000</f>
        <v>0</v>
      </c>
      <c r="BA25">
        <f>SUM(AC$13:AC25)*AO25/1000</f>
        <v>0</v>
      </c>
      <c r="BB25">
        <f>SUM(AD$13:AD25)*AP25/1000</f>
        <v>0</v>
      </c>
      <c r="BC25">
        <f>SUM(AE$13:AE25)*AQ25/1000</f>
        <v>0</v>
      </c>
      <c r="BD25">
        <f>SUM(AF$13:AF25)*AR25/1000</f>
        <v>0</v>
      </c>
      <c r="BE25">
        <f>SUM(AG$13:AG25)*AS25/1000</f>
        <v>0</v>
      </c>
      <c r="BF25">
        <f>SUM(AH$13:AH25)*AT25/1000</f>
        <v>0</v>
      </c>
      <c r="BG25">
        <f>SUM(AI$13:AI25)*AU25/1000</f>
        <v>0</v>
      </c>
      <c r="BH25">
        <f>SUM(AJ$13:AJ25)*AV25/1000</f>
        <v>0</v>
      </c>
      <c r="BI25">
        <f>SUM(AK$13:AK25)*AW25/1000</f>
        <v>0</v>
      </c>
      <c r="BJ25">
        <f t="shared" si="10"/>
        <v>0</v>
      </c>
      <c r="BL25">
        <f t="shared" si="7"/>
        <v>2030</v>
      </c>
      <c r="BM25" s="131">
        <f>IFERROR(VLOOKUP($BL25,'Table 3 TransCost D2 '!$B$10:$E$34,4,FALSE),0)</f>
        <v>59.62</v>
      </c>
      <c r="BN25" s="273">
        <f t="shared" si="8"/>
        <v>0</v>
      </c>
    </row>
    <row r="26" spans="2:66">
      <c r="B26" s="16">
        <f t="shared" si="4"/>
        <v>2031</v>
      </c>
      <c r="C26" s="10">
        <f t="shared" si="0"/>
        <v>0</v>
      </c>
      <c r="D26" s="62"/>
      <c r="E26" s="10">
        <f t="shared" ca="1" si="5"/>
        <v>26.431942911419831</v>
      </c>
      <c r="F26" s="51"/>
      <c r="G26" s="15">
        <f t="shared" ca="1" si="9"/>
        <v>26.431942911419831</v>
      </c>
      <c r="H26" s="50"/>
      <c r="I26" s="273"/>
      <c r="J26" s="273"/>
      <c r="M26" s="179"/>
      <c r="O26">
        <f t="shared" si="1"/>
        <v>2031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AB26">
        <f t="shared" si="6"/>
        <v>0</v>
      </c>
      <c r="AC26">
        <f t="shared" si="2"/>
        <v>0</v>
      </c>
      <c r="AD26">
        <f t="shared" si="2"/>
        <v>0</v>
      </c>
      <c r="AE26">
        <f t="shared" si="2"/>
        <v>0</v>
      </c>
      <c r="AF26">
        <f t="shared" si="2"/>
        <v>0</v>
      </c>
      <c r="AG26">
        <f t="shared" si="2"/>
        <v>0</v>
      </c>
      <c r="AH26">
        <f t="shared" si="2"/>
        <v>0</v>
      </c>
      <c r="AI26">
        <f t="shared" si="2"/>
        <v>0</v>
      </c>
      <c r="AJ26">
        <f t="shared" si="2"/>
        <v>0</v>
      </c>
      <c r="AK26">
        <f t="shared" si="2"/>
        <v>0</v>
      </c>
      <c r="AN26">
        <f>VLOOKUP($O26,'Table 3 WY Wind 2021'!$B$10:$J$36,9,FALSE)</f>
        <v>128.22</v>
      </c>
      <c r="AO26">
        <f>VLOOKUP($O26,'Table 3 DJ Wind 2031'!$B$10:$J$36,9,FALSE)</f>
        <v>228.12</v>
      </c>
      <c r="AP26">
        <f>VLOOKUP($O26,'Table 3 ID Wind 2036'!$B$10:$J$36,9,FALSE)</f>
        <v>231.96</v>
      </c>
      <c r="AQ26">
        <f>VLOOKUP($O26,'Table 3 30 MW Geoth 2029'!$B$10:$J$36,9,FALSE)</f>
        <v>856.76</v>
      </c>
      <c r="AR26">
        <f>VLOOKUP($O26,'Table 3 200 MW (UT N) 2029)'!$B$11:$H$41,7,FALSE)</f>
        <v>145.97</v>
      </c>
      <c r="AS26">
        <f>VLOOKUP($O26,'Table 3 436MW (West M) 2030'!$B$11:$I$41,7,FALSE)</f>
        <v>217.25</v>
      </c>
      <c r="AT26">
        <f>VLOOKUP($O26,'Table 3 477 MW (Wyo) 2033'!$B$11:$I$41,7,FALSE)</f>
        <v>222.41</v>
      </c>
      <c r="AU26">
        <f>VLOOKUP($O26,'Table 3 200 MW (Wyo) 2033'!$B$11:$I$41,7,FALSE)</f>
        <v>191.83</v>
      </c>
      <c r="AV26">
        <f>VLOOKUP($O26,'Table 3 Yakima Solar 2028'!$B$10:$K$36,9,FALSE)</f>
        <v>207.64</v>
      </c>
      <c r="AW26">
        <f>VLOOKUP($O26,'Table 3 UT Solar 2035'!$B$10:$K$36,9,FALSE)</f>
        <v>215.21</v>
      </c>
      <c r="AZ26">
        <f>SUM(AB$13:AB26)*AN26/1000</f>
        <v>0</v>
      </c>
      <c r="BA26">
        <f>SUM(AC$13:AC26)*AO26/1000</f>
        <v>0</v>
      </c>
      <c r="BB26">
        <f>SUM(AD$13:AD26)*AP26/1000</f>
        <v>0</v>
      </c>
      <c r="BC26">
        <f>SUM(AE$13:AE26)*AQ26/1000</f>
        <v>0</v>
      </c>
      <c r="BD26">
        <f>SUM(AF$13:AF26)*AR26/1000</f>
        <v>0</v>
      </c>
      <c r="BE26">
        <f>SUM(AG$13:AG26)*AS26/1000</f>
        <v>0</v>
      </c>
      <c r="BF26">
        <f>SUM(AH$13:AH26)*AT26/1000</f>
        <v>0</v>
      </c>
      <c r="BG26">
        <f>SUM(AI$13:AI26)*AU26/1000</f>
        <v>0</v>
      </c>
      <c r="BH26">
        <f>SUM(AJ$13:AJ26)*AV26/1000</f>
        <v>0</v>
      </c>
      <c r="BI26">
        <f>SUM(AK$13:AK26)*AW26/1000</f>
        <v>0</v>
      </c>
      <c r="BJ26">
        <f t="shared" si="10"/>
        <v>0</v>
      </c>
      <c r="BL26">
        <f t="shared" si="7"/>
        <v>2031</v>
      </c>
      <c r="BM26" s="131">
        <f>IFERROR(VLOOKUP($BL26,'Table 3 TransCost D2 '!$B$10:$E$34,4,FALSE),0)</f>
        <v>60.99</v>
      </c>
      <c r="BN26" s="273">
        <f t="shared" si="8"/>
        <v>0</v>
      </c>
    </row>
    <row r="27" spans="2:66">
      <c r="B27" s="16">
        <f t="shared" si="4"/>
        <v>2032</v>
      </c>
      <c r="C27" s="10">
        <f t="shared" si="0"/>
        <v>0</v>
      </c>
      <c r="D27" s="62"/>
      <c r="E27" s="10">
        <f t="shared" ca="1" si="5"/>
        <v>27.159525529996984</v>
      </c>
      <c r="F27" s="51"/>
      <c r="G27" s="15">
        <f t="shared" ca="1" si="9"/>
        <v>27.159525529996984</v>
      </c>
      <c r="H27" s="50"/>
      <c r="I27" s="273"/>
      <c r="J27" s="273"/>
      <c r="M27" s="179"/>
      <c r="O27">
        <f t="shared" si="1"/>
        <v>2032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AB27">
        <f t="shared" si="6"/>
        <v>0</v>
      </c>
      <c r="AC27">
        <f t="shared" si="2"/>
        <v>0</v>
      </c>
      <c r="AD27">
        <f t="shared" si="2"/>
        <v>0</v>
      </c>
      <c r="AE27">
        <f t="shared" si="2"/>
        <v>0</v>
      </c>
      <c r="AF27">
        <f t="shared" si="2"/>
        <v>0</v>
      </c>
      <c r="AG27">
        <f t="shared" si="2"/>
        <v>0</v>
      </c>
      <c r="AH27">
        <f t="shared" si="2"/>
        <v>0</v>
      </c>
      <c r="AI27">
        <f t="shared" si="2"/>
        <v>0</v>
      </c>
      <c r="AJ27">
        <f t="shared" si="2"/>
        <v>0</v>
      </c>
      <c r="AK27">
        <f t="shared" si="2"/>
        <v>0</v>
      </c>
      <c r="AN27">
        <f>VLOOKUP($O27,'Table 3 WY Wind 2021'!$B$10:$J$36,9,FALSE)</f>
        <v>131.04</v>
      </c>
      <c r="AO27">
        <f>VLOOKUP($O27,'Table 3 DJ Wind 2031'!$B$10:$J$36,9,FALSE)</f>
        <v>233.13</v>
      </c>
      <c r="AP27">
        <f>VLOOKUP($O27,'Table 3 ID Wind 2036'!$B$10:$J$36,9,FALSE)</f>
        <v>237.07</v>
      </c>
      <c r="AQ27">
        <f>VLOOKUP($O27,'Table 3 30 MW Geoth 2029'!$B$10:$J$36,9,FALSE)</f>
        <v>875.58</v>
      </c>
      <c r="AR27">
        <f>VLOOKUP($O27,'Table 3 200 MW (UT N) 2029)'!$B$11:$H$41,7,FALSE)</f>
        <v>149.16999999999999</v>
      </c>
      <c r="AS27">
        <f>VLOOKUP($O27,'Table 3 436MW (West M) 2030'!$B$11:$I$41,7,FALSE)</f>
        <v>222.02</v>
      </c>
      <c r="AT27">
        <f>VLOOKUP($O27,'Table 3 477 MW (Wyo) 2033'!$B$11:$I$41,7,FALSE)</f>
        <v>227.31</v>
      </c>
      <c r="AU27">
        <f>VLOOKUP($O27,'Table 3 200 MW (Wyo) 2033'!$B$11:$I$41,7,FALSE)</f>
        <v>196.04</v>
      </c>
      <c r="AV27">
        <f>VLOOKUP($O27,'Table 3 Yakima Solar 2028'!$B$10:$K$36,9,FALSE)</f>
        <v>212.21</v>
      </c>
      <c r="AW27">
        <f>VLOOKUP($O27,'Table 3 UT Solar 2035'!$B$10:$K$36,9,FALSE)</f>
        <v>219.93</v>
      </c>
      <c r="AZ27">
        <f>SUM(AB$13:AB27)*AN27/1000</f>
        <v>0</v>
      </c>
      <c r="BA27">
        <f>SUM(AC$13:AC27)*AO27/1000</f>
        <v>0</v>
      </c>
      <c r="BB27">
        <f>SUM(AD$13:AD27)*AP27/1000</f>
        <v>0</v>
      </c>
      <c r="BC27">
        <f>SUM(AE$13:AE27)*AQ27/1000</f>
        <v>0</v>
      </c>
      <c r="BD27">
        <f>SUM(AF$13:AF27)*AR27/1000</f>
        <v>0</v>
      </c>
      <c r="BE27">
        <f>SUM(AG$13:AG27)*AS27/1000</f>
        <v>0</v>
      </c>
      <c r="BF27">
        <f>SUM(AH$13:AH27)*AT27/1000</f>
        <v>0</v>
      </c>
      <c r="BG27">
        <f>SUM(AI$13:AI27)*AU27/1000</f>
        <v>0</v>
      </c>
      <c r="BH27">
        <f>SUM(AJ$13:AJ27)*AV27/1000</f>
        <v>0</v>
      </c>
      <c r="BI27">
        <f>SUM(AK$13:AK27)*AW27/1000</f>
        <v>0</v>
      </c>
      <c r="BJ27">
        <f t="shared" si="10"/>
        <v>0</v>
      </c>
      <c r="BL27">
        <f t="shared" si="7"/>
        <v>2032</v>
      </c>
      <c r="BM27" s="131">
        <f>IFERROR(VLOOKUP($BL27,'Table 3 TransCost D2 '!$B$10:$E$34,4,FALSE),0)</f>
        <v>62.330000000000005</v>
      </c>
      <c r="BN27" s="273">
        <f t="shared" si="8"/>
        <v>0</v>
      </c>
    </row>
    <row r="28" spans="2:66">
      <c r="B28" s="16">
        <f t="shared" si="4"/>
        <v>2033</v>
      </c>
      <c r="C28" s="10">
        <f t="shared" si="0"/>
        <v>0</v>
      </c>
      <c r="D28" s="62"/>
      <c r="E28" s="10">
        <f t="shared" ca="1" si="5"/>
        <v>28.991393281832419</v>
      </c>
      <c r="F28" s="51"/>
      <c r="G28" s="15">
        <f t="shared" ca="1" si="9"/>
        <v>28.991393281832419</v>
      </c>
      <c r="H28" s="50"/>
      <c r="I28" s="273"/>
      <c r="J28" s="273"/>
      <c r="M28" s="179"/>
      <c r="O28">
        <f t="shared" si="1"/>
        <v>2033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AB28">
        <f t="shared" si="6"/>
        <v>0</v>
      </c>
      <c r="AC28">
        <f t="shared" si="2"/>
        <v>0</v>
      </c>
      <c r="AD28">
        <f t="shared" si="2"/>
        <v>0</v>
      </c>
      <c r="AE28">
        <f t="shared" si="2"/>
        <v>0</v>
      </c>
      <c r="AF28">
        <f t="shared" si="2"/>
        <v>0</v>
      </c>
      <c r="AG28">
        <f t="shared" si="2"/>
        <v>0</v>
      </c>
      <c r="AH28">
        <f t="shared" si="2"/>
        <v>0</v>
      </c>
      <c r="AI28">
        <f t="shared" si="2"/>
        <v>0</v>
      </c>
      <c r="AJ28">
        <f t="shared" si="2"/>
        <v>0</v>
      </c>
      <c r="AK28">
        <f t="shared" si="2"/>
        <v>0</v>
      </c>
      <c r="AN28">
        <f>VLOOKUP($O28,'Table 3 WY Wind 2021'!$B$10:$J$36,9,FALSE)</f>
        <v>133.91</v>
      </c>
      <c r="AO28">
        <f>VLOOKUP($O28,'Table 3 DJ Wind 2031'!$B$10:$J$36,9,FALSE)</f>
        <v>238.26</v>
      </c>
      <c r="AP28">
        <f>VLOOKUP($O28,'Table 3 ID Wind 2036'!$B$10:$J$36,9,FALSE)</f>
        <v>242.28</v>
      </c>
      <c r="AQ28">
        <f>VLOOKUP($O28,'Table 3 30 MW Geoth 2029'!$B$10:$J$36,9,FALSE)</f>
        <v>894.87</v>
      </c>
      <c r="AR28">
        <f>VLOOKUP($O28,'Table 3 200 MW (UT N) 2029)'!$B$11:$H$41,7,FALSE)</f>
        <v>152.47</v>
      </c>
      <c r="AS28">
        <f>VLOOKUP($O28,'Table 3 436MW (West M) 2030'!$B$11:$I$41,7,FALSE)</f>
        <v>226.89</v>
      </c>
      <c r="AT28">
        <f>VLOOKUP($O28,'Table 3 477 MW (Wyo) 2033'!$B$11:$I$41,7,FALSE)</f>
        <v>232.32</v>
      </c>
      <c r="AU28">
        <f>VLOOKUP($O28,'Table 3 200 MW (Wyo) 2033'!$B$11:$I$41,7,FALSE)</f>
        <v>200.37</v>
      </c>
      <c r="AV28">
        <f>VLOOKUP($O28,'Table 3 Yakima Solar 2028'!$B$10:$K$36,9,FALSE)</f>
        <v>216.89</v>
      </c>
      <c r="AW28">
        <f>VLOOKUP($O28,'Table 3 UT Solar 2035'!$B$10:$K$36,9,FALSE)</f>
        <v>224.76</v>
      </c>
      <c r="AZ28">
        <f>SUM(AB$13:AB28)*AN28/1000</f>
        <v>0</v>
      </c>
      <c r="BA28">
        <f>SUM(AC$13:AC28)*AO28/1000</f>
        <v>0</v>
      </c>
      <c r="BB28">
        <f>SUM(AD$13:AD28)*AP28/1000</f>
        <v>0</v>
      </c>
      <c r="BC28">
        <f>SUM(AE$13:AE28)*AQ28/1000</f>
        <v>0</v>
      </c>
      <c r="BD28">
        <f>SUM(AF$13:AF28)*AR28/1000</f>
        <v>0</v>
      </c>
      <c r="BE28">
        <f>SUM(AG$13:AG28)*AS28/1000</f>
        <v>0</v>
      </c>
      <c r="BF28">
        <f>SUM(AH$13:AH28)*AT28/1000</f>
        <v>0</v>
      </c>
      <c r="BG28">
        <f>SUM(AI$13:AI28)*AU28/1000</f>
        <v>0</v>
      </c>
      <c r="BH28">
        <f>SUM(AJ$13:AJ28)*AV28/1000</f>
        <v>0</v>
      </c>
      <c r="BI28">
        <f>SUM(AK$13:AK28)*AW28/1000</f>
        <v>0</v>
      </c>
      <c r="BJ28">
        <f t="shared" si="10"/>
        <v>0</v>
      </c>
      <c r="BL28">
        <f t="shared" si="7"/>
        <v>2033</v>
      </c>
      <c r="BM28" s="131">
        <f>IFERROR(VLOOKUP($BL28,'Table 3 TransCost D2 '!$B$10:$E$34,4,FALSE),0)</f>
        <v>63.70000000000001</v>
      </c>
      <c r="BN28" s="273">
        <f t="shared" si="8"/>
        <v>0</v>
      </c>
    </row>
    <row r="29" spans="2:66">
      <c r="B29" s="16">
        <f t="shared" si="4"/>
        <v>2034</v>
      </c>
      <c r="C29" s="10">
        <f t="shared" si="0"/>
        <v>0</v>
      </c>
      <c r="D29" s="62"/>
      <c r="E29" s="10">
        <f t="shared" ca="1" si="5"/>
        <v>30.600524165518653</v>
      </c>
      <c r="F29" s="51"/>
      <c r="G29" s="15">
        <f t="shared" ca="1" si="9"/>
        <v>30.600524165518653</v>
      </c>
      <c r="H29" s="50"/>
      <c r="I29" s="273"/>
      <c r="J29" s="273"/>
      <c r="M29" s="179"/>
      <c r="O29">
        <f t="shared" si="1"/>
        <v>2034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AB29">
        <f t="shared" si="6"/>
        <v>0</v>
      </c>
      <c r="AC29">
        <f t="shared" si="2"/>
        <v>0</v>
      </c>
      <c r="AD29">
        <f t="shared" si="2"/>
        <v>0</v>
      </c>
      <c r="AE29">
        <f t="shared" si="2"/>
        <v>0</v>
      </c>
      <c r="AF29">
        <f t="shared" si="2"/>
        <v>0</v>
      </c>
      <c r="AG29">
        <f t="shared" si="2"/>
        <v>0</v>
      </c>
      <c r="AH29">
        <f t="shared" si="2"/>
        <v>0</v>
      </c>
      <c r="AI29">
        <f t="shared" si="2"/>
        <v>0</v>
      </c>
      <c r="AJ29">
        <f t="shared" si="2"/>
        <v>0</v>
      </c>
      <c r="AK29">
        <f t="shared" si="2"/>
        <v>0</v>
      </c>
      <c r="AN29">
        <f>VLOOKUP($O29,'Table 3 WY Wind 2021'!$B$10:$J$36,9,FALSE)</f>
        <v>136.96</v>
      </c>
      <c r="AO29">
        <f>VLOOKUP($O29,'Table 3 DJ Wind 2031'!$B$10:$J$36,9,FALSE)</f>
        <v>243.72</v>
      </c>
      <c r="AP29">
        <f>VLOOKUP($O29,'Table 3 ID Wind 2036'!$B$10:$J$36,9,FALSE)</f>
        <v>247.85</v>
      </c>
      <c r="AQ29">
        <f>VLOOKUP($O29,'Table 3 30 MW Geoth 2029'!$B$10:$J$36,9,FALSE)</f>
        <v>915.42</v>
      </c>
      <c r="AR29">
        <f>VLOOKUP($O29,'Table 3 200 MW (UT N) 2029)'!$B$11:$H$41,7,FALSE)</f>
        <v>155.96</v>
      </c>
      <c r="AS29">
        <f>VLOOKUP($O29,'Table 3 436MW (West M) 2030'!$B$11:$I$41,7,FALSE)</f>
        <v>232.12</v>
      </c>
      <c r="AT29">
        <f>VLOOKUP($O29,'Table 3 477 MW (Wyo) 2033'!$B$11:$I$41,7,FALSE)</f>
        <v>237.63</v>
      </c>
      <c r="AU29">
        <f>VLOOKUP($O29,'Table 3 200 MW (Wyo) 2033'!$B$11:$I$41,7,FALSE)</f>
        <v>204.96</v>
      </c>
      <c r="AV29">
        <f>VLOOKUP($O29,'Table 3 Yakima Solar 2028'!$B$10:$K$36,9,FALSE)</f>
        <v>221.88</v>
      </c>
      <c r="AW29">
        <f>VLOOKUP($O29,'Table 3 UT Solar 2035'!$B$10:$K$36,9,FALSE)</f>
        <v>229.93</v>
      </c>
      <c r="AZ29">
        <f>SUM(AB$13:AB29)*AN29/1000</f>
        <v>0</v>
      </c>
      <c r="BA29">
        <f>SUM(AC$13:AC29)*AO29/1000</f>
        <v>0</v>
      </c>
      <c r="BB29">
        <f>SUM(AD$13:AD29)*AP29/1000</f>
        <v>0</v>
      </c>
      <c r="BC29">
        <f>SUM(AE$13:AE29)*AQ29/1000</f>
        <v>0</v>
      </c>
      <c r="BD29">
        <f>SUM(AF$13:AF29)*AR29/1000</f>
        <v>0</v>
      </c>
      <c r="BE29">
        <f>SUM(AG$13:AG29)*AS29/1000</f>
        <v>0</v>
      </c>
      <c r="BF29">
        <f>SUM(AH$13:AH29)*AT29/1000</f>
        <v>0</v>
      </c>
      <c r="BG29">
        <f>SUM(AI$13:AI29)*AU29/1000</f>
        <v>0</v>
      </c>
      <c r="BH29">
        <f>SUM(AJ$13:AJ29)*AV29/1000</f>
        <v>0</v>
      </c>
      <c r="BI29">
        <f>SUM(AK$13:AK29)*AW29/1000</f>
        <v>0</v>
      </c>
      <c r="BJ29">
        <f t="shared" si="10"/>
        <v>0</v>
      </c>
      <c r="BL29">
        <f t="shared" si="7"/>
        <v>2034</v>
      </c>
      <c r="BM29" s="131">
        <f>IFERROR(VLOOKUP($BL29,'Table 3 TransCost D2 '!$B$10:$E$34,4,FALSE),0)</f>
        <v>65.17</v>
      </c>
      <c r="BN29" s="273">
        <f t="shared" si="8"/>
        <v>0</v>
      </c>
    </row>
    <row r="30" spans="2:66">
      <c r="B30" s="16">
        <f t="shared" si="4"/>
        <v>2035</v>
      </c>
      <c r="C30" s="10">
        <f t="shared" si="0"/>
        <v>216.124763856958</v>
      </c>
      <c r="D30" s="62"/>
      <c r="E30" s="10">
        <f t="shared" ca="1" si="5"/>
        <v>-3.1392892651152948</v>
      </c>
      <c r="F30" s="51"/>
      <c r="G30" s="15">
        <f t="shared" ca="1" si="9"/>
        <v>83.357161747887019</v>
      </c>
      <c r="H30" s="50"/>
      <c r="I30" s="273"/>
      <c r="J30" s="273"/>
      <c r="M30" s="179"/>
      <c r="O30">
        <f t="shared" si="1"/>
        <v>2035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43.858794528604463</v>
      </c>
      <c r="AB30">
        <f t="shared" si="6"/>
        <v>0</v>
      </c>
      <c r="AC30">
        <f t="shared" si="2"/>
        <v>0</v>
      </c>
      <c r="AD30">
        <f t="shared" si="2"/>
        <v>0</v>
      </c>
      <c r="AE30">
        <f t="shared" si="2"/>
        <v>0</v>
      </c>
      <c r="AF30">
        <f t="shared" si="2"/>
        <v>0</v>
      </c>
      <c r="AG30">
        <f t="shared" si="2"/>
        <v>0</v>
      </c>
      <c r="AH30">
        <f t="shared" si="2"/>
        <v>0</v>
      </c>
      <c r="AI30">
        <f t="shared" si="2"/>
        <v>0</v>
      </c>
      <c r="AJ30">
        <f t="shared" si="2"/>
        <v>0</v>
      </c>
      <c r="AK30">
        <f t="shared" si="2"/>
        <v>73.499324556013605</v>
      </c>
      <c r="AN30">
        <f>VLOOKUP($O30,'Table 3 WY Wind 2021'!$B$10:$J$36,9,FALSE)</f>
        <v>140.1</v>
      </c>
      <c r="AO30">
        <f>VLOOKUP($O30,'Table 3 DJ Wind 2031'!$B$10:$J$36,9,FALSE)</f>
        <v>249.32</v>
      </c>
      <c r="AP30">
        <f>VLOOKUP($O30,'Table 3 ID Wind 2036'!$B$10:$J$36,9,FALSE)</f>
        <v>253.55</v>
      </c>
      <c r="AQ30">
        <f>VLOOKUP($O30,'Table 3 30 MW Geoth 2029'!$B$10:$J$36,9,FALSE)</f>
        <v>936.45</v>
      </c>
      <c r="AR30">
        <f>VLOOKUP($O30,'Table 3 200 MW (UT N) 2029)'!$B$11:$H$41,7,FALSE)</f>
        <v>159.55000000000001</v>
      </c>
      <c r="AS30">
        <f>VLOOKUP($O30,'Table 3 436MW (West M) 2030'!$B$11:$I$41,7,FALSE)</f>
        <v>237.47</v>
      </c>
      <c r="AT30">
        <f>VLOOKUP($O30,'Table 3 477 MW (Wyo) 2033'!$B$11:$I$41,7,FALSE)</f>
        <v>243.13</v>
      </c>
      <c r="AU30">
        <f>VLOOKUP($O30,'Table 3 200 MW (Wyo) 2033'!$B$11:$I$41,7,FALSE)</f>
        <v>209.68</v>
      </c>
      <c r="AV30">
        <f>VLOOKUP($O30,'Table 3 Yakima Solar 2028'!$B$10:$K$36,9,FALSE)</f>
        <v>226.98</v>
      </c>
      <c r="AW30">
        <f>VLOOKUP($O30,'Table 3 UT Solar 2035'!$B$10:$K$36,9,FALSE)</f>
        <v>235.24</v>
      </c>
      <c r="AZ30">
        <f>SUM(AB$13:AB30)*AN30/1000</f>
        <v>0</v>
      </c>
      <c r="BA30">
        <f>SUM(AC$13:AC30)*AO30/1000</f>
        <v>0</v>
      </c>
      <c r="BB30">
        <f>SUM(AD$13:AD30)*AP30/1000</f>
        <v>0</v>
      </c>
      <c r="BC30">
        <f>SUM(AE$13:AE30)*AQ30/1000</f>
        <v>0</v>
      </c>
      <c r="BD30">
        <f>SUM(AF$13:AF30)*AR30/1000</f>
        <v>0</v>
      </c>
      <c r="BE30">
        <f>SUM(AG$13:AG30)*AS30/1000</f>
        <v>0</v>
      </c>
      <c r="BF30">
        <f>SUM(AH$13:AH30)*AT30/1000</f>
        <v>0</v>
      </c>
      <c r="BG30">
        <f>SUM(AI$13:AI30)*AU30/1000</f>
        <v>0</v>
      </c>
      <c r="BH30">
        <f>SUM(AJ$13:AJ30)*AV30/1000</f>
        <v>0</v>
      </c>
      <c r="BI30">
        <f>SUM(AK$13:AK30)*AW30/1000</f>
        <v>17.289981108556638</v>
      </c>
      <c r="BJ30">
        <f t="shared" si="10"/>
        <v>17.289981108556638</v>
      </c>
      <c r="BL30">
        <f t="shared" si="7"/>
        <v>2035</v>
      </c>
      <c r="BM30" s="131">
        <f>IFERROR(VLOOKUP($BL30,'Table 3 TransCost D2 '!$B$10:$E$34,4,FALSE),0)</f>
        <v>66.67</v>
      </c>
      <c r="BN30" s="273">
        <f t="shared" si="8"/>
        <v>0</v>
      </c>
    </row>
    <row r="31" spans="2:66">
      <c r="B31" s="16">
        <f t="shared" si="4"/>
        <v>2036</v>
      </c>
      <c r="C31" s="10">
        <f t="shared" si="0"/>
        <v>221.07678084891941</v>
      </c>
      <c r="D31" s="62"/>
      <c r="E31" s="10">
        <f t="shared" ca="1" si="5"/>
        <v>0.33869566300076942</v>
      </c>
      <c r="F31" s="51"/>
      <c r="G31" s="15">
        <f t="shared" ca="1" si="9"/>
        <v>89.089938886300288</v>
      </c>
      <c r="H31" s="50"/>
      <c r="I31" s="273"/>
      <c r="J31" s="273"/>
      <c r="M31" s="179"/>
      <c r="O31">
        <f t="shared" si="1"/>
        <v>2036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AB31">
        <f t="shared" si="6"/>
        <v>0</v>
      </c>
      <c r="AC31">
        <f t="shared" si="2"/>
        <v>0</v>
      </c>
      <c r="AD31">
        <f t="shared" si="2"/>
        <v>0</v>
      </c>
      <c r="AE31">
        <f t="shared" si="2"/>
        <v>0</v>
      </c>
      <c r="AF31">
        <f t="shared" si="2"/>
        <v>0</v>
      </c>
      <c r="AG31">
        <f t="shared" si="2"/>
        <v>0</v>
      </c>
      <c r="AH31">
        <f t="shared" si="2"/>
        <v>0</v>
      </c>
      <c r="AI31">
        <f t="shared" si="2"/>
        <v>0</v>
      </c>
      <c r="AJ31">
        <f t="shared" si="2"/>
        <v>0</v>
      </c>
      <c r="AK31">
        <f t="shared" si="2"/>
        <v>0</v>
      </c>
      <c r="AN31">
        <f>VLOOKUP($O31,'Table 3 WY Wind 2021'!$B$10:$J$36,9,FALSE)</f>
        <v>143.29</v>
      </c>
      <c r="AO31">
        <f>VLOOKUP($O31,'Table 3 DJ Wind 2031'!$B$10:$J$36,9,FALSE)</f>
        <v>255.03</v>
      </c>
      <c r="AP31">
        <f>VLOOKUP($O31,'Table 3 ID Wind 2036'!$B$10:$J$36,9,FALSE)</f>
        <v>259.38</v>
      </c>
      <c r="AQ31">
        <f>VLOOKUP($O31,'Table 3 30 MW Geoth 2029'!$B$10:$J$36,9,FALSE)</f>
        <v>957.96</v>
      </c>
      <c r="AR31">
        <f>VLOOKUP($O31,'Table 3 200 MW (UT N) 2029)'!$B$11:$H$41,7,FALSE)</f>
        <v>163.22999999999999</v>
      </c>
      <c r="AS31">
        <f>VLOOKUP($O31,'Table 3 436MW (West M) 2030'!$B$11:$I$41,7,FALSE)</f>
        <v>242.92</v>
      </c>
      <c r="AT31">
        <f>VLOOKUP($O31,'Table 3 477 MW (Wyo) 2033'!$B$11:$I$41,7,FALSE)</f>
        <v>248.73</v>
      </c>
      <c r="AU31">
        <f>VLOOKUP($O31,'Table 3 200 MW (Wyo) 2033'!$B$11:$I$41,7,FALSE)</f>
        <v>214.52</v>
      </c>
      <c r="AV31">
        <f>VLOOKUP($O31,'Table 3 Yakima Solar 2028'!$B$10:$K$36,9,FALSE)</f>
        <v>232.21</v>
      </c>
      <c r="AW31">
        <f>VLOOKUP($O31,'Table 3 UT Solar 2035'!$B$10:$K$36,9,FALSE)</f>
        <v>240.63</v>
      </c>
      <c r="AZ31">
        <f>SUM(AB$13:AB31)*AN31/1000</f>
        <v>0</v>
      </c>
      <c r="BA31">
        <f>SUM(AC$13:AC31)*AO31/1000</f>
        <v>0</v>
      </c>
      <c r="BB31">
        <f>SUM(AD$13:AD31)*AP31/1000</f>
        <v>0</v>
      </c>
      <c r="BC31">
        <f>SUM(AE$13:AE31)*AQ31/1000</f>
        <v>0</v>
      </c>
      <c r="BD31">
        <f>SUM(AF$13:AF31)*AR31/1000</f>
        <v>0</v>
      </c>
      <c r="BE31">
        <f>SUM(AG$13:AG31)*AS31/1000</f>
        <v>0</v>
      </c>
      <c r="BF31">
        <f>SUM(AH$13:AH31)*AT31/1000</f>
        <v>0</v>
      </c>
      <c r="BG31">
        <f>SUM(AI$13:AI31)*AU31/1000</f>
        <v>0</v>
      </c>
      <c r="BH31">
        <f>SUM(AJ$13:AJ31)*AV31/1000</f>
        <v>0</v>
      </c>
      <c r="BI31">
        <f>SUM(AK$13:AK31)*AW31/1000</f>
        <v>17.686142467913552</v>
      </c>
      <c r="BJ31">
        <f t="shared" si="10"/>
        <v>17.686142467913552</v>
      </c>
      <c r="BL31">
        <f t="shared" si="7"/>
        <v>2036</v>
      </c>
      <c r="BM31" s="131">
        <f>IFERROR(VLOOKUP($BL31,'Table 3 TransCost D2 '!$B$10:$E$34,4,FALSE),0)</f>
        <v>68.2</v>
      </c>
      <c r="BN31" s="273">
        <f t="shared" si="8"/>
        <v>0</v>
      </c>
    </row>
    <row r="32" spans="2:66">
      <c r="B32" s="16">
        <f t="shared" si="4"/>
        <v>2037</v>
      </c>
      <c r="C32" s="10">
        <f t="shared" si="0"/>
        <v>225.95529851632483</v>
      </c>
      <c r="D32" s="62"/>
      <c r="E32" s="10">
        <f t="shared" ca="1" si="5"/>
        <v>0.34628317242912571</v>
      </c>
      <c r="F32" s="51"/>
      <c r="G32" s="15">
        <f t="shared" ca="1" si="9"/>
        <v>91.231468895696707</v>
      </c>
      <c r="H32" s="50"/>
      <c r="I32" s="273"/>
      <c r="J32" s="273"/>
      <c r="M32" s="179"/>
      <c r="O32">
        <f t="shared" si="1"/>
        <v>2037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AB32">
        <f t="shared" si="6"/>
        <v>0</v>
      </c>
      <c r="AC32">
        <f t="shared" si="2"/>
        <v>0</v>
      </c>
      <c r="AD32">
        <f t="shared" si="2"/>
        <v>0</v>
      </c>
      <c r="AE32">
        <f t="shared" si="2"/>
        <v>0</v>
      </c>
      <c r="AF32">
        <f t="shared" si="2"/>
        <v>0</v>
      </c>
      <c r="AG32">
        <f t="shared" si="2"/>
        <v>0</v>
      </c>
      <c r="AH32">
        <f t="shared" si="2"/>
        <v>0</v>
      </c>
      <c r="AI32">
        <f t="shared" si="2"/>
        <v>0</v>
      </c>
      <c r="AJ32">
        <f t="shared" si="2"/>
        <v>0</v>
      </c>
      <c r="AK32">
        <f t="shared" si="2"/>
        <v>0</v>
      </c>
      <c r="AN32">
        <f>VLOOKUP($O32,'Table 3 WY Wind 2021'!$B$10:$J$36,9,FALSE)</f>
        <v>146.44</v>
      </c>
      <c r="AO32">
        <f>VLOOKUP($O32,'Table 3 DJ Wind 2031'!$B$10:$J$36,9,FALSE)</f>
        <v>260.63</v>
      </c>
      <c r="AP32">
        <f>VLOOKUP($O32,'Table 3 ID Wind 2036'!$B$10:$J$36,9,FALSE)</f>
        <v>265.08</v>
      </c>
      <c r="AQ32">
        <f>VLOOKUP($O32,'Table 3 30 MW Geoth 2029'!$B$10:$J$36,9,FALSE)</f>
        <v>979.07</v>
      </c>
      <c r="AR32">
        <f>VLOOKUP($O32,'Table 3 200 MW (UT N) 2029)'!$B$11:$H$41,7,FALSE)</f>
        <v>166.82</v>
      </c>
      <c r="AS32">
        <f>VLOOKUP($O32,'Table 3 436MW (West M) 2030'!$B$11:$I$41,7,FALSE)</f>
        <v>248.27</v>
      </c>
      <c r="AT32">
        <f>VLOOKUP($O32,'Table 3 477 MW (Wyo) 2033'!$B$11:$I$41,7,FALSE)</f>
        <v>254.22</v>
      </c>
      <c r="AU32">
        <f>VLOOKUP($O32,'Table 3 200 MW (Wyo) 2033'!$B$11:$I$41,7,FALSE)</f>
        <v>219.24</v>
      </c>
      <c r="AV32">
        <f>VLOOKUP($O32,'Table 3 Yakima Solar 2028'!$B$10:$K$36,9,FALSE)</f>
        <v>237.33</v>
      </c>
      <c r="AW32">
        <f>VLOOKUP($O32,'Table 3 UT Solar 2035'!$B$10:$K$36,9,FALSE)</f>
        <v>245.94</v>
      </c>
      <c r="AZ32">
        <f>SUM(AB$13:AB32)*AN32/1000</f>
        <v>0</v>
      </c>
      <c r="BA32">
        <f>SUM(AC$13:AC32)*AO32/1000</f>
        <v>0</v>
      </c>
      <c r="BB32">
        <f>SUM(AD$13:AD32)*AP32/1000</f>
        <v>0</v>
      </c>
      <c r="BC32">
        <f>SUM(AE$13:AE32)*AQ32/1000</f>
        <v>0</v>
      </c>
      <c r="BD32">
        <f>SUM(AF$13:AF32)*AR32/1000</f>
        <v>0</v>
      </c>
      <c r="BE32">
        <f>SUM(AG$13:AG32)*AS32/1000</f>
        <v>0</v>
      </c>
      <c r="BF32">
        <f>SUM(AH$13:AH32)*AT32/1000</f>
        <v>0</v>
      </c>
      <c r="BG32">
        <f>SUM(AI$13:AI32)*AU32/1000</f>
        <v>0</v>
      </c>
      <c r="BH32">
        <f>SUM(AJ$13:AJ32)*AV32/1000</f>
        <v>0</v>
      </c>
      <c r="BI32">
        <f>SUM(AK$13:AK32)*AW32/1000</f>
        <v>18.076423881305985</v>
      </c>
      <c r="BJ32" s="265">
        <f t="shared" si="10"/>
        <v>18.076423881305985</v>
      </c>
      <c r="BL32">
        <f t="shared" si="7"/>
        <v>2037</v>
      </c>
      <c r="BM32" s="131">
        <f>IFERROR(VLOOKUP($BL32,'Table 3 TransCost D2 '!$B$10:$E$34,4,FALSE),0)</f>
        <v>69.7</v>
      </c>
      <c r="BN32" s="273">
        <f t="shared" si="8"/>
        <v>0</v>
      </c>
    </row>
    <row r="33" spans="1:67" hidden="1">
      <c r="B33" s="16">
        <f t="shared" si="4"/>
        <v>2038</v>
      </c>
      <c r="C33" s="10">
        <f t="shared" si="0"/>
        <v>230.91650292385575</v>
      </c>
      <c r="D33" s="62"/>
      <c r="E33" s="10" t="e">
        <f t="shared" ref="E33" ca="1" si="11">SUMIF(INDIRECT("'Table 5'!$J$"&amp;$K$3&amp;":$J$"&amp;$K$4),B33,INDIRECT("'Table 5'!$c$"&amp;$K$3&amp;":$c$"&amp;$K$4))/SUMIF(INDIRECT("'Table 5'!$J$"&amp;$K$3&amp;":$J$"&amp;$K$4),B33,INDIRECT("'Table 5'!$f$"&amp;$K$3&amp;":$f$"&amp;$K$4))</f>
        <v>#DIV/0!</v>
      </c>
      <c r="F33" s="51"/>
      <c r="G33" s="15" t="e">
        <f t="shared" ref="G33" ca="1" si="12">SUMIF(INDIRECT("'Table 5'!$J$"&amp;$K$3&amp;":$J$"&amp;$K$4),B33,INDIRECT("'Table 5'!$e$"&amp;$K$3&amp;":$e$"&amp;$K$4))/SUMIF(INDIRECT("'Table 5'!$J$"&amp;$K$3&amp;":$J$"&amp;$K$4),B33,INDIRECT("'Table 5'!$f$"&amp;$K$3&amp;":$f$"&amp;$K$4))</f>
        <v>#DIV/0!</v>
      </c>
      <c r="H33" s="50"/>
      <c r="I33" s="273"/>
      <c r="J33" s="273"/>
      <c r="M33" s="179"/>
      <c r="O33">
        <f t="shared" ref="O33" si="13">B33</f>
        <v>2038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AB33">
        <f t="shared" ref="AB33" si="14">P33/P$5</f>
        <v>0</v>
      </c>
      <c r="AC33">
        <f t="shared" ref="AC33" si="15">Q33/Q$5</f>
        <v>0</v>
      </c>
      <c r="AD33">
        <f t="shared" ref="AD33" si="16">R33/R$5</f>
        <v>0</v>
      </c>
      <c r="AE33">
        <f t="shared" ref="AE33" si="17">S33/S$5</f>
        <v>0</v>
      </c>
      <c r="AF33">
        <f t="shared" ref="AF33" si="18">T33/T$5</f>
        <v>0</v>
      </c>
      <c r="AG33">
        <f t="shared" ref="AG33" si="19">U33/U$5</f>
        <v>0</v>
      </c>
      <c r="AH33">
        <f t="shared" ref="AH33" si="20">V33/V$5</f>
        <v>0</v>
      </c>
      <c r="AI33">
        <f t="shared" ref="AI33" si="21">W33/W$5</f>
        <v>0</v>
      </c>
      <c r="AJ33">
        <f t="shared" ref="AJ33" si="22">X33/X$5</f>
        <v>0</v>
      </c>
      <c r="AK33">
        <f t="shared" ref="AK33" si="23">Y33/Y$5</f>
        <v>0</v>
      </c>
      <c r="AN33">
        <f>VLOOKUP($O33,'Table 3 WY Wind 2021'!$B$10:$J$36,9,FALSE)</f>
        <v>149.63999999999999</v>
      </c>
      <c r="AO33">
        <f>VLOOKUP($O33,'Table 3 DJ Wind 2031'!$B$10:$J$36,9,FALSE)</f>
        <v>266.33999999999997</v>
      </c>
      <c r="AP33">
        <f>VLOOKUP($O33,'Table 3 ID Wind 2036'!$B$10:$J$36,9,FALSE)</f>
        <v>270.91000000000003</v>
      </c>
      <c r="AQ33">
        <f>VLOOKUP($O33,'Table 3 30 MW Geoth 2029'!$B$10:$J$36,9,FALSE)</f>
        <v>1000.57</v>
      </c>
      <c r="AR33">
        <f>VLOOKUP($O33,'Table 3 200 MW (UT N) 2029)'!$B$11:$H$41,7,FALSE)</f>
        <v>170.5</v>
      </c>
      <c r="AS33">
        <f>VLOOKUP($O33,'Table 3 436MW (West M) 2030'!$B$11:$I$41,7,FALSE)</f>
        <v>253.72</v>
      </c>
      <c r="AT33">
        <f>VLOOKUP($O33,'Table 3 477 MW (Wyo) 2033'!$B$11:$I$41,7,FALSE)</f>
        <v>259.82</v>
      </c>
      <c r="AU33">
        <f>VLOOKUP($O33,'Table 3 200 MW (Wyo) 2033'!$B$11:$I$41,7,FALSE)</f>
        <v>224.08</v>
      </c>
      <c r="AV33">
        <f>VLOOKUP($O33,'Table 3 Yakima Solar 2028'!$B$10:$K$36,9,FALSE)</f>
        <v>242.56</v>
      </c>
      <c r="AW33">
        <f>VLOOKUP($O33,'Table 3 UT Solar 2035'!$B$10:$K$36,9,FALSE)</f>
        <v>251.34</v>
      </c>
      <c r="AZ33">
        <f>SUM(AB$13:AB33)*AN33/1000</f>
        <v>0</v>
      </c>
      <c r="BA33">
        <f>SUM(AC$13:AC33)*AO33/1000</f>
        <v>0</v>
      </c>
      <c r="BB33">
        <f>SUM(AD$13:AD33)*AP33/1000</f>
        <v>0</v>
      </c>
      <c r="BC33">
        <f>SUM(AE$13:AE33)*AQ33/1000</f>
        <v>0</v>
      </c>
      <c r="BD33">
        <f>SUM(AF$13:AF33)*AR33/1000</f>
        <v>0</v>
      </c>
      <c r="BE33">
        <f>SUM(AG$13:AG33)*AS33/1000</f>
        <v>0</v>
      </c>
      <c r="BF33">
        <f>SUM(AH$13:AH33)*AT33/1000</f>
        <v>0</v>
      </c>
      <c r="BG33">
        <f>SUM(AI$13:AI33)*AU33/1000</f>
        <v>0</v>
      </c>
      <c r="BH33">
        <f>SUM(AJ$13:AJ33)*AV33/1000</f>
        <v>0</v>
      </c>
      <c r="BI33">
        <f>SUM(AK$13:AK33)*AW33/1000</f>
        <v>18.47332023390846</v>
      </c>
      <c r="BJ33" s="265">
        <f t="shared" ref="BJ33" si="24">SUM(AZ33:BI33)</f>
        <v>18.47332023390846</v>
      </c>
      <c r="BL33">
        <f t="shared" ref="BL33" si="25">O33</f>
        <v>2038</v>
      </c>
      <c r="BM33" s="131">
        <f>IFERROR(VLOOKUP($BL33,'Table 3 TransCost D2 '!$B$10:$E$34,4,FALSE),0)</f>
        <v>71.23</v>
      </c>
      <c r="BN33" s="273">
        <f t="shared" si="8"/>
        <v>0</v>
      </c>
    </row>
    <row r="34" spans="1:67">
      <c r="B34" s="257"/>
      <c r="C34" s="10"/>
      <c r="D34" s="62"/>
      <c r="E34" s="10"/>
      <c r="F34" s="51"/>
      <c r="G34" s="10"/>
      <c r="H34" s="50"/>
      <c r="I34" s="66"/>
      <c r="M34" s="179"/>
      <c r="BJ34" s="265"/>
      <c r="BN34" s="131"/>
      <c r="BO34" s="273"/>
    </row>
    <row r="35" spans="1:67">
      <c r="B35" s="257"/>
      <c r="C35" s="10"/>
      <c r="D35" s="62"/>
      <c r="E35" s="10"/>
      <c r="F35" s="51"/>
      <c r="G35" s="10"/>
      <c r="H35" s="50"/>
      <c r="I35" s="66"/>
      <c r="M35" s="179"/>
    </row>
    <row r="36" spans="1:67" ht="12" customHeight="1">
      <c r="B36" s="257"/>
      <c r="C36" s="10"/>
      <c r="D36" s="62"/>
      <c r="E36" s="10"/>
      <c r="F36" s="51"/>
      <c r="G36" s="10"/>
      <c r="H36" s="50"/>
      <c r="I36" s="66"/>
      <c r="M36" s="179"/>
    </row>
    <row r="37" spans="1:67">
      <c r="A37" s="377" t="str">
        <f>'Table 5'!$A$9</f>
        <v>15 Year Starting 2018</v>
      </c>
      <c r="B37" s="377"/>
      <c r="D37" s="10"/>
      <c r="F37" s="51"/>
      <c r="H37" s="50"/>
      <c r="I37"/>
    </row>
    <row r="38" spans="1:67">
      <c r="A38" s="295"/>
      <c r="B38" s="72" t="str">
        <f>"15 year Levelized Prices (Nominal) @ "&amp;TEXT(I39,"0.00%")&amp;" Discount Rate (1) (3) "</f>
        <v xml:space="preserve">15 year Levelized Prices (Nominal) @ 6.57% Discount Rate (1) (3) </v>
      </c>
      <c r="E38" s="6"/>
      <c r="I38" s="66" t="s">
        <v>99</v>
      </c>
      <c r="P38" s="259"/>
    </row>
    <row r="39" spans="1:67">
      <c r="B39" s="64" t="s">
        <v>8</v>
      </c>
      <c r="C39" s="10">
        <f ca="1">'Table 5'!$D$9*(Study_CF*8.76)/'Table 5'!$F$9</f>
        <v>0</v>
      </c>
      <c r="D39" s="10"/>
      <c r="H39" s="50"/>
      <c r="I39" s="166">
        <v>6.5699999999999995E-2</v>
      </c>
    </row>
    <row r="40" spans="1:67">
      <c r="B40" s="65" t="s">
        <v>39</v>
      </c>
      <c r="E40" s="10">
        <f ca="1">'Table 5'!$C$9/'Table 5'!$F$9</f>
        <v>19.715439092725003</v>
      </c>
      <c r="G40" s="297">
        <f ca="1">'Table 5'!$G$9</f>
        <v>19.715439092725003</v>
      </c>
      <c r="H40" s="50"/>
    </row>
    <row r="41" spans="1:67" ht="21" customHeight="1">
      <c r="A41" s="378" t="str">
        <f>'Table 5'!A7</f>
        <v>15 Year Starting 2019</v>
      </c>
      <c r="B41" s="378"/>
      <c r="E41" s="10"/>
      <c r="G41" s="165"/>
      <c r="H41" s="50"/>
    </row>
    <row r="42" spans="1:67">
      <c r="B42" s="72" t="str">
        <f>"15 year Levelized Prices (Nominal) @ "&amp;TEXT(I43,"0.00%")&amp;" Discount Rate (1) (3) "</f>
        <v xml:space="preserve">15 year Levelized Prices (Nominal) @ 0.00% Discount Rate (1) (3) </v>
      </c>
      <c r="E42" s="6"/>
      <c r="H42" s="50"/>
      <c r="I42"/>
      <c r="M42" s="179"/>
    </row>
    <row r="43" spans="1:67">
      <c r="B43" s="64" t="s">
        <v>8</v>
      </c>
      <c r="C43" s="10">
        <f ca="1">'Table 5'!$D$7*(Study_CF*8.76)/'Table 5'!$F$7</f>
        <v>0</v>
      </c>
      <c r="D43" s="10"/>
      <c r="H43" s="50"/>
      <c r="I43"/>
    </row>
    <row r="44" spans="1:67">
      <c r="B44" s="65" t="s">
        <v>39</v>
      </c>
      <c r="E44" s="10">
        <f ca="1">'Table 5'!$C$7/'Table 5'!$F$7</f>
        <v>20.127354720406188</v>
      </c>
      <c r="G44" s="297">
        <f ca="1">'Table 5'!$G$7</f>
        <v>20.127354720406188</v>
      </c>
      <c r="H44" s="50"/>
      <c r="I44"/>
      <c r="Q44" s="273"/>
    </row>
    <row r="45" spans="1:67" hidden="1">
      <c r="B45" s="72"/>
      <c r="E45" s="6"/>
      <c r="H45" s="50"/>
    </row>
    <row r="46" spans="1:67" hidden="1">
      <c r="B46" s="64"/>
      <c r="C46" s="10"/>
      <c r="D46" s="10"/>
      <c r="H46" s="50"/>
    </row>
    <row r="47" spans="1:67" hidden="1">
      <c r="B47" s="65"/>
      <c r="E47" s="10"/>
      <c r="G47" s="165"/>
      <c r="H47" s="50"/>
    </row>
    <row r="48" spans="1:67" hidden="1">
      <c r="B48" s="64"/>
      <c r="C48" s="10"/>
      <c r="D48" s="10"/>
      <c r="H48" s="50"/>
    </row>
    <row r="49" spans="1:9" hidden="1">
      <c r="B49" s="72"/>
      <c r="E49" s="6"/>
      <c r="H49" s="50"/>
    </row>
    <row r="50" spans="1:9" hidden="1">
      <c r="B50" s="64"/>
      <c r="C50" s="10"/>
      <c r="D50" s="10"/>
      <c r="H50" s="50"/>
    </row>
    <row r="51" spans="1:9">
      <c r="A51" s="378" t="str">
        <f>'Table 5'!A10</f>
        <v>20 Year Starting 2019</v>
      </c>
      <c r="B51" s="378"/>
      <c r="E51" s="10"/>
      <c r="G51" s="165"/>
      <c r="H51" s="50"/>
    </row>
    <row r="52" spans="1:9">
      <c r="B52" s="72" t="str">
        <f>"15 year Levelized Prices (Nominal) @ "&amp;TEXT(I53,"0.00%")&amp;" Discount Rate (1) (3) "</f>
        <v xml:space="preserve">15 year Levelized Prices (Nominal) @ 0.00% Discount Rate (1) (3) </v>
      </c>
      <c r="E52" s="6"/>
      <c r="H52" s="50"/>
    </row>
    <row r="53" spans="1:9">
      <c r="B53" s="64" t="s">
        <v>8</v>
      </c>
      <c r="C53" s="10">
        <f ca="1">'Table 5'!$D$10*(Study_CF*8.76)/'Table 5'!$F$10</f>
        <v>26.204787384073022</v>
      </c>
      <c r="D53" s="10"/>
      <c r="H53" s="50"/>
    </row>
    <row r="54" spans="1:9">
      <c r="B54" s="65" t="s">
        <v>39</v>
      </c>
      <c r="E54" s="10">
        <f ca="1">'Table 5'!$C$10/'Table 5'!$F$10</f>
        <v>18.230431441489834</v>
      </c>
      <c r="G54" s="297">
        <f ca="1">'Table 5'!$G$10</f>
        <v>27.861340093008131</v>
      </c>
      <c r="H54" s="50"/>
    </row>
    <row r="55" spans="1:9">
      <c r="B55" s="4" t="s">
        <v>19</v>
      </c>
      <c r="E55" s="52"/>
      <c r="G55" s="52"/>
      <c r="H55" s="50"/>
      <c r="I55" s="165"/>
    </row>
    <row r="56" spans="1:9">
      <c r="B56" s="67" t="str">
        <f>"(1)   "&amp;I38</f>
        <v>(1)   Discount Rate - 2017 IRP</v>
      </c>
      <c r="E56" s="50"/>
      <c r="F56" s="52"/>
      <c r="G56" s="50"/>
      <c r="H56" s="50"/>
      <c r="I56" s="165"/>
    </row>
    <row r="57" spans="1:9">
      <c r="B57" s="4" t="s">
        <v>25</v>
      </c>
      <c r="F57" s="52"/>
      <c r="H57" s="50"/>
      <c r="I57" s="165"/>
    </row>
    <row r="58" spans="1:9">
      <c r="G58" s="6"/>
    </row>
    <row r="59" spans="1:9">
      <c r="B59" s="4" t="str">
        <f>IF(Study_Cap_Adj&gt;0,"(4)  The capacity payment is derived from:","")</f>
        <v/>
      </c>
    </row>
    <row r="60" spans="1:9" hidden="1">
      <c r="B60" s="150" t="str">
        <f>IF(AND(Study_Cap_Adj&gt;0,_30_Geo_West&lt;&gt;0),"       2028 - "&amp;'Table 3 477 MW (Wyo) 2033'!$B$12&amp;"   ("&amp;TEXT(_30_Geo_West," 0.0%")&amp;")","")</f>
        <v/>
      </c>
    </row>
    <row r="61" spans="1:9" ht="12.75" customHeight="1">
      <c r="B61" s="150"/>
    </row>
    <row r="62" spans="1:9" ht="12.75" customHeight="1">
      <c r="A62" s="4" t="b">
        <f>SUM(P13:Y33)&gt;0</f>
        <v>1</v>
      </c>
      <c r="B62" s="150"/>
    </row>
    <row r="63" spans="1:9">
      <c r="A63" s="4">
        <f>IF(SUM(P13:P33)&gt;0,1,IF(SUM(Q13:Q33)&gt;0,2,IF(SUM(R13:R33)&gt;0,3,IF(SUM(S13:S33)&gt;0,4,IF(SUM(T13:T33)&gt;0,5,IF(SUM(U13:U33)&gt;0,6,IF(SUM(V13:V33)&gt;0,7,IF(SUM(W13:W33)&gt;0,8,IF(SUM(X13:X33)&gt;0,9,IF(SUM(Y13:Y33)&gt;0,10))))))))))</f>
        <v>10</v>
      </c>
      <c r="B63" s="11"/>
      <c r="C63" s="8"/>
      <c r="D63" s="8"/>
      <c r="E63" s="8"/>
      <c r="G63" s="8"/>
    </row>
    <row r="64" spans="1:9">
      <c r="B64"/>
      <c r="I64" t="s">
        <v>86</v>
      </c>
    </row>
    <row r="65" spans="1:13" s="70" customFormat="1">
      <c r="A65" s="71"/>
      <c r="B65" s="11"/>
      <c r="C65" s="71"/>
      <c r="D65" s="71"/>
      <c r="E65" s="71"/>
      <c r="F65" s="71"/>
      <c r="G65" s="71"/>
      <c r="I65" t="str">
        <f ca="1">"       Avoided Costs calculated annually are  "&amp;TEXT(PMT(Discount_Rate,COUNT($G$13:$G$27),-NPV(Discount_Rate,$G$13:$G$27)),"$0.00")&amp;"/MWH"</f>
        <v xml:space="preserve">       Avoided Costs calculated annually are  $19.79/MWH</v>
      </c>
      <c r="J65"/>
      <c r="K65"/>
      <c r="L65"/>
      <c r="M65"/>
    </row>
    <row r="66" spans="1:13" s="70" customFormat="1">
      <c r="A66" s="71"/>
      <c r="B66" s="11"/>
      <c r="C66" s="71"/>
      <c r="D66" s="71"/>
      <c r="E66" s="71"/>
      <c r="F66" s="71"/>
      <c r="G66" s="71"/>
      <c r="I66" s="11" t="str">
        <f ca="1">"       Avoided Costs calculated monthly are  "&amp;TEXT($G$40,"$0.00")&amp;"/MWH"</f>
        <v xml:space="preserve">       Avoided Costs calculated monthly are  $19.72/MWH</v>
      </c>
      <c r="J66"/>
      <c r="K66"/>
    </row>
    <row r="67" spans="1:13">
      <c r="A67"/>
      <c r="B67" s="68"/>
      <c r="I67" s="70"/>
      <c r="L67" s="70"/>
      <c r="M67" s="70"/>
    </row>
    <row r="68" spans="1:13">
      <c r="A68"/>
      <c r="F68" s="8"/>
    </row>
    <row r="71" spans="1:13">
      <c r="A71"/>
      <c r="J71" s="70"/>
      <c r="K71" s="70"/>
    </row>
    <row r="72" spans="1:13">
      <c r="A72"/>
      <c r="J72" s="70"/>
      <c r="K72" s="70"/>
    </row>
  </sheetData>
  <mergeCells count="3">
    <mergeCell ref="A37:B37"/>
    <mergeCell ref="A41:B41"/>
    <mergeCell ref="A51:B51"/>
  </mergeCells>
  <phoneticPr fontId="7" type="noConversion"/>
  <printOptions horizontalCentered="1"/>
  <pageMargins left="0.25" right="0.25" top="0.75" bottom="0.75" header="0.3" footer="0.3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1"/>
  <sheetViews>
    <sheetView view="pageBreakPreview" zoomScale="70" zoomScaleNormal="100" zoomScaleSheetLayoutView="70" workbookViewId="0">
      <pane xSplit="2" ySplit="6" topLeftCell="C7" activePane="bottomRight" state="frozen"/>
      <selection activeCell="E15" sqref="E15"/>
      <selection pane="topRight" activeCell="E15" sqref="E15"/>
      <selection pane="bottomLeft" activeCell="E15" sqref="E15"/>
      <selection pane="bottomRight" activeCell="C30" sqref="C30"/>
    </sheetView>
  </sheetViews>
  <sheetFormatPr defaultColWidth="9.33203125" defaultRowHeight="12.75"/>
  <cols>
    <col min="1" max="1" width="2.83203125" style="4" customWidth="1"/>
    <col min="2" max="2" width="7" style="4" customWidth="1"/>
    <col min="3" max="12" width="10.1640625" style="4" customWidth="1"/>
    <col min="13" max="13" width="10.1640625" style="6" customWidth="1"/>
    <col min="14" max="15" width="10.1640625" style="4" customWidth="1"/>
    <col min="16" max="16" width="1.6640625" style="4" customWidth="1"/>
    <col min="17" max="16384" width="9.33203125" style="4"/>
  </cols>
  <sheetData>
    <row r="1" spans="2:16" s="304" customFormat="1" ht="15.75" hidden="1">
      <c r="B1" s="1" t="s">
        <v>52</v>
      </c>
      <c r="C1" s="1"/>
      <c r="D1" s="1"/>
      <c r="E1" s="1"/>
      <c r="F1" s="1"/>
      <c r="G1" s="301"/>
      <c r="H1" s="1"/>
      <c r="I1" s="1"/>
      <c r="J1" s="1"/>
      <c r="K1" s="1"/>
      <c r="L1" s="302"/>
      <c r="M1" s="303"/>
      <c r="N1" s="303"/>
      <c r="O1" s="303"/>
      <c r="P1" s="303"/>
    </row>
    <row r="2" spans="2:16" s="304" customFormat="1" ht="5.25" customHeight="1">
      <c r="B2" s="1"/>
      <c r="C2" s="1"/>
      <c r="D2" s="1"/>
      <c r="E2" s="1"/>
      <c r="F2" s="1"/>
      <c r="G2" s="301"/>
      <c r="H2" s="1"/>
      <c r="I2" s="1"/>
      <c r="J2" s="1"/>
      <c r="K2" s="1"/>
      <c r="L2" s="302"/>
      <c r="M2" s="303"/>
      <c r="N2" s="303"/>
      <c r="O2" s="303"/>
      <c r="P2" s="303"/>
    </row>
    <row r="3" spans="2:16" s="304" customFormat="1" ht="15.75">
      <c r="B3" s="1" t="s">
        <v>177</v>
      </c>
      <c r="C3" s="1"/>
      <c r="D3" s="1"/>
      <c r="E3" s="1"/>
      <c r="F3" s="1"/>
      <c r="G3" s="301"/>
      <c r="H3" s="1"/>
      <c r="I3" s="1"/>
      <c r="J3" s="1"/>
      <c r="K3" s="1"/>
      <c r="L3" s="302"/>
      <c r="M3" s="303"/>
      <c r="N3" s="303"/>
      <c r="O3" s="303"/>
      <c r="P3" s="303"/>
    </row>
    <row r="4" spans="2:16" s="306" customFormat="1" ht="15">
      <c r="B4" s="5" t="s">
        <v>178</v>
      </c>
      <c r="C4" s="5"/>
      <c r="D4" s="5"/>
      <c r="E4" s="5"/>
      <c r="F4" s="5"/>
      <c r="G4" s="5"/>
      <c r="H4" s="5"/>
      <c r="I4" s="5"/>
      <c r="J4" s="5"/>
      <c r="K4" s="5"/>
      <c r="L4" s="5"/>
      <c r="M4" s="305"/>
      <c r="N4" s="305"/>
      <c r="O4" s="305"/>
      <c r="P4" s="305"/>
    </row>
    <row r="5" spans="2:16" s="306" customFormat="1" ht="15">
      <c r="B5" s="5" t="s">
        <v>205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6" s="306" customFormat="1" ht="15" hidden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305"/>
      <c r="N6" s="305"/>
      <c r="O6" s="305"/>
      <c r="P6" s="305"/>
    </row>
    <row r="7" spans="2:16">
      <c r="D7" s="307"/>
      <c r="E7" s="307"/>
      <c r="F7" s="307"/>
      <c r="G7" s="308"/>
      <c r="H7" s="308"/>
      <c r="I7" s="308"/>
      <c r="J7" s="308"/>
      <c r="K7" s="308"/>
      <c r="L7" s="308"/>
      <c r="M7" s="309"/>
    </row>
    <row r="8" spans="2:16">
      <c r="B8" s="310" t="s">
        <v>0</v>
      </c>
      <c r="C8" s="310"/>
      <c r="D8" s="311" t="s">
        <v>179</v>
      </c>
      <c r="E8" s="312"/>
      <c r="F8" s="312"/>
      <c r="G8" s="311"/>
      <c r="H8" s="311"/>
      <c r="I8" s="313" t="s">
        <v>180</v>
      </c>
      <c r="J8" s="314"/>
      <c r="K8" s="314"/>
      <c r="L8" s="315"/>
      <c r="M8" s="316" t="s">
        <v>179</v>
      </c>
      <c r="N8" s="317"/>
      <c r="O8" s="318"/>
    </row>
    <row r="9" spans="2:16">
      <c r="B9" s="319"/>
      <c r="C9" s="319" t="s">
        <v>181</v>
      </c>
      <c r="D9" s="320" t="s">
        <v>182</v>
      </c>
      <c r="E9" s="321" t="s">
        <v>183</v>
      </c>
      <c r="F9" s="321" t="s">
        <v>184</v>
      </c>
      <c r="G9" s="321" t="s">
        <v>185</v>
      </c>
      <c r="H9" s="322" t="s">
        <v>186</v>
      </c>
      <c r="I9" s="266" t="s">
        <v>187</v>
      </c>
      <c r="J9" s="266" t="s">
        <v>188</v>
      </c>
      <c r="K9" s="266" t="s">
        <v>189</v>
      </c>
      <c r="L9" s="266" t="s">
        <v>190</v>
      </c>
      <c r="M9" s="320" t="s">
        <v>191</v>
      </c>
      <c r="N9" s="321" t="s">
        <v>192</v>
      </c>
      <c r="O9" s="322" t="s">
        <v>193</v>
      </c>
    </row>
    <row r="10" spans="2:16" ht="12.75" customHeight="1">
      <c r="B10" s="299"/>
      <c r="C10" s="299"/>
      <c r="D10" s="323"/>
      <c r="E10" s="323"/>
      <c r="F10" s="323"/>
      <c r="G10" s="323"/>
      <c r="H10" s="323"/>
      <c r="I10" s="323"/>
      <c r="J10" s="323"/>
      <c r="K10" s="323"/>
      <c r="L10" s="323"/>
      <c r="M10" s="323"/>
      <c r="N10" s="323"/>
      <c r="O10" s="6"/>
    </row>
    <row r="11" spans="2:16" ht="12.75" customHeight="1">
      <c r="B11" s="324" t="s">
        <v>194</v>
      </c>
      <c r="C11" s="324"/>
      <c r="E11" s="307"/>
      <c r="F11" s="307"/>
      <c r="G11" s="307"/>
      <c r="H11" s="307"/>
      <c r="I11" s="307"/>
      <c r="J11" s="307"/>
      <c r="K11" s="307"/>
      <c r="L11" s="307"/>
      <c r="M11" s="307"/>
      <c r="N11" s="307"/>
      <c r="O11" s="6"/>
    </row>
    <row r="12" spans="2:16" ht="12.75" hidden="1" customHeight="1">
      <c r="B12" s="325">
        <v>2017</v>
      </c>
      <c r="C12" s="326"/>
      <c r="D12" s="9"/>
      <c r="E12" s="9"/>
      <c r="F12" s="9"/>
      <c r="G12" s="9"/>
      <c r="H12" s="14"/>
      <c r="I12" s="327">
        <v>19.31620866232479</v>
      </c>
      <c r="J12" s="328">
        <v>17.791194533013542</v>
      </c>
      <c r="K12" s="328">
        <v>17.268469123446863</v>
      </c>
      <c r="L12" s="329">
        <v>15.705729503975332</v>
      </c>
      <c r="M12" s="327">
        <v>16.344380395995614</v>
      </c>
      <c r="N12" s="328">
        <v>15.776810143191289</v>
      </c>
      <c r="O12" s="329">
        <v>30.287341815368581</v>
      </c>
    </row>
    <row r="13" spans="2:16" ht="12.75" customHeight="1">
      <c r="B13" s="16">
        <v>2018</v>
      </c>
      <c r="C13" s="330">
        <v>19.328404402545381</v>
      </c>
      <c r="D13" s="331">
        <v>19.31620866232479</v>
      </c>
      <c r="E13" s="331">
        <v>17.791194533013542</v>
      </c>
      <c r="F13" s="331">
        <v>17.268469123446863</v>
      </c>
      <c r="G13" s="331">
        <v>15.705729503975332</v>
      </c>
      <c r="H13" s="332">
        <v>16.344380395995614</v>
      </c>
      <c r="I13" s="333">
        <v>15.776810143191289</v>
      </c>
      <c r="J13" s="331">
        <v>30.287341815368581</v>
      </c>
      <c r="K13" s="331">
        <v>23.819629404025186</v>
      </c>
      <c r="L13" s="332">
        <v>17.992270151697788</v>
      </c>
      <c r="M13" s="333">
        <v>17.201277858650059</v>
      </c>
      <c r="N13" s="331">
        <v>17.233323635122122</v>
      </c>
      <c r="O13" s="332">
        <v>21.780237210464389</v>
      </c>
    </row>
    <row r="14" spans="2:16" ht="12.75" customHeight="1">
      <c r="B14" s="16">
        <f>B13+1</f>
        <v>2019</v>
      </c>
      <c r="C14" s="330">
        <v>17.836868198537246</v>
      </c>
      <c r="D14" s="331">
        <v>21.131367579805005</v>
      </c>
      <c r="E14" s="331">
        <v>18.419423607996858</v>
      </c>
      <c r="F14" s="331">
        <v>17.64388416626651</v>
      </c>
      <c r="G14" s="331">
        <v>15.25948875872653</v>
      </c>
      <c r="H14" s="332">
        <v>16.015840591182059</v>
      </c>
      <c r="I14" s="333">
        <v>15.319778509006793</v>
      </c>
      <c r="J14" s="331">
        <v>22.885582836739545</v>
      </c>
      <c r="K14" s="331">
        <v>21.221356124301646</v>
      </c>
      <c r="L14" s="332">
        <v>16.627277342959303</v>
      </c>
      <c r="M14" s="333">
        <v>16.535842187736172</v>
      </c>
      <c r="N14" s="331">
        <v>16.91635831639455</v>
      </c>
      <c r="O14" s="332">
        <v>16.179408137344918</v>
      </c>
    </row>
    <row r="15" spans="2:16" ht="12.75" customHeight="1">
      <c r="B15" s="16">
        <f t="shared" ref="B15:B32" si="0">B14+1</f>
        <v>2020</v>
      </c>
      <c r="C15" s="330">
        <v>11.708927859755347</v>
      </c>
      <c r="D15" s="331">
        <v>12.636038969700984</v>
      </c>
      <c r="E15" s="331">
        <v>13.690861305617487</v>
      </c>
      <c r="F15" s="331">
        <v>10.564444057684026</v>
      </c>
      <c r="G15" s="331">
        <v>11.123866902635674</v>
      </c>
      <c r="H15" s="332">
        <v>10.939227570424867</v>
      </c>
      <c r="I15" s="333">
        <v>10.933813695153596</v>
      </c>
      <c r="J15" s="331">
        <v>12.391920279631005</v>
      </c>
      <c r="K15" s="331">
        <v>12.930988528365379</v>
      </c>
      <c r="L15" s="332">
        <v>14.163317801240932</v>
      </c>
      <c r="M15" s="333">
        <v>11.22999153876267</v>
      </c>
      <c r="N15" s="331">
        <v>10.154013947445176</v>
      </c>
      <c r="O15" s="332">
        <v>8.0850121393265706</v>
      </c>
    </row>
    <row r="16" spans="2:16" ht="12.75" customHeight="1">
      <c r="B16" s="16">
        <f t="shared" si="0"/>
        <v>2021</v>
      </c>
      <c r="C16" s="330">
        <v>15.116799068385879</v>
      </c>
      <c r="D16" s="331">
        <v>21.748160481515104</v>
      </c>
      <c r="E16" s="331">
        <v>17.771957552892449</v>
      </c>
      <c r="F16" s="331">
        <v>20.664472797678496</v>
      </c>
      <c r="G16" s="331">
        <v>15.172096696235984</v>
      </c>
      <c r="H16" s="332">
        <v>12.093101116548697</v>
      </c>
      <c r="I16" s="333">
        <v>9.4607591786878196</v>
      </c>
      <c r="J16" s="331">
        <v>8.4905184817142096</v>
      </c>
      <c r="K16" s="331">
        <v>13.106180777669003</v>
      </c>
      <c r="L16" s="332">
        <v>19.830265120573927</v>
      </c>
      <c r="M16" s="333">
        <v>19.642189924152987</v>
      </c>
      <c r="N16" s="331">
        <v>15.75876406646589</v>
      </c>
      <c r="O16" s="332">
        <v>19.615084790677741</v>
      </c>
    </row>
    <row r="17" spans="2:15" ht="12.75" customHeight="1">
      <c r="B17" s="16">
        <f t="shared" si="0"/>
        <v>2022</v>
      </c>
      <c r="C17" s="330">
        <v>16.882103608656838</v>
      </c>
      <c r="D17" s="331">
        <v>23.427247097422065</v>
      </c>
      <c r="E17" s="331">
        <v>22.626038305023723</v>
      </c>
      <c r="F17" s="331">
        <v>20.894076540751229</v>
      </c>
      <c r="G17" s="331">
        <v>17.575438618370356</v>
      </c>
      <c r="H17" s="332">
        <v>12.609976193536239</v>
      </c>
      <c r="I17" s="333">
        <v>9.2529788684558945</v>
      </c>
      <c r="J17" s="331">
        <v>10.681229793690481</v>
      </c>
      <c r="K17" s="331">
        <v>15.39768564740047</v>
      </c>
      <c r="L17" s="332">
        <v>21.619502609293999</v>
      </c>
      <c r="M17" s="333">
        <v>21.995363249978631</v>
      </c>
      <c r="N17" s="331">
        <v>19.360646568285485</v>
      </c>
      <c r="O17" s="332">
        <v>22.228496418929961</v>
      </c>
    </row>
    <row r="18" spans="2:15" ht="12.75" customHeight="1">
      <c r="B18" s="16">
        <f t="shared" si="0"/>
        <v>2023</v>
      </c>
      <c r="C18" s="330">
        <v>17.891665537004105</v>
      </c>
      <c r="D18" s="331">
        <v>22.432376779932795</v>
      </c>
      <c r="E18" s="331">
        <v>22.238344542558178</v>
      </c>
      <c r="F18" s="331">
        <v>21.919493335102015</v>
      </c>
      <c r="G18" s="331">
        <v>16.80163534408312</v>
      </c>
      <c r="H18" s="332">
        <v>13.916412015239318</v>
      </c>
      <c r="I18" s="333">
        <v>11.578049453299373</v>
      </c>
      <c r="J18" s="331">
        <v>14.029118167111882</v>
      </c>
      <c r="K18" s="331">
        <v>17.0857369650208</v>
      </c>
      <c r="L18" s="332">
        <v>23.927126632178233</v>
      </c>
      <c r="M18" s="333">
        <v>22.01347932662291</v>
      </c>
      <c r="N18" s="331">
        <v>20.612251411911391</v>
      </c>
      <c r="O18" s="332">
        <v>17.454771550799034</v>
      </c>
    </row>
    <row r="19" spans="2:15" ht="12.75" customHeight="1">
      <c r="B19" s="16">
        <f t="shared" si="0"/>
        <v>2024</v>
      </c>
      <c r="C19" s="330">
        <v>19.629914892138697</v>
      </c>
      <c r="D19" s="331">
        <v>22.716344415852987</v>
      </c>
      <c r="E19" s="331">
        <v>25.759779456020716</v>
      </c>
      <c r="F19" s="331">
        <v>23.046027006635509</v>
      </c>
      <c r="G19" s="331">
        <v>21.321168414032481</v>
      </c>
      <c r="H19" s="332">
        <v>15.321660770989572</v>
      </c>
      <c r="I19" s="333">
        <v>12.797841845773288</v>
      </c>
      <c r="J19" s="331">
        <v>12.715381424162821</v>
      </c>
      <c r="K19" s="331">
        <v>19.281550650528047</v>
      </c>
      <c r="L19" s="332">
        <v>26.385480293584173</v>
      </c>
      <c r="M19" s="333">
        <v>24.019515173878847</v>
      </c>
      <c r="N19" s="331">
        <v>18.568076543343523</v>
      </c>
      <c r="O19" s="332">
        <v>24.933511641356318</v>
      </c>
    </row>
    <row r="20" spans="2:15" ht="12.75" customHeight="1">
      <c r="B20" s="16">
        <f t="shared" si="0"/>
        <v>2025</v>
      </c>
      <c r="C20" s="330">
        <v>20.972060649915147</v>
      </c>
      <c r="D20" s="331">
        <v>24.374717521347314</v>
      </c>
      <c r="E20" s="331">
        <v>27.012597408096269</v>
      </c>
      <c r="F20" s="331">
        <v>23.909781196356533</v>
      </c>
      <c r="G20" s="331">
        <v>24.083587465716803</v>
      </c>
      <c r="H20" s="332">
        <v>17.152933092852116</v>
      </c>
      <c r="I20" s="333">
        <v>15.131493830552849</v>
      </c>
      <c r="J20" s="331">
        <v>10.798948833631048</v>
      </c>
      <c r="K20" s="331">
        <v>18.755189312934274</v>
      </c>
      <c r="L20" s="332">
        <v>30.066669602982003</v>
      </c>
      <c r="M20" s="333">
        <v>25.128514537626845</v>
      </c>
      <c r="N20" s="331">
        <v>22.473517008554762</v>
      </c>
      <c r="O20" s="332">
        <v>24.933744068985501</v>
      </c>
    </row>
    <row r="21" spans="2:15" ht="12.75" customHeight="1">
      <c r="B21" s="16">
        <f t="shared" si="0"/>
        <v>2026</v>
      </c>
      <c r="C21" s="330">
        <v>21.810537296621376</v>
      </c>
      <c r="D21" s="331">
        <v>30.303424108497179</v>
      </c>
      <c r="E21" s="331">
        <v>27.519511727181019</v>
      </c>
      <c r="F21" s="331">
        <v>24.349608669709113</v>
      </c>
      <c r="G21" s="331">
        <v>26.154208883414675</v>
      </c>
      <c r="H21" s="332">
        <v>16.90401098826851</v>
      </c>
      <c r="I21" s="333">
        <v>15.548800076130224</v>
      </c>
      <c r="J21" s="331">
        <v>12.244435364829526</v>
      </c>
      <c r="K21" s="331">
        <v>19.918926405585427</v>
      </c>
      <c r="L21" s="332">
        <v>29.266931873147318</v>
      </c>
      <c r="M21" s="333">
        <v>25.629746425523212</v>
      </c>
      <c r="N21" s="331">
        <v>23.284462824839721</v>
      </c>
      <c r="O21" s="332">
        <v>24.325038757918456</v>
      </c>
    </row>
    <row r="22" spans="2:15" ht="12.75" customHeight="1">
      <c r="B22" s="16">
        <f t="shared" si="0"/>
        <v>2027</v>
      </c>
      <c r="C22" s="330">
        <v>23.5054813319224</v>
      </c>
      <c r="D22" s="331">
        <v>29.596607953864478</v>
      </c>
      <c r="E22" s="331">
        <v>27.302704802483543</v>
      </c>
      <c r="F22" s="331">
        <v>24.763401964001439</v>
      </c>
      <c r="G22" s="331">
        <v>25.903447907445369</v>
      </c>
      <c r="H22" s="332">
        <v>18.633839080367128</v>
      </c>
      <c r="I22" s="333">
        <v>17.570349223056848</v>
      </c>
      <c r="J22" s="331">
        <v>12.98852171698457</v>
      </c>
      <c r="K22" s="331">
        <v>22.665288298518938</v>
      </c>
      <c r="L22" s="332">
        <v>31.372667203628559</v>
      </c>
      <c r="M22" s="333">
        <v>32.220619309073065</v>
      </c>
      <c r="N22" s="331">
        <v>25.674755636026621</v>
      </c>
      <c r="O22" s="332">
        <v>26.205795854559415</v>
      </c>
    </row>
    <row r="23" spans="2:15" ht="12.75" customHeight="1">
      <c r="B23" s="16">
        <f t="shared" si="0"/>
        <v>2028</v>
      </c>
      <c r="C23" s="330">
        <v>23.684173674799933</v>
      </c>
      <c r="D23" s="331">
        <v>31.637974914954885</v>
      </c>
      <c r="E23" s="331">
        <v>27.825752266054678</v>
      </c>
      <c r="F23" s="331">
        <v>25.661635973171492</v>
      </c>
      <c r="G23" s="331">
        <v>25.487146667980049</v>
      </c>
      <c r="H23" s="332">
        <v>20.271427016167348</v>
      </c>
      <c r="I23" s="333">
        <v>18.50823651180081</v>
      </c>
      <c r="J23" s="331">
        <v>17.356631769947981</v>
      </c>
      <c r="K23" s="331">
        <v>21.526656102499157</v>
      </c>
      <c r="L23" s="332">
        <v>29.187904800565914</v>
      </c>
      <c r="M23" s="333">
        <v>29.945485149910759</v>
      </c>
      <c r="N23" s="331">
        <v>25.48979897583715</v>
      </c>
      <c r="O23" s="332">
        <v>20.175195073847771</v>
      </c>
    </row>
    <row r="24" spans="2:15" ht="12.75" customHeight="1">
      <c r="B24" s="16">
        <f t="shared" si="0"/>
        <v>2029</v>
      </c>
      <c r="C24" s="330">
        <v>24.874147416685805</v>
      </c>
      <c r="D24" s="331">
        <v>34.7978300059128</v>
      </c>
      <c r="E24" s="331">
        <v>30.470330218160296</v>
      </c>
      <c r="F24" s="331">
        <v>27.946746058101862</v>
      </c>
      <c r="G24" s="331">
        <v>28.617692862261361</v>
      </c>
      <c r="H24" s="332">
        <v>21.548731991774581</v>
      </c>
      <c r="I24" s="333">
        <v>19.269134700878865</v>
      </c>
      <c r="J24" s="331">
        <v>14.806033227426466</v>
      </c>
      <c r="K24" s="331">
        <v>17.731157083135734</v>
      </c>
      <c r="L24" s="332">
        <v>30.468868275552197</v>
      </c>
      <c r="M24" s="333">
        <v>29.556962860609094</v>
      </c>
      <c r="N24" s="331">
        <v>33.713386626177041</v>
      </c>
      <c r="O24" s="332">
        <v>28.487300427292485</v>
      </c>
    </row>
    <row r="25" spans="2:15" ht="12.75" customHeight="1">
      <c r="B25" s="16">
        <f t="shared" si="0"/>
        <v>2030</v>
      </c>
      <c r="C25" s="330">
        <v>24.966553165008687</v>
      </c>
      <c r="D25" s="331">
        <v>37.721298440634371</v>
      </c>
      <c r="E25" s="331">
        <v>28.742516090549657</v>
      </c>
      <c r="F25" s="331">
        <v>30.435672977764465</v>
      </c>
      <c r="G25" s="331">
        <v>28.92619370155775</v>
      </c>
      <c r="H25" s="332">
        <v>22.237441357139858</v>
      </c>
      <c r="I25" s="333">
        <v>20.256914542336702</v>
      </c>
      <c r="J25" s="331">
        <v>14.089417208104386</v>
      </c>
      <c r="K25" s="331">
        <v>17.360186120353095</v>
      </c>
      <c r="L25" s="332">
        <v>29.837454116065221</v>
      </c>
      <c r="M25" s="333">
        <v>31.976693644154384</v>
      </c>
      <c r="N25" s="331">
        <v>25.766877834024715</v>
      </c>
      <c r="O25" s="332">
        <v>28.849428178457398</v>
      </c>
    </row>
    <row r="26" spans="2:15" ht="12.75" customHeight="1">
      <c r="B26" s="16">
        <f t="shared" si="0"/>
        <v>2031</v>
      </c>
      <c r="C26" s="330">
        <v>26.431942911419686</v>
      </c>
      <c r="D26" s="331">
        <v>39.354829010575649</v>
      </c>
      <c r="E26" s="331">
        <v>31.038865364307089</v>
      </c>
      <c r="F26" s="331">
        <v>30.891491744387288</v>
      </c>
      <c r="G26" s="331">
        <v>30.413674747314325</v>
      </c>
      <c r="H26" s="332">
        <v>23.674385473673325</v>
      </c>
      <c r="I26" s="333">
        <v>21.954766271661203</v>
      </c>
      <c r="J26" s="331">
        <v>16.778651822680015</v>
      </c>
      <c r="K26" s="331">
        <v>15.031822450185793</v>
      </c>
      <c r="L26" s="332">
        <v>31.478670395431916</v>
      </c>
      <c r="M26" s="333">
        <v>32.198786086253158</v>
      </c>
      <c r="N26" s="331">
        <v>24.975819191653464</v>
      </c>
      <c r="O26" s="332">
        <v>42.270321877081152</v>
      </c>
    </row>
    <row r="27" spans="2:15" ht="12.75" customHeight="1">
      <c r="B27" s="16">
        <f t="shared" si="0"/>
        <v>2032</v>
      </c>
      <c r="C27" s="330">
        <v>27.159525529997719</v>
      </c>
      <c r="D27" s="331">
        <v>43.591155389072092</v>
      </c>
      <c r="E27" s="331">
        <v>32.07561135988513</v>
      </c>
      <c r="F27" s="331">
        <v>33.173078076286068</v>
      </c>
      <c r="G27" s="331">
        <v>32.878707392315654</v>
      </c>
      <c r="H27" s="332">
        <v>24.312113992835485</v>
      </c>
      <c r="I27" s="333">
        <v>22.691963750921545</v>
      </c>
      <c r="J27" s="331">
        <v>16.995376104207921</v>
      </c>
      <c r="K27" s="331">
        <v>14.964191862141643</v>
      </c>
      <c r="L27" s="332">
        <v>30.420394875698499</v>
      </c>
      <c r="M27" s="333">
        <v>33.498955800591538</v>
      </c>
      <c r="N27" s="331">
        <v>30.024256701330572</v>
      </c>
      <c r="O27" s="332">
        <v>31.965275862033931</v>
      </c>
    </row>
    <row r="28" spans="2:15" ht="12.75" customHeight="1">
      <c r="B28" s="16">
        <f t="shared" si="0"/>
        <v>2033</v>
      </c>
      <c r="C28" s="330">
        <v>28.99139328183227</v>
      </c>
      <c r="D28" s="331">
        <v>40.127479482503702</v>
      </c>
      <c r="E28" s="331">
        <v>33.228471145434568</v>
      </c>
      <c r="F28" s="331">
        <v>34.88210671093335</v>
      </c>
      <c r="G28" s="331">
        <v>34.053195792771184</v>
      </c>
      <c r="H28" s="332">
        <v>25.561780676059431</v>
      </c>
      <c r="I28" s="333">
        <v>24.685221202108579</v>
      </c>
      <c r="J28" s="331">
        <v>34.990382621642581</v>
      </c>
      <c r="K28" s="331">
        <v>12.685375460533871</v>
      </c>
      <c r="L28" s="332">
        <v>26.806761113179192</v>
      </c>
      <c r="M28" s="333">
        <v>30.076086096664021</v>
      </c>
      <c r="N28" s="331">
        <v>30.455724945214151</v>
      </c>
      <c r="O28" s="332">
        <v>36.759648830028446</v>
      </c>
    </row>
    <row r="29" spans="2:15" ht="12.75" customHeight="1">
      <c r="B29" s="16">
        <f t="shared" si="0"/>
        <v>2034</v>
      </c>
      <c r="C29" s="330">
        <v>30.600524165517911</v>
      </c>
      <c r="D29" s="331">
        <v>43.150850201814649</v>
      </c>
      <c r="E29" s="331">
        <v>32.651680523690416</v>
      </c>
      <c r="F29" s="331">
        <v>36.364358984073952</v>
      </c>
      <c r="G29" s="331">
        <v>33.92990804618988</v>
      </c>
      <c r="H29" s="332">
        <v>26.513944725190775</v>
      </c>
      <c r="I29" s="333">
        <v>24.799115987216204</v>
      </c>
      <c r="J29" s="331">
        <v>36.852440783058761</v>
      </c>
      <c r="K29" s="331">
        <v>13.942831090598355</v>
      </c>
      <c r="L29" s="332">
        <v>25.834763976938699</v>
      </c>
      <c r="M29" s="333">
        <v>36.249449303955949</v>
      </c>
      <c r="N29" s="331">
        <v>31.227431265259046</v>
      </c>
      <c r="O29" s="332">
        <v>49.031039759465045</v>
      </c>
    </row>
    <row r="30" spans="2:15" ht="12.75" customHeight="1">
      <c r="B30" s="16">
        <f t="shared" si="0"/>
        <v>2035</v>
      </c>
      <c r="C30" s="330">
        <v>-3.1392892651154436</v>
      </c>
      <c r="D30" s="331">
        <v>12.26433927230841</v>
      </c>
      <c r="E30" s="331">
        <v>5.4611116750452302</v>
      </c>
      <c r="F30" s="331">
        <v>8.2228240943993924</v>
      </c>
      <c r="G30" s="331">
        <v>5.7339625486292984</v>
      </c>
      <c r="H30" s="332">
        <v>-3.7447244880748314</v>
      </c>
      <c r="I30" s="333">
        <v>-9.1361309547006346</v>
      </c>
      <c r="J30" s="331">
        <v>-17.457931237091262</v>
      </c>
      <c r="K30" s="331">
        <v>-19.105408526035848</v>
      </c>
      <c r="L30" s="332">
        <v>-8.4854186891590793</v>
      </c>
      <c r="M30" s="333">
        <v>4.3178934304686818</v>
      </c>
      <c r="N30" s="331">
        <v>5.3861045124989673</v>
      </c>
      <c r="O30" s="332">
        <v>9.9264344115609653</v>
      </c>
    </row>
    <row r="31" spans="2:15" ht="12.75" customHeight="1">
      <c r="B31" s="16">
        <f t="shared" si="0"/>
        <v>2036</v>
      </c>
      <c r="C31" s="330">
        <v>0.33869566300271359</v>
      </c>
      <c r="D31" s="331">
        <v>0.32144660248988222</v>
      </c>
      <c r="E31" s="331">
        <v>0.26979684200788395</v>
      </c>
      <c r="F31" s="331">
        <v>0.25749537398032157</v>
      </c>
      <c r="G31" s="331">
        <v>0.2270550996208911</v>
      </c>
      <c r="H31" s="332">
        <v>0.25992740128545061</v>
      </c>
      <c r="I31" s="333">
        <v>0.2777313989533568</v>
      </c>
      <c r="J31" s="331">
        <v>0.44169025288236308</v>
      </c>
      <c r="K31" s="331">
        <v>0.50121332022218734</v>
      </c>
      <c r="L31" s="332">
        <v>0.42523598812507762</v>
      </c>
      <c r="M31" s="333">
        <v>0.34295763912968197</v>
      </c>
      <c r="N31" s="331">
        <v>0.32869945132592077</v>
      </c>
      <c r="O31" s="332">
        <v>0.38075006163071551</v>
      </c>
    </row>
    <row r="32" spans="2:15" ht="12.75" customHeight="1">
      <c r="B32" s="334">
        <f t="shared" si="0"/>
        <v>2037</v>
      </c>
      <c r="C32" s="335">
        <v>0</v>
      </c>
      <c r="D32" s="336">
        <v>0</v>
      </c>
      <c r="E32" s="336">
        <v>0</v>
      </c>
      <c r="F32" s="336">
        <v>0</v>
      </c>
      <c r="G32" s="336">
        <v>0</v>
      </c>
      <c r="H32" s="337">
        <v>0</v>
      </c>
      <c r="I32" s="338">
        <v>0</v>
      </c>
      <c r="J32" s="336">
        <v>0</v>
      </c>
      <c r="K32" s="336">
        <v>0</v>
      </c>
      <c r="L32" s="337">
        <v>0</v>
      </c>
      <c r="M32" s="338">
        <v>0</v>
      </c>
      <c r="N32" s="336">
        <v>0</v>
      </c>
      <c r="O32" s="337">
        <v>0</v>
      </c>
    </row>
    <row r="33" spans="2:16" ht="12.75" customHeight="1">
      <c r="D33" s="11"/>
      <c r="E33" s="11"/>
      <c r="F33" s="11"/>
      <c r="M33" s="339"/>
    </row>
    <row r="34" spans="2:16">
      <c r="B34" s="340"/>
      <c r="D34" s="341"/>
      <c r="E34" s="341"/>
      <c r="F34" s="341"/>
      <c r="G34" s="341"/>
      <c r="H34" s="341"/>
      <c r="I34" s="341"/>
      <c r="J34" s="341"/>
      <c r="K34" s="341"/>
      <c r="L34" s="341"/>
      <c r="M34" s="341"/>
      <c r="N34" s="341"/>
      <c r="O34" s="341"/>
      <c r="P34" s="341"/>
    </row>
    <row r="38" spans="2:16" hidden="1">
      <c r="C38" s="342"/>
      <c r="D38" s="4">
        <v>31</v>
      </c>
      <c r="E38" s="4">
        <v>28</v>
      </c>
      <c r="F38" s="4">
        <v>31</v>
      </c>
      <c r="G38" s="4">
        <v>30</v>
      </c>
      <c r="H38" s="4">
        <v>31</v>
      </c>
      <c r="I38" s="4">
        <v>30</v>
      </c>
      <c r="J38" s="4">
        <v>31</v>
      </c>
      <c r="K38" s="4">
        <v>31</v>
      </c>
      <c r="L38" s="4">
        <v>30</v>
      </c>
      <c r="M38" s="4">
        <v>31</v>
      </c>
      <c r="N38" s="4">
        <v>30</v>
      </c>
      <c r="O38" s="4">
        <v>31</v>
      </c>
    </row>
    <row r="39" spans="2:16">
      <c r="C39" s="342"/>
    </row>
    <row r="40" spans="2:16">
      <c r="C40" s="342"/>
    </row>
    <row r="41" spans="2:16">
      <c r="C41" s="342"/>
    </row>
  </sheetData>
  <conditionalFormatting sqref="C29:O31">
    <cfRule type="cellIs" dxfId="0" priority="1" stopIfTrue="1" operator="equal">
      <formula>#REF!</formula>
    </cfRule>
  </conditionalFormatting>
  <printOptions horizontalCentered="1"/>
  <pageMargins left="0.25" right="0.25" top="0.75" bottom="0.75" header="0.3" footer="0.3"/>
  <pageSetup scale="9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02"/>
  <sheetViews>
    <sheetView view="pageBreakPreview" zoomScale="60" zoomScaleNormal="100" workbookViewId="0">
      <selection activeCell="O35" sqref="O35"/>
    </sheetView>
  </sheetViews>
  <sheetFormatPr defaultColWidth="9.33203125" defaultRowHeight="12.75"/>
  <cols>
    <col min="1" max="1" width="1.5" style="188" customWidth="1"/>
    <col min="2" max="2" width="10.83203125" style="188" customWidth="1"/>
    <col min="3" max="3" width="14.1640625" style="188" customWidth="1"/>
    <col min="4" max="4" width="12.33203125" style="188" customWidth="1"/>
    <col min="5" max="5" width="9.1640625" style="188" customWidth="1"/>
    <col min="6" max="6" width="9.83203125" style="188" bestFit="1" customWidth="1"/>
    <col min="7" max="7" width="9.83203125" style="188" customWidth="1"/>
    <col min="8" max="8" width="10.5" style="188" customWidth="1"/>
    <col min="9" max="10" width="12.5" style="188" customWidth="1"/>
    <col min="11" max="11" width="11.6640625" style="188" customWidth="1"/>
    <col min="12" max="15" width="9.33203125" style="188"/>
    <col min="16" max="16" width="9.33203125" style="188" customWidth="1"/>
    <col min="17" max="16384" width="9.33203125" style="188"/>
  </cols>
  <sheetData>
    <row r="1" spans="2:18" ht="15.75">
      <c r="B1" s="186" t="s">
        <v>85</v>
      </c>
      <c r="C1" s="187"/>
      <c r="D1" s="187"/>
      <c r="E1" s="187"/>
      <c r="F1" s="187"/>
      <c r="G1" s="187"/>
      <c r="H1" s="187"/>
      <c r="I1" s="187"/>
      <c r="J1" s="187"/>
    </row>
    <row r="2" spans="2:18" ht="15.75">
      <c r="B2" s="186" t="s">
        <v>159</v>
      </c>
      <c r="C2" s="187"/>
      <c r="D2" s="187"/>
      <c r="E2" s="187"/>
      <c r="F2" s="187"/>
      <c r="G2" s="187"/>
      <c r="H2" s="187"/>
      <c r="I2" s="187"/>
      <c r="J2" s="187"/>
    </row>
    <row r="3" spans="2:18" ht="15.75">
      <c r="B3" s="186" t="str">
        <f>TEXT($C$63,"0%")&amp;" Capacity Factor"</f>
        <v>31% Capacity Factor</v>
      </c>
      <c r="C3" s="187"/>
      <c r="D3" s="187"/>
      <c r="E3" s="187"/>
      <c r="F3" s="187"/>
      <c r="G3" s="187"/>
      <c r="H3" s="187"/>
      <c r="I3" s="187"/>
      <c r="J3" s="187"/>
    </row>
    <row r="4" spans="2:18">
      <c r="B4" s="189"/>
      <c r="C4" s="189"/>
      <c r="D4" s="189"/>
      <c r="E4" s="189"/>
      <c r="F4" s="189"/>
      <c r="G4" s="189"/>
      <c r="H4" s="189"/>
      <c r="I4" s="190"/>
      <c r="J4" s="190"/>
      <c r="K4" s="190"/>
      <c r="P4" s="190"/>
    </row>
    <row r="5" spans="2:18" ht="51.75" customHeight="1">
      <c r="B5" s="191" t="s">
        <v>0</v>
      </c>
      <c r="C5" s="192" t="s">
        <v>10</v>
      </c>
      <c r="D5" s="192" t="s">
        <v>11</v>
      </c>
      <c r="E5" s="192" t="s">
        <v>12</v>
      </c>
      <c r="F5" s="192" t="s">
        <v>111</v>
      </c>
      <c r="G5" s="19" t="s">
        <v>13</v>
      </c>
      <c r="H5" s="192" t="s">
        <v>112</v>
      </c>
      <c r="I5" s="19" t="s">
        <v>73</v>
      </c>
      <c r="J5" s="19" t="s">
        <v>73</v>
      </c>
      <c r="K5" s="192" t="s">
        <v>113</v>
      </c>
      <c r="P5" s="252"/>
    </row>
    <row r="6" spans="2:18" ht="24" customHeight="1">
      <c r="B6" s="193"/>
      <c r="C6" s="194" t="s">
        <v>8</v>
      </c>
      <c r="D6" s="195" t="s">
        <v>9</v>
      </c>
      <c r="E6" s="195" t="s">
        <v>9</v>
      </c>
      <c r="F6" s="194" t="s">
        <v>39</v>
      </c>
      <c r="G6" s="22" t="s">
        <v>39</v>
      </c>
      <c r="H6" s="194" t="s">
        <v>39</v>
      </c>
      <c r="I6" s="194" t="s">
        <v>39</v>
      </c>
      <c r="J6" s="23" t="s">
        <v>9</v>
      </c>
      <c r="K6" s="194" t="s">
        <v>39</v>
      </c>
    </row>
    <row r="7" spans="2:18">
      <c r="C7" s="196" t="s">
        <v>1</v>
      </c>
      <c r="D7" s="196" t="s">
        <v>2</v>
      </c>
      <c r="E7" s="196" t="s">
        <v>3</v>
      </c>
      <c r="F7" s="196" t="s">
        <v>4</v>
      </c>
      <c r="G7" s="196" t="s">
        <v>5</v>
      </c>
      <c r="H7" s="196" t="s">
        <v>7</v>
      </c>
      <c r="I7" s="196" t="s">
        <v>28</v>
      </c>
      <c r="J7" s="196" t="s">
        <v>29</v>
      </c>
      <c r="K7" s="196" t="s">
        <v>29</v>
      </c>
    </row>
    <row r="8" spans="2:18" ht="6" customHeight="1">
      <c r="K8" s="190"/>
    </row>
    <row r="9" spans="2:18" ht="15.75">
      <c r="B9" s="60" t="str">
        <f>C52</f>
        <v>2017 IRP Utah Solar Resource - 31% Capacity Factor</v>
      </c>
      <c r="C9" s="190"/>
      <c r="E9" s="190"/>
      <c r="F9" s="190"/>
      <c r="G9" s="190"/>
      <c r="H9" s="190"/>
      <c r="I9" s="190"/>
      <c r="J9" s="190"/>
      <c r="K9" s="190"/>
    </row>
    <row r="10" spans="2:18">
      <c r="B10" s="197">
        <v>2016</v>
      </c>
      <c r="C10" s="198">
        <f>C55</f>
        <v>1822.4072122157659</v>
      </c>
      <c r="D10" s="199">
        <f>C10*$C$62</f>
        <v>140.61107266637151</v>
      </c>
      <c r="E10" s="199">
        <f>C56</f>
        <v>19.693557659779859</v>
      </c>
      <c r="F10" s="200">
        <f t="shared" ref="F10:F33" si="0">(D10+E10)/(8.76*$C$63)</f>
        <v>58.84120686185063</v>
      </c>
      <c r="G10" s="200">
        <f>C58</f>
        <v>0</v>
      </c>
      <c r="H10" s="199">
        <f>C59</f>
        <v>-2.446131410134015</v>
      </c>
      <c r="I10" s="201">
        <f t="shared" ref="I10:I36" si="1">F10+H10+G10</f>
        <v>56.395075451716615</v>
      </c>
      <c r="J10" s="201">
        <f>ROUND(I10*$C$63*8.76,2)</f>
        <v>153.63999999999999</v>
      </c>
      <c r="K10" s="199">
        <f>$C$57</f>
        <v>0.60299999999999998</v>
      </c>
      <c r="N10" s="202"/>
      <c r="P10" s="240"/>
    </row>
    <row r="11" spans="2:18">
      <c r="B11" s="197">
        <f t="shared" ref="B11:B36" si="2">B10+1</f>
        <v>2017</v>
      </c>
      <c r="C11" s="203"/>
      <c r="D11" s="199">
        <f>ROUND(D10*(1+$D66),2)</f>
        <v>143.41999999999999</v>
      </c>
      <c r="E11" s="199">
        <f>ROUND(E10*(1+$D66),2)</f>
        <v>20.09</v>
      </c>
      <c r="F11" s="200">
        <f t="shared" si="0"/>
        <v>60.017765640370584</v>
      </c>
      <c r="G11" s="199">
        <f>ROUND(G10*(1+$D66),2)</f>
        <v>0</v>
      </c>
      <c r="H11" s="199">
        <f>ROUND(H10*(1+$D66),2)</f>
        <v>-2.5</v>
      </c>
      <c r="I11" s="201">
        <f t="shared" si="1"/>
        <v>57.517765640370584</v>
      </c>
      <c r="J11" s="201">
        <f t="shared" ref="J11:J36" si="3">ROUND(I11*$C$63*8.76,2)</f>
        <v>156.69999999999999</v>
      </c>
      <c r="K11" s="199">
        <f t="shared" ref="K11:K19" si="4">ROUND(K10*(1+$D66),2)</f>
        <v>0.62</v>
      </c>
      <c r="N11" s="202"/>
      <c r="P11" s="240"/>
    </row>
    <row r="12" spans="2:18">
      <c r="B12" s="210">
        <f t="shared" si="2"/>
        <v>2018</v>
      </c>
      <c r="C12" s="211"/>
      <c r="D12" s="199">
        <f t="shared" ref="D12:G19" si="5">ROUND(D11*(1+$D67),2)</f>
        <v>146.13999999999999</v>
      </c>
      <c r="E12" s="199">
        <f t="shared" si="5"/>
        <v>20.47</v>
      </c>
      <c r="F12" s="201">
        <f t="shared" si="0"/>
        <v>61.155647564932679</v>
      </c>
      <c r="G12" s="199">
        <f t="shared" si="5"/>
        <v>0</v>
      </c>
      <c r="H12" s="212">
        <f t="shared" ref="H12" si="6">ROUND(H11*(1+$D67),2)</f>
        <v>-2.5499999999999998</v>
      </c>
      <c r="I12" s="201">
        <f t="shared" si="1"/>
        <v>58.605647564932681</v>
      </c>
      <c r="J12" s="201">
        <f t="shared" si="3"/>
        <v>159.66</v>
      </c>
      <c r="K12" s="199">
        <f t="shared" si="4"/>
        <v>0.63</v>
      </c>
      <c r="L12" s="190"/>
      <c r="N12" s="202"/>
      <c r="P12" s="240"/>
    </row>
    <row r="13" spans="2:18">
      <c r="B13" s="210">
        <f t="shared" si="2"/>
        <v>2019</v>
      </c>
      <c r="C13" s="211"/>
      <c r="D13" s="199">
        <f t="shared" si="5"/>
        <v>149.36000000000001</v>
      </c>
      <c r="E13" s="199">
        <f t="shared" si="5"/>
        <v>20.92</v>
      </c>
      <c r="F13" s="201">
        <f t="shared" si="0"/>
        <v>62.502752940140084</v>
      </c>
      <c r="G13" s="199">
        <f t="shared" si="5"/>
        <v>0</v>
      </c>
      <c r="H13" s="212">
        <f t="shared" ref="H13" si="7">ROUND(H12*(1+$D68),2)</f>
        <v>-2.61</v>
      </c>
      <c r="I13" s="201">
        <f t="shared" si="1"/>
        <v>59.892752940140085</v>
      </c>
      <c r="J13" s="201">
        <f t="shared" si="3"/>
        <v>163.16999999999999</v>
      </c>
      <c r="K13" s="199">
        <f t="shared" si="4"/>
        <v>0.64</v>
      </c>
      <c r="L13" s="190"/>
      <c r="N13" s="202"/>
      <c r="P13" s="240"/>
    </row>
    <row r="14" spans="2:18">
      <c r="B14" s="210">
        <f t="shared" si="2"/>
        <v>2020</v>
      </c>
      <c r="C14" s="211"/>
      <c r="D14" s="199">
        <f t="shared" si="5"/>
        <v>153.24</v>
      </c>
      <c r="E14" s="199">
        <f t="shared" si="5"/>
        <v>21.46</v>
      </c>
      <c r="F14" s="201">
        <f t="shared" si="0"/>
        <v>64.125152329354421</v>
      </c>
      <c r="G14" s="199">
        <f t="shared" si="5"/>
        <v>0</v>
      </c>
      <c r="H14" s="212">
        <f t="shared" ref="H14" si="8">ROUND(H13*(1+$D69),2)</f>
        <v>-2.68</v>
      </c>
      <c r="I14" s="201">
        <f t="shared" si="1"/>
        <v>61.445152329354421</v>
      </c>
      <c r="J14" s="201">
        <f t="shared" si="3"/>
        <v>167.4</v>
      </c>
      <c r="K14" s="199">
        <f t="shared" si="4"/>
        <v>0.66</v>
      </c>
      <c r="L14" s="190"/>
      <c r="N14" s="202"/>
      <c r="O14" s="207"/>
      <c r="P14" s="240"/>
      <c r="Q14" s="208"/>
      <c r="R14" s="209"/>
    </row>
    <row r="15" spans="2:18">
      <c r="B15" s="210">
        <f t="shared" si="2"/>
        <v>2021</v>
      </c>
      <c r="C15" s="211"/>
      <c r="D15" s="199">
        <f t="shared" si="5"/>
        <v>156.91999999999999</v>
      </c>
      <c r="E15" s="199">
        <f t="shared" si="5"/>
        <v>21.98</v>
      </c>
      <c r="F15" s="201">
        <f t="shared" si="0"/>
        <v>65.666798807793384</v>
      </c>
      <c r="G15" s="199">
        <f t="shared" si="5"/>
        <v>0</v>
      </c>
      <c r="H15" s="212">
        <f t="shared" ref="H15" si="9">ROUND(H14*(1+$D70),2)</f>
        <v>-2.74</v>
      </c>
      <c r="I15" s="201">
        <f t="shared" si="1"/>
        <v>62.926798807793382</v>
      </c>
      <c r="J15" s="201">
        <f t="shared" si="3"/>
        <v>171.44</v>
      </c>
      <c r="K15" s="199">
        <f t="shared" si="4"/>
        <v>0.68</v>
      </c>
      <c r="L15" s="190"/>
      <c r="N15" s="208"/>
      <c r="O15" s="208"/>
      <c r="P15" s="240"/>
      <c r="Q15" s="208"/>
      <c r="R15" s="209"/>
    </row>
    <row r="16" spans="2:18">
      <c r="B16" s="210">
        <f t="shared" si="2"/>
        <v>2022</v>
      </c>
      <c r="C16" s="211"/>
      <c r="D16" s="199">
        <f t="shared" si="5"/>
        <v>160.53</v>
      </c>
      <c r="E16" s="199">
        <f t="shared" si="5"/>
        <v>22.49</v>
      </c>
      <c r="F16" s="201">
        <f t="shared" si="0"/>
        <v>67.179080591404954</v>
      </c>
      <c r="G16" s="199">
        <f t="shared" si="5"/>
        <v>0</v>
      </c>
      <c r="H16" s="212">
        <f t="shared" ref="H16" si="10">ROUND(H15*(1+$D71),2)</f>
        <v>-2.8</v>
      </c>
      <c r="I16" s="201">
        <f t="shared" si="1"/>
        <v>64.379080591404957</v>
      </c>
      <c r="J16" s="201">
        <f t="shared" si="3"/>
        <v>175.39</v>
      </c>
      <c r="K16" s="199">
        <f t="shared" si="4"/>
        <v>0.7</v>
      </c>
      <c r="L16" s="190"/>
      <c r="N16" s="202"/>
      <c r="P16" s="240"/>
    </row>
    <row r="17" spans="2:17">
      <c r="B17" s="210">
        <f t="shared" si="2"/>
        <v>2023</v>
      </c>
      <c r="C17" s="211"/>
      <c r="D17" s="199">
        <f t="shared" si="5"/>
        <v>164.22</v>
      </c>
      <c r="E17" s="199">
        <f t="shared" si="5"/>
        <v>23.01</v>
      </c>
      <c r="F17" s="201">
        <f t="shared" si="0"/>
        <v>68.724397656697349</v>
      </c>
      <c r="G17" s="199">
        <f t="shared" si="5"/>
        <v>0</v>
      </c>
      <c r="H17" s="212">
        <f t="shared" ref="H17" si="11">ROUND(H16*(1+$D72),2)</f>
        <v>-2.86</v>
      </c>
      <c r="I17" s="201">
        <f t="shared" si="1"/>
        <v>65.864397656697349</v>
      </c>
      <c r="J17" s="201">
        <f t="shared" si="3"/>
        <v>179.44</v>
      </c>
      <c r="K17" s="199">
        <f t="shared" si="4"/>
        <v>0.72</v>
      </c>
      <c r="L17" s="190"/>
      <c r="N17" s="202"/>
      <c r="O17" s="207"/>
      <c r="P17" s="240"/>
    </row>
    <row r="18" spans="2:17">
      <c r="B18" s="210">
        <f t="shared" si="2"/>
        <v>2024</v>
      </c>
      <c r="C18" s="211"/>
      <c r="D18" s="199">
        <f t="shared" si="5"/>
        <v>168</v>
      </c>
      <c r="E18" s="199">
        <f t="shared" si="5"/>
        <v>23.54</v>
      </c>
      <c r="F18" s="201">
        <f t="shared" si="0"/>
        <v>70.306420590524013</v>
      </c>
      <c r="G18" s="199">
        <f t="shared" si="5"/>
        <v>0</v>
      </c>
      <c r="H18" s="212">
        <f t="shared" ref="H18" si="12">ROUND(H17*(1+$D73),2)</f>
        <v>-2.93</v>
      </c>
      <c r="I18" s="201">
        <f t="shared" si="1"/>
        <v>67.376420590524006</v>
      </c>
      <c r="J18" s="201">
        <f t="shared" si="3"/>
        <v>183.56</v>
      </c>
      <c r="K18" s="199">
        <f t="shared" si="4"/>
        <v>0.74</v>
      </c>
      <c r="L18" s="190"/>
      <c r="P18" s="240"/>
    </row>
    <row r="19" spans="2:17">
      <c r="B19" s="210">
        <f t="shared" si="2"/>
        <v>2025</v>
      </c>
      <c r="C19" s="211"/>
      <c r="D19" s="199">
        <f t="shared" si="5"/>
        <v>171.86</v>
      </c>
      <c r="E19" s="199">
        <f t="shared" si="5"/>
        <v>24.08</v>
      </c>
      <c r="F19" s="201">
        <f t="shared" si="0"/>
        <v>71.921478806031516</v>
      </c>
      <c r="G19" s="199">
        <f t="shared" si="5"/>
        <v>0</v>
      </c>
      <c r="H19" s="212">
        <f t="shared" ref="H19" si="13">ROUND(H18*(1+$D74),2)</f>
        <v>-3</v>
      </c>
      <c r="I19" s="201">
        <f t="shared" si="1"/>
        <v>68.921478806031516</v>
      </c>
      <c r="J19" s="201">
        <f t="shared" si="3"/>
        <v>187.77</v>
      </c>
      <c r="K19" s="199">
        <f t="shared" si="4"/>
        <v>0.76</v>
      </c>
      <c r="L19" s="190"/>
      <c r="P19" s="240"/>
    </row>
    <row r="20" spans="2:17">
      <c r="B20" s="210">
        <f t="shared" si="2"/>
        <v>2026</v>
      </c>
      <c r="C20" s="211"/>
      <c r="D20" s="199">
        <f>ROUND(D19*(1+$G66),2)</f>
        <v>175.81</v>
      </c>
      <c r="E20" s="199">
        <f>ROUND(E19*(1+$G66),2)</f>
        <v>24.63</v>
      </c>
      <c r="F20" s="201">
        <f t="shared" si="0"/>
        <v>73.57324289007326</v>
      </c>
      <c r="G20" s="199">
        <f>ROUND(G19*(1+$G66),2)</f>
        <v>0</v>
      </c>
      <c r="H20" s="212">
        <f>ROUND(H19*(1+$G66),2)</f>
        <v>-3.07</v>
      </c>
      <c r="I20" s="201">
        <f t="shared" si="1"/>
        <v>70.503242890073267</v>
      </c>
      <c r="J20" s="201">
        <f t="shared" si="3"/>
        <v>192.08</v>
      </c>
      <c r="K20" s="199">
        <f t="shared" ref="K20:K28" si="14">ROUND(K19*(1+$G66),2)</f>
        <v>0.78</v>
      </c>
      <c r="L20" s="190"/>
      <c r="P20" s="240"/>
      <c r="Q20" s="241"/>
    </row>
    <row r="21" spans="2:17">
      <c r="B21" s="210">
        <f t="shared" si="2"/>
        <v>2027</v>
      </c>
      <c r="C21" s="211"/>
      <c r="D21" s="199">
        <f t="shared" ref="D21:G28" si="15">ROUND(D20*(1+$G67),2)</f>
        <v>179.85</v>
      </c>
      <c r="E21" s="199">
        <f t="shared" si="15"/>
        <v>25.2</v>
      </c>
      <c r="F21" s="201">
        <f t="shared" si="0"/>
        <v>75.265383429502705</v>
      </c>
      <c r="G21" s="199">
        <f t="shared" si="15"/>
        <v>0</v>
      </c>
      <c r="H21" s="212">
        <f t="shared" ref="H21" si="16">ROUND(H20*(1+$G67),2)</f>
        <v>-3.14</v>
      </c>
      <c r="I21" s="201">
        <f t="shared" si="1"/>
        <v>72.125383429502705</v>
      </c>
      <c r="J21" s="201">
        <f t="shared" si="3"/>
        <v>196.5</v>
      </c>
      <c r="K21" s="199">
        <f t="shared" si="14"/>
        <v>0.8</v>
      </c>
      <c r="L21" s="190"/>
      <c r="P21" s="240"/>
    </row>
    <row r="22" spans="2:17">
      <c r="B22" s="210">
        <f t="shared" si="2"/>
        <v>2028</v>
      </c>
      <c r="C22" s="211"/>
      <c r="D22" s="199">
        <f t="shared" si="15"/>
        <v>183.99</v>
      </c>
      <c r="E22" s="199">
        <f t="shared" si="15"/>
        <v>25.78</v>
      </c>
      <c r="F22" s="201">
        <f t="shared" si="0"/>
        <v>76.997900424319852</v>
      </c>
      <c r="G22" s="199">
        <f t="shared" si="15"/>
        <v>0</v>
      </c>
      <c r="H22" s="212">
        <f t="shared" ref="H22" si="17">ROUND(H21*(1+$G68),2)</f>
        <v>-3.21</v>
      </c>
      <c r="I22" s="201">
        <f t="shared" si="1"/>
        <v>73.787900424319858</v>
      </c>
      <c r="J22" s="201">
        <f t="shared" si="3"/>
        <v>201.02</v>
      </c>
      <c r="K22" s="199">
        <f t="shared" si="14"/>
        <v>0.82</v>
      </c>
      <c r="L22" s="190"/>
      <c r="P22" s="240"/>
    </row>
    <row r="23" spans="2:17">
      <c r="B23" s="210">
        <f t="shared" si="2"/>
        <v>2029</v>
      </c>
      <c r="C23" s="211"/>
      <c r="D23" s="199">
        <f t="shared" si="15"/>
        <v>188.22</v>
      </c>
      <c r="E23" s="199">
        <f t="shared" si="15"/>
        <v>26.37</v>
      </c>
      <c r="F23" s="201">
        <f t="shared" si="0"/>
        <v>78.767123287671239</v>
      </c>
      <c r="G23" s="199">
        <f t="shared" si="15"/>
        <v>0</v>
      </c>
      <c r="H23" s="212">
        <f t="shared" ref="H23" si="18">ROUND(H22*(1+$G69),2)</f>
        <v>-3.28</v>
      </c>
      <c r="I23" s="201">
        <f t="shared" si="1"/>
        <v>75.487123287671238</v>
      </c>
      <c r="J23" s="201">
        <f t="shared" si="3"/>
        <v>205.65</v>
      </c>
      <c r="K23" s="199">
        <f t="shared" si="14"/>
        <v>0.84</v>
      </c>
      <c r="L23" s="190"/>
      <c r="P23" s="240"/>
    </row>
    <row r="24" spans="2:17">
      <c r="B24" s="210">
        <f t="shared" si="2"/>
        <v>2030</v>
      </c>
      <c r="C24" s="204"/>
      <c r="D24" s="205">
        <f t="shared" si="15"/>
        <v>192.55</v>
      </c>
      <c r="E24" s="205">
        <f t="shared" si="15"/>
        <v>26.98</v>
      </c>
      <c r="F24" s="206">
        <f t="shared" si="0"/>
        <v>80.580393193263745</v>
      </c>
      <c r="G24" s="205">
        <f t="shared" si="15"/>
        <v>0</v>
      </c>
      <c r="H24" s="205">
        <f t="shared" ref="H24" si="19">ROUND(H23*(1+$G70),2)</f>
        <v>-3.36</v>
      </c>
      <c r="I24" s="206">
        <f t="shared" si="1"/>
        <v>77.220393193263746</v>
      </c>
      <c r="J24" s="206">
        <f t="shared" si="3"/>
        <v>210.38</v>
      </c>
      <c r="K24" s="205">
        <f t="shared" si="14"/>
        <v>0.86</v>
      </c>
      <c r="L24" s="190"/>
      <c r="P24" s="240"/>
    </row>
    <row r="25" spans="2:17">
      <c r="B25" s="210">
        <f t="shared" si="2"/>
        <v>2031</v>
      </c>
      <c r="C25" s="211"/>
      <c r="D25" s="199">
        <f t="shared" si="15"/>
        <v>196.98</v>
      </c>
      <c r="E25" s="199">
        <f t="shared" si="15"/>
        <v>27.6</v>
      </c>
      <c r="F25" s="201">
        <f t="shared" si="0"/>
        <v>82.434039554243924</v>
      </c>
      <c r="G25" s="199">
        <f t="shared" si="15"/>
        <v>0</v>
      </c>
      <c r="H25" s="212">
        <f t="shared" ref="H25" si="20">ROUND(H24*(1+$G71),2)</f>
        <v>-3.44</v>
      </c>
      <c r="I25" s="201">
        <f t="shared" si="1"/>
        <v>78.994039554243926</v>
      </c>
      <c r="J25" s="201">
        <f t="shared" si="3"/>
        <v>215.21</v>
      </c>
      <c r="K25" s="199">
        <f t="shared" si="14"/>
        <v>0.88</v>
      </c>
      <c r="L25" s="190"/>
      <c r="P25" s="240"/>
    </row>
    <row r="26" spans="2:17">
      <c r="B26" s="210">
        <f t="shared" si="2"/>
        <v>2032</v>
      </c>
      <c r="C26" s="211"/>
      <c r="D26" s="199">
        <f t="shared" si="15"/>
        <v>201.31</v>
      </c>
      <c r="E26" s="199">
        <f t="shared" si="15"/>
        <v>28.21</v>
      </c>
      <c r="F26" s="201">
        <f t="shared" si="0"/>
        <v>84.247309459836444</v>
      </c>
      <c r="G26" s="199">
        <f t="shared" si="15"/>
        <v>0</v>
      </c>
      <c r="H26" s="212">
        <f t="shared" ref="H26" si="21">ROUND(H25*(1+$G72),2)</f>
        <v>-3.52</v>
      </c>
      <c r="I26" s="201">
        <f t="shared" si="1"/>
        <v>80.727309459836448</v>
      </c>
      <c r="J26" s="201">
        <f t="shared" si="3"/>
        <v>219.93</v>
      </c>
      <c r="K26" s="199">
        <f t="shared" si="14"/>
        <v>0.9</v>
      </c>
      <c r="L26" s="190"/>
      <c r="P26" s="240"/>
    </row>
    <row r="27" spans="2:17">
      <c r="B27" s="210">
        <f t="shared" si="2"/>
        <v>2033</v>
      </c>
      <c r="C27" s="211"/>
      <c r="D27" s="199">
        <f t="shared" si="15"/>
        <v>205.74</v>
      </c>
      <c r="E27" s="199">
        <f t="shared" si="15"/>
        <v>28.83</v>
      </c>
      <c r="F27" s="201">
        <f t="shared" si="0"/>
        <v>86.100955820816637</v>
      </c>
      <c r="G27" s="199">
        <f t="shared" si="15"/>
        <v>0</v>
      </c>
      <c r="H27" s="212">
        <f t="shared" ref="H27" si="22">ROUND(H26*(1+$G73),2)</f>
        <v>-3.6</v>
      </c>
      <c r="I27" s="201">
        <f t="shared" si="1"/>
        <v>82.500955820816642</v>
      </c>
      <c r="J27" s="201">
        <f t="shared" si="3"/>
        <v>224.76</v>
      </c>
      <c r="K27" s="199">
        <f t="shared" si="14"/>
        <v>0.92</v>
      </c>
      <c r="L27" s="190"/>
      <c r="P27" s="240"/>
    </row>
    <row r="28" spans="2:17">
      <c r="B28" s="210">
        <f t="shared" si="2"/>
        <v>2034</v>
      </c>
      <c r="C28" s="211"/>
      <c r="D28" s="199">
        <f t="shared" si="15"/>
        <v>210.47</v>
      </c>
      <c r="E28" s="199">
        <f t="shared" si="15"/>
        <v>29.49</v>
      </c>
      <c r="F28" s="201">
        <f t="shared" si="0"/>
        <v>88.079402134813321</v>
      </c>
      <c r="G28" s="199">
        <f t="shared" si="15"/>
        <v>0</v>
      </c>
      <c r="H28" s="212">
        <f t="shared" ref="H28" si="23">ROUND(H27*(1+$G74),2)</f>
        <v>-3.68</v>
      </c>
      <c r="I28" s="201">
        <f t="shared" si="1"/>
        <v>84.399402134813315</v>
      </c>
      <c r="J28" s="201">
        <f t="shared" si="3"/>
        <v>229.93</v>
      </c>
      <c r="K28" s="199">
        <f t="shared" si="14"/>
        <v>0.94</v>
      </c>
      <c r="L28" s="190"/>
      <c r="P28" s="240"/>
    </row>
    <row r="29" spans="2:17">
      <c r="B29" s="210">
        <f t="shared" si="2"/>
        <v>2035</v>
      </c>
      <c r="C29" s="211"/>
      <c r="D29" s="199">
        <f t="shared" ref="D29:E36" si="24">ROUND(D28*(1+$K66),2)</f>
        <v>215.31</v>
      </c>
      <c r="E29" s="199">
        <f t="shared" si="24"/>
        <v>30.17</v>
      </c>
      <c r="F29" s="201">
        <f t="shared" si="0"/>
        <v>90.105566077904541</v>
      </c>
      <c r="G29" s="199">
        <f t="shared" ref="G29:H36" si="25">ROUND(G28*(1+$K66),2)</f>
        <v>0</v>
      </c>
      <c r="H29" s="212">
        <f t="shared" si="25"/>
        <v>-3.76</v>
      </c>
      <c r="I29" s="201">
        <f t="shared" si="1"/>
        <v>86.345566077904536</v>
      </c>
      <c r="J29" s="201">
        <f t="shared" si="3"/>
        <v>235.24</v>
      </c>
      <c r="K29" s="199">
        <f t="shared" ref="K29:K36" si="26">ROUND(K28*(1+$K66),2)</f>
        <v>0.96</v>
      </c>
      <c r="L29" s="190"/>
      <c r="P29" s="240"/>
    </row>
    <row r="30" spans="2:17">
      <c r="B30" s="210">
        <f t="shared" si="2"/>
        <v>2036</v>
      </c>
      <c r="C30" s="211"/>
      <c r="D30" s="199">
        <f t="shared" si="24"/>
        <v>220.26</v>
      </c>
      <c r="E30" s="199">
        <f t="shared" si="24"/>
        <v>30.86</v>
      </c>
      <c r="F30" s="201">
        <f t="shared" si="0"/>
        <v>92.175777063236879</v>
      </c>
      <c r="G30" s="199">
        <f t="shared" si="25"/>
        <v>0</v>
      </c>
      <c r="H30" s="212">
        <f t="shared" si="25"/>
        <v>-3.85</v>
      </c>
      <c r="I30" s="201">
        <f t="shared" si="1"/>
        <v>88.325777063236885</v>
      </c>
      <c r="J30" s="201">
        <f t="shared" si="3"/>
        <v>240.63</v>
      </c>
      <c r="K30" s="199">
        <f t="shared" si="26"/>
        <v>0.98</v>
      </c>
      <c r="L30" s="190"/>
      <c r="P30" s="240"/>
    </row>
    <row r="31" spans="2:17">
      <c r="B31" s="210">
        <f t="shared" si="2"/>
        <v>2037</v>
      </c>
      <c r="C31" s="211"/>
      <c r="D31" s="199">
        <f t="shared" si="24"/>
        <v>225.11</v>
      </c>
      <c r="E31" s="199">
        <f t="shared" si="24"/>
        <v>31.54</v>
      </c>
      <c r="F31" s="201">
        <f t="shared" si="0"/>
        <v>94.20561159318153</v>
      </c>
      <c r="G31" s="199">
        <f t="shared" si="25"/>
        <v>0</v>
      </c>
      <c r="H31" s="212">
        <f t="shared" si="25"/>
        <v>-3.93</v>
      </c>
      <c r="I31" s="201">
        <f t="shared" si="1"/>
        <v>90.275611593181523</v>
      </c>
      <c r="J31" s="201">
        <f t="shared" si="3"/>
        <v>245.94</v>
      </c>
      <c r="K31" s="199">
        <f t="shared" si="26"/>
        <v>1</v>
      </c>
      <c r="L31" s="190"/>
      <c r="P31" s="240"/>
    </row>
    <row r="32" spans="2:17">
      <c r="B32" s="210">
        <f t="shared" si="2"/>
        <v>2038</v>
      </c>
      <c r="C32" s="211"/>
      <c r="D32" s="199">
        <f t="shared" si="24"/>
        <v>230.06</v>
      </c>
      <c r="E32" s="199">
        <f t="shared" si="24"/>
        <v>32.229999999999997</v>
      </c>
      <c r="F32" s="201">
        <f t="shared" si="0"/>
        <v>96.275822578513868</v>
      </c>
      <c r="G32" s="199">
        <f t="shared" si="25"/>
        <v>0</v>
      </c>
      <c r="H32" s="212">
        <f t="shared" si="25"/>
        <v>-4.0199999999999996</v>
      </c>
      <c r="I32" s="201">
        <f t="shared" si="1"/>
        <v>92.255822578513872</v>
      </c>
      <c r="J32" s="201">
        <f t="shared" si="3"/>
        <v>251.34</v>
      </c>
      <c r="K32" s="199">
        <f t="shared" si="26"/>
        <v>1.02</v>
      </c>
      <c r="L32" s="190"/>
      <c r="P32" s="240"/>
    </row>
    <row r="33" spans="2:16">
      <c r="B33" s="210">
        <f t="shared" si="2"/>
        <v>2039</v>
      </c>
      <c r="C33" s="211"/>
      <c r="D33" s="199">
        <f t="shared" si="24"/>
        <v>235.12</v>
      </c>
      <c r="E33" s="199">
        <f t="shared" si="24"/>
        <v>32.94</v>
      </c>
      <c r="F33" s="201">
        <f t="shared" si="0"/>
        <v>98.393751192940726</v>
      </c>
      <c r="G33" s="199">
        <f t="shared" si="25"/>
        <v>0</v>
      </c>
      <c r="H33" s="212">
        <f t="shared" si="25"/>
        <v>-4.1100000000000003</v>
      </c>
      <c r="I33" s="201">
        <f t="shared" si="1"/>
        <v>94.283751192940727</v>
      </c>
      <c r="J33" s="201">
        <f t="shared" si="3"/>
        <v>256.86</v>
      </c>
      <c r="K33" s="199">
        <f t="shared" si="26"/>
        <v>1.04</v>
      </c>
      <c r="L33" s="190"/>
      <c r="P33" s="240"/>
    </row>
    <row r="34" spans="2:16">
      <c r="B34" s="210">
        <f t="shared" si="2"/>
        <v>2040</v>
      </c>
      <c r="C34" s="211"/>
      <c r="D34" s="199">
        <f t="shared" si="24"/>
        <v>240.29</v>
      </c>
      <c r="E34" s="199">
        <f t="shared" si="24"/>
        <v>33.659999999999997</v>
      </c>
      <c r="F34" s="201">
        <f t="shared" ref="F34:F36" si="27">(D34+E34)/(8.76*$C$63)</f>
        <v>100.55572684960872</v>
      </c>
      <c r="G34" s="199">
        <f t="shared" si="25"/>
        <v>0</v>
      </c>
      <c r="H34" s="212">
        <f t="shared" si="25"/>
        <v>-4.2</v>
      </c>
      <c r="I34" s="201">
        <f t="shared" si="1"/>
        <v>96.355726849608715</v>
      </c>
      <c r="J34" s="201">
        <f t="shared" si="3"/>
        <v>262.51</v>
      </c>
      <c r="K34" s="199">
        <f t="shared" si="26"/>
        <v>1.06</v>
      </c>
      <c r="L34" s="190"/>
      <c r="P34" s="240"/>
    </row>
    <row r="35" spans="2:16">
      <c r="B35" s="210">
        <f t="shared" si="2"/>
        <v>2041</v>
      </c>
      <c r="C35" s="211"/>
      <c r="D35" s="199">
        <f t="shared" si="24"/>
        <v>245.58</v>
      </c>
      <c r="E35" s="199">
        <f t="shared" si="24"/>
        <v>34.4</v>
      </c>
      <c r="F35" s="201">
        <f t="shared" si="27"/>
        <v>102.76909072222468</v>
      </c>
      <c r="G35" s="199">
        <f t="shared" si="25"/>
        <v>0</v>
      </c>
      <c r="H35" s="212">
        <f t="shared" si="25"/>
        <v>-4.29</v>
      </c>
      <c r="I35" s="201">
        <f t="shared" si="1"/>
        <v>98.479090722224669</v>
      </c>
      <c r="J35" s="201">
        <f t="shared" si="3"/>
        <v>268.29000000000002</v>
      </c>
      <c r="K35" s="199">
        <f t="shared" si="26"/>
        <v>1.08</v>
      </c>
      <c r="L35" s="190"/>
      <c r="P35" s="240"/>
    </row>
    <row r="36" spans="2:16">
      <c r="B36" s="210">
        <f t="shared" si="2"/>
        <v>2042</v>
      </c>
      <c r="C36" s="211"/>
      <c r="D36" s="199">
        <f t="shared" si="24"/>
        <v>250.98</v>
      </c>
      <c r="E36" s="199">
        <f t="shared" si="24"/>
        <v>35.159999999999997</v>
      </c>
      <c r="F36" s="201">
        <f t="shared" si="27"/>
        <v>105.03017222393517</v>
      </c>
      <c r="G36" s="199">
        <f t="shared" si="25"/>
        <v>0</v>
      </c>
      <c r="H36" s="212">
        <f t="shared" si="25"/>
        <v>-4.38</v>
      </c>
      <c r="I36" s="201">
        <f t="shared" si="1"/>
        <v>100.65017222393517</v>
      </c>
      <c r="J36" s="201">
        <f t="shared" si="3"/>
        <v>274.20999999999998</v>
      </c>
      <c r="K36" s="199">
        <f t="shared" si="26"/>
        <v>1.1000000000000001</v>
      </c>
      <c r="L36" s="190"/>
      <c r="P36" s="240"/>
    </row>
    <row r="37" spans="2:16">
      <c r="B37" s="210"/>
      <c r="C37" s="203"/>
      <c r="D37" s="199"/>
      <c r="E37" s="199"/>
      <c r="F37" s="200"/>
      <c r="G37" s="199"/>
      <c r="H37" s="199"/>
      <c r="I37" s="201"/>
      <c r="J37" s="201"/>
      <c r="K37" s="213"/>
    </row>
    <row r="38" spans="2:16" hidden="1">
      <c r="B38" s="197"/>
      <c r="C38" s="203"/>
      <c r="D38" s="199"/>
      <c r="E38" s="199"/>
      <c r="F38" s="200"/>
      <c r="G38" s="199"/>
      <c r="H38" s="199"/>
      <c r="I38" s="201"/>
      <c r="J38" s="201"/>
      <c r="K38" s="213"/>
    </row>
    <row r="39" spans="2:16" hidden="1">
      <c r="B39" s="197"/>
      <c r="C39" s="203"/>
      <c r="D39" s="199"/>
      <c r="E39" s="199"/>
      <c r="F39" s="200"/>
      <c r="G39" s="199"/>
      <c r="H39" s="199"/>
      <c r="I39" s="201"/>
      <c r="J39" s="201"/>
      <c r="K39" s="213"/>
    </row>
    <row r="40" spans="2:16" hidden="1">
      <c r="B40" s="197"/>
      <c r="C40" s="203"/>
      <c r="D40" s="199"/>
      <c r="E40" s="199"/>
      <c r="F40" s="200"/>
      <c r="G40" s="199"/>
      <c r="H40" s="199"/>
      <c r="I40" s="201"/>
      <c r="J40" s="201"/>
      <c r="K40" s="213"/>
    </row>
    <row r="42" spans="2:16" ht="14.25">
      <c r="B42" s="214" t="s">
        <v>31</v>
      </c>
      <c r="C42" s="215"/>
      <c r="D42" s="215"/>
      <c r="E42" s="215"/>
      <c r="F42" s="215"/>
      <c r="G42" s="215"/>
      <c r="H42" s="215"/>
    </row>
    <row r="44" spans="2:16">
      <c r="B44" s="188" t="s">
        <v>114</v>
      </c>
      <c r="C44" s="216" t="s">
        <v>115</v>
      </c>
      <c r="D44" s="217" t="str">
        <f>'Table 3 200 MW (Wyo) 2033'!E68</f>
        <v xml:space="preserve">Plant Costs  - 2017 IRP - Table 6.1 &amp; 6.2 </v>
      </c>
    </row>
    <row r="45" spans="2:16">
      <c r="C45" s="216" t="str">
        <f>C7</f>
        <v>(a)</v>
      </c>
      <c r="D45" s="188" t="s">
        <v>116</v>
      </c>
    </row>
    <row r="46" spans="2:16">
      <c r="C46" s="216" t="str">
        <f>D7</f>
        <v>(b)</v>
      </c>
      <c r="D46" s="201" t="str">
        <f>"= "&amp;C7&amp;" x "&amp;C62</f>
        <v>= (a) x 0.0771567801772526</v>
      </c>
    </row>
    <row r="47" spans="2:16">
      <c r="C47" s="216" t="str">
        <f>F7</f>
        <v>(d)</v>
      </c>
      <c r="D47" s="201" t="str">
        <f>"= ("&amp;$D$7&amp;" + "&amp;$E$7&amp;") /  (8.76 x "&amp;TEXT(C63,"0.0%")&amp;")"</f>
        <v>= ((b) + (c)) /  (8.76 x 31.1%)</v>
      </c>
    </row>
    <row r="48" spans="2:16">
      <c r="C48" s="216" t="str">
        <f>I7</f>
        <v>(g)</v>
      </c>
      <c r="D48" s="201" t="str">
        <f>"= "&amp;$F$7&amp;" + "&amp;$H$7</f>
        <v>= (d) + (f)</v>
      </c>
    </row>
    <row r="49" spans="2:24">
      <c r="C49" s="216" t="str">
        <f>K7</f>
        <v>(h)</v>
      </c>
      <c r="D49" s="104" t="str">
        <f>D44</f>
        <v xml:space="preserve">Plant Costs  - 2017 IRP - Table 6.1 &amp; 6.2 </v>
      </c>
    </row>
    <row r="50" spans="2:24">
      <c r="C50" s="216"/>
      <c r="D50" s="201"/>
    </row>
    <row r="51" spans="2:24" ht="13.5" thickBot="1"/>
    <row r="52" spans="2:24" ht="13.5" thickBot="1">
      <c r="C52" s="58" t="str">
        <f>B2&amp;" - "&amp;B3</f>
        <v>2017 IRP Utah Solar Resource - 31% Capacity Factor</v>
      </c>
      <c r="D52" s="218"/>
      <c r="E52" s="218"/>
      <c r="F52" s="218"/>
      <c r="G52" s="218"/>
      <c r="H52" s="218"/>
      <c r="I52" s="219"/>
      <c r="J52" s="219"/>
      <c r="K52" s="220"/>
    </row>
    <row r="53" spans="2:24" ht="13.5" thickBot="1">
      <c r="C53" s="221" t="s">
        <v>117</v>
      </c>
      <c r="D53" s="222" t="s">
        <v>118</v>
      </c>
      <c r="E53" s="222"/>
      <c r="F53" s="222"/>
      <c r="G53" s="222"/>
      <c r="H53" s="223"/>
      <c r="I53" s="219"/>
      <c r="J53" s="219"/>
      <c r="K53" s="220"/>
    </row>
    <row r="55" spans="2:24">
      <c r="B55" s="104" t="s">
        <v>105</v>
      </c>
      <c r="C55" s="224">
        <v>1822.4072122157659</v>
      </c>
      <c r="D55" s="188" t="s">
        <v>116</v>
      </c>
      <c r="H55" s="188" t="s">
        <v>9</v>
      </c>
    </row>
    <row r="56" spans="2:24">
      <c r="B56" s="104" t="s">
        <v>105</v>
      </c>
      <c r="C56" s="225">
        <v>19.693557659779859</v>
      </c>
      <c r="D56" s="188" t="s">
        <v>119</v>
      </c>
      <c r="H56" s="188" t="s">
        <v>9</v>
      </c>
    </row>
    <row r="57" spans="2:24">
      <c r="B57" s="104" t="s">
        <v>105</v>
      </c>
      <c r="C57" s="230">
        <v>0.60299999999999998</v>
      </c>
      <c r="D57" s="188" t="s">
        <v>124</v>
      </c>
      <c r="H57" s="188" t="s">
        <v>121</v>
      </c>
    </row>
    <row r="58" spans="2:24">
      <c r="B58" s="104" t="s">
        <v>105</v>
      </c>
      <c r="C58" s="225">
        <v>0</v>
      </c>
      <c r="D58" s="188" t="s">
        <v>120</v>
      </c>
      <c r="H58" s="188" t="s">
        <v>121</v>
      </c>
      <c r="K58" s="190"/>
      <c r="L58" s="226"/>
      <c r="M58" s="69"/>
      <c r="N58" s="227" t="s">
        <v>128</v>
      </c>
      <c r="O58" s="69" t="s">
        <v>127</v>
      </c>
      <c r="P58" s="229" t="s">
        <v>129</v>
      </c>
      <c r="Q58" s="69"/>
      <c r="S58" s="190"/>
      <c r="T58" s="190"/>
      <c r="U58" s="190"/>
      <c r="V58" s="190"/>
      <c r="W58" s="190"/>
      <c r="X58" s="190"/>
    </row>
    <row r="59" spans="2:24">
      <c r="B59" s="104" t="s">
        <v>105</v>
      </c>
      <c r="C59" s="238">
        <f>P63</f>
        <v>-2.446131410134015</v>
      </c>
      <c r="D59" s="188" t="s">
        <v>122</v>
      </c>
      <c r="H59" s="188" t="s">
        <v>121</v>
      </c>
      <c r="K59" s="228"/>
      <c r="L59" s="228"/>
      <c r="M59" s="229"/>
      <c r="N59" s="228">
        <f>C55</f>
        <v>1822.4072122157659</v>
      </c>
      <c r="O59" s="248">
        <v>6.910504691716815E-2</v>
      </c>
      <c r="P59" s="242">
        <f>O59*N59/8760/$C$63*1000-O60*N60/8760/$C$63*1000</f>
        <v>-5.386049113925985</v>
      </c>
      <c r="Q59" s="249"/>
      <c r="R59" s="230"/>
      <c r="S59" s="190"/>
      <c r="T59" s="190"/>
      <c r="U59" s="190"/>
      <c r="V59" s="190"/>
      <c r="W59" s="190"/>
      <c r="X59" s="190"/>
    </row>
    <row r="60" spans="2:24">
      <c r="K60" s="228"/>
      <c r="L60" s="228"/>
      <c r="M60" s="228"/>
      <c r="N60" s="228">
        <f>N59</f>
        <v>1822.4072122157659</v>
      </c>
      <c r="O60" s="248">
        <v>7.7156780177252568E-2</v>
      </c>
      <c r="P60" s="190"/>
      <c r="Q60" s="249"/>
      <c r="R60" s="190"/>
      <c r="S60" s="190"/>
      <c r="T60" s="190"/>
      <c r="U60" s="190"/>
      <c r="V60" s="190"/>
      <c r="W60" s="190"/>
      <c r="X60" s="190"/>
    </row>
    <row r="61" spans="2:24">
      <c r="C61" s="232"/>
      <c r="K61" s="228"/>
      <c r="L61" s="228"/>
      <c r="M61" s="228"/>
      <c r="N61" s="235"/>
      <c r="O61" s="235"/>
      <c r="S61" s="190"/>
      <c r="T61" s="190"/>
      <c r="U61" s="190"/>
      <c r="V61" s="190"/>
      <c r="W61" s="190"/>
      <c r="X61" s="190"/>
    </row>
    <row r="62" spans="2:24">
      <c r="C62" s="233">
        <v>7.7156780177252568E-2</v>
      </c>
      <c r="D62" s="188" t="s">
        <v>54</v>
      </c>
      <c r="K62" s="234"/>
      <c r="L62" s="235"/>
      <c r="M62" s="235"/>
      <c r="N62" s="227" t="s">
        <v>128</v>
      </c>
      <c r="O62" s="69" t="s">
        <v>127</v>
      </c>
      <c r="P62" s="229" t="s">
        <v>130</v>
      </c>
    </row>
    <row r="63" spans="2:24">
      <c r="C63" s="239">
        <v>0.311</v>
      </c>
      <c r="D63" s="188" t="s">
        <v>55</v>
      </c>
      <c r="N63" s="228">
        <f>N59</f>
        <v>1822.4072122157659</v>
      </c>
      <c r="O63" s="250">
        <v>7.3499999999999996E-2</v>
      </c>
      <c r="P63" s="242">
        <f>O63*N63/8760/$C$63*1000-O64*N64/8760/$C$63*1000</f>
        <v>-2.446131410134015</v>
      </c>
      <c r="R63" s="251" t="s">
        <v>131</v>
      </c>
    </row>
    <row r="64" spans="2:24" ht="13.5" thickBot="1">
      <c r="D64" s="231"/>
      <c r="N64" s="228">
        <f>N59</f>
        <v>1822.4072122157659</v>
      </c>
      <c r="O64" s="248">
        <v>7.7156780177252568E-2</v>
      </c>
      <c r="P64" s="190"/>
    </row>
    <row r="65" spans="3:11" ht="13.5" thickBot="1">
      <c r="C65" s="54" t="str">
        <f>"Company Official Inflation Forecast Dated "&amp;TEXT('Table 4'!$G$5,"mmmm dd, yyyy")</f>
        <v>Company Official Inflation Forecast Dated December 29, 2017</v>
      </c>
      <c r="D65" s="218"/>
      <c r="E65" s="218"/>
      <c r="F65" s="218"/>
      <c r="G65" s="218"/>
      <c r="H65" s="218"/>
      <c r="I65" s="218"/>
      <c r="J65" s="218"/>
      <c r="K65" s="220"/>
    </row>
    <row r="66" spans="3:11">
      <c r="C66" s="129">
        <v>2017</v>
      </c>
      <c r="D66" s="57">
        <v>0.02</v>
      </c>
      <c r="E66" s="104"/>
      <c r="F66" s="129">
        <f>C74+1</f>
        <v>2026</v>
      </c>
      <c r="G66" s="57">
        <v>2.3E-2</v>
      </c>
      <c r="H66" s="104"/>
      <c r="I66" s="129">
        <f>F74+1</f>
        <v>2035</v>
      </c>
      <c r="J66" s="129"/>
      <c r="K66" s="57">
        <v>2.3E-2</v>
      </c>
    </row>
    <row r="67" spans="3:11">
      <c r="C67" s="129">
        <f t="shared" ref="C67:C74" si="28">C66+1</f>
        <v>2018</v>
      </c>
      <c r="D67" s="57">
        <v>1.9E-2</v>
      </c>
      <c r="E67" s="104"/>
      <c r="F67" s="129">
        <f t="shared" ref="F67:F74" si="29">F66+1</f>
        <v>2027</v>
      </c>
      <c r="G67" s="57">
        <v>2.3E-2</v>
      </c>
      <c r="H67" s="104"/>
      <c r="I67" s="129">
        <f t="shared" ref="I67:I74" si="30">I66+1</f>
        <v>2036</v>
      </c>
      <c r="J67" s="129"/>
      <c r="K67" s="57">
        <v>2.3E-2</v>
      </c>
    </row>
    <row r="68" spans="3:11">
      <c r="C68" s="129">
        <f t="shared" si="28"/>
        <v>2019</v>
      </c>
      <c r="D68" s="57">
        <v>2.1999999999999999E-2</v>
      </c>
      <c r="E68" s="104"/>
      <c r="F68" s="129">
        <f t="shared" si="29"/>
        <v>2028</v>
      </c>
      <c r="G68" s="57">
        <v>2.3E-2</v>
      </c>
      <c r="H68" s="104"/>
      <c r="I68" s="129">
        <f t="shared" si="30"/>
        <v>2037</v>
      </c>
      <c r="J68" s="129"/>
      <c r="K68" s="57">
        <v>2.1999999999999999E-2</v>
      </c>
    </row>
    <row r="69" spans="3:11">
      <c r="C69" s="129">
        <f t="shared" si="28"/>
        <v>2020</v>
      </c>
      <c r="D69" s="57">
        <v>2.5999999999999999E-2</v>
      </c>
      <c r="E69" s="104"/>
      <c r="F69" s="129">
        <f t="shared" si="29"/>
        <v>2029</v>
      </c>
      <c r="G69" s="57">
        <v>2.3E-2</v>
      </c>
      <c r="H69" s="104"/>
      <c r="I69" s="129">
        <f t="shared" si="30"/>
        <v>2038</v>
      </c>
      <c r="J69" s="129"/>
      <c r="K69" s="57">
        <v>2.1999999999999999E-2</v>
      </c>
    </row>
    <row r="70" spans="3:11">
      <c r="C70" s="129">
        <f t="shared" si="28"/>
        <v>2021</v>
      </c>
      <c r="D70" s="57">
        <v>2.4E-2</v>
      </c>
      <c r="E70" s="104"/>
      <c r="F70" s="129">
        <f t="shared" si="29"/>
        <v>2030</v>
      </c>
      <c r="G70" s="57">
        <v>2.3E-2</v>
      </c>
      <c r="H70" s="104"/>
      <c r="I70" s="129">
        <f t="shared" si="30"/>
        <v>2039</v>
      </c>
      <c r="J70" s="129"/>
      <c r="K70" s="57">
        <v>2.1999999999999999E-2</v>
      </c>
    </row>
    <row r="71" spans="3:11">
      <c r="C71" s="129">
        <f t="shared" si="28"/>
        <v>2022</v>
      </c>
      <c r="D71" s="57">
        <v>2.3E-2</v>
      </c>
      <c r="E71" s="104"/>
      <c r="F71" s="129">
        <f t="shared" si="29"/>
        <v>2031</v>
      </c>
      <c r="G71" s="57">
        <v>2.3E-2</v>
      </c>
      <c r="H71" s="104"/>
      <c r="I71" s="129">
        <f t="shared" si="30"/>
        <v>2040</v>
      </c>
      <c r="J71" s="129"/>
      <c r="K71" s="57">
        <v>2.1999999999999999E-2</v>
      </c>
    </row>
    <row r="72" spans="3:11" s="190" customFormat="1">
      <c r="C72" s="129">
        <f t="shared" si="28"/>
        <v>2023</v>
      </c>
      <c r="D72" s="57">
        <v>2.3E-2</v>
      </c>
      <c r="E72" s="106"/>
      <c r="F72" s="129">
        <f t="shared" si="29"/>
        <v>2032</v>
      </c>
      <c r="G72" s="57">
        <v>2.1999999999999999E-2</v>
      </c>
      <c r="H72" s="106"/>
      <c r="I72" s="129">
        <f t="shared" si="30"/>
        <v>2041</v>
      </c>
      <c r="J72" s="129"/>
      <c r="K72" s="57">
        <v>2.1999999999999999E-2</v>
      </c>
    </row>
    <row r="73" spans="3:11" s="190" customFormat="1">
      <c r="C73" s="129">
        <f t="shared" si="28"/>
        <v>2024</v>
      </c>
      <c r="D73" s="57">
        <v>2.3E-2</v>
      </c>
      <c r="E73" s="106"/>
      <c r="F73" s="129">
        <f t="shared" si="29"/>
        <v>2033</v>
      </c>
      <c r="G73" s="57">
        <v>2.1999999999999999E-2</v>
      </c>
      <c r="H73" s="106"/>
      <c r="I73" s="129">
        <f t="shared" si="30"/>
        <v>2042</v>
      </c>
      <c r="J73" s="129"/>
      <c r="K73" s="57">
        <v>2.1999999999999999E-2</v>
      </c>
    </row>
    <row r="74" spans="3:11" s="190" customFormat="1">
      <c r="C74" s="129">
        <f t="shared" si="28"/>
        <v>2025</v>
      </c>
      <c r="D74" s="57">
        <v>2.3E-2</v>
      </c>
      <c r="E74" s="106"/>
      <c r="F74" s="129">
        <f t="shared" si="29"/>
        <v>2034</v>
      </c>
      <c r="G74" s="57">
        <v>2.3E-2</v>
      </c>
      <c r="H74" s="106"/>
      <c r="I74" s="129">
        <f t="shared" si="30"/>
        <v>2043</v>
      </c>
      <c r="J74" s="129"/>
      <c r="K74" s="57">
        <v>2.3E-2</v>
      </c>
    </row>
    <row r="75" spans="3:11" s="190" customFormat="1"/>
    <row r="76" spans="3:11" s="190" customFormat="1"/>
    <row r="93" spans="3:4">
      <c r="C93" s="227"/>
      <c r="D93" s="231"/>
    </row>
    <row r="94" spans="3:4">
      <c r="C94" s="227"/>
      <c r="D94" s="231"/>
    </row>
    <row r="95" spans="3:4">
      <c r="C95" s="227"/>
      <c r="D95" s="231"/>
    </row>
    <row r="96" spans="3:4">
      <c r="C96" s="227"/>
      <c r="D96" s="231"/>
    </row>
    <row r="97" spans="3:4">
      <c r="C97" s="227"/>
      <c r="D97" s="231"/>
    </row>
    <row r="98" spans="3:4">
      <c r="C98" s="227"/>
      <c r="D98" s="231"/>
    </row>
    <row r="99" spans="3:4">
      <c r="C99" s="227"/>
      <c r="D99" s="231"/>
    </row>
    <row r="100" spans="3:4">
      <c r="C100" s="227"/>
      <c r="D100" s="231"/>
    </row>
    <row r="101" spans="3:4">
      <c r="C101" s="227"/>
      <c r="D101" s="231"/>
    </row>
    <row r="102" spans="3:4">
      <c r="C102" s="227"/>
      <c r="D102" s="231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51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77"/>
  <sheetViews>
    <sheetView view="pageBreakPreview" topLeftCell="A29" zoomScale="80" zoomScaleNormal="100" zoomScaleSheetLayoutView="80" workbookViewId="0">
      <selection activeCell="D59" sqref="D59"/>
    </sheetView>
  </sheetViews>
  <sheetFormatPr defaultColWidth="9.33203125" defaultRowHeight="12.75"/>
  <cols>
    <col min="1" max="1" width="1.5" style="188" customWidth="1"/>
    <col min="2" max="2" width="10.83203125" style="188" customWidth="1"/>
    <col min="3" max="3" width="16.33203125" style="188" customWidth="1"/>
    <col min="4" max="4" width="12.33203125" style="188" customWidth="1"/>
    <col min="5" max="5" width="9.1640625" style="188" customWidth="1"/>
    <col min="6" max="6" width="9.83203125" style="188" bestFit="1" customWidth="1"/>
    <col min="7" max="7" width="9.83203125" style="188" customWidth="1"/>
    <col min="8" max="8" width="13.83203125" style="188" customWidth="1"/>
    <col min="9" max="10" width="12.5" style="188" customWidth="1"/>
    <col min="11" max="11" width="11.6640625" style="188" customWidth="1"/>
    <col min="12" max="12" width="9.33203125" style="188"/>
    <col min="13" max="13" width="6.1640625" style="188" customWidth="1"/>
    <col min="14" max="14" width="7.83203125" style="243" customWidth="1"/>
    <col min="15" max="16384" width="9.33203125" style="188"/>
  </cols>
  <sheetData>
    <row r="1" spans="2:16" ht="15.75">
      <c r="B1" s="186" t="s">
        <v>85</v>
      </c>
      <c r="C1" s="187"/>
      <c r="D1" s="187"/>
      <c r="E1" s="187"/>
      <c r="F1" s="187"/>
      <c r="G1" s="187"/>
      <c r="H1" s="187"/>
      <c r="I1" s="187"/>
      <c r="J1" s="187"/>
    </row>
    <row r="2" spans="2:16" ht="15.75">
      <c r="B2" s="186" t="s">
        <v>164</v>
      </c>
      <c r="C2" s="187"/>
      <c r="D2" s="187"/>
      <c r="E2" s="187"/>
      <c r="F2" s="187"/>
      <c r="G2" s="187"/>
      <c r="H2" s="187"/>
      <c r="I2" s="187"/>
      <c r="J2" s="187"/>
    </row>
    <row r="3" spans="2:16" ht="15.75">
      <c r="B3" s="186"/>
      <c r="C3" s="187"/>
      <c r="D3" s="187"/>
      <c r="E3" s="187"/>
      <c r="F3" s="187"/>
      <c r="G3" s="187"/>
      <c r="H3" s="187"/>
      <c r="I3" s="187"/>
      <c r="J3" s="187"/>
    </row>
    <row r="4" spans="2:16">
      <c r="B4" s="189"/>
      <c r="C4" s="189"/>
      <c r="D4" s="189"/>
      <c r="E4" s="189"/>
      <c r="F4" s="189"/>
      <c r="G4" s="189"/>
      <c r="H4" s="189"/>
      <c r="I4" s="190"/>
      <c r="J4" s="190"/>
      <c r="K4" s="190"/>
    </row>
    <row r="5" spans="2:16" ht="51.75" customHeight="1">
      <c r="B5" s="191" t="s">
        <v>0</v>
      </c>
      <c r="C5" s="192" t="s">
        <v>172</v>
      </c>
      <c r="D5" s="192" t="s">
        <v>165</v>
      </c>
      <c r="E5" s="19" t="s">
        <v>73</v>
      </c>
      <c r="H5" s="243"/>
      <c r="N5" s="188"/>
    </row>
    <row r="6" spans="2:16" ht="24" customHeight="1">
      <c r="B6" s="193"/>
      <c r="C6" s="195" t="s">
        <v>9</v>
      </c>
      <c r="D6" s="194" t="s">
        <v>166</v>
      </c>
      <c r="E6" s="23" t="s">
        <v>9</v>
      </c>
      <c r="H6" s="243"/>
      <c r="N6" s="188"/>
    </row>
    <row r="7" spans="2:16">
      <c r="C7" s="196" t="s">
        <v>2</v>
      </c>
      <c r="D7" s="196" t="s">
        <v>4</v>
      </c>
      <c r="E7" s="196" t="s">
        <v>29</v>
      </c>
      <c r="H7" s="243"/>
      <c r="N7" s="188"/>
    </row>
    <row r="8" spans="2:16" ht="6" customHeight="1">
      <c r="H8" s="243"/>
      <c r="N8" s="188"/>
    </row>
    <row r="9" spans="2:16" ht="15.75">
      <c r="B9" s="60" t="str">
        <f>B2</f>
        <v>2017 IRP Aeolus-Bridger/Anticline Transmission</v>
      </c>
      <c r="D9" s="190"/>
      <c r="E9" s="190"/>
      <c r="N9" s="188"/>
    </row>
    <row r="10" spans="2:16">
      <c r="B10" s="210">
        <v>2020</v>
      </c>
      <c r="C10" s="199">
        <f>ROUND(C11/(1+$D44),2)</f>
        <v>47.36</v>
      </c>
      <c r="D10" s="210">
        <v>2</v>
      </c>
      <c r="E10" s="201">
        <f t="shared" ref="E10:E32" si="0">SUM(C10:C10)*D10/12</f>
        <v>7.8933333333333335</v>
      </c>
      <c r="F10" s="190"/>
      <c r="G10" s="230"/>
      <c r="M10" s="244"/>
      <c r="N10" s="207"/>
      <c r="O10" s="208"/>
      <c r="P10" s="209"/>
    </row>
    <row r="11" spans="2:16">
      <c r="B11" s="210">
        <f t="shared" ref="B11:B32" si="1">B10+1</f>
        <v>2021</v>
      </c>
      <c r="C11" s="199">
        <f>D36</f>
        <v>48.5910167356733</v>
      </c>
      <c r="D11" s="210">
        <v>12</v>
      </c>
      <c r="E11" s="201">
        <f t="shared" si="0"/>
        <v>48.5910167356733</v>
      </c>
      <c r="F11" s="190"/>
      <c r="G11" s="230"/>
      <c r="M11" s="244"/>
      <c r="N11" s="284"/>
      <c r="O11" s="284"/>
      <c r="P11" s="209"/>
    </row>
    <row r="12" spans="2:16">
      <c r="B12" s="210">
        <f t="shared" si="1"/>
        <v>2022</v>
      </c>
      <c r="C12" s="199">
        <f>ROUND(C11*(1+$D46),2)</f>
        <v>49.71</v>
      </c>
      <c r="D12" s="210">
        <v>12</v>
      </c>
      <c r="E12" s="201">
        <f t="shared" si="0"/>
        <v>49.71</v>
      </c>
      <c r="F12" s="190"/>
      <c r="H12" s="244"/>
      <c r="J12" s="285"/>
      <c r="N12" s="188"/>
    </row>
    <row r="13" spans="2:16">
      <c r="B13" s="210">
        <f t="shared" si="1"/>
        <v>2023</v>
      </c>
      <c r="C13" s="199">
        <f>ROUND(C12*(1+$D47),2)</f>
        <v>50.85</v>
      </c>
      <c r="D13" s="210">
        <v>12</v>
      </c>
      <c r="E13" s="201">
        <f t="shared" si="0"/>
        <v>50.85</v>
      </c>
      <c r="F13" s="190"/>
      <c r="H13" s="244"/>
      <c r="I13" s="207"/>
      <c r="J13" s="285"/>
      <c r="N13" s="188"/>
    </row>
    <row r="14" spans="2:16">
      <c r="B14" s="210">
        <f t="shared" si="1"/>
        <v>2024</v>
      </c>
      <c r="C14" s="199">
        <f>ROUND(C13*(1+$D48),2)</f>
        <v>52.02</v>
      </c>
      <c r="D14" s="210">
        <v>12</v>
      </c>
      <c r="E14" s="201">
        <f t="shared" si="0"/>
        <v>52.02</v>
      </c>
      <c r="F14" s="190"/>
      <c r="H14" s="244"/>
      <c r="K14" s="286"/>
      <c r="N14" s="188"/>
    </row>
    <row r="15" spans="2:16">
      <c r="B15" s="210">
        <f t="shared" si="1"/>
        <v>2025</v>
      </c>
      <c r="C15" s="199">
        <f>ROUND(C14*(1+$D49),2)</f>
        <v>53.22</v>
      </c>
      <c r="D15" s="210">
        <v>12</v>
      </c>
      <c r="E15" s="201">
        <f t="shared" si="0"/>
        <v>53.22</v>
      </c>
      <c r="F15" s="190"/>
      <c r="H15" s="244"/>
      <c r="N15" s="188"/>
    </row>
    <row r="16" spans="2:16">
      <c r="B16" s="210">
        <f t="shared" si="1"/>
        <v>2026</v>
      </c>
      <c r="C16" s="199">
        <f t="shared" ref="C16:C24" si="2">ROUND(C15*(1+$G41),2)</f>
        <v>54.44</v>
      </c>
      <c r="D16" s="210">
        <v>12</v>
      </c>
      <c r="E16" s="201">
        <f t="shared" si="0"/>
        <v>54.44</v>
      </c>
      <c r="F16" s="190"/>
      <c r="H16" s="244"/>
      <c r="J16" s="241"/>
      <c r="N16" s="188"/>
    </row>
    <row r="17" spans="2:14">
      <c r="B17" s="210">
        <f t="shared" si="1"/>
        <v>2027</v>
      </c>
      <c r="C17" s="199">
        <f t="shared" si="2"/>
        <v>55.69</v>
      </c>
      <c r="D17" s="210">
        <v>12</v>
      </c>
      <c r="E17" s="201">
        <f t="shared" si="0"/>
        <v>55.69</v>
      </c>
      <c r="F17" s="190"/>
      <c r="H17" s="244"/>
      <c r="N17" s="188"/>
    </row>
    <row r="18" spans="2:14">
      <c r="B18" s="210">
        <f t="shared" si="1"/>
        <v>2028</v>
      </c>
      <c r="C18" s="199">
        <f t="shared" si="2"/>
        <v>56.97</v>
      </c>
      <c r="D18" s="210">
        <v>12</v>
      </c>
      <c r="E18" s="201">
        <f t="shared" si="0"/>
        <v>56.97</v>
      </c>
      <c r="F18" s="190"/>
      <c r="H18" s="244"/>
      <c r="N18" s="188"/>
    </row>
    <row r="19" spans="2:14">
      <c r="B19" s="210">
        <f t="shared" si="1"/>
        <v>2029</v>
      </c>
      <c r="C19" s="199">
        <f t="shared" si="2"/>
        <v>58.28</v>
      </c>
      <c r="D19" s="210">
        <v>12</v>
      </c>
      <c r="E19" s="201">
        <f t="shared" si="0"/>
        <v>58.28</v>
      </c>
      <c r="F19" s="190"/>
      <c r="H19" s="244"/>
      <c r="N19" s="188"/>
    </row>
    <row r="20" spans="2:14">
      <c r="B20" s="210">
        <f t="shared" si="1"/>
        <v>2030</v>
      </c>
      <c r="C20" s="212">
        <f t="shared" si="2"/>
        <v>59.62</v>
      </c>
      <c r="D20" s="210">
        <v>12</v>
      </c>
      <c r="E20" s="201">
        <f t="shared" si="0"/>
        <v>59.62</v>
      </c>
      <c r="F20" s="190"/>
      <c r="H20" s="244"/>
      <c r="N20" s="188"/>
    </row>
    <row r="21" spans="2:14">
      <c r="B21" s="210">
        <f t="shared" si="1"/>
        <v>2031</v>
      </c>
      <c r="C21" s="212">
        <f t="shared" si="2"/>
        <v>60.99</v>
      </c>
      <c r="D21" s="210">
        <v>12</v>
      </c>
      <c r="E21" s="201">
        <f t="shared" si="0"/>
        <v>60.99</v>
      </c>
      <c r="F21" s="190"/>
      <c r="H21" s="244"/>
      <c r="N21" s="188"/>
    </row>
    <row r="22" spans="2:14">
      <c r="B22" s="210">
        <f t="shared" si="1"/>
        <v>2032</v>
      </c>
      <c r="C22" s="199">
        <f t="shared" si="2"/>
        <v>62.33</v>
      </c>
      <c r="D22" s="210">
        <v>12</v>
      </c>
      <c r="E22" s="201">
        <f t="shared" si="0"/>
        <v>62.330000000000005</v>
      </c>
      <c r="F22" s="190"/>
      <c r="H22" s="244"/>
      <c r="N22" s="188"/>
    </row>
    <row r="23" spans="2:14">
      <c r="B23" s="210">
        <f t="shared" si="1"/>
        <v>2033</v>
      </c>
      <c r="C23" s="199">
        <f t="shared" si="2"/>
        <v>63.7</v>
      </c>
      <c r="D23" s="210">
        <v>12</v>
      </c>
      <c r="E23" s="201">
        <f t="shared" si="0"/>
        <v>63.70000000000001</v>
      </c>
      <c r="F23" s="190"/>
      <c r="H23" s="244"/>
      <c r="N23" s="188"/>
    </row>
    <row r="24" spans="2:14">
      <c r="B24" s="210">
        <f t="shared" si="1"/>
        <v>2034</v>
      </c>
      <c r="C24" s="199">
        <f t="shared" si="2"/>
        <v>65.17</v>
      </c>
      <c r="D24" s="210">
        <v>12</v>
      </c>
      <c r="E24" s="201">
        <f t="shared" si="0"/>
        <v>65.17</v>
      </c>
      <c r="F24" s="190"/>
      <c r="H24" s="244"/>
      <c r="N24" s="188"/>
    </row>
    <row r="25" spans="2:14">
      <c r="B25" s="210">
        <f t="shared" si="1"/>
        <v>2035</v>
      </c>
      <c r="C25" s="199">
        <f t="shared" ref="C25:C32" si="3">ROUND(C24*(1+$K41),2)</f>
        <v>66.67</v>
      </c>
      <c r="D25" s="210">
        <v>12</v>
      </c>
      <c r="E25" s="201">
        <f t="shared" si="0"/>
        <v>66.67</v>
      </c>
      <c r="F25" s="190"/>
      <c r="H25" s="244"/>
      <c r="N25" s="188"/>
    </row>
    <row r="26" spans="2:14">
      <c r="B26" s="210">
        <f t="shared" si="1"/>
        <v>2036</v>
      </c>
      <c r="C26" s="199">
        <f t="shared" si="3"/>
        <v>68.2</v>
      </c>
      <c r="D26" s="210">
        <v>12</v>
      </c>
      <c r="E26" s="201">
        <f t="shared" si="0"/>
        <v>68.2</v>
      </c>
      <c r="F26" s="190"/>
      <c r="H26" s="244"/>
      <c r="N26" s="188"/>
    </row>
    <row r="27" spans="2:14">
      <c r="B27" s="210">
        <f t="shared" si="1"/>
        <v>2037</v>
      </c>
      <c r="C27" s="199">
        <f t="shared" si="3"/>
        <v>69.7</v>
      </c>
      <c r="D27" s="210">
        <v>12</v>
      </c>
      <c r="E27" s="201">
        <f t="shared" si="0"/>
        <v>69.7</v>
      </c>
      <c r="F27" s="190"/>
      <c r="H27" s="244"/>
      <c r="N27" s="188"/>
    </row>
    <row r="28" spans="2:14">
      <c r="B28" s="210">
        <f t="shared" si="1"/>
        <v>2038</v>
      </c>
      <c r="C28" s="199">
        <f t="shared" si="3"/>
        <v>71.23</v>
      </c>
      <c r="D28" s="210">
        <v>12</v>
      </c>
      <c r="E28" s="201">
        <f t="shared" si="0"/>
        <v>71.23</v>
      </c>
      <c r="F28" s="190"/>
      <c r="H28" s="244"/>
      <c r="N28" s="188"/>
    </row>
    <row r="29" spans="2:14">
      <c r="B29" s="210">
        <f t="shared" si="1"/>
        <v>2039</v>
      </c>
      <c r="C29" s="199">
        <f t="shared" si="3"/>
        <v>72.8</v>
      </c>
      <c r="D29" s="210">
        <v>12</v>
      </c>
      <c r="E29" s="201">
        <f t="shared" si="0"/>
        <v>72.8</v>
      </c>
      <c r="F29" s="190"/>
      <c r="H29" s="244"/>
      <c r="N29" s="188"/>
    </row>
    <row r="30" spans="2:14">
      <c r="B30" s="210">
        <f t="shared" si="1"/>
        <v>2040</v>
      </c>
      <c r="C30" s="199">
        <f t="shared" si="3"/>
        <v>74.400000000000006</v>
      </c>
      <c r="D30" s="210">
        <v>12</v>
      </c>
      <c r="E30" s="201">
        <f t="shared" si="0"/>
        <v>74.400000000000006</v>
      </c>
      <c r="F30" s="190"/>
      <c r="H30" s="244"/>
      <c r="N30" s="188"/>
    </row>
    <row r="31" spans="2:14">
      <c r="B31" s="210">
        <f t="shared" si="1"/>
        <v>2041</v>
      </c>
      <c r="C31" s="199">
        <f t="shared" si="3"/>
        <v>76.040000000000006</v>
      </c>
      <c r="D31" s="210">
        <v>12</v>
      </c>
      <c r="E31" s="201">
        <f t="shared" si="0"/>
        <v>76.040000000000006</v>
      </c>
      <c r="F31" s="190"/>
      <c r="H31" s="244"/>
      <c r="N31" s="188"/>
    </row>
    <row r="32" spans="2:14">
      <c r="B32" s="210">
        <f t="shared" si="1"/>
        <v>2042</v>
      </c>
      <c r="C32" s="199">
        <f t="shared" si="3"/>
        <v>77.709999999999994</v>
      </c>
      <c r="D32" s="210">
        <v>12</v>
      </c>
      <c r="E32" s="201">
        <f t="shared" si="0"/>
        <v>77.709999999999994</v>
      </c>
      <c r="F32" s="190"/>
      <c r="G32" s="230"/>
      <c r="H32" s="244"/>
      <c r="N32" s="188"/>
    </row>
    <row r="33" spans="2:14">
      <c r="B33" s="210"/>
      <c r="C33" s="203"/>
      <c r="D33" s="199"/>
      <c r="E33" s="199"/>
      <c r="F33" s="200"/>
      <c r="G33" s="199"/>
      <c r="H33" s="199"/>
      <c r="I33" s="201"/>
      <c r="J33" s="201"/>
      <c r="K33" s="213"/>
    </row>
    <row r="34" spans="2:14">
      <c r="B34" s="197"/>
      <c r="C34" s="203"/>
      <c r="D34" s="199"/>
      <c r="E34" s="199"/>
      <c r="F34" s="200"/>
      <c r="G34" s="199"/>
      <c r="H34" s="199"/>
      <c r="I34" s="201"/>
      <c r="J34" s="201"/>
      <c r="K34" s="213"/>
    </row>
    <row r="35" spans="2:14" ht="15">
      <c r="C35" s="287" t="s">
        <v>167</v>
      </c>
      <c r="D35" s="288">
        <v>750</v>
      </c>
      <c r="E35" s="199"/>
      <c r="F35" s="200"/>
      <c r="G35" s="199"/>
      <c r="H35" s="199"/>
      <c r="I35" s="201"/>
      <c r="J35" s="201"/>
      <c r="K35" s="213"/>
    </row>
    <row r="36" spans="2:14" ht="37.5" customHeight="1">
      <c r="B36" s="379" t="s">
        <v>171</v>
      </c>
      <c r="C36" s="380"/>
      <c r="D36" s="298">
        <v>48.5910167356733</v>
      </c>
      <c r="E36" s="199"/>
      <c r="F36" s="200"/>
      <c r="G36" s="199"/>
      <c r="H36" s="199"/>
      <c r="I36" s="201"/>
      <c r="J36" s="201"/>
      <c r="K36" s="213"/>
    </row>
    <row r="39" spans="2:14" ht="13.5" thickBot="1">
      <c r="D39" s="231"/>
    </row>
    <row r="40" spans="2:14" ht="13.5" thickBot="1">
      <c r="C40" s="54" t="str">
        <f>"Company Official Inflation Forecast Dated "&amp;TEXT('Table 4'!$G$5,"mmmm dd, yyyy")</f>
        <v>Company Official Inflation Forecast Dated December 29, 2017</v>
      </c>
      <c r="D40" s="218"/>
      <c r="E40" s="218"/>
      <c r="F40" s="218"/>
      <c r="G40" s="218"/>
      <c r="H40" s="218"/>
      <c r="I40" s="218"/>
      <c r="J40" s="218"/>
      <c r="K40" s="220"/>
    </row>
    <row r="41" spans="2:14">
      <c r="C41" s="129">
        <v>2017</v>
      </c>
      <c r="D41" s="57">
        <v>0.02</v>
      </c>
      <c r="E41" s="104"/>
      <c r="F41" s="129">
        <f>C49+1</f>
        <v>2026</v>
      </c>
      <c r="G41" s="57">
        <v>2.3E-2</v>
      </c>
      <c r="H41" s="104"/>
      <c r="I41" s="129">
        <f>F49+1</f>
        <v>2035</v>
      </c>
      <c r="J41" s="129"/>
      <c r="K41" s="57">
        <v>2.3E-2</v>
      </c>
    </row>
    <row r="42" spans="2:14">
      <c r="C42" s="129">
        <f t="shared" ref="C42:C49" si="4">C41+1</f>
        <v>2018</v>
      </c>
      <c r="D42" s="57">
        <v>1.9E-2</v>
      </c>
      <c r="E42" s="104"/>
      <c r="F42" s="129">
        <f t="shared" ref="F42:F49" si="5">F41+1</f>
        <v>2027</v>
      </c>
      <c r="G42" s="57">
        <v>2.3E-2</v>
      </c>
      <c r="H42" s="104"/>
      <c r="I42" s="129">
        <f t="shared" ref="I42:I49" si="6">I41+1</f>
        <v>2036</v>
      </c>
      <c r="J42" s="129"/>
      <c r="K42" s="57">
        <v>2.3E-2</v>
      </c>
    </row>
    <row r="43" spans="2:14">
      <c r="C43" s="129">
        <f t="shared" si="4"/>
        <v>2019</v>
      </c>
      <c r="D43" s="57">
        <v>2.1999999999999999E-2</v>
      </c>
      <c r="E43" s="104"/>
      <c r="F43" s="129">
        <f t="shared" si="5"/>
        <v>2028</v>
      </c>
      <c r="G43" s="57">
        <v>2.3E-2</v>
      </c>
      <c r="H43" s="104"/>
      <c r="I43" s="129">
        <f t="shared" si="6"/>
        <v>2037</v>
      </c>
      <c r="J43" s="129"/>
      <c r="K43" s="57">
        <v>2.1999999999999999E-2</v>
      </c>
    </row>
    <row r="44" spans="2:14">
      <c r="C44" s="129">
        <f t="shared" si="4"/>
        <v>2020</v>
      </c>
      <c r="D44" s="57">
        <v>2.5999999999999999E-2</v>
      </c>
      <c r="E44" s="104"/>
      <c r="F44" s="129">
        <f t="shared" si="5"/>
        <v>2029</v>
      </c>
      <c r="G44" s="57">
        <v>2.3E-2</v>
      </c>
      <c r="H44" s="104"/>
      <c r="I44" s="129">
        <f t="shared" si="6"/>
        <v>2038</v>
      </c>
      <c r="J44" s="129"/>
      <c r="K44" s="57">
        <v>2.1999999999999999E-2</v>
      </c>
    </row>
    <row r="45" spans="2:14">
      <c r="C45" s="129">
        <f t="shared" si="4"/>
        <v>2021</v>
      </c>
      <c r="D45" s="57">
        <v>2.4E-2</v>
      </c>
      <c r="E45" s="104"/>
      <c r="F45" s="129">
        <f t="shared" si="5"/>
        <v>2030</v>
      </c>
      <c r="G45" s="57">
        <v>2.3E-2</v>
      </c>
      <c r="H45" s="104"/>
      <c r="I45" s="129">
        <f t="shared" si="6"/>
        <v>2039</v>
      </c>
      <c r="J45" s="129"/>
      <c r="K45" s="57">
        <v>2.1999999999999999E-2</v>
      </c>
    </row>
    <row r="46" spans="2:14">
      <c r="C46" s="129">
        <f t="shared" si="4"/>
        <v>2022</v>
      </c>
      <c r="D46" s="57">
        <v>2.3E-2</v>
      </c>
      <c r="E46" s="104"/>
      <c r="F46" s="129">
        <f t="shared" si="5"/>
        <v>2031</v>
      </c>
      <c r="G46" s="57">
        <v>2.3E-2</v>
      </c>
      <c r="H46" s="104"/>
      <c r="I46" s="129">
        <f t="shared" si="6"/>
        <v>2040</v>
      </c>
      <c r="J46" s="129"/>
      <c r="K46" s="57">
        <v>2.1999999999999999E-2</v>
      </c>
    </row>
    <row r="47" spans="2:14" s="190" customFormat="1">
      <c r="C47" s="129">
        <f t="shared" si="4"/>
        <v>2023</v>
      </c>
      <c r="D47" s="57">
        <v>2.3E-2</v>
      </c>
      <c r="E47" s="106"/>
      <c r="F47" s="129">
        <f t="shared" si="5"/>
        <v>2032</v>
      </c>
      <c r="G47" s="57">
        <v>2.1999999999999999E-2</v>
      </c>
      <c r="H47" s="106"/>
      <c r="I47" s="129">
        <f t="shared" si="6"/>
        <v>2041</v>
      </c>
      <c r="J47" s="129"/>
      <c r="K47" s="57">
        <v>2.1999999999999999E-2</v>
      </c>
      <c r="N47" s="246"/>
    </row>
    <row r="48" spans="2:14" s="190" customFormat="1">
      <c r="C48" s="129">
        <f t="shared" si="4"/>
        <v>2024</v>
      </c>
      <c r="D48" s="57">
        <v>2.3E-2</v>
      </c>
      <c r="E48" s="106"/>
      <c r="F48" s="129">
        <f t="shared" si="5"/>
        <v>2033</v>
      </c>
      <c r="G48" s="57">
        <v>2.1999999999999999E-2</v>
      </c>
      <c r="H48" s="106"/>
      <c r="I48" s="129">
        <f t="shared" si="6"/>
        <v>2042</v>
      </c>
      <c r="J48" s="129"/>
      <c r="K48" s="57">
        <v>2.1999999999999999E-2</v>
      </c>
      <c r="N48" s="246"/>
    </row>
    <row r="49" spans="3:14" s="190" customFormat="1">
      <c r="C49" s="129">
        <f t="shared" si="4"/>
        <v>2025</v>
      </c>
      <c r="D49" s="57">
        <v>2.3E-2</v>
      </c>
      <c r="E49" s="106"/>
      <c r="F49" s="129">
        <f t="shared" si="5"/>
        <v>2034</v>
      </c>
      <c r="G49" s="57">
        <v>2.3E-2</v>
      </c>
      <c r="H49" s="106"/>
      <c r="I49" s="129">
        <f t="shared" si="6"/>
        <v>2043</v>
      </c>
      <c r="J49" s="129"/>
      <c r="K49" s="57">
        <v>2.3E-2</v>
      </c>
      <c r="N49" s="246"/>
    </row>
    <row r="50" spans="3:14" s="190" customFormat="1">
      <c r="N50" s="246"/>
    </row>
    <row r="51" spans="3:14" s="190" customFormat="1">
      <c r="N51" s="246"/>
    </row>
    <row r="68" spans="3:4">
      <c r="C68" s="227"/>
      <c r="D68" s="231"/>
    </row>
    <row r="69" spans="3:4">
      <c r="C69" s="227"/>
      <c r="D69" s="231"/>
    </row>
    <row r="70" spans="3:4">
      <c r="C70" s="227"/>
      <c r="D70" s="231"/>
    </row>
    <row r="71" spans="3:4">
      <c r="C71" s="227"/>
      <c r="D71" s="231"/>
    </row>
    <row r="72" spans="3:4">
      <c r="C72" s="227"/>
      <c r="D72" s="231"/>
    </row>
    <row r="73" spans="3:4">
      <c r="C73" s="227"/>
      <c r="D73" s="231"/>
    </row>
    <row r="74" spans="3:4">
      <c r="C74" s="227"/>
      <c r="D74" s="231"/>
    </row>
    <row r="75" spans="3:4">
      <c r="C75" s="227"/>
      <c r="D75" s="231"/>
    </row>
    <row r="76" spans="3:4">
      <c r="C76" s="227"/>
      <c r="D76" s="231"/>
    </row>
    <row r="77" spans="3:4">
      <c r="C77" s="227"/>
      <c r="D77" s="231"/>
    </row>
  </sheetData>
  <mergeCells count="1">
    <mergeCell ref="B36:C36"/>
  </mergeCells>
  <printOptions horizontalCentered="1"/>
  <pageMargins left="0.8" right="0.3" top="0.4" bottom="0.4" header="0.5" footer="0.2"/>
  <pageSetup scale="7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pageSetUpPr fitToPage="1"/>
  </sheetPr>
  <dimension ref="B1:O345"/>
  <sheetViews>
    <sheetView view="pageBreakPreview" zoomScale="60" zoomScaleNormal="100" workbookViewId="0">
      <pane ySplit="10" topLeftCell="A24" activePane="bottomLeft" state="frozen"/>
      <selection activeCell="C14" sqref="C14"/>
      <selection pane="bottomLeft" activeCell="D40" sqref="D40"/>
    </sheetView>
  </sheetViews>
  <sheetFormatPr defaultColWidth="9.33203125" defaultRowHeight="12.75"/>
  <cols>
    <col min="1" max="1" width="9.33203125" style="4"/>
    <col min="2" max="2" width="15" style="4" customWidth="1"/>
    <col min="3" max="3" width="27" style="4" customWidth="1"/>
    <col min="4" max="4" width="19.5" style="4" customWidth="1"/>
    <col min="5" max="5" width="17" style="4" customWidth="1"/>
    <col min="6" max="6" width="9.33203125" style="4"/>
    <col min="7" max="7" width="15" style="63" hidden="1" customWidth="1"/>
    <col min="8" max="8" width="16.6640625" style="37" hidden="1" customWidth="1"/>
    <col min="9" max="10" width="0" style="4" hidden="1" customWidth="1"/>
    <col min="11" max="11" width="9.33203125" style="150" hidden="1" customWidth="1"/>
    <col min="12" max="12" width="10.33203125" style="150" hidden="1" customWidth="1"/>
    <col min="13" max="13" width="13.83203125" style="150" hidden="1" customWidth="1"/>
    <col min="14" max="14" width="12.83203125" style="4" hidden="1" customWidth="1"/>
    <col min="15" max="15" width="13.33203125" style="4" hidden="1" customWidth="1"/>
    <col min="16" max="16" width="0" style="4" hidden="1" customWidth="1"/>
    <col min="17" max="16384" width="9.33203125" style="4"/>
  </cols>
  <sheetData>
    <row r="1" spans="2:15" ht="15.75" hidden="1">
      <c r="B1" s="1" t="s">
        <v>52</v>
      </c>
      <c r="C1" s="1"/>
      <c r="G1" s="34"/>
    </row>
    <row r="2" spans="2:15" ht="5.25" customHeight="1">
      <c r="B2" s="1"/>
      <c r="C2" s="1"/>
      <c r="G2" s="34"/>
    </row>
    <row r="3" spans="2:15" ht="15.75">
      <c r="B3" s="1" t="s">
        <v>84</v>
      </c>
      <c r="C3" s="1"/>
      <c r="G3" s="34"/>
    </row>
    <row r="4" spans="2:15" ht="15.75">
      <c r="B4" s="1" t="s">
        <v>38</v>
      </c>
      <c r="C4" s="1"/>
      <c r="G4" s="151" t="s">
        <v>37</v>
      </c>
    </row>
    <row r="5" spans="2:15" ht="15.75">
      <c r="B5" s="1" t="str">
        <f ca="1">'Table 1'!$B$5</f>
        <v>Utah 2017.Q4_Solar - 80.0 MW and 31.1% CF</v>
      </c>
      <c r="C5" s="1"/>
      <c r="G5" s="152">
        <v>43098</v>
      </c>
    </row>
    <row r="6" spans="2:15">
      <c r="B6" s="12"/>
      <c r="C6" s="12"/>
      <c r="G6" s="34"/>
    </row>
    <row r="7" spans="2:15" ht="14.25">
      <c r="B7" s="25"/>
      <c r="C7" s="33" t="s">
        <v>32</v>
      </c>
      <c r="G7" s="34"/>
    </row>
    <row r="8" spans="2:15">
      <c r="B8" s="26"/>
      <c r="C8" s="18" t="s">
        <v>33</v>
      </c>
      <c r="D8" s="18" t="s">
        <v>33</v>
      </c>
      <c r="E8" s="18" t="s">
        <v>33</v>
      </c>
      <c r="G8" s="34"/>
    </row>
    <row r="9" spans="2:15">
      <c r="B9" s="26" t="s">
        <v>0</v>
      </c>
      <c r="C9" s="26" t="str">
        <f>M16</f>
        <v>IRP - Utah Greenfield</v>
      </c>
      <c r="D9" s="26" t="str">
        <f>N15</f>
        <v>IRP West Side</v>
      </c>
      <c r="E9" s="26" t="str">
        <f>O16</f>
        <v>IRP - Wyo NE</v>
      </c>
      <c r="G9" s="34"/>
    </row>
    <row r="10" spans="2:15">
      <c r="B10" s="27"/>
      <c r="C10" s="28" t="s">
        <v>26</v>
      </c>
      <c r="D10" s="28" t="s">
        <v>26</v>
      </c>
      <c r="E10" s="28" t="s">
        <v>26</v>
      </c>
      <c r="G10" s="153"/>
      <c r="H10" s="154"/>
    </row>
    <row r="11" spans="2:15" hidden="1">
      <c r="C11" s="13"/>
      <c r="G11" s="153"/>
      <c r="H11" s="154"/>
    </row>
    <row r="12" spans="2:15" hidden="1">
      <c r="C12" s="29"/>
      <c r="G12" s="153"/>
      <c r="H12" s="154"/>
    </row>
    <row r="13" spans="2:15" ht="6" customHeight="1">
      <c r="G13" s="155"/>
      <c r="H13" s="156"/>
    </row>
    <row r="14" spans="2:15">
      <c r="B14" s="30">
        <v>2016</v>
      </c>
      <c r="C14" s="31">
        <f>ROUND(SUMIF($K$17:$K$340,$B14,$H$17:$H$340)/COUNTIF($K$17:$K$340,$B14),2)</f>
        <v>2.3199999999999998</v>
      </c>
      <c r="D14" s="31">
        <f>ROUND(SUMIF($K$17:$K$340,$B14,$I$17:$I$340)/COUNTIF($K$17:$K$340,$B14),2)</f>
        <v>2.2999999999999998</v>
      </c>
      <c r="E14" s="31">
        <f>ROUND(SUMIF($K$17:$K$340,$B14,$J$17:$J$340)/COUNTIF($K$17:$K$340,$B14),2)</f>
        <v>2.35</v>
      </c>
      <c r="G14" s="157"/>
      <c r="H14" s="38"/>
    </row>
    <row r="15" spans="2:15" ht="13.5" thickBot="1">
      <c r="B15" s="30">
        <f t="shared" ref="B15:B40" si="0">B14+1</f>
        <v>2017</v>
      </c>
      <c r="C15" s="31">
        <f t="shared" ref="C15:C39" si="1">ROUND(SUMIF($K$17:$K$340,$B15,$H$17:$H$340)/COUNTIF($K$17:$K$340,$B15),2)</f>
        <v>2.71</v>
      </c>
      <c r="D15" s="31">
        <f t="shared" ref="D15:D40" si="2">ROUND(SUMIF($K$17:$K$340,$B15,$I$17:$I$340)/COUNTIF($K$17:$K$340,$B15),2)</f>
        <v>2.72</v>
      </c>
      <c r="E15" s="31">
        <f t="shared" ref="E15:E40" si="3">ROUND(SUMIF($K$17:$K$340,$B15,$J$17:$J$340)/COUNTIF($K$17:$K$340,$B15),2)</f>
        <v>2.76</v>
      </c>
      <c r="G15" s="35"/>
      <c r="H15" s="39" t="s">
        <v>100</v>
      </c>
      <c r="I15" s="4" t="s">
        <v>101</v>
      </c>
      <c r="J15" s="4" t="s">
        <v>103</v>
      </c>
      <c r="N15" s="4" t="s">
        <v>101</v>
      </c>
    </row>
    <row r="16" spans="2:15" ht="13.5" thickBot="1">
      <c r="B16" s="30">
        <f t="shared" si="0"/>
        <v>2018</v>
      </c>
      <c r="C16" s="31">
        <f t="shared" si="1"/>
        <v>2.4300000000000002</v>
      </c>
      <c r="D16" s="31">
        <f t="shared" si="2"/>
        <v>2.11</v>
      </c>
      <c r="E16" s="31">
        <f t="shared" si="3"/>
        <v>2.4</v>
      </c>
      <c r="G16" s="35" t="s">
        <v>36</v>
      </c>
      <c r="H16" s="39" t="s">
        <v>33</v>
      </c>
      <c r="I16" s="39" t="s">
        <v>33</v>
      </c>
      <c r="J16" s="39" t="s">
        <v>33</v>
      </c>
      <c r="K16" s="158" t="s">
        <v>0</v>
      </c>
      <c r="M16" s="159" t="str">
        <f>IF(_30_Geo_West&gt;0,"IRP - Wyo NE",IF(_436_CCCT_WestMain&gt;0,"West Side","IRP - Utah Greenfield"))</f>
        <v>IRP - Utah Greenfield</v>
      </c>
      <c r="N16" s="159" t="s">
        <v>102</v>
      </c>
      <c r="O16" s="159" t="s">
        <v>103</v>
      </c>
    </row>
    <row r="17" spans="2:15" ht="13.5" thickBot="1">
      <c r="B17" s="30">
        <f t="shared" si="0"/>
        <v>2019</v>
      </c>
      <c r="C17" s="31">
        <f t="shared" si="1"/>
        <v>2.4</v>
      </c>
      <c r="D17" s="31">
        <f t="shared" si="2"/>
        <v>2.11</v>
      </c>
      <c r="E17" s="31">
        <f t="shared" si="3"/>
        <v>2.38</v>
      </c>
      <c r="G17" s="36">
        <v>42370</v>
      </c>
      <c r="H17" s="40">
        <v>2.2763825364431489</v>
      </c>
      <c r="I17" s="40">
        <v>2.3748742653912789</v>
      </c>
      <c r="J17" s="40">
        <v>2.2757987901986261</v>
      </c>
      <c r="K17" s="160">
        <f t="shared" ref="K17:K64" si="4">YEAR(G17)</f>
        <v>2016</v>
      </c>
      <c r="M17" s="161">
        <v>47</v>
      </c>
      <c r="N17" s="161">
        <v>43</v>
      </c>
      <c r="O17" s="161">
        <v>46</v>
      </c>
    </row>
    <row r="18" spans="2:15">
      <c r="B18" s="30">
        <f t="shared" si="0"/>
        <v>2020</v>
      </c>
      <c r="C18" s="31">
        <f t="shared" si="1"/>
        <v>2.4</v>
      </c>
      <c r="D18" s="31">
        <f t="shared" si="2"/>
        <v>2.15</v>
      </c>
      <c r="E18" s="31">
        <f t="shared" si="3"/>
        <v>2.39</v>
      </c>
      <c r="G18" s="36">
        <v>42401</v>
      </c>
      <c r="H18" s="40">
        <v>1.8452064945978397</v>
      </c>
      <c r="I18" s="40">
        <v>1.7746276302006363</v>
      </c>
      <c r="J18" s="40">
        <v>1.8289735727586562</v>
      </c>
      <c r="K18" s="160">
        <f t="shared" si="4"/>
        <v>2016</v>
      </c>
    </row>
    <row r="19" spans="2:15">
      <c r="B19" s="30">
        <f t="shared" si="0"/>
        <v>2021</v>
      </c>
      <c r="C19" s="31">
        <f t="shared" si="1"/>
        <v>2.4300000000000002</v>
      </c>
      <c r="D19" s="31">
        <f t="shared" si="2"/>
        <v>2.27</v>
      </c>
      <c r="E19" s="31">
        <f t="shared" si="3"/>
        <v>2.4</v>
      </c>
      <c r="G19" s="36">
        <v>42430</v>
      </c>
      <c r="H19" s="40">
        <v>1.5253593249607535</v>
      </c>
      <c r="I19" s="40">
        <v>1.4851256469456469</v>
      </c>
      <c r="J19" s="40">
        <v>1.5765269848510393</v>
      </c>
      <c r="K19" s="160">
        <f t="shared" si="4"/>
        <v>2016</v>
      </c>
    </row>
    <row r="20" spans="2:15">
      <c r="B20" s="30">
        <f t="shared" si="0"/>
        <v>2022</v>
      </c>
      <c r="C20" s="31">
        <f t="shared" si="1"/>
        <v>2.48</v>
      </c>
      <c r="D20" s="31">
        <f t="shared" si="2"/>
        <v>2.34</v>
      </c>
      <c r="E20" s="31">
        <f t="shared" si="3"/>
        <v>2.46</v>
      </c>
      <c r="G20" s="36">
        <v>42461</v>
      </c>
      <c r="H20" s="40">
        <v>1.6910448299319725</v>
      </c>
      <c r="I20" s="40">
        <v>1.4973848492599942</v>
      </c>
      <c r="J20" s="40">
        <v>1.7513146360624383</v>
      </c>
      <c r="K20" s="160">
        <f t="shared" si="4"/>
        <v>2016</v>
      </c>
    </row>
    <row r="21" spans="2:15">
      <c r="B21" s="30">
        <f t="shared" si="0"/>
        <v>2023</v>
      </c>
      <c r="C21" s="31">
        <f t="shared" si="1"/>
        <v>2.52</v>
      </c>
      <c r="D21" s="31">
        <f t="shared" si="2"/>
        <v>2.4300000000000002</v>
      </c>
      <c r="E21" s="31">
        <f t="shared" si="3"/>
        <v>2.5299999999999998</v>
      </c>
      <c r="G21" s="36">
        <v>42491</v>
      </c>
      <c r="H21" s="40">
        <v>1.7310108163265305</v>
      </c>
      <c r="I21" s="40">
        <v>1.5718715629148743</v>
      </c>
      <c r="J21" s="40">
        <v>1.8004724578470166</v>
      </c>
      <c r="K21" s="160">
        <f t="shared" si="4"/>
        <v>2016</v>
      </c>
    </row>
    <row r="22" spans="2:15">
      <c r="B22" s="30">
        <f t="shared" si="0"/>
        <v>2024</v>
      </c>
      <c r="C22" s="31">
        <f t="shared" si="1"/>
        <v>3.14</v>
      </c>
      <c r="D22" s="31">
        <f t="shared" si="2"/>
        <v>3.09</v>
      </c>
      <c r="E22" s="31">
        <f t="shared" si="3"/>
        <v>3.16</v>
      </c>
      <c r="G22" s="36">
        <v>42522</v>
      </c>
      <c r="H22" s="40">
        <v>2.3388150491307629</v>
      </c>
      <c r="I22" s="40">
        <v>2.1751230113991165</v>
      </c>
      <c r="J22" s="40">
        <v>2.3647654677733372</v>
      </c>
      <c r="K22" s="160">
        <f t="shared" si="4"/>
        <v>2016</v>
      </c>
    </row>
    <row r="23" spans="2:15">
      <c r="B23" s="30">
        <f t="shared" si="0"/>
        <v>2025</v>
      </c>
      <c r="C23" s="31">
        <f t="shared" si="1"/>
        <v>3.82</v>
      </c>
      <c r="D23" s="31">
        <f t="shared" si="2"/>
        <v>3.79</v>
      </c>
      <c r="E23" s="31">
        <f t="shared" si="3"/>
        <v>3.84</v>
      </c>
      <c r="G23" s="36">
        <v>42552</v>
      </c>
      <c r="H23" s="40">
        <v>2.58101081632653</v>
      </c>
      <c r="I23" s="40">
        <v>2.5037871798230165</v>
      </c>
      <c r="J23" s="40">
        <v>2.6063456138089238</v>
      </c>
      <c r="K23" s="160">
        <f t="shared" si="4"/>
        <v>2016</v>
      </c>
    </row>
    <row r="24" spans="2:15">
      <c r="B24" s="30">
        <f t="shared" si="0"/>
        <v>2026</v>
      </c>
      <c r="C24" s="31">
        <f t="shared" si="1"/>
        <v>3.88</v>
      </c>
      <c r="D24" s="31">
        <f t="shared" si="2"/>
        <v>3.85</v>
      </c>
      <c r="E24" s="31">
        <f t="shared" si="3"/>
        <v>3.9</v>
      </c>
      <c r="G24" s="36">
        <v>42583</v>
      </c>
      <c r="H24" s="40">
        <v>2.6353985714285706</v>
      </c>
      <c r="I24" s="40">
        <v>2.6477537958754924</v>
      </c>
      <c r="J24" s="40">
        <v>2.6355990076984344</v>
      </c>
      <c r="K24" s="160">
        <f t="shared" si="4"/>
        <v>2016</v>
      </c>
    </row>
    <row r="25" spans="2:15">
      <c r="B25" s="30">
        <f t="shared" si="0"/>
        <v>2027</v>
      </c>
      <c r="C25" s="31">
        <f t="shared" si="1"/>
        <v>4.0199999999999996</v>
      </c>
      <c r="D25" s="31">
        <f t="shared" si="2"/>
        <v>3.99</v>
      </c>
      <c r="E25" s="31">
        <f t="shared" si="3"/>
        <v>4.04</v>
      </c>
      <c r="G25" s="36">
        <v>42614</v>
      </c>
      <c r="H25" s="40">
        <v>2.7123373469387757</v>
      </c>
      <c r="I25" s="40">
        <v>2.7714741535603351</v>
      </c>
      <c r="J25" s="40">
        <v>2.7681537930798932</v>
      </c>
      <c r="K25" s="160">
        <f t="shared" si="4"/>
        <v>2016</v>
      </c>
    </row>
    <row r="26" spans="2:15">
      <c r="B26" s="30">
        <f t="shared" si="0"/>
        <v>2028</v>
      </c>
      <c r="C26" s="31">
        <f t="shared" si="1"/>
        <v>4.21</v>
      </c>
      <c r="D26" s="31">
        <f t="shared" si="2"/>
        <v>4.17</v>
      </c>
      <c r="E26" s="31">
        <f t="shared" si="3"/>
        <v>4.24</v>
      </c>
      <c r="G26" s="36">
        <v>42644</v>
      </c>
      <c r="H26" s="40">
        <v>2.6862698430141281</v>
      </c>
      <c r="I26" s="40">
        <v>2.6942040298820258</v>
      </c>
      <c r="J26" s="40">
        <v>2.7499682086675996</v>
      </c>
      <c r="K26" s="160">
        <f t="shared" si="4"/>
        <v>2016</v>
      </c>
    </row>
    <row r="27" spans="2:15">
      <c r="B27" s="30">
        <f t="shared" si="0"/>
        <v>2029</v>
      </c>
      <c r="C27" s="31">
        <f t="shared" si="1"/>
        <v>4.51</v>
      </c>
      <c r="D27" s="31">
        <f t="shared" si="2"/>
        <v>4.47</v>
      </c>
      <c r="E27" s="31">
        <f t="shared" si="3"/>
        <v>4.54</v>
      </c>
      <c r="G27" s="36">
        <v>42675</v>
      </c>
      <c r="H27" s="40">
        <v>2.269616258503401</v>
      </c>
      <c r="I27" s="40">
        <v>2.2676824839611038</v>
      </c>
      <c r="J27" s="40">
        <v>2.3066994090924613</v>
      </c>
      <c r="K27" s="160">
        <f t="shared" si="4"/>
        <v>2016</v>
      </c>
    </row>
    <row r="28" spans="2:15">
      <c r="B28" s="30">
        <f t="shared" si="0"/>
        <v>2030</v>
      </c>
      <c r="C28" s="31">
        <f t="shared" si="1"/>
        <v>4.82</v>
      </c>
      <c r="D28" s="31">
        <f t="shared" si="2"/>
        <v>4.7699999999999996</v>
      </c>
      <c r="E28" s="31">
        <f t="shared" si="3"/>
        <v>4.8499999999999996</v>
      </c>
      <c r="G28" s="36">
        <v>42705</v>
      </c>
      <c r="H28" s="40">
        <v>3.5123636800526663</v>
      </c>
      <c r="I28" s="40">
        <v>3.8167860057158185</v>
      </c>
      <c r="J28" s="40">
        <v>3.5518748027461844</v>
      </c>
      <c r="K28" s="160">
        <f t="shared" si="4"/>
        <v>2016</v>
      </c>
    </row>
    <row r="29" spans="2:15">
      <c r="B29" s="30">
        <f t="shared" si="0"/>
        <v>2031</v>
      </c>
      <c r="C29" s="31">
        <f t="shared" si="1"/>
        <v>5.08</v>
      </c>
      <c r="D29" s="31">
        <f t="shared" si="2"/>
        <v>5.03</v>
      </c>
      <c r="E29" s="31">
        <f t="shared" si="3"/>
        <v>5.1100000000000003</v>
      </c>
      <c r="G29" s="36">
        <v>42736</v>
      </c>
      <c r="H29" s="40">
        <v>3.2524393877551017</v>
      </c>
      <c r="I29" s="40">
        <v>3.3561960050231532</v>
      </c>
      <c r="J29" s="40">
        <v>3.2801653137385181</v>
      </c>
      <c r="K29" s="160">
        <f t="shared" si="4"/>
        <v>2017</v>
      </c>
    </row>
    <row r="30" spans="2:15">
      <c r="B30" s="30">
        <f t="shared" si="0"/>
        <v>2032</v>
      </c>
      <c r="C30" s="31">
        <f t="shared" si="1"/>
        <v>5.25</v>
      </c>
      <c r="D30" s="31">
        <f t="shared" si="2"/>
        <v>5.2</v>
      </c>
      <c r="E30" s="31">
        <f t="shared" si="3"/>
        <v>5.28</v>
      </c>
      <c r="G30" s="36">
        <v>42767</v>
      </c>
      <c r="H30" s="40">
        <v>2.6306099416909614</v>
      </c>
      <c r="I30" s="40">
        <v>2.6504924458347814</v>
      </c>
      <c r="J30" s="40">
        <v>2.6686241769502144</v>
      </c>
      <c r="K30" s="160">
        <f t="shared" si="4"/>
        <v>2017</v>
      </c>
    </row>
    <row r="31" spans="2:15">
      <c r="B31" s="30">
        <f t="shared" si="0"/>
        <v>2033</v>
      </c>
      <c r="C31" s="31">
        <f t="shared" si="1"/>
        <v>5.5</v>
      </c>
      <c r="D31" s="31">
        <f t="shared" si="2"/>
        <v>5.44</v>
      </c>
      <c r="E31" s="31">
        <f t="shared" si="3"/>
        <v>5.53</v>
      </c>
      <c r="G31" s="36">
        <v>42795</v>
      </c>
      <c r="H31" s="40">
        <v>2.5701319486504275</v>
      </c>
      <c r="I31" s="40">
        <v>2.5253807890537106</v>
      </c>
      <c r="J31" s="40">
        <v>2.6203938538123621</v>
      </c>
      <c r="K31" s="160">
        <f t="shared" si="4"/>
        <v>2017</v>
      </c>
    </row>
    <row r="32" spans="2:15">
      <c r="B32" s="30">
        <f t="shared" si="0"/>
        <v>2034</v>
      </c>
      <c r="C32" s="31">
        <f t="shared" si="1"/>
        <v>5.78</v>
      </c>
      <c r="D32" s="31">
        <f t="shared" si="2"/>
        <v>5.73</v>
      </c>
      <c r="E32" s="31">
        <f t="shared" si="3"/>
        <v>5.81</v>
      </c>
      <c r="G32" s="36">
        <v>42826</v>
      </c>
      <c r="H32" s="40">
        <v>2.7337319047619042</v>
      </c>
      <c r="I32" s="40">
        <v>2.7006025141930237</v>
      </c>
      <c r="J32" s="40">
        <v>2.8173391604331051</v>
      </c>
      <c r="K32" s="160">
        <f t="shared" si="4"/>
        <v>2017</v>
      </c>
    </row>
    <row r="33" spans="2:11">
      <c r="B33" s="30">
        <f t="shared" si="0"/>
        <v>2035</v>
      </c>
      <c r="C33" s="31">
        <f t="shared" si="1"/>
        <v>6</v>
      </c>
      <c r="D33" s="31">
        <f t="shared" si="2"/>
        <v>5.93</v>
      </c>
      <c r="E33" s="31">
        <f t="shared" si="3"/>
        <v>6.03</v>
      </c>
      <c r="G33" s="36">
        <v>42856</v>
      </c>
      <c r="H33" s="40">
        <v>2.793469670836076</v>
      </c>
      <c r="I33" s="40">
        <v>2.7443261884205832</v>
      </c>
      <c r="J33" s="40">
        <v>2.8496280759861037</v>
      </c>
      <c r="K33" s="160">
        <f t="shared" si="4"/>
        <v>2017</v>
      </c>
    </row>
    <row r="34" spans="2:11">
      <c r="B34" s="30">
        <f t="shared" si="0"/>
        <v>2036</v>
      </c>
      <c r="C34" s="31">
        <f t="shared" si="1"/>
        <v>6.37</v>
      </c>
      <c r="D34" s="31">
        <f t="shared" si="2"/>
        <v>6.3</v>
      </c>
      <c r="E34" s="31">
        <f t="shared" si="3"/>
        <v>6.4</v>
      </c>
      <c r="G34" s="36">
        <v>42887</v>
      </c>
      <c r="H34" s="40">
        <v>2.8754985714285715</v>
      </c>
      <c r="I34" s="40">
        <v>2.8528564316455696</v>
      </c>
      <c r="J34" s="40">
        <v>2.9027304231990985</v>
      </c>
      <c r="K34" s="160">
        <f t="shared" si="4"/>
        <v>2017</v>
      </c>
    </row>
    <row r="35" spans="2:11">
      <c r="B35" s="30">
        <f t="shared" si="0"/>
        <v>2037</v>
      </c>
      <c r="C35" s="31">
        <f t="shared" si="1"/>
        <v>6.55</v>
      </c>
      <c r="D35" s="31">
        <f t="shared" si="2"/>
        <v>6.47</v>
      </c>
      <c r="E35" s="31">
        <f t="shared" si="3"/>
        <v>6.58</v>
      </c>
      <c r="G35" s="36">
        <v>42917</v>
      </c>
      <c r="H35" s="40">
        <v>2.6189359863945567</v>
      </c>
      <c r="I35" s="40">
        <v>2.5466376239436985</v>
      </c>
      <c r="J35" s="40">
        <v>2.6888170462996945</v>
      </c>
      <c r="K35" s="160">
        <f t="shared" si="4"/>
        <v>2017</v>
      </c>
    </row>
    <row r="36" spans="2:11">
      <c r="B36" s="30">
        <f t="shared" si="0"/>
        <v>2038</v>
      </c>
      <c r="C36" s="31">
        <f t="shared" si="1"/>
        <v>6.83</v>
      </c>
      <c r="D36" s="31">
        <f t="shared" si="2"/>
        <v>6.75</v>
      </c>
      <c r="E36" s="31">
        <f t="shared" si="3"/>
        <v>6.87</v>
      </c>
      <c r="G36" s="36">
        <v>42948</v>
      </c>
      <c r="H36" s="40">
        <v>2.6204058600583098</v>
      </c>
      <c r="I36" s="40">
        <v>2.6257784553802681</v>
      </c>
      <c r="J36" s="40">
        <v>2.6400613898171748</v>
      </c>
      <c r="K36" s="160">
        <f t="shared" si="4"/>
        <v>2017</v>
      </c>
    </row>
    <row r="37" spans="2:11">
      <c r="B37" s="30">
        <f t="shared" si="0"/>
        <v>2039</v>
      </c>
      <c r="C37" s="31">
        <f t="shared" si="1"/>
        <v>6.99</v>
      </c>
      <c r="D37" s="31">
        <f t="shared" si="2"/>
        <v>6.9</v>
      </c>
      <c r="E37" s="31">
        <f t="shared" si="3"/>
        <v>7.03</v>
      </c>
      <c r="G37" s="36">
        <v>42979</v>
      </c>
      <c r="H37" s="40">
        <v>2.6225484658691061</v>
      </c>
      <c r="I37" s="40">
        <v>2.6345373614490408</v>
      </c>
      <c r="J37" s="40">
        <v>2.6856658332479428</v>
      </c>
      <c r="K37" s="160">
        <f t="shared" si="4"/>
        <v>2017</v>
      </c>
    </row>
    <row r="38" spans="2:11">
      <c r="B38" s="30">
        <f t="shared" si="0"/>
        <v>2040</v>
      </c>
      <c r="C38" s="31">
        <f t="shared" si="1"/>
        <v>7.17</v>
      </c>
      <c r="D38" s="31">
        <f t="shared" si="2"/>
        <v>7.08</v>
      </c>
      <c r="E38" s="31">
        <f t="shared" si="3"/>
        <v>7.21</v>
      </c>
      <c r="G38" s="36">
        <v>43009</v>
      </c>
      <c r="H38" s="40">
        <v>2.5740380272108854</v>
      </c>
      <c r="I38" s="40">
        <v>2.6107351568427379</v>
      </c>
      <c r="J38" s="40">
        <v>2.6111385427512732</v>
      </c>
      <c r="K38" s="160">
        <f t="shared" si="4"/>
        <v>2017</v>
      </c>
    </row>
    <row r="39" spans="2:11">
      <c r="B39" s="30">
        <f t="shared" si="0"/>
        <v>2041</v>
      </c>
      <c r="C39" s="31">
        <f t="shared" si="1"/>
        <v>7.33</v>
      </c>
      <c r="D39" s="31">
        <f t="shared" si="2"/>
        <v>7.24</v>
      </c>
      <c r="E39" s="31">
        <f t="shared" si="3"/>
        <v>7.37</v>
      </c>
      <c r="G39" s="36">
        <v>43040</v>
      </c>
      <c r="H39" s="40">
        <v>2.7398543537414972</v>
      </c>
      <c r="I39" s="40">
        <v>2.739633333333332</v>
      </c>
      <c r="J39" s="40">
        <v>2.7824995252245799</v>
      </c>
      <c r="K39" s="160">
        <f t="shared" si="4"/>
        <v>2017</v>
      </c>
    </row>
    <row r="40" spans="2:11">
      <c r="B40" s="30">
        <f t="shared" si="0"/>
        <v>2042</v>
      </c>
      <c r="C40" s="31">
        <f>ROUND(SUMIF($K$17:$K$340,$B40,$H$17:$H$340)/COUNTIF($K$17:$K$340,$B40),2)</f>
        <v>5.01</v>
      </c>
      <c r="D40" s="31">
        <f t="shared" si="2"/>
        <v>4.95</v>
      </c>
      <c r="E40" s="31">
        <f t="shared" si="3"/>
        <v>5.03</v>
      </c>
      <c r="G40" s="36">
        <v>43070</v>
      </c>
      <c r="H40" s="40">
        <v>2.5383676300197497</v>
      </c>
      <c r="I40" s="40">
        <v>2.6872597624466938</v>
      </c>
      <c r="J40" s="40">
        <v>2.5594079648562609</v>
      </c>
      <c r="K40" s="160">
        <f t="shared" si="4"/>
        <v>2017</v>
      </c>
    </row>
    <row r="41" spans="2:11">
      <c r="B41" s="30"/>
      <c r="C41" s="31"/>
      <c r="G41" s="36">
        <v>43101</v>
      </c>
      <c r="H41" s="40">
        <v>2.7080516326530608</v>
      </c>
      <c r="I41" s="40">
        <v>2.4846657745336573</v>
      </c>
      <c r="J41" s="40">
        <v>2.6757604467670868</v>
      </c>
      <c r="K41" s="160">
        <f t="shared" si="4"/>
        <v>2018</v>
      </c>
    </row>
    <row r="42" spans="2:11">
      <c r="B42" s="30"/>
      <c r="C42" s="31"/>
      <c r="G42" s="36">
        <v>43132</v>
      </c>
      <c r="H42" s="40">
        <v>2.7570312244897957</v>
      </c>
      <c r="I42" s="40">
        <v>2.4471556366585561</v>
      </c>
      <c r="J42" s="40">
        <v>2.7172606004713598</v>
      </c>
      <c r="K42" s="160">
        <f t="shared" si="4"/>
        <v>2018</v>
      </c>
    </row>
    <row r="43" spans="2:11">
      <c r="G43" s="36">
        <v>43160</v>
      </c>
      <c r="H43" s="40">
        <v>2.5151944897959182</v>
      </c>
      <c r="I43" s="40">
        <v>2.2170258718572584</v>
      </c>
      <c r="J43" s="40">
        <v>2.510272179526591</v>
      </c>
      <c r="K43" s="160">
        <f t="shared" si="4"/>
        <v>2018</v>
      </c>
    </row>
    <row r="44" spans="2:11">
      <c r="B44" s="162" t="str">
        <f>"Official Forward Price Curve Forecast dated   "&amp;TEXT(G5,"MMM dd, YYYY")</f>
        <v>Official Forward Price Curve Forecast dated   Dec 29, 2017</v>
      </c>
      <c r="G44" s="36">
        <v>43191</v>
      </c>
      <c r="H44" s="40">
        <v>2.2274393877551018</v>
      </c>
      <c r="I44" s="40">
        <v>1.8652416058394161</v>
      </c>
      <c r="J44" s="40">
        <v>2.2110611947945484</v>
      </c>
      <c r="K44" s="160">
        <f t="shared" si="4"/>
        <v>2018</v>
      </c>
    </row>
    <row r="45" spans="2:11">
      <c r="G45" s="36">
        <v>43221</v>
      </c>
      <c r="H45" s="40">
        <v>2.1657046938775508</v>
      </c>
      <c r="I45" s="40">
        <v>1.7849496350364964</v>
      </c>
      <c r="J45" s="40">
        <v>2.1567523516753764</v>
      </c>
      <c r="K45" s="160">
        <f t="shared" si="4"/>
        <v>2018</v>
      </c>
    </row>
    <row r="46" spans="2:11">
      <c r="G46" s="36">
        <v>43252</v>
      </c>
      <c r="H46" s="40">
        <v>2.2595822448979592</v>
      </c>
      <c r="I46" s="40">
        <v>1.8832870235198702</v>
      </c>
      <c r="J46" s="40">
        <v>2.2407773542371148</v>
      </c>
      <c r="K46" s="160">
        <f t="shared" si="4"/>
        <v>2018</v>
      </c>
    </row>
    <row r="47" spans="2:11">
      <c r="G47" s="36">
        <v>43282</v>
      </c>
      <c r="H47" s="40">
        <v>2.3116230612244895</v>
      </c>
      <c r="I47" s="40">
        <v>1.9500956204379563</v>
      </c>
      <c r="J47" s="40">
        <v>2.2751046418690439</v>
      </c>
      <c r="K47" s="160">
        <f t="shared" si="4"/>
        <v>2018</v>
      </c>
    </row>
    <row r="48" spans="2:11">
      <c r="G48" s="36">
        <v>43313</v>
      </c>
      <c r="H48" s="40">
        <v>2.3376434693877548</v>
      </c>
      <c r="I48" s="40">
        <v>1.9899374695863747</v>
      </c>
      <c r="J48" s="40">
        <v>2.3012343682754381</v>
      </c>
      <c r="K48" s="160">
        <f t="shared" si="4"/>
        <v>2018</v>
      </c>
    </row>
    <row r="49" spans="7:13">
      <c r="G49" s="36">
        <v>43344</v>
      </c>
      <c r="H49" s="40">
        <v>2.3192761224489797</v>
      </c>
      <c r="I49" s="40">
        <v>1.9779747769667477</v>
      </c>
      <c r="J49" s="40">
        <v>2.2904750691669227</v>
      </c>
      <c r="K49" s="160">
        <f t="shared" si="4"/>
        <v>2018</v>
      </c>
      <c r="L49" s="4"/>
      <c r="M49" s="4"/>
    </row>
    <row r="50" spans="7:13">
      <c r="G50" s="36">
        <v>43374</v>
      </c>
      <c r="H50" s="40">
        <v>2.2815210204081633</v>
      </c>
      <c r="I50" s="40">
        <v>2.0621191403081913</v>
      </c>
      <c r="J50" s="40">
        <v>2.2756169894456399</v>
      </c>
      <c r="K50" s="160">
        <f t="shared" si="4"/>
        <v>2018</v>
      </c>
      <c r="L50" s="4"/>
      <c r="M50" s="4"/>
    </row>
    <row r="51" spans="7:13">
      <c r="G51" s="36">
        <v>43405</v>
      </c>
      <c r="H51" s="40">
        <v>2.4881536734693874</v>
      </c>
      <c r="I51" s="40">
        <v>2.2573746147607463</v>
      </c>
      <c r="J51" s="40">
        <v>2.4216360487754893</v>
      </c>
      <c r="K51" s="160">
        <f t="shared" si="4"/>
        <v>2018</v>
      </c>
      <c r="L51" s="4"/>
      <c r="M51" s="4"/>
    </row>
    <row r="52" spans="7:13">
      <c r="G52" s="36">
        <v>43435</v>
      </c>
      <c r="H52" s="40">
        <v>2.7917251020408163</v>
      </c>
      <c r="I52" s="40">
        <v>2.4169447688564478</v>
      </c>
      <c r="J52" s="40">
        <v>2.7290445947330668</v>
      </c>
      <c r="K52" s="160">
        <f t="shared" si="4"/>
        <v>2018</v>
      </c>
      <c r="L52" s="4"/>
      <c r="M52" s="4"/>
    </row>
    <row r="53" spans="7:13">
      <c r="G53" s="36">
        <v>43466</v>
      </c>
      <c r="H53" s="40">
        <v>2.8646842857142856</v>
      </c>
      <c r="I53" s="40">
        <v>2.4501969991889698</v>
      </c>
      <c r="J53" s="40">
        <v>2.8304894148990676</v>
      </c>
      <c r="K53" s="160">
        <f t="shared" si="4"/>
        <v>2019</v>
      </c>
      <c r="L53" s="4"/>
      <c r="M53" s="4"/>
    </row>
    <row r="54" spans="7:13">
      <c r="G54" s="36">
        <v>43497</v>
      </c>
      <c r="H54" s="40">
        <v>2.8136638775510203</v>
      </c>
      <c r="I54" s="40">
        <v>2.4425935928629356</v>
      </c>
      <c r="J54" s="40">
        <v>2.7920633466543703</v>
      </c>
      <c r="K54" s="160">
        <f t="shared" si="4"/>
        <v>2019</v>
      </c>
      <c r="L54" s="4"/>
      <c r="M54" s="4"/>
    </row>
    <row r="55" spans="7:13">
      <c r="G55" s="36">
        <v>43525</v>
      </c>
      <c r="H55" s="40">
        <v>2.6024393877551018</v>
      </c>
      <c r="I55" s="40">
        <v>2.3150591240875911</v>
      </c>
      <c r="J55" s="40">
        <v>2.5722662362947024</v>
      </c>
      <c r="K55" s="160">
        <f t="shared" si="4"/>
        <v>2019</v>
      </c>
      <c r="L55" s="4"/>
      <c r="M55" s="4"/>
    </row>
    <row r="56" spans="7:13">
      <c r="G56" s="36">
        <v>43556</v>
      </c>
      <c r="H56" s="40">
        <v>2.112133265306122</v>
      </c>
      <c r="I56" s="40">
        <v>1.9230274939172751</v>
      </c>
      <c r="J56" s="40">
        <v>2.1029558561328008</v>
      </c>
      <c r="K56" s="160">
        <f t="shared" si="4"/>
        <v>2019</v>
      </c>
      <c r="L56" s="4"/>
      <c r="M56" s="4"/>
    </row>
    <row r="57" spans="7:13">
      <c r="G57" s="36">
        <v>43586</v>
      </c>
      <c r="H57" s="40">
        <v>2.1044802040816326</v>
      </c>
      <c r="I57" s="40">
        <v>1.8812594484995944</v>
      </c>
      <c r="J57" s="40">
        <v>2.0875854288349216</v>
      </c>
      <c r="K57" s="160">
        <f t="shared" si="4"/>
        <v>2019</v>
      </c>
      <c r="L57" s="4"/>
      <c r="M57" s="4"/>
    </row>
    <row r="58" spans="7:13">
      <c r="G58" s="36">
        <v>43617</v>
      </c>
      <c r="H58" s="40">
        <v>2.1243781632653058</v>
      </c>
      <c r="I58" s="40">
        <v>1.9086317112733171</v>
      </c>
      <c r="J58" s="40">
        <v>2.1101287222051437</v>
      </c>
      <c r="K58" s="160">
        <f t="shared" si="4"/>
        <v>2019</v>
      </c>
      <c r="L58" s="4"/>
      <c r="M58" s="4"/>
    </row>
    <row r="59" spans="7:13">
      <c r="G59" s="36">
        <v>43647</v>
      </c>
      <c r="H59" s="40">
        <v>2.2840720408163264</v>
      </c>
      <c r="I59" s="40">
        <v>1.9696617193836172</v>
      </c>
      <c r="J59" s="40">
        <v>2.2730552515626603</v>
      </c>
      <c r="K59" s="160">
        <f t="shared" si="4"/>
        <v>2019</v>
      </c>
      <c r="L59" s="4"/>
      <c r="M59" s="4"/>
    </row>
    <row r="60" spans="7:13">
      <c r="G60" s="36">
        <v>43678</v>
      </c>
      <c r="H60" s="40">
        <v>2.2850924489795919</v>
      </c>
      <c r="I60" s="40">
        <v>1.9478652879156531</v>
      </c>
      <c r="J60" s="40">
        <v>2.2740799467158519</v>
      </c>
      <c r="K60" s="160">
        <f t="shared" si="4"/>
        <v>2019</v>
      </c>
      <c r="L60" s="4"/>
      <c r="M60" s="4"/>
    </row>
    <row r="61" spans="7:13">
      <c r="G61" s="36">
        <v>43709</v>
      </c>
      <c r="H61" s="40">
        <v>2.2503985714285712</v>
      </c>
      <c r="I61" s="40">
        <v>1.9564824817518249</v>
      </c>
      <c r="J61" s="40">
        <v>2.2494872630392457</v>
      </c>
      <c r="K61" s="160">
        <f t="shared" si="4"/>
        <v>2019</v>
      </c>
      <c r="L61" s="4"/>
      <c r="M61" s="4"/>
    </row>
    <row r="62" spans="7:13">
      <c r="G62" s="36">
        <v>43739</v>
      </c>
      <c r="H62" s="40">
        <v>2.2274393877551018</v>
      </c>
      <c r="I62" s="40">
        <v>1.9463446066504462</v>
      </c>
      <c r="J62" s="40">
        <v>2.2315550978583869</v>
      </c>
      <c r="K62" s="160">
        <f t="shared" si="4"/>
        <v>2019</v>
      </c>
      <c r="L62" s="4"/>
      <c r="M62" s="4"/>
    </row>
    <row r="63" spans="7:13">
      <c r="G63" s="36">
        <v>43770</v>
      </c>
      <c r="H63" s="40">
        <v>2.4371332653061222</v>
      </c>
      <c r="I63" s="40">
        <v>2.2053673154906726</v>
      </c>
      <c r="J63" s="40">
        <v>2.3985804078286712</v>
      </c>
      <c r="K63" s="160">
        <f t="shared" si="4"/>
        <v>2019</v>
      </c>
      <c r="L63" s="4"/>
      <c r="M63" s="4"/>
    </row>
    <row r="64" spans="7:13">
      <c r="G64" s="36">
        <v>43800</v>
      </c>
      <c r="H64" s="40">
        <v>2.6590720408163264</v>
      </c>
      <c r="I64" s="40">
        <v>2.3472975669099756</v>
      </c>
      <c r="J64" s="40">
        <v>2.6265750794138745</v>
      </c>
      <c r="K64" s="160">
        <f t="shared" si="4"/>
        <v>2019</v>
      </c>
      <c r="L64" s="4"/>
      <c r="M64" s="4"/>
    </row>
    <row r="65" spans="7:13">
      <c r="G65" s="36">
        <v>43831</v>
      </c>
      <c r="H65" s="40">
        <v>2.7544802040816325</v>
      </c>
      <c r="I65" s="40">
        <v>2.4155254663422543</v>
      </c>
      <c r="J65" s="40">
        <v>2.7684953581309562</v>
      </c>
      <c r="K65" s="160">
        <f t="shared" ref="K65:K112" si="5">YEAR(G65)</f>
        <v>2020</v>
      </c>
      <c r="L65" s="4"/>
      <c r="M65" s="4"/>
    </row>
    <row r="66" spans="7:13">
      <c r="G66" s="36">
        <v>43862</v>
      </c>
      <c r="H66" s="40">
        <v>2.7223373469387755</v>
      </c>
      <c r="I66" s="40">
        <v>2.4037655312246549</v>
      </c>
      <c r="J66" s="40">
        <v>2.7643965775181885</v>
      </c>
      <c r="K66" s="160">
        <f t="shared" si="5"/>
        <v>2020</v>
      </c>
      <c r="L66" s="4"/>
      <c r="M66" s="4"/>
    </row>
    <row r="67" spans="7:13">
      <c r="G67" s="36">
        <v>43891</v>
      </c>
      <c r="H67" s="40">
        <v>2.6335618367346938</v>
      </c>
      <c r="I67" s="40">
        <v>2.3650388483373881</v>
      </c>
      <c r="J67" s="40">
        <v>2.6060811763500356</v>
      </c>
      <c r="K67" s="160">
        <f t="shared" si="5"/>
        <v>2020</v>
      </c>
      <c r="L67" s="4"/>
      <c r="M67" s="4"/>
    </row>
    <row r="68" spans="7:13">
      <c r="G68" s="36">
        <v>43922</v>
      </c>
      <c r="H68" s="40">
        <v>2.194786326530612</v>
      </c>
      <c r="I68" s="40">
        <v>1.9303267639902677</v>
      </c>
      <c r="J68" s="40">
        <v>2.1219127164668512</v>
      </c>
      <c r="K68" s="160">
        <f t="shared" si="5"/>
        <v>2020</v>
      </c>
      <c r="L68" s="4"/>
      <c r="M68" s="4"/>
    </row>
    <row r="69" spans="7:13">
      <c r="G69" s="36">
        <v>43952</v>
      </c>
      <c r="H69" s="40">
        <v>2.111112857142857</v>
      </c>
      <c r="I69" s="40">
        <v>1.9017379562043795</v>
      </c>
      <c r="J69" s="40">
        <v>2.1121781125115278</v>
      </c>
      <c r="K69" s="160">
        <f t="shared" si="5"/>
        <v>2020</v>
      </c>
      <c r="L69" s="4"/>
      <c r="M69" s="4"/>
    </row>
    <row r="70" spans="7:13">
      <c r="G70" s="36">
        <v>43983</v>
      </c>
      <c r="H70" s="40">
        <v>2.1345822448979592</v>
      </c>
      <c r="I70" s="40">
        <v>1.9351929440389293</v>
      </c>
      <c r="J70" s="40">
        <v>2.1357461010349423</v>
      </c>
      <c r="K70" s="160">
        <f t="shared" si="5"/>
        <v>2020</v>
      </c>
      <c r="L70" s="4"/>
      <c r="M70" s="4"/>
    </row>
    <row r="71" spans="7:13">
      <c r="G71" s="36">
        <v>44013</v>
      </c>
      <c r="H71" s="40">
        <v>2.2248883673469386</v>
      </c>
      <c r="I71" s="40">
        <v>1.9818271695052716</v>
      </c>
      <c r="J71" s="40">
        <v>2.2264316220924276</v>
      </c>
      <c r="K71" s="160">
        <f t="shared" si="5"/>
        <v>2020</v>
      </c>
      <c r="L71" s="4"/>
      <c r="M71" s="4"/>
    </row>
    <row r="72" spans="7:13">
      <c r="G72" s="36">
        <v>44044</v>
      </c>
      <c r="H72" s="40">
        <v>2.2401944897959183</v>
      </c>
      <c r="I72" s="40">
        <v>2.0071718572587187</v>
      </c>
      <c r="J72" s="40">
        <v>2.2418020493903064</v>
      </c>
      <c r="K72" s="160">
        <f t="shared" si="5"/>
        <v>2020</v>
      </c>
      <c r="L72" s="4"/>
      <c r="M72" s="4"/>
    </row>
    <row r="73" spans="7:13">
      <c r="G73" s="36">
        <v>44075</v>
      </c>
      <c r="H73" s="40">
        <v>2.2305006122448976</v>
      </c>
      <c r="I73" s="40">
        <v>2.0242034874290349</v>
      </c>
      <c r="J73" s="40">
        <v>2.2320674454349834</v>
      </c>
      <c r="K73" s="160">
        <f t="shared" si="5"/>
        <v>2020</v>
      </c>
      <c r="L73" s="4"/>
      <c r="M73" s="4"/>
    </row>
    <row r="74" spans="7:13">
      <c r="G74" s="36">
        <v>44105</v>
      </c>
      <c r="H74" s="40">
        <v>2.3070312244897959</v>
      </c>
      <c r="I74" s="40">
        <v>2.0494467964314675</v>
      </c>
      <c r="J74" s="40">
        <v>2.308919581924378</v>
      </c>
      <c r="K74" s="160">
        <f t="shared" si="5"/>
        <v>2020</v>
      </c>
      <c r="L74" s="4"/>
      <c r="M74" s="4"/>
    </row>
    <row r="75" spans="7:13">
      <c r="G75" s="36">
        <v>44136</v>
      </c>
      <c r="H75" s="40">
        <v>2.4917251020408164</v>
      </c>
      <c r="I75" s="40">
        <v>2.3496292781832926</v>
      </c>
      <c r="J75" s="40">
        <v>2.4585250742903986</v>
      </c>
      <c r="K75" s="160">
        <f t="shared" si="5"/>
        <v>2020</v>
      </c>
      <c r="L75" s="4"/>
      <c r="M75" s="4"/>
    </row>
    <row r="76" spans="7:13">
      <c r="G76" s="36">
        <v>44166</v>
      </c>
      <c r="H76" s="40">
        <v>2.6998883673469387</v>
      </c>
      <c r="I76" s="40">
        <v>2.4841588807785886</v>
      </c>
      <c r="J76" s="40">
        <v>2.6701246234245311</v>
      </c>
      <c r="K76" s="160">
        <f t="shared" si="5"/>
        <v>2020</v>
      </c>
      <c r="L76" s="4"/>
      <c r="M76" s="4"/>
    </row>
    <row r="77" spans="7:13">
      <c r="G77" s="36">
        <v>44197</v>
      </c>
      <c r="H77" s="40">
        <v>2.815194489795918</v>
      </c>
      <c r="I77" s="40">
        <v>2.5669853203568529</v>
      </c>
      <c r="J77" s="40">
        <v>2.7859151757352185</v>
      </c>
      <c r="K77" s="160">
        <f t="shared" si="5"/>
        <v>2021</v>
      </c>
      <c r="L77" s="4"/>
      <c r="M77" s="4"/>
    </row>
    <row r="78" spans="7:13">
      <c r="G78" s="36">
        <v>44228</v>
      </c>
      <c r="H78" s="40">
        <v>2.8157046938775507</v>
      </c>
      <c r="I78" s="40">
        <v>2.5814824817518245</v>
      </c>
      <c r="J78" s="40">
        <v>2.8017979506096937</v>
      </c>
      <c r="K78" s="160">
        <f t="shared" si="5"/>
        <v>2021</v>
      </c>
      <c r="L78" s="4"/>
      <c r="M78" s="4"/>
    </row>
    <row r="79" spans="7:13">
      <c r="G79" s="36">
        <v>44256</v>
      </c>
      <c r="H79" s="40">
        <v>2.7340720408163266</v>
      </c>
      <c r="I79" s="40">
        <v>2.5105173560421732</v>
      </c>
      <c r="J79" s="40">
        <v>2.7172606004713598</v>
      </c>
      <c r="K79" s="160">
        <f t="shared" si="5"/>
        <v>2021</v>
      </c>
      <c r="L79" s="4"/>
      <c r="M79" s="4"/>
    </row>
    <row r="80" spans="7:13">
      <c r="G80" s="36">
        <v>44287</v>
      </c>
      <c r="H80" s="40">
        <v>2.2264189795918363</v>
      </c>
      <c r="I80" s="40">
        <v>2.0505619626926195</v>
      </c>
      <c r="J80" s="40">
        <v>2.2049130238753971</v>
      </c>
      <c r="K80" s="160">
        <f t="shared" si="5"/>
        <v>2021</v>
      </c>
      <c r="L80" s="4"/>
      <c r="M80" s="4"/>
    </row>
    <row r="81" spans="7:13">
      <c r="G81" s="36">
        <v>44317</v>
      </c>
      <c r="H81" s="40">
        <v>2.1279495918367348</v>
      </c>
      <c r="I81" s="40">
        <v>2.0173097323600975</v>
      </c>
      <c r="J81" s="40">
        <v>2.106029941592376</v>
      </c>
      <c r="K81" s="160">
        <f t="shared" si="5"/>
        <v>2021</v>
      </c>
      <c r="L81" s="4"/>
      <c r="M81" s="4"/>
    </row>
    <row r="82" spans="7:13">
      <c r="G82" s="36">
        <v>44348</v>
      </c>
      <c r="H82" s="40">
        <v>2.1651944897959181</v>
      </c>
      <c r="I82" s="40">
        <v>2.04924403892944</v>
      </c>
      <c r="J82" s="40">
        <v>2.1434313146838817</v>
      </c>
      <c r="K82" s="160">
        <f t="shared" si="5"/>
        <v>2021</v>
      </c>
      <c r="L82" s="4"/>
      <c r="M82" s="4"/>
    </row>
    <row r="83" spans="7:13">
      <c r="G83" s="36">
        <v>44378</v>
      </c>
      <c r="H83" s="40">
        <v>2.2350924489795916</v>
      </c>
      <c r="I83" s="40">
        <v>2.0882748580697483</v>
      </c>
      <c r="J83" s="40">
        <v>2.2136229326775281</v>
      </c>
      <c r="K83" s="160">
        <f t="shared" si="5"/>
        <v>2021</v>
      </c>
      <c r="L83" s="4"/>
      <c r="M83" s="4"/>
    </row>
    <row r="84" spans="7:13">
      <c r="G84" s="36">
        <v>44409</v>
      </c>
      <c r="H84" s="40">
        <v>2.2503985714285712</v>
      </c>
      <c r="I84" s="40">
        <v>2.1123016220600164</v>
      </c>
      <c r="J84" s="40">
        <v>2.2289933599754073</v>
      </c>
      <c r="K84" s="160">
        <f t="shared" si="5"/>
        <v>2021</v>
      </c>
      <c r="L84" s="4"/>
      <c r="M84" s="4"/>
    </row>
    <row r="85" spans="7:13">
      <c r="G85" s="36">
        <v>44440</v>
      </c>
      <c r="H85" s="40">
        <v>2.2631536734693878</v>
      </c>
      <c r="I85" s="40">
        <v>2.1351118410381185</v>
      </c>
      <c r="J85" s="40">
        <v>2.2418020493903064</v>
      </c>
      <c r="K85" s="160">
        <f t="shared" si="5"/>
        <v>2021</v>
      </c>
      <c r="L85" s="4"/>
      <c r="M85" s="4"/>
    </row>
    <row r="86" spans="7:13">
      <c r="G86" s="36">
        <v>44470</v>
      </c>
      <c r="H86" s="40">
        <v>2.3044802040816328</v>
      </c>
      <c r="I86" s="40">
        <v>2.1521434712084346</v>
      </c>
      <c r="J86" s="40">
        <v>2.2833022030945793</v>
      </c>
      <c r="K86" s="160">
        <f t="shared" si="5"/>
        <v>2021</v>
      </c>
      <c r="L86" s="4"/>
      <c r="M86" s="4"/>
    </row>
    <row r="87" spans="7:13">
      <c r="G87" s="36">
        <v>44501</v>
      </c>
      <c r="H87" s="40">
        <v>2.5095822448979588</v>
      </c>
      <c r="I87" s="40">
        <v>2.3851118410381185</v>
      </c>
      <c r="J87" s="40">
        <v>2.4636485500563583</v>
      </c>
      <c r="K87" s="160">
        <f t="shared" si="5"/>
        <v>2021</v>
      </c>
      <c r="L87" s="4"/>
      <c r="M87" s="4"/>
    </row>
    <row r="88" spans="7:13">
      <c r="G88" s="36">
        <v>44531</v>
      </c>
      <c r="H88" s="40">
        <v>2.7070312244897958</v>
      </c>
      <c r="I88" s="40">
        <v>2.5318068937550686</v>
      </c>
      <c r="J88" s="40">
        <v>2.6670505379649558</v>
      </c>
      <c r="K88" s="160">
        <f t="shared" si="5"/>
        <v>2021</v>
      </c>
      <c r="L88" s="4"/>
      <c r="M88" s="4"/>
    </row>
    <row r="89" spans="7:13">
      <c r="G89" s="36">
        <v>44562</v>
      </c>
      <c r="H89" s="40">
        <v>2.8182557142857143</v>
      </c>
      <c r="I89" s="40">
        <v>2.6118961070559608</v>
      </c>
      <c r="J89" s="40">
        <v>2.7761805717798955</v>
      </c>
      <c r="K89" s="160">
        <f t="shared" si="5"/>
        <v>2022</v>
      </c>
      <c r="L89" s="4"/>
      <c r="M89" s="4"/>
    </row>
    <row r="90" spans="7:13">
      <c r="G90" s="36">
        <v>44593</v>
      </c>
      <c r="H90" s="40">
        <v>2.8131536734693876</v>
      </c>
      <c r="I90" s="40">
        <v>2.6030761557177611</v>
      </c>
      <c r="J90" s="40">
        <v>2.7889892611947946</v>
      </c>
      <c r="K90" s="160">
        <f t="shared" si="5"/>
        <v>2022</v>
      </c>
      <c r="L90" s="4"/>
      <c r="M90" s="4"/>
    </row>
    <row r="91" spans="7:13">
      <c r="G91" s="36">
        <v>44621</v>
      </c>
      <c r="H91" s="40">
        <v>2.726929183673469</v>
      </c>
      <c r="I91" s="40">
        <v>2.5503592051905919</v>
      </c>
      <c r="J91" s="40">
        <v>2.6972790449841173</v>
      </c>
      <c r="K91" s="160">
        <f t="shared" si="5"/>
        <v>2022</v>
      </c>
      <c r="L91" s="4"/>
      <c r="M91" s="4"/>
    </row>
    <row r="92" spans="7:13">
      <c r="G92" s="36">
        <v>44652</v>
      </c>
      <c r="H92" s="40">
        <v>2.2958067346938775</v>
      </c>
      <c r="I92" s="40">
        <v>2.1371394160583939</v>
      </c>
      <c r="J92" s="40">
        <v>2.2848392458243674</v>
      </c>
      <c r="K92" s="160">
        <f t="shared" si="5"/>
        <v>2022</v>
      </c>
      <c r="L92" s="4"/>
      <c r="M92" s="4"/>
    </row>
    <row r="93" spans="7:13">
      <c r="G93" s="36">
        <v>44682</v>
      </c>
      <c r="H93" s="40">
        <v>2.1998883673469387</v>
      </c>
      <c r="I93" s="40">
        <v>2.1103754257907541</v>
      </c>
      <c r="J93" s="40">
        <v>2.1962031150732657</v>
      </c>
      <c r="K93" s="160">
        <f t="shared" si="5"/>
        <v>2022</v>
      </c>
      <c r="L93" s="4"/>
      <c r="M93" s="4"/>
    </row>
    <row r="94" spans="7:13">
      <c r="G94" s="36">
        <v>44713</v>
      </c>
      <c r="H94" s="40">
        <v>2.2305006122448976</v>
      </c>
      <c r="I94" s="40">
        <v>2.1369366585563663</v>
      </c>
      <c r="J94" s="40">
        <v>2.2192587560200838</v>
      </c>
      <c r="K94" s="160">
        <f t="shared" si="5"/>
        <v>2022</v>
      </c>
      <c r="L94" s="4"/>
      <c r="M94" s="4"/>
    </row>
    <row r="95" spans="7:13">
      <c r="G95" s="36">
        <v>44743</v>
      </c>
      <c r="H95" s="40">
        <v>2.2937659183673471</v>
      </c>
      <c r="I95" s="40">
        <v>2.1833681265206808</v>
      </c>
      <c r="J95" s="40">
        <v>2.2904750691669227</v>
      </c>
      <c r="K95" s="160">
        <f t="shared" si="5"/>
        <v>2022</v>
      </c>
      <c r="L95" s="4"/>
      <c r="M95" s="4"/>
    </row>
    <row r="96" spans="7:13">
      <c r="G96" s="36">
        <v>44774</v>
      </c>
      <c r="H96" s="40">
        <v>2.3141740816326526</v>
      </c>
      <c r="I96" s="40">
        <v>2.2087128142741279</v>
      </c>
      <c r="J96" s="40">
        <v>2.3109689722307616</v>
      </c>
      <c r="K96" s="160">
        <f t="shared" si="5"/>
        <v>2022</v>
      </c>
      <c r="L96" s="4"/>
      <c r="M96" s="4"/>
    </row>
    <row r="97" spans="7:13">
      <c r="G97" s="36">
        <v>44805</v>
      </c>
      <c r="H97" s="40">
        <v>2.3192761224489797</v>
      </c>
      <c r="I97" s="40">
        <v>2.2239196269261958</v>
      </c>
      <c r="J97" s="40">
        <v>2.3084072343477815</v>
      </c>
      <c r="K97" s="160">
        <f t="shared" si="5"/>
        <v>2022</v>
      </c>
      <c r="L97" s="4"/>
      <c r="M97" s="4"/>
    </row>
    <row r="98" spans="7:13">
      <c r="G98" s="36">
        <v>44835</v>
      </c>
      <c r="H98" s="40">
        <v>2.3662148979591833</v>
      </c>
      <c r="I98" s="40">
        <v>2.2489601784266013</v>
      </c>
      <c r="J98" s="40">
        <v>2.3632284250435496</v>
      </c>
      <c r="K98" s="160">
        <f t="shared" si="5"/>
        <v>2022</v>
      </c>
      <c r="L98" s="4"/>
      <c r="M98" s="4"/>
    </row>
    <row r="99" spans="7:13">
      <c r="G99" s="36">
        <v>44866</v>
      </c>
      <c r="H99" s="40">
        <v>2.5901944897959184</v>
      </c>
      <c r="I99" s="40">
        <v>2.4702699918896998</v>
      </c>
      <c r="J99" s="40">
        <v>2.5471612050415002</v>
      </c>
      <c r="K99" s="160">
        <f t="shared" si="5"/>
        <v>2022</v>
      </c>
      <c r="L99" s="4"/>
      <c r="M99" s="4"/>
    </row>
    <row r="100" spans="7:13">
      <c r="G100" s="36">
        <v>44896</v>
      </c>
      <c r="H100" s="40">
        <v>2.7743781632653057</v>
      </c>
      <c r="I100" s="40">
        <v>2.6203105433901048</v>
      </c>
      <c r="J100" s="40">
        <v>2.7372421559586022</v>
      </c>
      <c r="K100" s="160">
        <f t="shared" si="5"/>
        <v>2022</v>
      </c>
      <c r="L100" s="4"/>
      <c r="M100" s="4"/>
    </row>
    <row r="101" spans="7:13">
      <c r="G101" s="36">
        <v>44927</v>
      </c>
      <c r="H101" s="40">
        <v>2.8764189795918367</v>
      </c>
      <c r="I101" s="40">
        <v>2.7279747769667475</v>
      </c>
      <c r="J101" s="40">
        <v>2.8371499333948154</v>
      </c>
      <c r="K101" s="160">
        <f t="shared" si="5"/>
        <v>2023</v>
      </c>
      <c r="L101" s="4"/>
      <c r="M101" s="4"/>
    </row>
    <row r="102" spans="7:13">
      <c r="G102" s="36">
        <v>44958</v>
      </c>
      <c r="H102" s="40">
        <v>2.8764189795918367</v>
      </c>
      <c r="I102" s="40">
        <v>2.7051645579886454</v>
      </c>
      <c r="J102" s="40">
        <v>2.8525203606926941</v>
      </c>
      <c r="K102" s="160">
        <f t="shared" si="5"/>
        <v>2023</v>
      </c>
      <c r="L102" s="4"/>
      <c r="M102" s="4"/>
    </row>
    <row r="103" spans="7:13">
      <c r="G103" s="36">
        <v>44986</v>
      </c>
      <c r="H103" s="40">
        <v>2.7927455102040817</v>
      </c>
      <c r="I103" s="40">
        <v>2.6676544201135437</v>
      </c>
      <c r="J103" s="40">
        <v>2.7659336202479761</v>
      </c>
      <c r="K103" s="160">
        <f t="shared" si="5"/>
        <v>2023</v>
      </c>
      <c r="L103" s="4"/>
      <c r="M103" s="4"/>
    </row>
    <row r="104" spans="7:13">
      <c r="G104" s="36">
        <v>45017</v>
      </c>
      <c r="H104" s="40">
        <v>2.3238679591836733</v>
      </c>
      <c r="I104" s="40">
        <v>2.2334492295214923</v>
      </c>
      <c r="J104" s="40">
        <v>2.3514444307818425</v>
      </c>
      <c r="K104" s="160">
        <f t="shared" si="5"/>
        <v>2023</v>
      </c>
      <c r="L104" s="4"/>
      <c r="M104" s="4"/>
    </row>
    <row r="105" spans="7:13">
      <c r="G105" s="36">
        <v>45047</v>
      </c>
      <c r="H105" s="40">
        <v>2.2320312244897957</v>
      </c>
      <c r="I105" s="40">
        <v>2.2030356042173556</v>
      </c>
      <c r="J105" s="40">
        <v>2.2643453427605285</v>
      </c>
      <c r="K105" s="160">
        <f t="shared" si="5"/>
        <v>2023</v>
      </c>
      <c r="L105" s="4"/>
      <c r="M105" s="4"/>
    </row>
    <row r="106" spans="7:13">
      <c r="G106" s="36">
        <v>45078</v>
      </c>
      <c r="H106" s="40">
        <v>2.2677455102040818</v>
      </c>
      <c r="I106" s="40">
        <v>2.2322326845093263</v>
      </c>
      <c r="J106" s="40">
        <v>2.2950861973562868</v>
      </c>
      <c r="K106" s="160">
        <f t="shared" si="5"/>
        <v>2023</v>
      </c>
      <c r="L106" s="4"/>
      <c r="M106" s="4"/>
    </row>
    <row r="107" spans="7:13">
      <c r="G107" s="36">
        <v>45108</v>
      </c>
      <c r="H107" s="40">
        <v>2.3029495918367346</v>
      </c>
      <c r="I107" s="40">
        <v>2.2760283049472827</v>
      </c>
      <c r="J107" s="40">
        <v>2.3355616559073678</v>
      </c>
      <c r="K107" s="160">
        <f t="shared" si="5"/>
        <v>2023</v>
      </c>
      <c r="L107" s="4"/>
      <c r="M107" s="4"/>
    </row>
    <row r="108" spans="7:13">
      <c r="G108" s="36">
        <v>45139</v>
      </c>
      <c r="H108" s="40">
        <v>2.3264189795918364</v>
      </c>
      <c r="I108" s="40">
        <v>2.3045157339821571</v>
      </c>
      <c r="J108" s="40">
        <v>2.3591296444307819</v>
      </c>
      <c r="K108" s="160">
        <f t="shared" si="5"/>
        <v>2023</v>
      </c>
      <c r="L108" s="4"/>
      <c r="M108" s="4"/>
    </row>
    <row r="109" spans="7:13">
      <c r="G109" s="36">
        <v>45170</v>
      </c>
      <c r="H109" s="40">
        <v>2.3396842857142857</v>
      </c>
      <c r="I109" s="40">
        <v>2.3251969991889698</v>
      </c>
      <c r="J109" s="40">
        <v>2.3673272056563173</v>
      </c>
      <c r="K109" s="160">
        <f t="shared" si="5"/>
        <v>2023</v>
      </c>
      <c r="L109" s="4"/>
      <c r="M109" s="4"/>
    </row>
    <row r="110" spans="7:13">
      <c r="G110" s="36">
        <v>45200</v>
      </c>
      <c r="H110" s="40">
        <v>2.3937659183673468</v>
      </c>
      <c r="I110" s="40">
        <v>2.3498320356853202</v>
      </c>
      <c r="J110" s="40">
        <v>2.4267595245414491</v>
      </c>
      <c r="K110" s="160">
        <f t="shared" si="5"/>
        <v>2023</v>
      </c>
      <c r="L110" s="4"/>
      <c r="M110" s="4"/>
    </row>
    <row r="111" spans="7:13">
      <c r="G111" s="36">
        <v>45231</v>
      </c>
      <c r="H111" s="40">
        <v>2.6585618367346937</v>
      </c>
      <c r="I111" s="40">
        <v>2.5115311435523111</v>
      </c>
      <c r="J111" s="40">
        <v>2.6721740137309151</v>
      </c>
      <c r="K111" s="160">
        <f t="shared" si="5"/>
        <v>2023</v>
      </c>
      <c r="L111" s="4"/>
      <c r="M111" s="4"/>
    </row>
    <row r="112" spans="7:13">
      <c r="G112" s="36">
        <v>45261</v>
      </c>
      <c r="H112" s="40">
        <v>2.8401944897959184</v>
      </c>
      <c r="I112" s="40">
        <v>2.6615716950527166</v>
      </c>
      <c r="J112" s="40">
        <v>2.8571314888820574</v>
      </c>
      <c r="K112" s="160">
        <f t="shared" si="5"/>
        <v>2023</v>
      </c>
      <c r="L112" s="4"/>
      <c r="M112" s="4"/>
    </row>
    <row r="113" spans="7:13">
      <c r="G113" s="36">
        <v>45292</v>
      </c>
      <c r="H113" s="40">
        <v>2.8494802040816327</v>
      </c>
      <c r="I113" s="40">
        <v>2.7938709651257096</v>
      </c>
      <c r="J113" s="40">
        <v>2.8832612152884516</v>
      </c>
      <c r="K113" s="160">
        <f t="shared" ref="K113:K159" si="6">YEAR(G113)</f>
        <v>2024</v>
      </c>
      <c r="L113" s="4"/>
      <c r="M113" s="4"/>
    </row>
    <row r="114" spans="7:13">
      <c r="G114" s="36">
        <v>45323</v>
      </c>
      <c r="H114" s="40">
        <v>3.5318271428571428</v>
      </c>
      <c r="I114" s="40">
        <v>3.4538466342254659</v>
      </c>
      <c r="J114" s="40">
        <v>3.5106820575878674</v>
      </c>
      <c r="K114" s="160">
        <f t="shared" si="6"/>
        <v>2024</v>
      </c>
      <c r="L114" s="4"/>
      <c r="M114" s="4"/>
    </row>
    <row r="115" spans="7:13">
      <c r="G115" s="36">
        <v>45352</v>
      </c>
      <c r="H115" s="40">
        <v>3.3849904081632651</v>
      </c>
      <c r="I115" s="40">
        <v>3.3307728304947282</v>
      </c>
      <c r="J115" s="40">
        <v>3.3606666871605699</v>
      </c>
      <c r="K115" s="160">
        <f t="shared" si="6"/>
        <v>2024</v>
      </c>
      <c r="L115" s="4"/>
      <c r="M115" s="4"/>
    </row>
    <row r="116" spans="7:13">
      <c r="G116" s="36">
        <v>45383</v>
      </c>
      <c r="H116" s="40">
        <v>2.9931536734693873</v>
      </c>
      <c r="I116" s="40">
        <v>2.9572935117599348</v>
      </c>
      <c r="J116" s="40">
        <v>3.0235419817604261</v>
      </c>
      <c r="K116" s="160">
        <f t="shared" si="6"/>
        <v>2024</v>
      </c>
      <c r="L116" s="4"/>
      <c r="M116" s="4"/>
    </row>
    <row r="117" spans="7:13">
      <c r="G117" s="36">
        <v>45413</v>
      </c>
      <c r="H117" s="40">
        <v>2.9275414285714283</v>
      </c>
      <c r="I117" s="40">
        <v>2.9225206001622057</v>
      </c>
      <c r="J117" s="40">
        <v>2.9627775591761449</v>
      </c>
      <c r="K117" s="160">
        <f t="shared" si="6"/>
        <v>2024</v>
      </c>
      <c r="L117" s="4"/>
      <c r="M117" s="4"/>
    </row>
    <row r="118" spans="7:13">
      <c r="G118" s="36">
        <v>45444</v>
      </c>
      <c r="H118" s="40">
        <v>2.9519291836734691</v>
      </c>
      <c r="I118" s="40">
        <v>2.9371191403081909</v>
      </c>
      <c r="J118" s="40">
        <v>2.9821442975714723</v>
      </c>
      <c r="K118" s="160">
        <f t="shared" si="6"/>
        <v>2024</v>
      </c>
      <c r="L118" s="4"/>
      <c r="M118" s="4"/>
    </row>
    <row r="119" spans="7:13">
      <c r="G119" s="36">
        <v>45474</v>
      </c>
      <c r="H119" s="40">
        <v>3.0285618367346938</v>
      </c>
      <c r="I119" s="40">
        <v>2.9720948094079476</v>
      </c>
      <c r="J119" s="40">
        <v>3.0642223793421457</v>
      </c>
      <c r="K119" s="160">
        <f t="shared" si="6"/>
        <v>2024</v>
      </c>
      <c r="L119" s="4"/>
      <c r="M119" s="4"/>
    </row>
    <row r="120" spans="7:13">
      <c r="G120" s="36">
        <v>45505</v>
      </c>
      <c r="H120" s="40">
        <v>3.059990408163265</v>
      </c>
      <c r="I120" s="40">
        <v>2.986287834549878</v>
      </c>
      <c r="J120" s="40">
        <v>3.095782990060457</v>
      </c>
      <c r="K120" s="160">
        <f t="shared" si="6"/>
        <v>2024</v>
      </c>
      <c r="L120" s="4"/>
      <c r="M120" s="4"/>
    </row>
    <row r="121" spans="7:13">
      <c r="G121" s="36">
        <v>45536</v>
      </c>
      <c r="H121" s="40">
        <v>3.0731536734693878</v>
      </c>
      <c r="I121" s="40">
        <v>3.0292724249797236</v>
      </c>
      <c r="J121" s="40">
        <v>3.1038780817706733</v>
      </c>
      <c r="K121" s="160">
        <f t="shared" si="6"/>
        <v>2024</v>
      </c>
      <c r="L121" s="4"/>
      <c r="M121" s="4"/>
    </row>
    <row r="122" spans="7:13">
      <c r="G122" s="36">
        <v>45566</v>
      </c>
      <c r="H122" s="40">
        <v>3.1001944897959182</v>
      </c>
      <c r="I122" s="40">
        <v>3.0415392538523922</v>
      </c>
      <c r="J122" s="40">
        <v>3.1361559790962188</v>
      </c>
      <c r="K122" s="160">
        <f t="shared" si="6"/>
        <v>2024</v>
      </c>
      <c r="L122" s="4"/>
      <c r="M122" s="4"/>
    </row>
    <row r="123" spans="7:13">
      <c r="G123" s="36">
        <v>45597</v>
      </c>
      <c r="H123" s="40">
        <v>3.2982557142857143</v>
      </c>
      <c r="I123" s="40">
        <v>3.2332464720194642</v>
      </c>
      <c r="J123" s="40">
        <v>3.3145554052669333</v>
      </c>
      <c r="K123" s="160">
        <f t="shared" si="6"/>
        <v>2024</v>
      </c>
      <c r="L123" s="4"/>
      <c r="M123" s="4"/>
    </row>
    <row r="124" spans="7:13">
      <c r="G124" s="36">
        <v>45627</v>
      </c>
      <c r="H124" s="40">
        <v>3.4809087755102039</v>
      </c>
      <c r="I124" s="40">
        <v>3.399507623682076</v>
      </c>
      <c r="J124" s="40">
        <v>3.5005375755712675</v>
      </c>
      <c r="K124" s="160">
        <f t="shared" si="6"/>
        <v>2024</v>
      </c>
      <c r="L124" s="4"/>
      <c r="M124" s="4"/>
    </row>
    <row r="125" spans="7:13">
      <c r="G125" s="36">
        <v>45658</v>
      </c>
      <c r="H125" s="40">
        <v>3.4928475510204078</v>
      </c>
      <c r="I125" s="40">
        <v>3.4728044606650443</v>
      </c>
      <c r="J125" s="40">
        <v>3.5292290398606414</v>
      </c>
      <c r="K125" s="160">
        <f t="shared" si="6"/>
        <v>2025</v>
      </c>
      <c r="L125" s="4"/>
      <c r="M125" s="4"/>
    </row>
    <row r="126" spans="7:13">
      <c r="G126" s="36">
        <v>45689</v>
      </c>
      <c r="H126" s="40">
        <v>4.1871332653061222</v>
      </c>
      <c r="I126" s="40">
        <v>4.2025287104622864</v>
      </c>
      <c r="J126" s="40">
        <v>4.1687412849677221</v>
      </c>
      <c r="K126" s="160">
        <f t="shared" si="6"/>
        <v>2025</v>
      </c>
      <c r="L126" s="4"/>
      <c r="M126" s="4"/>
    </row>
    <row r="127" spans="7:13">
      <c r="G127" s="36">
        <v>45717</v>
      </c>
      <c r="H127" s="40">
        <v>3.977235306122449</v>
      </c>
      <c r="I127" s="40">
        <v>3.9939926196269258</v>
      </c>
      <c r="J127" s="40">
        <v>3.9553997540731634</v>
      </c>
      <c r="K127" s="160">
        <f t="shared" si="6"/>
        <v>2025</v>
      </c>
      <c r="L127" s="4"/>
      <c r="M127" s="4"/>
    </row>
    <row r="128" spans="7:13">
      <c r="G128" s="36">
        <v>45748</v>
      </c>
      <c r="H128" s="40">
        <v>3.6623373469387754</v>
      </c>
      <c r="I128" s="40">
        <v>3.6811377939983778</v>
      </c>
      <c r="J128" s="40">
        <v>3.695537063223691</v>
      </c>
      <c r="K128" s="160">
        <f t="shared" si="6"/>
        <v>2025</v>
      </c>
      <c r="L128" s="4"/>
      <c r="M128" s="4"/>
    </row>
    <row r="129" spans="7:13">
      <c r="G129" s="36">
        <v>45778</v>
      </c>
      <c r="H129" s="40">
        <v>3.6229495918367349</v>
      </c>
      <c r="I129" s="40">
        <v>3.6420055961070554</v>
      </c>
      <c r="J129" s="40">
        <v>3.6611073060764423</v>
      </c>
      <c r="K129" s="160">
        <f t="shared" si="6"/>
        <v>2025</v>
      </c>
      <c r="L129" s="4"/>
      <c r="M129" s="4"/>
    </row>
    <row r="130" spans="7:13">
      <c r="G130" s="36">
        <v>45809</v>
      </c>
      <c r="H130" s="40">
        <v>3.6361128571428569</v>
      </c>
      <c r="I130" s="40">
        <v>3.6420055961070554</v>
      </c>
      <c r="J130" s="40">
        <v>3.6692023977866586</v>
      </c>
      <c r="K130" s="160">
        <f t="shared" si="6"/>
        <v>2025</v>
      </c>
      <c r="L130" s="4"/>
      <c r="M130" s="4"/>
    </row>
    <row r="131" spans="7:13">
      <c r="G131" s="36">
        <v>45839</v>
      </c>
      <c r="H131" s="40">
        <v>3.7541740816326525</v>
      </c>
      <c r="I131" s="40">
        <v>3.6680599351175989</v>
      </c>
      <c r="J131" s="40">
        <v>3.7928831027769241</v>
      </c>
      <c r="K131" s="160">
        <f t="shared" si="6"/>
        <v>2025</v>
      </c>
      <c r="L131" s="4"/>
      <c r="M131" s="4"/>
    </row>
    <row r="132" spans="7:13">
      <c r="G132" s="36">
        <v>45870</v>
      </c>
      <c r="H132" s="40">
        <v>3.7935618367346939</v>
      </c>
      <c r="I132" s="40">
        <v>3.6680599351175989</v>
      </c>
      <c r="J132" s="40">
        <v>3.8324363356901321</v>
      </c>
      <c r="K132" s="160">
        <f t="shared" si="6"/>
        <v>2025</v>
      </c>
      <c r="L132" s="4"/>
      <c r="M132" s="4"/>
    </row>
    <row r="133" spans="7:13">
      <c r="G133" s="36">
        <v>45901</v>
      </c>
      <c r="H133" s="40">
        <v>3.8066230612244896</v>
      </c>
      <c r="I133" s="40">
        <v>3.7332464720194647</v>
      </c>
      <c r="J133" s="40">
        <v>3.8404289578850292</v>
      </c>
      <c r="K133" s="160">
        <f t="shared" si="6"/>
        <v>2025</v>
      </c>
      <c r="L133" s="4"/>
      <c r="M133" s="4"/>
    </row>
    <row r="134" spans="7:13">
      <c r="G134" s="36">
        <v>45931</v>
      </c>
      <c r="H134" s="40">
        <v>3.8066230612244896</v>
      </c>
      <c r="I134" s="40">
        <v>3.7332464720194647</v>
      </c>
      <c r="J134" s="40">
        <v>3.845552433650989</v>
      </c>
      <c r="K134" s="160">
        <f t="shared" si="6"/>
        <v>2025</v>
      </c>
      <c r="L134" s="4"/>
      <c r="M134" s="4"/>
    </row>
    <row r="135" spans="7:13">
      <c r="G135" s="36">
        <v>45962</v>
      </c>
      <c r="H135" s="40">
        <v>3.9378475510204081</v>
      </c>
      <c r="I135" s="40">
        <v>3.9548604217356038</v>
      </c>
      <c r="J135" s="40">
        <v>3.9568343272876318</v>
      </c>
      <c r="K135" s="160">
        <f t="shared" si="6"/>
        <v>2025</v>
      </c>
      <c r="L135" s="4"/>
      <c r="M135" s="4"/>
    </row>
    <row r="136" spans="7:13">
      <c r="G136" s="36">
        <v>45992</v>
      </c>
      <c r="H136" s="40">
        <v>4.1215210204081627</v>
      </c>
      <c r="I136" s="40">
        <v>4.1373421735604214</v>
      </c>
      <c r="J136" s="40">
        <v>4.1438411927451586</v>
      </c>
      <c r="K136" s="160">
        <f t="shared" si="6"/>
        <v>2025</v>
      </c>
      <c r="L136" s="4"/>
      <c r="M136" s="4"/>
    </row>
    <row r="137" spans="7:13">
      <c r="G137" s="36">
        <v>46023</v>
      </c>
      <c r="H137" s="40">
        <v>4.1361128571428569</v>
      </c>
      <c r="I137" s="40">
        <v>4.151839334955393</v>
      </c>
      <c r="J137" s="40">
        <v>4.1751968644328317</v>
      </c>
      <c r="K137" s="160">
        <f t="shared" ref="K137:K148" si="7">YEAR(G137)</f>
        <v>2026</v>
      </c>
      <c r="L137" s="4"/>
      <c r="M137" s="4"/>
    </row>
    <row r="138" spans="7:13">
      <c r="G138" s="36">
        <v>46054</v>
      </c>
      <c r="H138" s="40">
        <v>4.1494802040816321</v>
      </c>
      <c r="I138" s="40">
        <v>4.1651199513381991</v>
      </c>
      <c r="J138" s="40">
        <v>4.1309300338149404</v>
      </c>
      <c r="K138" s="160">
        <f t="shared" si="7"/>
        <v>2026</v>
      </c>
      <c r="L138" s="4"/>
      <c r="M138" s="4"/>
    </row>
    <row r="139" spans="7:13">
      <c r="G139" s="36">
        <v>46082</v>
      </c>
      <c r="H139" s="40">
        <v>3.9481536734693874</v>
      </c>
      <c r="I139" s="40">
        <v>3.9650996755879966</v>
      </c>
      <c r="J139" s="40">
        <v>3.9261959422071935</v>
      </c>
      <c r="K139" s="160">
        <f t="shared" si="7"/>
        <v>2026</v>
      </c>
      <c r="L139" s="4"/>
      <c r="M139" s="4"/>
    </row>
    <row r="140" spans="7:13">
      <c r="G140" s="36">
        <v>46113</v>
      </c>
      <c r="H140" s="40">
        <v>3.6796842857142855</v>
      </c>
      <c r="I140" s="40">
        <v>3.6717095701540954</v>
      </c>
      <c r="J140" s="40">
        <v>3.7129568808279538</v>
      </c>
      <c r="K140" s="160">
        <f t="shared" si="7"/>
        <v>2026</v>
      </c>
      <c r="L140" s="4"/>
      <c r="M140" s="4"/>
    </row>
    <row r="141" spans="7:13">
      <c r="G141" s="36">
        <v>46143</v>
      </c>
      <c r="H141" s="40">
        <v>3.6394802040816328</v>
      </c>
      <c r="I141" s="40">
        <v>3.6317663422546631</v>
      </c>
      <c r="J141" s="40">
        <v>3.6777073675581518</v>
      </c>
      <c r="K141" s="160">
        <f t="shared" si="7"/>
        <v>2026</v>
      </c>
      <c r="L141" s="4"/>
      <c r="M141" s="4"/>
    </row>
    <row r="142" spans="7:13">
      <c r="G142" s="36">
        <v>46174</v>
      </c>
      <c r="H142" s="40">
        <v>3.6663169387755103</v>
      </c>
      <c r="I142" s="40">
        <v>3.6584289537712893</v>
      </c>
      <c r="J142" s="40">
        <v>3.6995333743211396</v>
      </c>
      <c r="K142" s="160">
        <f t="shared" si="7"/>
        <v>2026</v>
      </c>
      <c r="L142" s="4"/>
      <c r="M142" s="4"/>
    </row>
    <row r="143" spans="7:13">
      <c r="G143" s="36">
        <v>46204</v>
      </c>
      <c r="H143" s="40">
        <v>3.7871332653061223</v>
      </c>
      <c r="I143" s="40">
        <v>3.6717095701540954</v>
      </c>
      <c r="J143" s="40">
        <v>3.825980756225023</v>
      </c>
      <c r="K143" s="160">
        <f t="shared" si="7"/>
        <v>2026</v>
      </c>
      <c r="L143" s="4"/>
      <c r="M143" s="4"/>
    </row>
    <row r="144" spans="7:13">
      <c r="G144" s="36">
        <v>46235</v>
      </c>
      <c r="H144" s="40">
        <v>3.8139699999999999</v>
      </c>
      <c r="I144" s="40">
        <v>3.685091565287915</v>
      </c>
      <c r="J144" s="40">
        <v>3.8529302387539706</v>
      </c>
      <c r="K144" s="160">
        <f t="shared" si="7"/>
        <v>2026</v>
      </c>
      <c r="L144" s="4"/>
      <c r="M144" s="4"/>
    </row>
    <row r="145" spans="7:13">
      <c r="G145" s="36">
        <v>46266</v>
      </c>
      <c r="H145" s="40">
        <v>3.8005006122448979</v>
      </c>
      <c r="I145" s="40">
        <v>3.7117541768045412</v>
      </c>
      <c r="J145" s="40">
        <v>3.8342807869658779</v>
      </c>
      <c r="K145" s="160">
        <f t="shared" si="7"/>
        <v>2026</v>
      </c>
      <c r="L145" s="4"/>
      <c r="M145" s="4"/>
    </row>
    <row r="146" spans="7:13">
      <c r="G146" s="36">
        <v>46296</v>
      </c>
      <c r="H146" s="40">
        <v>3.8005006122448979</v>
      </c>
      <c r="I146" s="40">
        <v>3.7117541768045412</v>
      </c>
      <c r="J146" s="40">
        <v>3.8394042627318377</v>
      </c>
      <c r="K146" s="160">
        <f t="shared" si="7"/>
        <v>2026</v>
      </c>
      <c r="L146" s="4"/>
      <c r="M146" s="4"/>
    </row>
    <row r="147" spans="7:13">
      <c r="G147" s="36">
        <v>46327</v>
      </c>
      <c r="H147" s="40">
        <v>3.9481536734693874</v>
      </c>
      <c r="I147" s="40">
        <v>3.9650996755879966</v>
      </c>
      <c r="J147" s="40">
        <v>3.9671837483348704</v>
      </c>
      <c r="K147" s="160">
        <f t="shared" si="7"/>
        <v>2026</v>
      </c>
      <c r="L147" s="4"/>
      <c r="M147" s="4"/>
    </row>
    <row r="148" spans="7:13">
      <c r="G148" s="36">
        <v>46357</v>
      </c>
      <c r="H148" s="40">
        <v>4.1494802040816321</v>
      </c>
      <c r="I148" s="40">
        <v>4.1785019464720188</v>
      </c>
      <c r="J148" s="40">
        <v>4.1719178399426164</v>
      </c>
      <c r="K148" s="160">
        <f t="shared" si="7"/>
        <v>2026</v>
      </c>
      <c r="L148" s="4"/>
      <c r="M148" s="4"/>
    </row>
    <row r="149" spans="7:13">
      <c r="G149" s="36">
        <v>46388</v>
      </c>
      <c r="H149" s="40">
        <v>4.1765210204081633</v>
      </c>
      <c r="I149" s="40">
        <v>4.1919853203568529</v>
      </c>
      <c r="J149" s="40">
        <v>4.2158772620145513</v>
      </c>
      <c r="K149" s="160">
        <f t="shared" si="6"/>
        <v>2027</v>
      </c>
      <c r="L149" s="4"/>
      <c r="M149" s="4"/>
    </row>
    <row r="150" spans="7:13">
      <c r="G150" s="36">
        <v>46419</v>
      </c>
      <c r="H150" s="40">
        <v>4.1765210204081633</v>
      </c>
      <c r="I150" s="40">
        <v>4.2056714517437142</v>
      </c>
      <c r="J150" s="40">
        <v>4.1580844553745262</v>
      </c>
      <c r="K150" s="160">
        <f t="shared" si="6"/>
        <v>2027</v>
      </c>
      <c r="L150" s="4"/>
      <c r="M150" s="4"/>
    </row>
    <row r="151" spans="7:13">
      <c r="G151" s="36">
        <v>46447</v>
      </c>
      <c r="H151" s="40">
        <v>4.0118271428571433</v>
      </c>
      <c r="I151" s="40">
        <v>4.0283600162206001</v>
      </c>
      <c r="J151" s="40">
        <v>3.9901369197663699</v>
      </c>
      <c r="K151" s="160">
        <f t="shared" si="6"/>
        <v>2027</v>
      </c>
      <c r="L151" s="4"/>
      <c r="M151" s="4"/>
    </row>
    <row r="152" spans="7:13">
      <c r="G152" s="36">
        <v>46478</v>
      </c>
      <c r="H152" s="40">
        <v>3.750908775510204</v>
      </c>
      <c r="I152" s="40">
        <v>3.7418636658556363</v>
      </c>
      <c r="J152" s="40">
        <v>3.7844806025207505</v>
      </c>
      <c r="K152" s="160">
        <f t="shared" si="6"/>
        <v>2027</v>
      </c>
      <c r="L152" s="4"/>
      <c r="M152" s="4"/>
    </row>
    <row r="153" spans="7:13">
      <c r="G153" s="36">
        <v>46508</v>
      </c>
      <c r="H153" s="40">
        <v>3.7234597959183668</v>
      </c>
      <c r="I153" s="40">
        <v>3.7281775344687751</v>
      </c>
      <c r="J153" s="40">
        <v>3.762039778665847</v>
      </c>
      <c r="K153" s="160">
        <f t="shared" si="6"/>
        <v>2027</v>
      </c>
      <c r="L153" s="4"/>
      <c r="M153" s="4"/>
    </row>
    <row r="154" spans="7:13">
      <c r="G154" s="36">
        <v>46539</v>
      </c>
      <c r="H154" s="40">
        <v>3.7371332653061224</v>
      </c>
      <c r="I154" s="40">
        <v>3.7418636658556363</v>
      </c>
      <c r="J154" s="40">
        <v>3.7706472179526593</v>
      </c>
      <c r="K154" s="160">
        <f t="shared" si="6"/>
        <v>2027</v>
      </c>
      <c r="L154" s="4"/>
      <c r="M154" s="4"/>
    </row>
    <row r="155" spans="7:13">
      <c r="G155" s="36">
        <v>46569</v>
      </c>
      <c r="H155" s="40">
        <v>3.9431536734693875</v>
      </c>
      <c r="I155" s="40">
        <v>3.8236763179237632</v>
      </c>
      <c r="J155" s="40">
        <v>3.9826566451480687</v>
      </c>
      <c r="K155" s="160">
        <f t="shared" si="6"/>
        <v>2027</v>
      </c>
      <c r="L155" s="4"/>
      <c r="M155" s="4"/>
    </row>
    <row r="156" spans="7:13">
      <c r="G156" s="36">
        <v>46600</v>
      </c>
      <c r="H156" s="40">
        <v>3.9568271428571431</v>
      </c>
      <c r="I156" s="40">
        <v>3.8236763179237632</v>
      </c>
      <c r="J156" s="40">
        <v>3.9963875602008403</v>
      </c>
      <c r="K156" s="160">
        <f t="shared" si="6"/>
        <v>2027</v>
      </c>
      <c r="L156" s="4"/>
      <c r="M156" s="4"/>
    </row>
    <row r="157" spans="7:13">
      <c r="G157" s="36">
        <v>46631</v>
      </c>
      <c r="H157" s="40">
        <v>3.9842761224489793</v>
      </c>
      <c r="I157" s="40">
        <v>3.9054889699918891</v>
      </c>
      <c r="J157" s="40">
        <v>4.0188283840557437</v>
      </c>
      <c r="K157" s="160">
        <f t="shared" si="6"/>
        <v>2027</v>
      </c>
      <c r="L157" s="4"/>
      <c r="M157" s="4"/>
    </row>
    <row r="158" spans="7:13">
      <c r="G158" s="36">
        <v>46661</v>
      </c>
      <c r="H158" s="40">
        <v>4.0118271428571433</v>
      </c>
      <c r="I158" s="40">
        <v>3.9464459854014593</v>
      </c>
      <c r="J158" s="40">
        <v>4.0516186289578853</v>
      </c>
      <c r="K158" s="160">
        <f t="shared" si="6"/>
        <v>2027</v>
      </c>
      <c r="L158" s="4"/>
      <c r="M158" s="4"/>
    </row>
    <row r="159" spans="7:13">
      <c r="G159" s="36">
        <v>46692</v>
      </c>
      <c r="H159" s="40">
        <v>4.2589699999999997</v>
      </c>
      <c r="I159" s="40">
        <v>4.2738993511759933</v>
      </c>
      <c r="J159" s="40">
        <v>4.2793058919971303</v>
      </c>
      <c r="K159" s="160">
        <f t="shared" si="6"/>
        <v>2027</v>
      </c>
      <c r="L159" s="4"/>
      <c r="M159" s="4"/>
    </row>
    <row r="160" spans="7:13">
      <c r="G160" s="36">
        <v>46722</v>
      </c>
      <c r="H160" s="40">
        <v>4.4511128571428573</v>
      </c>
      <c r="I160" s="40">
        <v>4.4921678021086775</v>
      </c>
      <c r="J160" s="40">
        <v>4.4748177272261502</v>
      </c>
      <c r="K160" s="160">
        <f t="shared" ref="K160:K223" si="8">YEAR(G160)</f>
        <v>2027</v>
      </c>
      <c r="L160" s="4"/>
      <c r="M160" s="4"/>
    </row>
    <row r="161" spans="7:13">
      <c r="G161" s="36">
        <v>46753</v>
      </c>
      <c r="H161" s="40">
        <v>4.5397863265306126</v>
      </c>
      <c r="I161" s="40">
        <v>4.5528936739659365</v>
      </c>
      <c r="J161" s="40">
        <v>4.5805662670355574</v>
      </c>
      <c r="K161" s="160">
        <f t="shared" si="8"/>
        <v>2028</v>
      </c>
      <c r="L161" s="4"/>
      <c r="M161" s="4"/>
    </row>
    <row r="162" spans="7:13">
      <c r="G162" s="36">
        <v>46784</v>
      </c>
      <c r="H162" s="40">
        <v>4.4976434693877554</v>
      </c>
      <c r="I162" s="40">
        <v>4.5110242497972424</v>
      </c>
      <c r="J162" s="40">
        <v>4.4805560200840251</v>
      </c>
      <c r="K162" s="160">
        <f t="shared" si="8"/>
        <v>2028</v>
      </c>
      <c r="L162" s="4"/>
      <c r="M162" s="4"/>
    </row>
    <row r="163" spans="7:13">
      <c r="G163" s="36">
        <v>46813</v>
      </c>
      <c r="H163" s="40">
        <v>4.3149904081632657</v>
      </c>
      <c r="I163" s="40">
        <v>4.3295562854825622</v>
      </c>
      <c r="J163" s="40">
        <v>4.2945738497796908</v>
      </c>
      <c r="K163" s="160">
        <f t="shared" si="8"/>
        <v>2028</v>
      </c>
      <c r="L163" s="4"/>
      <c r="M163" s="4"/>
    </row>
    <row r="164" spans="7:13">
      <c r="G164" s="36">
        <v>46844</v>
      </c>
      <c r="H164" s="40">
        <v>3.9638679591836734</v>
      </c>
      <c r="I164" s="40">
        <v>3.9527314679643144</v>
      </c>
      <c r="J164" s="40">
        <v>3.9983344809919052</v>
      </c>
      <c r="K164" s="160">
        <f t="shared" si="8"/>
        <v>2028</v>
      </c>
      <c r="L164" s="4"/>
      <c r="M164" s="4"/>
    </row>
    <row r="165" spans="7:13">
      <c r="G165" s="36">
        <v>46874</v>
      </c>
      <c r="H165" s="40">
        <v>3.9217251020408161</v>
      </c>
      <c r="I165" s="40">
        <v>3.896973154906731</v>
      </c>
      <c r="J165" s="40">
        <v>3.9611380469310382</v>
      </c>
      <c r="K165" s="160">
        <f t="shared" si="8"/>
        <v>2028</v>
      </c>
      <c r="L165" s="4"/>
      <c r="M165" s="4"/>
    </row>
    <row r="166" spans="7:13">
      <c r="G166" s="36">
        <v>46905</v>
      </c>
      <c r="H166" s="40">
        <v>3.9357046938775508</v>
      </c>
      <c r="I166" s="40">
        <v>3.9248523114355227</v>
      </c>
      <c r="J166" s="40">
        <v>3.9700528947638078</v>
      </c>
      <c r="K166" s="160">
        <f t="shared" si="8"/>
        <v>2028</v>
      </c>
      <c r="L166" s="4"/>
      <c r="M166" s="4"/>
    </row>
    <row r="167" spans="7:13">
      <c r="G167" s="36">
        <v>46935</v>
      </c>
      <c r="H167" s="40">
        <v>4.1042761224489794</v>
      </c>
      <c r="I167" s="40">
        <v>3.9667217356042168</v>
      </c>
      <c r="J167" s="40">
        <v>4.1444560098370733</v>
      </c>
      <c r="K167" s="160">
        <f t="shared" si="8"/>
        <v>2028</v>
      </c>
      <c r="L167" s="4"/>
      <c r="M167" s="4"/>
    </row>
    <row r="168" spans="7:13">
      <c r="G168" s="36">
        <v>46966</v>
      </c>
      <c r="H168" s="40">
        <v>4.1042761224489794</v>
      </c>
      <c r="I168" s="40">
        <v>3.9667217356042168</v>
      </c>
      <c r="J168" s="40">
        <v>4.1444560098370733</v>
      </c>
      <c r="K168" s="160">
        <f t="shared" si="8"/>
        <v>2028</v>
      </c>
      <c r="L168" s="4"/>
      <c r="M168" s="4"/>
    </row>
    <row r="169" spans="7:13">
      <c r="G169" s="36">
        <v>46997</v>
      </c>
      <c r="H169" s="40">
        <v>4.0902965306122443</v>
      </c>
      <c r="I169" s="40">
        <v>3.994600892133009</v>
      </c>
      <c r="J169" s="40">
        <v>4.1252942104723846</v>
      </c>
      <c r="K169" s="160">
        <f t="shared" si="8"/>
        <v>2028</v>
      </c>
      <c r="L169" s="4"/>
      <c r="M169" s="4"/>
    </row>
    <row r="170" spans="7:13">
      <c r="G170" s="36">
        <v>47027</v>
      </c>
      <c r="H170" s="40">
        <v>4.1183577551020409</v>
      </c>
      <c r="I170" s="40">
        <v>4.0225814274128142</v>
      </c>
      <c r="J170" s="40">
        <v>4.1585968029511218</v>
      </c>
      <c r="K170" s="160">
        <f t="shared" si="8"/>
        <v>2028</v>
      </c>
      <c r="L170" s="4"/>
      <c r="M170" s="4"/>
    </row>
    <row r="171" spans="7:13">
      <c r="G171" s="36">
        <v>47058</v>
      </c>
      <c r="H171" s="40">
        <v>4.3430516326530615</v>
      </c>
      <c r="I171" s="40">
        <v>4.3574354420113535</v>
      </c>
      <c r="J171" s="40">
        <v>4.3637407726201465</v>
      </c>
      <c r="K171" s="160">
        <f t="shared" si="8"/>
        <v>2028</v>
      </c>
      <c r="L171" s="4"/>
      <c r="M171" s="4"/>
    </row>
    <row r="172" spans="7:13">
      <c r="G172" s="36">
        <v>47088</v>
      </c>
      <c r="H172" s="40">
        <v>4.581929183673469</v>
      </c>
      <c r="I172" s="40">
        <v>4.6086519870235199</v>
      </c>
      <c r="J172" s="40">
        <v>4.6061836458653556</v>
      </c>
      <c r="K172" s="160">
        <f t="shared" si="8"/>
        <v>2028</v>
      </c>
      <c r="L172" s="4"/>
      <c r="M172" s="4"/>
    </row>
    <row r="173" spans="7:13">
      <c r="G173" s="36">
        <v>47119</v>
      </c>
      <c r="H173" s="40">
        <v>4.7019291836734691</v>
      </c>
      <c r="I173" s="40">
        <v>4.7282789132197882</v>
      </c>
      <c r="J173" s="40">
        <v>4.743390326877754</v>
      </c>
      <c r="K173" s="160">
        <f t="shared" si="8"/>
        <v>2029</v>
      </c>
      <c r="L173" s="4"/>
      <c r="M173" s="4"/>
    </row>
    <row r="174" spans="7:13">
      <c r="G174" s="36">
        <v>47150</v>
      </c>
      <c r="H174" s="40">
        <v>4.6443781632653058</v>
      </c>
      <c r="I174" s="40">
        <v>4.6568068937550686</v>
      </c>
      <c r="J174" s="40">
        <v>4.6279071831130238</v>
      </c>
      <c r="K174" s="160">
        <f t="shared" si="8"/>
        <v>2029</v>
      </c>
      <c r="L174" s="4"/>
      <c r="M174" s="4"/>
    </row>
    <row r="175" spans="7:13">
      <c r="G175" s="36">
        <v>47178</v>
      </c>
      <c r="H175" s="40">
        <v>4.5150924489795914</v>
      </c>
      <c r="I175" s="40">
        <v>4.5283600162206001</v>
      </c>
      <c r="J175" s="40">
        <v>4.4955165693206274</v>
      </c>
      <c r="K175" s="160">
        <f t="shared" si="8"/>
        <v>2029</v>
      </c>
      <c r="L175" s="4"/>
      <c r="M175" s="4"/>
    </row>
    <row r="176" spans="7:13">
      <c r="G176" s="36">
        <v>47209</v>
      </c>
      <c r="H176" s="40">
        <v>4.2420312244897955</v>
      </c>
      <c r="I176" s="40">
        <v>4.2142886455798862</v>
      </c>
      <c r="J176" s="40">
        <v>4.2776663797520236</v>
      </c>
      <c r="K176" s="160">
        <f t="shared" si="8"/>
        <v>2029</v>
      </c>
      <c r="L176" s="4"/>
      <c r="M176" s="4"/>
    </row>
    <row r="177" spans="7:13">
      <c r="G177" s="36">
        <v>47239</v>
      </c>
      <c r="H177" s="40">
        <v>4.2133577551020416</v>
      </c>
      <c r="I177" s="40">
        <v>4.1999942416869418</v>
      </c>
      <c r="J177" s="40">
        <v>4.2539959217132912</v>
      </c>
      <c r="K177" s="160">
        <f t="shared" si="8"/>
        <v>2029</v>
      </c>
      <c r="L177" s="4"/>
      <c r="M177" s="4"/>
    </row>
    <row r="178" spans="7:13">
      <c r="G178" s="36">
        <v>47270</v>
      </c>
      <c r="H178" s="40">
        <v>4.2564189795918361</v>
      </c>
      <c r="I178" s="40">
        <v>4.2285830494728307</v>
      </c>
      <c r="J178" s="40">
        <v>4.2921145814120303</v>
      </c>
      <c r="K178" s="160">
        <f t="shared" si="8"/>
        <v>2029</v>
      </c>
      <c r="L178" s="4"/>
      <c r="M178" s="4"/>
    </row>
    <row r="179" spans="7:13">
      <c r="G179" s="36">
        <v>47300</v>
      </c>
      <c r="H179" s="40">
        <v>4.4576434693877554</v>
      </c>
      <c r="I179" s="40">
        <v>4.3142480940794812</v>
      </c>
      <c r="J179" s="40">
        <v>4.4993079413874373</v>
      </c>
      <c r="K179" s="160">
        <f t="shared" si="8"/>
        <v>2029</v>
      </c>
      <c r="L179" s="4"/>
      <c r="M179" s="4"/>
    </row>
    <row r="180" spans="7:13">
      <c r="G180" s="36">
        <v>47331</v>
      </c>
      <c r="H180" s="40">
        <v>4.472031224489796</v>
      </c>
      <c r="I180" s="40">
        <v>4.3427355231143547</v>
      </c>
      <c r="J180" s="40">
        <v>4.513756143047444</v>
      </c>
      <c r="K180" s="160">
        <f t="shared" si="8"/>
        <v>2029</v>
      </c>
      <c r="L180" s="4"/>
      <c r="M180" s="4"/>
    </row>
    <row r="181" spans="7:13">
      <c r="G181" s="36">
        <v>47362</v>
      </c>
      <c r="H181" s="40">
        <v>4.4432557142857148</v>
      </c>
      <c r="I181" s="40">
        <v>4.3142480940794812</v>
      </c>
      <c r="J181" s="40">
        <v>4.4797362639614722</v>
      </c>
      <c r="K181" s="160">
        <f t="shared" si="8"/>
        <v>2029</v>
      </c>
      <c r="L181" s="4"/>
      <c r="M181" s="4"/>
    </row>
    <row r="182" spans="7:13">
      <c r="G182" s="36">
        <v>47392</v>
      </c>
      <c r="H182" s="40">
        <v>4.4863169387755093</v>
      </c>
      <c r="I182" s="40">
        <v>4.3713243309002427</v>
      </c>
      <c r="J182" s="40">
        <v>4.5281018751921307</v>
      </c>
      <c r="K182" s="160">
        <f t="shared" si="8"/>
        <v>2029</v>
      </c>
      <c r="L182" s="4"/>
      <c r="M182" s="4"/>
    </row>
    <row r="183" spans="7:13">
      <c r="G183" s="36">
        <v>47423</v>
      </c>
      <c r="H183" s="40">
        <v>4.7019291836734691</v>
      </c>
      <c r="I183" s="40">
        <v>4.7567663422546627</v>
      </c>
      <c r="J183" s="40">
        <v>4.7241260579977462</v>
      </c>
      <c r="K183" s="160">
        <f t="shared" si="8"/>
        <v>2029</v>
      </c>
      <c r="L183" s="4"/>
      <c r="M183" s="4"/>
    </row>
    <row r="184" spans="7:13">
      <c r="G184" s="36">
        <v>47453</v>
      </c>
      <c r="H184" s="40">
        <v>4.9892761224489801</v>
      </c>
      <c r="I184" s="40">
        <v>5.0137614760746141</v>
      </c>
      <c r="J184" s="40">
        <v>5.015241951019572</v>
      </c>
      <c r="K184" s="160">
        <f t="shared" si="8"/>
        <v>2029</v>
      </c>
      <c r="L184" s="4"/>
      <c r="M184" s="4"/>
    </row>
    <row r="185" spans="7:13">
      <c r="G185" s="36">
        <v>47484</v>
      </c>
      <c r="H185" s="40">
        <v>5.0748883673469392</v>
      </c>
      <c r="I185" s="40">
        <v>5.0845238442822378</v>
      </c>
      <c r="J185" s="40">
        <v>5.1180188748847222</v>
      </c>
      <c r="K185" s="160">
        <f t="shared" si="8"/>
        <v>2030</v>
      </c>
      <c r="L185" s="4"/>
      <c r="M185" s="4"/>
    </row>
    <row r="186" spans="7:13">
      <c r="G186" s="36">
        <v>47515</v>
      </c>
      <c r="H186" s="40">
        <v>5.0455006122448971</v>
      </c>
      <c r="I186" s="40">
        <v>5.0553267639902675</v>
      </c>
      <c r="J186" s="40">
        <v>5.0307148478327708</v>
      </c>
      <c r="K186" s="160">
        <f t="shared" si="8"/>
        <v>2030</v>
      </c>
      <c r="L186" s="4"/>
      <c r="M186" s="4"/>
    </row>
    <row r="187" spans="7:13">
      <c r="G187" s="36">
        <v>47543</v>
      </c>
      <c r="H187" s="40">
        <v>4.8837659183673461</v>
      </c>
      <c r="I187" s="40">
        <v>4.8946414436334145</v>
      </c>
      <c r="J187" s="40">
        <v>4.8657389281688701</v>
      </c>
      <c r="K187" s="160">
        <f t="shared" si="8"/>
        <v>2030</v>
      </c>
      <c r="L187" s="4"/>
      <c r="M187" s="4"/>
    </row>
    <row r="188" spans="7:13">
      <c r="G188" s="36">
        <v>47574</v>
      </c>
      <c r="H188" s="40">
        <v>4.5310108163265301</v>
      </c>
      <c r="I188" s="40">
        <v>4.5003794809407944</v>
      </c>
      <c r="J188" s="40">
        <v>4.5678600471359774</v>
      </c>
      <c r="K188" s="160">
        <f t="shared" si="8"/>
        <v>2030</v>
      </c>
      <c r="L188" s="4"/>
      <c r="M188" s="4"/>
    </row>
    <row r="189" spans="7:13">
      <c r="G189" s="36">
        <v>47604</v>
      </c>
      <c r="H189" s="40">
        <v>4.4869291836734693</v>
      </c>
      <c r="I189" s="40">
        <v>4.4565838605028381</v>
      </c>
      <c r="J189" s="40">
        <v>4.5287166922840454</v>
      </c>
      <c r="K189" s="160">
        <f t="shared" si="8"/>
        <v>2030</v>
      </c>
      <c r="L189" s="4"/>
      <c r="M189" s="4"/>
    </row>
    <row r="190" spans="7:13">
      <c r="G190" s="36">
        <v>47635</v>
      </c>
      <c r="H190" s="40">
        <v>4.5310108163265301</v>
      </c>
      <c r="I190" s="40">
        <v>4.4857809407948093</v>
      </c>
      <c r="J190" s="40">
        <v>4.5678600471359774</v>
      </c>
      <c r="K190" s="160">
        <f t="shared" si="8"/>
        <v>2030</v>
      </c>
      <c r="L190" s="4"/>
      <c r="M190" s="4"/>
    </row>
    <row r="191" spans="7:13">
      <c r="G191" s="36">
        <v>47665</v>
      </c>
      <c r="H191" s="40">
        <v>4.7221332653061223</v>
      </c>
      <c r="I191" s="40">
        <v>4.5879707218167072</v>
      </c>
      <c r="J191" s="40">
        <v>4.7649089250947849</v>
      </c>
      <c r="K191" s="160">
        <f t="shared" si="8"/>
        <v>2030</v>
      </c>
      <c r="L191" s="4"/>
      <c r="M191" s="4"/>
    </row>
    <row r="192" spans="7:13">
      <c r="G192" s="36">
        <v>47696</v>
      </c>
      <c r="H192" s="40">
        <v>4.7662148979591832</v>
      </c>
      <c r="I192" s="40">
        <v>4.6171678021086784</v>
      </c>
      <c r="J192" s="40">
        <v>4.8091757557126753</v>
      </c>
      <c r="K192" s="160">
        <f t="shared" si="8"/>
        <v>2030</v>
      </c>
      <c r="L192" s="4"/>
      <c r="M192" s="4"/>
    </row>
    <row r="193" spans="7:13">
      <c r="G193" s="36">
        <v>47727</v>
      </c>
      <c r="H193" s="40">
        <v>4.7368271428571429</v>
      </c>
      <c r="I193" s="40">
        <v>4.6171678021086784</v>
      </c>
      <c r="J193" s="40">
        <v>4.7745410595347888</v>
      </c>
      <c r="K193" s="160">
        <f t="shared" si="8"/>
        <v>2030</v>
      </c>
      <c r="L193" s="4"/>
      <c r="M193" s="4"/>
    </row>
    <row r="194" spans="7:13">
      <c r="G194" s="36">
        <v>47757</v>
      </c>
      <c r="H194" s="40">
        <v>4.7809087755102038</v>
      </c>
      <c r="I194" s="40">
        <v>4.6609634225466339</v>
      </c>
      <c r="J194" s="40">
        <v>4.8239313659186394</v>
      </c>
      <c r="K194" s="160">
        <f t="shared" si="8"/>
        <v>2030</v>
      </c>
      <c r="L194" s="4"/>
      <c r="M194" s="4"/>
    </row>
    <row r="195" spans="7:13">
      <c r="G195" s="36">
        <v>47788</v>
      </c>
      <c r="H195" s="40">
        <v>5.0014189795918362</v>
      </c>
      <c r="I195" s="40">
        <v>5.0261296836982963</v>
      </c>
      <c r="J195" s="40">
        <v>5.0248740854595768</v>
      </c>
      <c r="K195" s="160">
        <f t="shared" si="8"/>
        <v>2030</v>
      </c>
      <c r="L195" s="4"/>
      <c r="M195" s="4"/>
    </row>
    <row r="196" spans="7:13">
      <c r="G196" s="36">
        <v>47818</v>
      </c>
      <c r="H196" s="40">
        <v>5.2513169387755108</v>
      </c>
      <c r="I196" s="40">
        <v>5.2598077047850769</v>
      </c>
      <c r="J196" s="40">
        <v>5.2783836663592583</v>
      </c>
      <c r="K196" s="160">
        <f t="shared" si="8"/>
        <v>2030</v>
      </c>
      <c r="L196" s="4"/>
      <c r="M196" s="4"/>
    </row>
    <row r="197" spans="7:13">
      <c r="G197" s="36">
        <v>47849</v>
      </c>
      <c r="H197" s="40">
        <v>5.3422353061224488</v>
      </c>
      <c r="I197" s="40">
        <v>5.3501361719383613</v>
      </c>
      <c r="J197" s="40">
        <v>5.3864890050210068</v>
      </c>
      <c r="K197" s="160">
        <f t="shared" si="8"/>
        <v>2031</v>
      </c>
      <c r="L197" s="4"/>
      <c r="M197" s="4"/>
    </row>
    <row r="198" spans="7:13">
      <c r="G198" s="36">
        <v>47880</v>
      </c>
      <c r="H198" s="40">
        <v>5.3122353061224485</v>
      </c>
      <c r="I198" s="40">
        <v>5.3501361719383613</v>
      </c>
      <c r="J198" s="40">
        <v>5.2985701608771398</v>
      </c>
      <c r="K198" s="160">
        <f t="shared" si="8"/>
        <v>2031</v>
      </c>
      <c r="L198" s="4"/>
      <c r="M198" s="4"/>
    </row>
    <row r="199" spans="7:13">
      <c r="G199" s="36">
        <v>47908</v>
      </c>
      <c r="H199" s="40">
        <v>5.1016230612244904</v>
      </c>
      <c r="I199" s="40">
        <v>5.11108507704785</v>
      </c>
      <c r="J199" s="40">
        <v>5.0845113433753459</v>
      </c>
      <c r="K199" s="160">
        <f t="shared" si="8"/>
        <v>2031</v>
      </c>
      <c r="L199" s="4"/>
      <c r="M199" s="4"/>
    </row>
    <row r="200" spans="7:13">
      <c r="G200" s="36">
        <v>47939</v>
      </c>
      <c r="H200" s="40">
        <v>4.755806734693877</v>
      </c>
      <c r="I200" s="40">
        <v>4.70769902676399</v>
      </c>
      <c r="J200" s="40">
        <v>4.7936003893841583</v>
      </c>
      <c r="K200" s="160">
        <f t="shared" si="8"/>
        <v>2031</v>
      </c>
      <c r="L200" s="4"/>
      <c r="M200" s="4"/>
    </row>
    <row r="201" spans="7:13">
      <c r="G201" s="36">
        <v>47969</v>
      </c>
      <c r="H201" s="40">
        <v>4.7107046938775508</v>
      </c>
      <c r="I201" s="40">
        <v>4.6628896188158961</v>
      </c>
      <c r="J201" s="40">
        <v>4.7534323393790352</v>
      </c>
      <c r="K201" s="160">
        <f t="shared" si="8"/>
        <v>2031</v>
      </c>
      <c r="L201" s="4"/>
      <c r="M201" s="4"/>
    </row>
    <row r="202" spans="7:13">
      <c r="G202" s="36">
        <v>48000</v>
      </c>
      <c r="H202" s="40">
        <v>4.755806734693877</v>
      </c>
      <c r="I202" s="40">
        <v>4.70769902676399</v>
      </c>
      <c r="J202" s="40">
        <v>4.7936003893841583</v>
      </c>
      <c r="K202" s="160">
        <f t="shared" si="8"/>
        <v>2031</v>
      </c>
      <c r="L202" s="4"/>
      <c r="M202" s="4"/>
    </row>
    <row r="203" spans="7:13">
      <c r="G203" s="36">
        <v>48030</v>
      </c>
      <c r="H203" s="40">
        <v>5.0565210204081632</v>
      </c>
      <c r="I203" s="40">
        <v>4.9169447688564478</v>
      </c>
      <c r="J203" s="40">
        <v>5.1007015267957785</v>
      </c>
      <c r="K203" s="160">
        <f t="shared" si="8"/>
        <v>2031</v>
      </c>
      <c r="L203" s="4"/>
      <c r="M203" s="4"/>
    </row>
    <row r="204" spans="7:13">
      <c r="G204" s="36">
        <v>48061</v>
      </c>
      <c r="H204" s="40">
        <v>5.146827142857143</v>
      </c>
      <c r="I204" s="40">
        <v>5.0065635847526355</v>
      </c>
      <c r="J204" s="40">
        <v>5.1913870478532642</v>
      </c>
      <c r="K204" s="160">
        <f t="shared" si="8"/>
        <v>2031</v>
      </c>
      <c r="L204" s="4"/>
      <c r="M204" s="4"/>
    </row>
    <row r="205" spans="7:13">
      <c r="G205" s="36">
        <v>48092</v>
      </c>
      <c r="H205" s="40">
        <v>4.9964189795918363</v>
      </c>
      <c r="I205" s="40">
        <v>4.8571313057583128</v>
      </c>
      <c r="J205" s="40">
        <v>5.0352235065068145</v>
      </c>
      <c r="K205" s="160">
        <f t="shared" si="8"/>
        <v>2031</v>
      </c>
      <c r="L205" s="4"/>
      <c r="M205" s="4"/>
    </row>
    <row r="206" spans="7:13">
      <c r="G206" s="36">
        <v>48122</v>
      </c>
      <c r="H206" s="40">
        <v>5.0265210204081638</v>
      </c>
      <c r="I206" s="40">
        <v>4.8870380373073798</v>
      </c>
      <c r="J206" s="40">
        <v>5.0705754892919366</v>
      </c>
      <c r="K206" s="160">
        <f t="shared" si="8"/>
        <v>2031</v>
      </c>
      <c r="L206" s="4"/>
      <c r="M206" s="4"/>
    </row>
    <row r="207" spans="7:13">
      <c r="G207" s="36">
        <v>48153</v>
      </c>
      <c r="H207" s="40">
        <v>5.2219291836734696</v>
      </c>
      <c r="I207" s="40">
        <v>5.245614679643146</v>
      </c>
      <c r="J207" s="40">
        <v>5.2463107080643514</v>
      </c>
      <c r="K207" s="160">
        <f t="shared" si="8"/>
        <v>2031</v>
      </c>
      <c r="L207" s="4"/>
      <c r="M207" s="4"/>
    </row>
    <row r="208" spans="7:13">
      <c r="G208" s="36">
        <v>48183</v>
      </c>
      <c r="H208" s="40">
        <v>5.4776434693877549</v>
      </c>
      <c r="I208" s="40">
        <v>5.5294751824817512</v>
      </c>
      <c r="J208" s="40">
        <v>5.5056610513372277</v>
      </c>
      <c r="K208" s="160">
        <f t="shared" si="8"/>
        <v>2031</v>
      </c>
      <c r="L208" s="4"/>
      <c r="M208" s="4"/>
    </row>
    <row r="209" spans="7:13">
      <c r="G209" s="36">
        <v>48214</v>
      </c>
      <c r="H209" s="40">
        <v>5.5522353061224488</v>
      </c>
      <c r="I209" s="40">
        <v>5.5893900243308998</v>
      </c>
      <c r="J209" s="40">
        <v>5.5973712675479055</v>
      </c>
      <c r="K209" s="160">
        <f t="shared" si="8"/>
        <v>2032</v>
      </c>
      <c r="L209" s="4"/>
      <c r="M209" s="4"/>
    </row>
    <row r="210" spans="7:13">
      <c r="G210" s="36">
        <v>48245</v>
      </c>
      <c r="H210" s="40">
        <v>5.5522353061224488</v>
      </c>
      <c r="I210" s="40">
        <v>5.5740818329278179</v>
      </c>
      <c r="J210" s="40">
        <v>5.5395784609078804</v>
      </c>
      <c r="K210" s="160">
        <f t="shared" si="8"/>
        <v>2032</v>
      </c>
      <c r="L210" s="4"/>
      <c r="M210" s="4"/>
    </row>
    <row r="211" spans="7:13">
      <c r="G211" s="36">
        <v>48274</v>
      </c>
      <c r="H211" s="40">
        <v>5.2910108163265308</v>
      </c>
      <c r="I211" s="40">
        <v>5.3145522303325219</v>
      </c>
      <c r="J211" s="40">
        <v>5.2746947638077675</v>
      </c>
      <c r="K211" s="160">
        <f t="shared" si="8"/>
        <v>2032</v>
      </c>
      <c r="L211" s="4"/>
      <c r="M211" s="4"/>
    </row>
    <row r="212" spans="7:13">
      <c r="G212" s="36">
        <v>48305</v>
      </c>
      <c r="H212" s="40">
        <v>4.8914189795918368</v>
      </c>
      <c r="I212" s="40">
        <v>4.8411134630981341</v>
      </c>
      <c r="J212" s="40">
        <v>4.9297823752433656</v>
      </c>
      <c r="K212" s="160">
        <f t="shared" si="8"/>
        <v>2032</v>
      </c>
      <c r="L212" s="4"/>
      <c r="M212" s="4"/>
    </row>
    <row r="213" spans="7:13">
      <c r="G213" s="36">
        <v>48335</v>
      </c>
      <c r="H213" s="40">
        <v>4.8452965306122451</v>
      </c>
      <c r="I213" s="40">
        <v>4.7953916463909163</v>
      </c>
      <c r="J213" s="40">
        <v>4.8885896300850504</v>
      </c>
      <c r="K213" s="160">
        <f t="shared" si="8"/>
        <v>2032</v>
      </c>
      <c r="L213" s="4"/>
      <c r="M213" s="4"/>
    </row>
    <row r="214" spans="7:13">
      <c r="G214" s="36">
        <v>48366</v>
      </c>
      <c r="H214" s="40">
        <v>4.9221332653061225</v>
      </c>
      <c r="I214" s="40">
        <v>4.8717298459042988</v>
      </c>
      <c r="J214" s="40">
        <v>4.9606256993544422</v>
      </c>
      <c r="K214" s="160">
        <f t="shared" si="8"/>
        <v>2032</v>
      </c>
      <c r="L214" s="4"/>
      <c r="M214" s="4"/>
    </row>
    <row r="215" spans="7:13">
      <c r="G215" s="36">
        <v>48396</v>
      </c>
      <c r="H215" s="40">
        <v>5.2294802040816331</v>
      </c>
      <c r="I215" s="40">
        <v>5.0854362530413626</v>
      </c>
      <c r="J215" s="40">
        <v>5.2743873552618101</v>
      </c>
      <c r="K215" s="160">
        <f t="shared" si="8"/>
        <v>2032</v>
      </c>
      <c r="L215" s="4"/>
      <c r="M215" s="4"/>
    </row>
    <row r="216" spans="7:13">
      <c r="G216" s="36">
        <v>48427</v>
      </c>
      <c r="H216" s="40">
        <v>5.2756026530612239</v>
      </c>
      <c r="I216" s="40">
        <v>5.1312594484995939</v>
      </c>
      <c r="J216" s="40">
        <v>5.3207035761860846</v>
      </c>
      <c r="K216" s="160">
        <f t="shared" si="8"/>
        <v>2032</v>
      </c>
      <c r="L216" s="4"/>
      <c r="M216" s="4"/>
    </row>
    <row r="217" spans="7:13">
      <c r="G217" s="36">
        <v>48458</v>
      </c>
      <c r="H217" s="40">
        <v>5.1680516326530617</v>
      </c>
      <c r="I217" s="40">
        <v>5.024406244931062</v>
      </c>
      <c r="J217" s="40">
        <v>5.2075772312736968</v>
      </c>
      <c r="K217" s="160">
        <f t="shared" si="8"/>
        <v>2032</v>
      </c>
      <c r="L217" s="4"/>
      <c r="M217" s="4"/>
    </row>
    <row r="218" spans="7:13">
      <c r="G218" s="36">
        <v>48488</v>
      </c>
      <c r="H218" s="40">
        <v>5.1987659183673474</v>
      </c>
      <c r="I218" s="40">
        <v>5.0549212489862123</v>
      </c>
      <c r="J218" s="40">
        <v>5.2435440311507335</v>
      </c>
      <c r="K218" s="160">
        <f t="shared" si="8"/>
        <v>2032</v>
      </c>
      <c r="L218" s="4"/>
      <c r="M218" s="4"/>
    </row>
    <row r="219" spans="7:13">
      <c r="G219" s="36">
        <v>48519</v>
      </c>
      <c r="H219" s="40">
        <v>5.4139699999999999</v>
      </c>
      <c r="I219" s="40">
        <v>5.4366122465531221</v>
      </c>
      <c r="J219" s="40">
        <v>5.4391583358950717</v>
      </c>
      <c r="K219" s="160">
        <f t="shared" si="8"/>
        <v>2032</v>
      </c>
      <c r="L219" s="4"/>
      <c r="M219" s="4"/>
    </row>
    <row r="220" spans="7:13">
      <c r="G220" s="36">
        <v>48549</v>
      </c>
      <c r="H220" s="40">
        <v>5.7060108163265308</v>
      </c>
      <c r="I220" s="40">
        <v>5.726758231954582</v>
      </c>
      <c r="J220" s="40">
        <v>5.7349878266215804</v>
      </c>
      <c r="K220" s="160">
        <f t="shared" si="8"/>
        <v>2032</v>
      </c>
      <c r="L220" s="4"/>
      <c r="M220" s="4"/>
    </row>
    <row r="221" spans="7:13">
      <c r="G221" s="36">
        <v>48580</v>
      </c>
      <c r="H221" s="40">
        <v>5.768867959183674</v>
      </c>
      <c r="I221" s="40">
        <v>5.7740007299270069</v>
      </c>
      <c r="J221" s="40">
        <v>5.8149140485705511</v>
      </c>
      <c r="K221" s="160">
        <f t="shared" si="8"/>
        <v>2033</v>
      </c>
      <c r="L221" s="4"/>
      <c r="M221" s="4"/>
    </row>
    <row r="222" spans="7:13">
      <c r="G222" s="36">
        <v>48611</v>
      </c>
      <c r="H222" s="40">
        <v>5.768867959183674</v>
      </c>
      <c r="I222" s="40">
        <v>5.7896130575831295</v>
      </c>
      <c r="J222" s="40">
        <v>5.757121241930526</v>
      </c>
      <c r="K222" s="160">
        <f t="shared" si="8"/>
        <v>2033</v>
      </c>
      <c r="L222" s="4"/>
      <c r="M222" s="4"/>
    </row>
    <row r="223" spans="7:13">
      <c r="G223" s="36">
        <v>48639</v>
      </c>
      <c r="H223" s="40">
        <v>5.5176434693877559</v>
      </c>
      <c r="I223" s="40">
        <v>5.524406244931062</v>
      </c>
      <c r="J223" s="40">
        <v>5.5022795573316943</v>
      </c>
      <c r="K223" s="160">
        <f t="shared" si="8"/>
        <v>2033</v>
      </c>
      <c r="L223" s="4"/>
      <c r="M223" s="4"/>
    </row>
    <row r="224" spans="7:13">
      <c r="G224" s="36">
        <v>48670</v>
      </c>
      <c r="H224" s="40">
        <v>5.1877455102040813</v>
      </c>
      <c r="I224" s="40">
        <v>5.1341994322789937</v>
      </c>
      <c r="J224" s="40">
        <v>5.2273538477303001</v>
      </c>
      <c r="K224" s="160">
        <f t="shared" ref="K224:K311" si="9">YEAR(G224)</f>
        <v>2033</v>
      </c>
      <c r="L224" s="4"/>
      <c r="M224" s="4"/>
    </row>
    <row r="225" spans="7:13">
      <c r="G225" s="36">
        <v>48700</v>
      </c>
      <c r="H225" s="40">
        <v>5.109174081632653</v>
      </c>
      <c r="I225" s="40">
        <v>5.0562391727493914</v>
      </c>
      <c r="J225" s="40">
        <v>5.1535757967004816</v>
      </c>
      <c r="K225" s="160">
        <f t="shared" si="9"/>
        <v>2033</v>
      </c>
      <c r="L225" s="4"/>
      <c r="M225" s="4"/>
    </row>
    <row r="226" spans="7:13">
      <c r="G226" s="36">
        <v>48731</v>
      </c>
      <c r="H226" s="40">
        <v>5.1720312244897961</v>
      </c>
      <c r="I226" s="40">
        <v>5.1029747769667475</v>
      </c>
      <c r="J226" s="40">
        <v>5.2115735423711449</v>
      </c>
      <c r="K226" s="160">
        <f t="shared" si="9"/>
        <v>2033</v>
      </c>
      <c r="L226" s="4"/>
      <c r="M226" s="4"/>
    </row>
    <row r="227" spans="7:13">
      <c r="G227" s="36">
        <v>48761</v>
      </c>
      <c r="H227" s="40">
        <v>5.5176434693877559</v>
      </c>
      <c r="I227" s="40">
        <v>5.3682829683698294</v>
      </c>
      <c r="J227" s="40">
        <v>5.5637612665232101</v>
      </c>
      <c r="K227" s="160">
        <f t="shared" si="9"/>
        <v>2033</v>
      </c>
      <c r="L227" s="4"/>
      <c r="M227" s="4"/>
    </row>
    <row r="228" spans="7:13">
      <c r="G228" s="36">
        <v>48792</v>
      </c>
      <c r="H228" s="40">
        <v>5.5646842857142849</v>
      </c>
      <c r="I228" s="40">
        <v>5.4151199513381991</v>
      </c>
      <c r="J228" s="40">
        <v>5.6109997130853575</v>
      </c>
      <c r="K228" s="160">
        <f t="shared" si="9"/>
        <v>2033</v>
      </c>
      <c r="L228" s="4"/>
      <c r="M228" s="4"/>
    </row>
    <row r="229" spans="7:13">
      <c r="G229" s="36">
        <v>48823</v>
      </c>
      <c r="H229" s="40">
        <v>5.3762148979591835</v>
      </c>
      <c r="I229" s="40">
        <v>5.227873398215733</v>
      </c>
      <c r="J229" s="40">
        <v>5.4166150425248496</v>
      </c>
      <c r="K229" s="160">
        <f t="shared" si="9"/>
        <v>2033</v>
      </c>
      <c r="L229" s="4"/>
      <c r="M229" s="4"/>
    </row>
    <row r="230" spans="7:13">
      <c r="G230" s="36">
        <v>48853</v>
      </c>
      <c r="H230" s="40">
        <v>5.4076434693877555</v>
      </c>
      <c r="I230" s="40">
        <v>5.2590980535279801</v>
      </c>
      <c r="J230" s="40">
        <v>5.4532991290091202</v>
      </c>
      <c r="K230" s="160">
        <f t="shared" si="9"/>
        <v>2033</v>
      </c>
      <c r="L230" s="4"/>
      <c r="M230" s="4"/>
    </row>
    <row r="231" spans="7:13">
      <c r="G231" s="36">
        <v>48884</v>
      </c>
      <c r="H231" s="40">
        <v>5.6118271428571429</v>
      </c>
      <c r="I231" s="40">
        <v>5.6179788321167878</v>
      </c>
      <c r="J231" s="40">
        <v>5.637846726098986</v>
      </c>
      <c r="K231" s="160">
        <f t="shared" si="9"/>
        <v>2033</v>
      </c>
      <c r="L231" s="4"/>
      <c r="M231" s="4"/>
    </row>
    <row r="232" spans="7:13">
      <c r="G232" s="36">
        <v>48914</v>
      </c>
      <c r="H232" s="40">
        <v>5.9731536734693877</v>
      </c>
      <c r="I232" s="40">
        <v>6.0080842660178426</v>
      </c>
      <c r="J232" s="40">
        <v>6.0032530177272267</v>
      </c>
      <c r="K232" s="160">
        <f t="shared" si="9"/>
        <v>2033</v>
      </c>
      <c r="L232" s="4"/>
      <c r="M232" s="4"/>
    </row>
    <row r="233" spans="7:13">
      <c r="G233" s="36">
        <v>48945</v>
      </c>
      <c r="H233" s="40">
        <v>6.0465210204081634</v>
      </c>
      <c r="I233" s="40">
        <v>6.0817866180048661</v>
      </c>
      <c r="J233" s="40">
        <v>6.0936311302387551</v>
      </c>
      <c r="K233" s="160">
        <f t="shared" si="9"/>
        <v>2034</v>
      </c>
      <c r="L233" s="4"/>
      <c r="M233" s="4"/>
    </row>
    <row r="234" spans="7:13">
      <c r="G234" s="36">
        <v>48976</v>
      </c>
      <c r="H234" s="40">
        <v>6.0465210204081634</v>
      </c>
      <c r="I234" s="40">
        <v>6.0817866180048661</v>
      </c>
      <c r="J234" s="40">
        <v>6.0359407931140492</v>
      </c>
      <c r="K234" s="160">
        <f t="shared" si="9"/>
        <v>2034</v>
      </c>
      <c r="L234" s="4"/>
      <c r="M234" s="4"/>
    </row>
    <row r="235" spans="7:13">
      <c r="G235" s="36">
        <v>49004</v>
      </c>
      <c r="H235" s="40">
        <v>5.8215210204081629</v>
      </c>
      <c r="I235" s="40">
        <v>5.8263121654501209</v>
      </c>
      <c r="J235" s="40">
        <v>5.8074337739522504</v>
      </c>
      <c r="K235" s="160">
        <f t="shared" si="9"/>
        <v>2034</v>
      </c>
      <c r="L235" s="4"/>
      <c r="M235" s="4"/>
    </row>
    <row r="236" spans="7:13">
      <c r="G236" s="36">
        <v>49035</v>
      </c>
      <c r="H236" s="40">
        <v>5.4840720408163266</v>
      </c>
      <c r="I236" s="40">
        <v>5.4112675587996755</v>
      </c>
      <c r="J236" s="40">
        <v>5.5249253202172355</v>
      </c>
      <c r="K236" s="160">
        <f t="shared" si="9"/>
        <v>2034</v>
      </c>
      <c r="L236" s="4"/>
      <c r="M236" s="4"/>
    </row>
    <row r="237" spans="7:13">
      <c r="G237" s="36">
        <v>49065</v>
      </c>
      <c r="H237" s="40">
        <v>5.3876434693877551</v>
      </c>
      <c r="I237" s="40">
        <v>5.33138110300081</v>
      </c>
      <c r="J237" s="40">
        <v>5.4332151040065577</v>
      </c>
      <c r="K237" s="160">
        <f t="shared" si="9"/>
        <v>2034</v>
      </c>
      <c r="L237" s="4"/>
      <c r="M237" s="4"/>
    </row>
    <row r="238" spans="7:13">
      <c r="G238" s="36">
        <v>49096</v>
      </c>
      <c r="H238" s="40">
        <v>5.4680516326530615</v>
      </c>
      <c r="I238" s="40">
        <v>5.4112675587996755</v>
      </c>
      <c r="J238" s="40">
        <v>5.5088376063121229</v>
      </c>
      <c r="K238" s="160">
        <f t="shared" si="9"/>
        <v>2034</v>
      </c>
      <c r="L238" s="4"/>
      <c r="M238" s="4"/>
    </row>
    <row r="239" spans="7:13">
      <c r="G239" s="36">
        <v>49126</v>
      </c>
      <c r="H239" s="40">
        <v>5.7733577551020403</v>
      </c>
      <c r="I239" s="40">
        <v>5.6187898621248982</v>
      </c>
      <c r="J239" s="40">
        <v>5.8205498719131059</v>
      </c>
      <c r="K239" s="160">
        <f t="shared" si="9"/>
        <v>2034</v>
      </c>
      <c r="L239" s="4"/>
      <c r="M239" s="4"/>
    </row>
    <row r="240" spans="7:13">
      <c r="G240" s="36">
        <v>49157</v>
      </c>
      <c r="H240" s="40">
        <v>5.837541428571428</v>
      </c>
      <c r="I240" s="40">
        <v>5.6985749391727492</v>
      </c>
      <c r="J240" s="40">
        <v>5.8850031970488779</v>
      </c>
      <c r="K240" s="160">
        <f t="shared" si="9"/>
        <v>2034</v>
      </c>
      <c r="L240" s="4"/>
      <c r="M240" s="4"/>
    </row>
    <row r="241" spans="7:13">
      <c r="G241" s="36">
        <v>49188</v>
      </c>
      <c r="H241" s="40">
        <v>5.6608067346938782</v>
      </c>
      <c r="I241" s="40">
        <v>5.5070704785077043</v>
      </c>
      <c r="J241" s="40">
        <v>5.7024025207500779</v>
      </c>
      <c r="K241" s="160">
        <f t="shared" si="9"/>
        <v>2034</v>
      </c>
      <c r="L241" s="4"/>
      <c r="M241" s="4"/>
    </row>
    <row r="242" spans="7:13">
      <c r="G242" s="36">
        <v>49218</v>
      </c>
      <c r="H242" s="40">
        <v>5.7090720408163262</v>
      </c>
      <c r="I242" s="40">
        <v>5.5708377128953765</v>
      </c>
      <c r="J242" s="40">
        <v>5.7559940772620148</v>
      </c>
      <c r="K242" s="160">
        <f t="shared" si="9"/>
        <v>2034</v>
      </c>
      <c r="L242" s="4"/>
      <c r="M242" s="4"/>
    </row>
    <row r="243" spans="7:13">
      <c r="G243" s="36">
        <v>49249</v>
      </c>
      <c r="H243" s="40">
        <v>5.9018271428571421</v>
      </c>
      <c r="I243" s="40">
        <v>5.9380315490673148</v>
      </c>
      <c r="J243" s="40">
        <v>5.9290650886361309</v>
      </c>
      <c r="K243" s="160">
        <f t="shared" si="9"/>
        <v>2034</v>
      </c>
      <c r="L243" s="4"/>
      <c r="M243" s="4"/>
    </row>
    <row r="244" spans="7:13">
      <c r="G244" s="36">
        <v>49279</v>
      </c>
      <c r="H244" s="40">
        <v>6.2392761224489792</v>
      </c>
      <c r="I244" s="40">
        <v>6.2893089213300888</v>
      </c>
      <c r="J244" s="40">
        <v>6.2704935136796802</v>
      </c>
      <c r="K244" s="160">
        <f t="shared" si="9"/>
        <v>2034</v>
      </c>
      <c r="L244" s="4"/>
      <c r="M244" s="4"/>
    </row>
    <row r="245" spans="7:13">
      <c r="G245" s="36">
        <v>49310</v>
      </c>
      <c r="H245" s="40">
        <v>6.3173373469387757</v>
      </c>
      <c r="I245" s="40">
        <v>6.3515554744525549</v>
      </c>
      <c r="J245" s="40">
        <v>6.3655852238958914</v>
      </c>
      <c r="K245" s="160">
        <f t="shared" si="9"/>
        <v>2035</v>
      </c>
      <c r="L245" s="4"/>
      <c r="M245" s="4"/>
    </row>
    <row r="246" spans="7:13">
      <c r="G246" s="36">
        <v>49341</v>
      </c>
      <c r="H246" s="40">
        <v>6.3337659183673471</v>
      </c>
      <c r="I246" s="40">
        <v>6.3678774533657743</v>
      </c>
      <c r="J246" s="40">
        <v>6.3243924787375754</v>
      </c>
      <c r="K246" s="160">
        <f t="shared" si="9"/>
        <v>2035</v>
      </c>
      <c r="L246" s="4"/>
      <c r="M246" s="4"/>
    </row>
    <row r="247" spans="7:13">
      <c r="G247" s="36">
        <v>49369</v>
      </c>
      <c r="H247" s="40">
        <v>6.0214189795918367</v>
      </c>
      <c r="I247" s="40">
        <v>6.0249131386861308</v>
      </c>
      <c r="J247" s="40">
        <v>6.0081715544625478</v>
      </c>
      <c r="K247" s="160">
        <f t="shared" si="9"/>
        <v>2035</v>
      </c>
      <c r="L247" s="4"/>
      <c r="M247" s="4"/>
    </row>
    <row r="248" spans="7:13">
      <c r="G248" s="36">
        <v>49400</v>
      </c>
      <c r="H248" s="40">
        <v>5.6926434693877557</v>
      </c>
      <c r="I248" s="40">
        <v>5.6166609083536088</v>
      </c>
      <c r="J248" s="40">
        <v>5.7343730095296657</v>
      </c>
      <c r="K248" s="160">
        <f t="shared" si="9"/>
        <v>2035</v>
      </c>
      <c r="L248" s="4"/>
      <c r="M248" s="4"/>
    </row>
    <row r="249" spans="7:13">
      <c r="G249" s="36">
        <v>49430</v>
      </c>
      <c r="H249" s="40">
        <v>5.6105006122448975</v>
      </c>
      <c r="I249" s="40">
        <v>5.5349496350364955</v>
      </c>
      <c r="J249" s="40">
        <v>5.6570085254636746</v>
      </c>
      <c r="K249" s="160">
        <f t="shared" si="9"/>
        <v>2035</v>
      </c>
      <c r="L249" s="4"/>
      <c r="M249" s="4"/>
    </row>
    <row r="250" spans="7:13">
      <c r="G250" s="36">
        <v>49461</v>
      </c>
      <c r="H250" s="40">
        <v>5.6597863265306119</v>
      </c>
      <c r="I250" s="40">
        <v>5.5840169505271691</v>
      </c>
      <c r="J250" s="40">
        <v>5.701377825596885</v>
      </c>
      <c r="K250" s="160">
        <f t="shared" si="9"/>
        <v>2035</v>
      </c>
      <c r="L250" s="4"/>
      <c r="M250" s="4"/>
    </row>
    <row r="251" spans="7:13">
      <c r="G251" s="36">
        <v>49491</v>
      </c>
      <c r="H251" s="40">
        <v>5.9885618367346938</v>
      </c>
      <c r="I251" s="40">
        <v>5.8289480129764799</v>
      </c>
      <c r="J251" s="40">
        <v>6.0366580797212839</v>
      </c>
      <c r="K251" s="160">
        <f t="shared" si="9"/>
        <v>2035</v>
      </c>
      <c r="L251" s="4"/>
      <c r="M251" s="4"/>
    </row>
    <row r="252" spans="7:13">
      <c r="G252" s="36">
        <v>49522</v>
      </c>
      <c r="H252" s="40">
        <v>6.0707046938775511</v>
      </c>
      <c r="I252" s="40">
        <v>5.9105579075425787</v>
      </c>
      <c r="J252" s="40">
        <v>6.1191460395532333</v>
      </c>
      <c r="K252" s="160">
        <f t="shared" si="9"/>
        <v>2035</v>
      </c>
      <c r="L252" s="4"/>
      <c r="M252" s="4"/>
    </row>
    <row r="253" spans="7:13">
      <c r="G253" s="36">
        <v>49553</v>
      </c>
      <c r="H253" s="40">
        <v>5.8570312244897957</v>
      </c>
      <c r="I253" s="40">
        <v>5.6982708029197076</v>
      </c>
      <c r="J253" s="40">
        <v>5.8994513987088846</v>
      </c>
      <c r="K253" s="160">
        <f t="shared" si="9"/>
        <v>2035</v>
      </c>
      <c r="L253" s="4"/>
      <c r="M253" s="4"/>
    </row>
    <row r="254" spans="7:13">
      <c r="G254" s="36">
        <v>49583</v>
      </c>
      <c r="H254" s="40">
        <v>5.9063169387755101</v>
      </c>
      <c r="I254" s="40">
        <v>5.7473381184103811</v>
      </c>
      <c r="J254" s="40">
        <v>5.9540676503740144</v>
      </c>
      <c r="K254" s="160">
        <f t="shared" si="9"/>
        <v>2035</v>
      </c>
      <c r="L254" s="4"/>
      <c r="M254" s="4"/>
    </row>
    <row r="255" spans="7:13">
      <c r="G255" s="36">
        <v>49614</v>
      </c>
      <c r="H255" s="40">
        <v>6.0871332653061225</v>
      </c>
      <c r="I255" s="40">
        <v>6.0902010543390102</v>
      </c>
      <c r="J255" s="40">
        <v>6.1151497284557852</v>
      </c>
      <c r="K255" s="160">
        <f t="shared" si="9"/>
        <v>2035</v>
      </c>
      <c r="L255" s="4"/>
      <c r="M255" s="4"/>
    </row>
    <row r="256" spans="7:13">
      <c r="G256" s="36">
        <v>49644</v>
      </c>
      <c r="H256" s="40">
        <v>6.3994802040816321</v>
      </c>
      <c r="I256" s="40">
        <v>6.4331653690186528</v>
      </c>
      <c r="J256" s="40">
        <v>6.4313706527308128</v>
      </c>
      <c r="K256" s="160">
        <f t="shared" si="9"/>
        <v>2035</v>
      </c>
      <c r="L256" s="4"/>
      <c r="M256" s="4"/>
    </row>
    <row r="257" spans="7:13">
      <c r="G257" s="36">
        <v>49675</v>
      </c>
      <c r="H257" s="40">
        <v>6.462847551020408</v>
      </c>
      <c r="I257" s="40">
        <v>6.4969326034063251</v>
      </c>
      <c r="J257" s="40">
        <v>6.511809222256379</v>
      </c>
      <c r="K257" s="160">
        <f t="shared" si="9"/>
        <v>2036</v>
      </c>
      <c r="L257" s="4"/>
      <c r="M257" s="4"/>
    </row>
    <row r="258" spans="7:13">
      <c r="G258" s="36">
        <v>49706</v>
      </c>
      <c r="H258" s="40">
        <v>6.4965210204081636</v>
      </c>
      <c r="I258" s="40">
        <v>6.4969326034063251</v>
      </c>
      <c r="J258" s="40">
        <v>6.4878313556716884</v>
      </c>
      <c r="K258" s="160">
        <f t="shared" si="9"/>
        <v>2036</v>
      </c>
      <c r="L258" s="4"/>
      <c r="M258" s="4"/>
    </row>
    <row r="259" spans="7:13">
      <c r="G259" s="36">
        <v>49735</v>
      </c>
      <c r="H259" s="40">
        <v>6.2611128571428569</v>
      </c>
      <c r="I259" s="40">
        <v>6.2463243309002427</v>
      </c>
      <c r="J259" s="40">
        <v>6.248872445947331</v>
      </c>
      <c r="K259" s="160">
        <f t="shared" si="9"/>
        <v>2036</v>
      </c>
      <c r="L259" s="4"/>
      <c r="M259" s="4"/>
    </row>
    <row r="260" spans="7:13">
      <c r="G260" s="36">
        <v>49766</v>
      </c>
      <c r="H260" s="40">
        <v>6.0256026530612248</v>
      </c>
      <c r="I260" s="40">
        <v>5.9622610705596104</v>
      </c>
      <c r="J260" s="40">
        <v>6.0687310380161907</v>
      </c>
      <c r="K260" s="160">
        <f t="shared" si="9"/>
        <v>2036</v>
      </c>
      <c r="L260" s="4"/>
      <c r="M260" s="4"/>
    </row>
    <row r="261" spans="7:13">
      <c r="G261" s="36">
        <v>49796</v>
      </c>
      <c r="H261" s="40">
        <v>5.9751944897959186</v>
      </c>
      <c r="I261" s="40">
        <v>5.9121799675587994</v>
      </c>
      <c r="J261" s="40">
        <v>6.0232345732144692</v>
      </c>
      <c r="K261" s="160">
        <f t="shared" si="9"/>
        <v>2036</v>
      </c>
      <c r="L261" s="4"/>
      <c r="M261" s="4"/>
    </row>
    <row r="262" spans="7:13">
      <c r="G262" s="36">
        <v>49827</v>
      </c>
      <c r="H262" s="40">
        <v>6.0592761224489795</v>
      </c>
      <c r="I262" s="40">
        <v>5.9957160583941604</v>
      </c>
      <c r="J262" s="40">
        <v>6.1025459780715234</v>
      </c>
      <c r="K262" s="160">
        <f t="shared" si="9"/>
        <v>2036</v>
      </c>
      <c r="L262" s="4"/>
      <c r="M262" s="4"/>
    </row>
    <row r="263" spans="7:13">
      <c r="G263" s="36">
        <v>49857</v>
      </c>
      <c r="H263" s="40">
        <v>6.4292761224489796</v>
      </c>
      <c r="I263" s="40">
        <v>6.2630518248175182</v>
      </c>
      <c r="J263" s="40">
        <v>6.4792239163848757</v>
      </c>
      <c r="K263" s="160">
        <f t="shared" si="9"/>
        <v>2036</v>
      </c>
      <c r="L263" s="4"/>
      <c r="M263" s="4"/>
    </row>
    <row r="264" spans="7:13">
      <c r="G264" s="36">
        <v>49888</v>
      </c>
      <c r="H264" s="40">
        <v>6.5133577551020405</v>
      </c>
      <c r="I264" s="40">
        <v>6.3465879156528784</v>
      </c>
      <c r="J264" s="40">
        <v>6.5636587970078901</v>
      </c>
      <c r="K264" s="160">
        <f t="shared" si="9"/>
        <v>2036</v>
      </c>
      <c r="L264" s="4"/>
      <c r="M264" s="4"/>
    </row>
    <row r="265" spans="7:13">
      <c r="G265" s="36">
        <v>49919</v>
      </c>
      <c r="H265" s="40">
        <v>6.2946842857142862</v>
      </c>
      <c r="I265" s="40">
        <v>6.1293332522303325</v>
      </c>
      <c r="J265" s="40">
        <v>6.3389431499129012</v>
      </c>
      <c r="K265" s="160">
        <f t="shared" si="9"/>
        <v>2036</v>
      </c>
      <c r="L265" s="4"/>
      <c r="M265" s="4"/>
    </row>
    <row r="266" spans="7:13">
      <c r="G266" s="36">
        <v>49949</v>
      </c>
      <c r="H266" s="40">
        <v>6.3283577551020409</v>
      </c>
      <c r="I266" s="40">
        <v>6.1627882400648817</v>
      </c>
      <c r="J266" s="40">
        <v>6.3778815657341941</v>
      </c>
      <c r="K266" s="160">
        <f t="shared" si="9"/>
        <v>2036</v>
      </c>
      <c r="L266" s="4"/>
      <c r="M266" s="4"/>
    </row>
    <row r="267" spans="7:13">
      <c r="G267" s="36">
        <v>49980</v>
      </c>
      <c r="H267" s="40">
        <v>6.5806026530612245</v>
      </c>
      <c r="I267" s="40">
        <v>6.5971961881589616</v>
      </c>
      <c r="J267" s="40">
        <v>6.6106923045394002</v>
      </c>
      <c r="K267" s="160">
        <f t="shared" si="9"/>
        <v>2036</v>
      </c>
      <c r="L267" s="4"/>
      <c r="M267" s="4"/>
    </row>
    <row r="268" spans="7:13">
      <c r="G268" s="36">
        <v>50010</v>
      </c>
      <c r="H268" s="40">
        <v>6.9673373469387752</v>
      </c>
      <c r="I268" s="40">
        <v>6.9646941605839414</v>
      </c>
      <c r="J268" s="40">
        <v>7.00161350548212</v>
      </c>
      <c r="K268" s="160">
        <f t="shared" si="9"/>
        <v>2036</v>
      </c>
      <c r="L268" s="4"/>
      <c r="M268" s="4"/>
    </row>
    <row r="269" spans="7:13">
      <c r="G269" s="36">
        <v>50041</v>
      </c>
      <c r="H269" s="40">
        <v>7.0006026530612244</v>
      </c>
      <c r="I269" s="40">
        <v>6.9977436334144354</v>
      </c>
      <c r="J269" s="40">
        <v>7.0517210984732044</v>
      </c>
      <c r="K269" s="160">
        <f t="shared" si="9"/>
        <v>2037</v>
      </c>
      <c r="L269" s="4"/>
      <c r="M269" s="4"/>
    </row>
    <row r="270" spans="7:13">
      <c r="G270" s="36">
        <v>50072</v>
      </c>
      <c r="H270" s="40">
        <v>7.0349904081632646</v>
      </c>
      <c r="I270" s="40">
        <v>7.0319082725060822</v>
      </c>
      <c r="J270" s="40">
        <v>7.0285629880110676</v>
      </c>
      <c r="K270" s="160">
        <f t="shared" si="9"/>
        <v>2037</v>
      </c>
      <c r="L270" s="4"/>
      <c r="M270" s="4"/>
    </row>
    <row r="271" spans="7:13">
      <c r="G271" s="36">
        <v>50100</v>
      </c>
      <c r="H271" s="40">
        <v>6.6396842857142859</v>
      </c>
      <c r="I271" s="40">
        <v>6.6391669910786693</v>
      </c>
      <c r="J271" s="40">
        <v>6.6290343477815359</v>
      </c>
      <c r="K271" s="160">
        <f t="shared" si="9"/>
        <v>2037</v>
      </c>
      <c r="L271" s="4"/>
      <c r="M271" s="4"/>
    </row>
    <row r="272" spans="7:13">
      <c r="G272" s="36">
        <v>50131</v>
      </c>
      <c r="H272" s="40">
        <v>6.2099904081632653</v>
      </c>
      <c r="I272" s="40">
        <v>6.1269001622060006</v>
      </c>
      <c r="J272" s="40">
        <v>6.2538934521979712</v>
      </c>
      <c r="K272" s="160">
        <f t="shared" si="9"/>
        <v>2037</v>
      </c>
      <c r="L272" s="4"/>
      <c r="M272" s="4"/>
    </row>
    <row r="273" spans="7:13">
      <c r="G273" s="36">
        <v>50161</v>
      </c>
      <c r="H273" s="40">
        <v>6.1240720408163263</v>
      </c>
      <c r="I273" s="40">
        <v>6.0415392538523918</v>
      </c>
      <c r="J273" s="40">
        <v>6.1727375960651711</v>
      </c>
      <c r="K273" s="160">
        <f t="shared" si="9"/>
        <v>2037</v>
      </c>
      <c r="L273" s="4"/>
      <c r="M273" s="4"/>
    </row>
    <row r="274" spans="7:13">
      <c r="G274" s="36">
        <v>50192</v>
      </c>
      <c r="H274" s="40">
        <v>6.1756026530612242</v>
      </c>
      <c r="I274" s="40">
        <v>6.0586722627737224</v>
      </c>
      <c r="J274" s="40">
        <v>6.2193612255354029</v>
      </c>
      <c r="K274" s="160">
        <f t="shared" si="9"/>
        <v>2037</v>
      </c>
      <c r="L274" s="4"/>
      <c r="M274" s="4"/>
    </row>
    <row r="275" spans="7:13">
      <c r="G275" s="36">
        <v>50222</v>
      </c>
      <c r="H275" s="40">
        <v>6.5193781632653067</v>
      </c>
      <c r="I275" s="40">
        <v>6.3489196269261958</v>
      </c>
      <c r="J275" s="40">
        <v>6.5697044984117232</v>
      </c>
      <c r="K275" s="160">
        <f t="shared" si="9"/>
        <v>2037</v>
      </c>
      <c r="L275" s="4"/>
      <c r="M275" s="4"/>
    </row>
    <row r="276" spans="7:13">
      <c r="G276" s="36">
        <v>50253</v>
      </c>
      <c r="H276" s="40">
        <v>6.6052965306122449</v>
      </c>
      <c r="I276" s="40">
        <v>6.4342805352798047</v>
      </c>
      <c r="J276" s="40">
        <v>6.6559838303104835</v>
      </c>
      <c r="K276" s="160">
        <f t="shared" si="9"/>
        <v>2037</v>
      </c>
      <c r="L276" s="4"/>
      <c r="M276" s="4"/>
    </row>
    <row r="277" spans="7:13">
      <c r="G277" s="36">
        <v>50284</v>
      </c>
      <c r="H277" s="40">
        <v>6.2959087755102043</v>
      </c>
      <c r="I277" s="40">
        <v>6.1269001622060006</v>
      </c>
      <c r="J277" s="40">
        <v>6.3401727840967315</v>
      </c>
      <c r="K277" s="160">
        <f t="shared" si="9"/>
        <v>2037</v>
      </c>
      <c r="L277" s="4"/>
      <c r="M277" s="4"/>
    </row>
    <row r="278" spans="7:13">
      <c r="G278" s="36">
        <v>50314</v>
      </c>
      <c r="H278" s="40">
        <v>6.3646842857142856</v>
      </c>
      <c r="I278" s="40">
        <v>6.1952294403892942</v>
      </c>
      <c r="J278" s="40">
        <v>6.4143607131878273</v>
      </c>
      <c r="K278" s="160">
        <f t="shared" si="9"/>
        <v>2037</v>
      </c>
      <c r="L278" s="4"/>
      <c r="M278" s="4"/>
    </row>
    <row r="279" spans="7:13">
      <c r="G279" s="36">
        <v>50345</v>
      </c>
      <c r="H279" s="40">
        <v>6.5709087755102038</v>
      </c>
      <c r="I279" s="40">
        <v>6.5538060827250604</v>
      </c>
      <c r="J279" s="40">
        <v>6.6009577005840772</v>
      </c>
      <c r="K279" s="160">
        <f t="shared" si="9"/>
        <v>2037</v>
      </c>
      <c r="L279" s="4"/>
      <c r="M279" s="4"/>
    </row>
    <row r="280" spans="7:13">
      <c r="G280" s="36">
        <v>50375</v>
      </c>
      <c r="H280" s="40">
        <v>7.0006026530612244</v>
      </c>
      <c r="I280" s="40">
        <v>7.0319082725060822</v>
      </c>
      <c r="J280" s="40">
        <v>7.0350185674761763</v>
      </c>
      <c r="K280" s="160">
        <f t="shared" si="9"/>
        <v>2037</v>
      </c>
      <c r="L280" s="4"/>
      <c r="M280" s="4"/>
    </row>
    <row r="281" spans="7:13">
      <c r="G281" s="36">
        <v>50406</v>
      </c>
      <c r="H281" s="40">
        <v>7.084582244897959</v>
      </c>
      <c r="I281" s="40">
        <v>7.0811783454987829</v>
      </c>
      <c r="J281" s="40">
        <v>7.1361559790962188</v>
      </c>
      <c r="K281" s="160">
        <f t="shared" ref="K281:K304" si="10">YEAR(G281)</f>
        <v>2038</v>
      </c>
      <c r="L281" s="4"/>
      <c r="M281" s="4"/>
    </row>
    <row r="282" spans="7:13">
      <c r="G282" s="36">
        <v>50437</v>
      </c>
      <c r="H282" s="40">
        <v>7.1021332653061222</v>
      </c>
      <c r="I282" s="40">
        <v>7.0811783454987829</v>
      </c>
      <c r="J282" s="40">
        <v>7.0959879290910957</v>
      </c>
      <c r="K282" s="160">
        <f t="shared" si="10"/>
        <v>2038</v>
      </c>
      <c r="L282" s="4"/>
      <c r="M282" s="4"/>
    </row>
    <row r="283" spans="7:13">
      <c r="G283" s="36">
        <v>50465</v>
      </c>
      <c r="H283" s="40">
        <v>6.7684597959183677</v>
      </c>
      <c r="I283" s="40">
        <v>6.7496698296836977</v>
      </c>
      <c r="J283" s="40">
        <v>6.7583508761143571</v>
      </c>
      <c r="K283" s="160">
        <f t="shared" si="10"/>
        <v>2038</v>
      </c>
      <c r="L283" s="4"/>
      <c r="M283" s="4"/>
    </row>
    <row r="284" spans="7:13">
      <c r="G284" s="36">
        <v>50496</v>
      </c>
      <c r="H284" s="40">
        <v>6.4522353061224491</v>
      </c>
      <c r="I284" s="40">
        <v>6.4006227899432275</v>
      </c>
      <c r="J284" s="40">
        <v>6.497156081565735</v>
      </c>
      <c r="K284" s="160">
        <f t="shared" si="10"/>
        <v>2038</v>
      </c>
      <c r="L284" s="4"/>
      <c r="M284" s="4"/>
    </row>
    <row r="285" spans="7:13">
      <c r="G285" s="36">
        <v>50526</v>
      </c>
      <c r="H285" s="40">
        <v>6.3995822448979585</v>
      </c>
      <c r="I285" s="40">
        <v>6.3133356853203564</v>
      </c>
      <c r="J285" s="40">
        <v>6.4494052874269912</v>
      </c>
      <c r="K285" s="160">
        <f t="shared" si="10"/>
        <v>2038</v>
      </c>
      <c r="L285" s="4"/>
      <c r="M285" s="4"/>
    </row>
    <row r="286" spans="7:13">
      <c r="G286" s="36">
        <v>50557</v>
      </c>
      <c r="H286" s="40">
        <v>6.4346842857142859</v>
      </c>
      <c r="I286" s="40">
        <v>6.3308742092457413</v>
      </c>
      <c r="J286" s="40">
        <v>6.4795313249308339</v>
      </c>
      <c r="K286" s="160">
        <f t="shared" si="10"/>
        <v>2038</v>
      </c>
      <c r="L286" s="4"/>
      <c r="M286" s="4"/>
    </row>
    <row r="287" spans="7:13">
      <c r="G287" s="36">
        <v>50587</v>
      </c>
      <c r="H287" s="40">
        <v>6.8914189795918368</v>
      </c>
      <c r="I287" s="40">
        <v>6.7146941605839414</v>
      </c>
      <c r="J287" s="40">
        <v>6.9433083512654985</v>
      </c>
      <c r="K287" s="160">
        <f t="shared" si="10"/>
        <v>2038</v>
      </c>
      <c r="L287" s="4"/>
      <c r="M287" s="4"/>
    </row>
    <row r="288" spans="7:13">
      <c r="G288" s="36">
        <v>50618</v>
      </c>
      <c r="H288" s="40">
        <v>6.9791740816326531</v>
      </c>
      <c r="I288" s="40">
        <v>6.8019812652068126</v>
      </c>
      <c r="J288" s="40">
        <v>7.0314321344400046</v>
      </c>
      <c r="K288" s="160">
        <f t="shared" si="10"/>
        <v>2038</v>
      </c>
      <c r="L288" s="4"/>
      <c r="M288" s="4"/>
    </row>
    <row r="289" spans="7:13">
      <c r="G289" s="36">
        <v>50649</v>
      </c>
      <c r="H289" s="40">
        <v>6.6806026530612241</v>
      </c>
      <c r="I289" s="40">
        <v>6.50534703974047</v>
      </c>
      <c r="J289" s="40">
        <v>6.7264828568500876</v>
      </c>
      <c r="K289" s="160">
        <f t="shared" si="10"/>
        <v>2038</v>
      </c>
      <c r="L289" s="4"/>
      <c r="M289" s="4"/>
    </row>
    <row r="290" spans="7:13">
      <c r="G290" s="36">
        <v>50679</v>
      </c>
      <c r="H290" s="40">
        <v>6.7333577551020412</v>
      </c>
      <c r="I290" s="40">
        <v>6.5750956204379554</v>
      </c>
      <c r="J290" s="40">
        <v>6.78458307203607</v>
      </c>
      <c r="K290" s="160">
        <f t="shared" si="10"/>
        <v>2038</v>
      </c>
      <c r="L290" s="4"/>
      <c r="M290" s="4"/>
    </row>
    <row r="291" spans="7:13">
      <c r="G291" s="36">
        <v>50710</v>
      </c>
      <c r="H291" s="40">
        <v>7.0143781632653059</v>
      </c>
      <c r="I291" s="40">
        <v>6.9764540957015404</v>
      </c>
      <c r="J291" s="40">
        <v>7.0462902141612878</v>
      </c>
      <c r="K291" s="160">
        <f t="shared" si="10"/>
        <v>2038</v>
      </c>
      <c r="L291" s="4"/>
      <c r="M291" s="4"/>
    </row>
    <row r="292" spans="7:13">
      <c r="G292" s="36">
        <v>50740</v>
      </c>
      <c r="H292" s="40">
        <v>7.4534597959183682</v>
      </c>
      <c r="I292" s="40">
        <v>7.4476625304136252</v>
      </c>
      <c r="J292" s="40">
        <v>7.4897782764627534</v>
      </c>
      <c r="K292" s="160">
        <f t="shared" si="10"/>
        <v>2038</v>
      </c>
      <c r="L292" s="4"/>
      <c r="M292" s="4"/>
    </row>
    <row r="293" spans="7:13">
      <c r="G293" s="36">
        <v>50771</v>
      </c>
      <c r="H293" s="40">
        <v>7.5099904081632651</v>
      </c>
      <c r="I293" s="40">
        <v>7.5395116788321168</v>
      </c>
      <c r="J293" s="40">
        <v>7.5632489189466137</v>
      </c>
      <c r="K293" s="160">
        <f t="shared" si="10"/>
        <v>2039</v>
      </c>
      <c r="L293" s="4"/>
      <c r="M293" s="4"/>
    </row>
    <row r="294" spans="7:13">
      <c r="G294" s="36">
        <v>50802</v>
      </c>
      <c r="H294" s="40">
        <v>7.5099904081632651</v>
      </c>
      <c r="I294" s="40">
        <v>7.5038263584752629</v>
      </c>
      <c r="J294" s="40">
        <v>7.5055585818219086</v>
      </c>
      <c r="K294" s="160">
        <f t="shared" si="10"/>
        <v>2039</v>
      </c>
      <c r="L294" s="4"/>
      <c r="M294" s="4"/>
    </row>
    <row r="295" spans="7:13">
      <c r="G295" s="36">
        <v>50830</v>
      </c>
      <c r="H295" s="40">
        <v>7.0791740816326527</v>
      </c>
      <c r="I295" s="40">
        <v>7.0044346309813461</v>
      </c>
      <c r="J295" s="40">
        <v>7.0703705502612983</v>
      </c>
      <c r="K295" s="160">
        <f t="shared" si="10"/>
        <v>2039</v>
      </c>
      <c r="L295" s="4"/>
      <c r="M295" s="4"/>
    </row>
    <row r="296" spans="7:13">
      <c r="G296" s="36">
        <v>50861</v>
      </c>
      <c r="H296" s="40">
        <v>6.612439387755102</v>
      </c>
      <c r="I296" s="40">
        <v>6.5050429034874284</v>
      </c>
      <c r="J296" s="40">
        <v>6.6580332206168675</v>
      </c>
      <c r="K296" s="160">
        <f t="shared" si="10"/>
        <v>2039</v>
      </c>
      <c r="L296" s="4"/>
      <c r="M296" s="4"/>
    </row>
    <row r="297" spans="7:13">
      <c r="G297" s="36">
        <v>50891</v>
      </c>
      <c r="H297" s="40">
        <v>6.5406026530612245</v>
      </c>
      <c r="I297" s="40">
        <v>6.469458961881589</v>
      </c>
      <c r="J297" s="40">
        <v>6.591018157598115</v>
      </c>
      <c r="K297" s="160">
        <f t="shared" si="10"/>
        <v>2039</v>
      </c>
      <c r="L297" s="4"/>
      <c r="M297" s="4"/>
    </row>
    <row r="298" spans="7:13">
      <c r="G298" s="36">
        <v>50922</v>
      </c>
      <c r="H298" s="40">
        <v>6.5765210204081628</v>
      </c>
      <c r="I298" s="40">
        <v>6.5050429034874284</v>
      </c>
      <c r="J298" s="40">
        <v>6.6219639512245108</v>
      </c>
      <c r="K298" s="160">
        <f t="shared" si="10"/>
        <v>2039</v>
      </c>
      <c r="L298" s="4"/>
      <c r="M298" s="4"/>
    </row>
    <row r="299" spans="7:13">
      <c r="G299" s="36">
        <v>50952</v>
      </c>
      <c r="H299" s="40">
        <v>6.9714189795918369</v>
      </c>
      <c r="I299" s="40">
        <v>6.7904240875912407</v>
      </c>
      <c r="J299" s="40">
        <v>7.0236444512757457</v>
      </c>
      <c r="K299" s="160">
        <f t="shared" si="10"/>
        <v>2039</v>
      </c>
      <c r="L299" s="4"/>
      <c r="M299" s="4"/>
    </row>
    <row r="300" spans="7:13">
      <c r="G300" s="36">
        <v>50983</v>
      </c>
      <c r="H300" s="40">
        <v>7.0252965306122448</v>
      </c>
      <c r="I300" s="40">
        <v>6.8439520681265202</v>
      </c>
      <c r="J300" s="40">
        <v>7.0777483553642799</v>
      </c>
      <c r="K300" s="160">
        <f t="shared" si="10"/>
        <v>2039</v>
      </c>
      <c r="L300" s="4"/>
      <c r="M300" s="4"/>
    </row>
    <row r="301" spans="7:13">
      <c r="G301" s="36">
        <v>51014</v>
      </c>
      <c r="H301" s="40">
        <v>6.7021332653061219</v>
      </c>
      <c r="I301" s="40">
        <v>6.5407282238442814</v>
      </c>
      <c r="J301" s="40">
        <v>6.7481039245824368</v>
      </c>
      <c r="K301" s="160">
        <f t="shared" si="10"/>
        <v>2039</v>
      </c>
      <c r="L301" s="4"/>
      <c r="M301" s="4"/>
    </row>
    <row r="302" spans="7:13">
      <c r="G302" s="36">
        <v>51044</v>
      </c>
      <c r="H302" s="40">
        <v>6.791929183673469</v>
      </c>
      <c r="I302" s="40">
        <v>6.6120988645579883</v>
      </c>
      <c r="J302" s="40">
        <v>6.8434005738292862</v>
      </c>
      <c r="K302" s="160">
        <f t="shared" si="10"/>
        <v>2039</v>
      </c>
      <c r="L302" s="4"/>
      <c r="M302" s="4"/>
    </row>
    <row r="303" spans="7:13">
      <c r="G303" s="36">
        <v>51075</v>
      </c>
      <c r="H303" s="40">
        <v>7.0073373469387752</v>
      </c>
      <c r="I303" s="40">
        <v>6.9687493106244922</v>
      </c>
      <c r="J303" s="40">
        <v>7.0392198176042635</v>
      </c>
      <c r="K303" s="160">
        <f t="shared" si="10"/>
        <v>2039</v>
      </c>
      <c r="L303" s="4"/>
      <c r="M303" s="4"/>
    </row>
    <row r="304" spans="7:13">
      <c r="G304" s="36">
        <v>51105</v>
      </c>
      <c r="H304" s="40">
        <v>7.5459087755102034</v>
      </c>
      <c r="I304" s="40">
        <v>7.5216690186536894</v>
      </c>
      <c r="J304" s="40">
        <v>7.5826156573419405</v>
      </c>
      <c r="K304" s="160">
        <f t="shared" si="10"/>
        <v>2039</v>
      </c>
      <c r="L304" s="4"/>
      <c r="M304" s="4"/>
    </row>
    <row r="305" spans="7:13">
      <c r="G305" s="36">
        <v>51136</v>
      </c>
      <c r="H305" s="40">
        <v>7.6020312244897958</v>
      </c>
      <c r="I305" s="40">
        <v>7.6317663422546627</v>
      </c>
      <c r="J305" s="40">
        <v>7.6557788912798452</v>
      </c>
      <c r="K305" s="160">
        <f t="shared" si="9"/>
        <v>2040</v>
      </c>
      <c r="L305" s="4"/>
      <c r="M305" s="4"/>
    </row>
    <row r="306" spans="7:13">
      <c r="G306" s="36">
        <v>51167</v>
      </c>
      <c r="H306" s="40">
        <v>7.6020312244897958</v>
      </c>
      <c r="I306" s="40">
        <v>7.5952699918896993</v>
      </c>
      <c r="J306" s="40">
        <v>7.5979860846398202</v>
      </c>
      <c r="K306" s="160">
        <f t="shared" si="9"/>
        <v>2040</v>
      </c>
      <c r="L306" s="4"/>
      <c r="M306" s="4"/>
    </row>
    <row r="307" spans="7:13">
      <c r="G307" s="36">
        <v>51196</v>
      </c>
      <c r="H307" s="40">
        <v>7.235092448979592</v>
      </c>
      <c r="I307" s="40">
        <v>7.1943170316301694</v>
      </c>
      <c r="J307" s="40">
        <v>7.2269439696690245</v>
      </c>
      <c r="K307" s="160">
        <f t="shared" si="9"/>
        <v>2040</v>
      </c>
      <c r="L307" s="4"/>
      <c r="M307" s="4"/>
    </row>
    <row r="308" spans="7:13">
      <c r="G308" s="36">
        <v>51227</v>
      </c>
      <c r="H308" s="40">
        <v>6.9048883673469392</v>
      </c>
      <c r="I308" s="40">
        <v>6.8297590429845902</v>
      </c>
      <c r="J308" s="40">
        <v>6.951710851521673</v>
      </c>
      <c r="K308" s="160">
        <f t="shared" si="9"/>
        <v>2040</v>
      </c>
      <c r="L308" s="4"/>
      <c r="M308" s="4"/>
    </row>
    <row r="309" spans="7:13">
      <c r="G309" s="36">
        <v>51257</v>
      </c>
      <c r="H309" s="40">
        <v>6.8131536734693876</v>
      </c>
      <c r="I309" s="40">
        <v>6.7386195458231954</v>
      </c>
      <c r="J309" s="40">
        <v>6.8647142330156781</v>
      </c>
      <c r="K309" s="160">
        <f t="shared" si="9"/>
        <v>2040</v>
      </c>
      <c r="L309" s="4"/>
      <c r="M309" s="4"/>
    </row>
    <row r="310" spans="7:13">
      <c r="G310" s="36">
        <v>51288</v>
      </c>
      <c r="H310" s="40">
        <v>6.8865210204081633</v>
      </c>
      <c r="I310" s="40">
        <v>6.7568677210056771</v>
      </c>
      <c r="J310" s="40">
        <v>6.9332663387642182</v>
      </c>
      <c r="K310" s="160">
        <f t="shared" si="9"/>
        <v>2040</v>
      </c>
      <c r="L310" s="4"/>
      <c r="M310" s="4"/>
    </row>
    <row r="311" spans="7:13">
      <c r="G311" s="36">
        <v>51318</v>
      </c>
      <c r="H311" s="40">
        <v>7.235092448979592</v>
      </c>
      <c r="I311" s="40">
        <v>7.0485343876723432</v>
      </c>
      <c r="J311" s="40">
        <v>7.2884256788605395</v>
      </c>
      <c r="K311" s="160">
        <f t="shared" si="9"/>
        <v>2040</v>
      </c>
      <c r="L311" s="4"/>
      <c r="M311" s="4"/>
    </row>
    <row r="312" spans="7:13">
      <c r="G312" s="36">
        <v>51349</v>
      </c>
      <c r="H312" s="40">
        <v>7.2534597959183671</v>
      </c>
      <c r="I312" s="40">
        <v>7.084929359286293</v>
      </c>
      <c r="J312" s="40">
        <v>7.3068701916179934</v>
      </c>
      <c r="K312" s="160">
        <f t="shared" ref="K312:K328" si="11">YEAR(G312)</f>
        <v>2040</v>
      </c>
      <c r="L312" s="4"/>
      <c r="M312" s="4"/>
    </row>
    <row r="313" spans="7:13">
      <c r="G313" s="36">
        <v>51380</v>
      </c>
      <c r="H313" s="40">
        <v>6.8865210204081633</v>
      </c>
      <c r="I313" s="40">
        <v>6.7022245742092448</v>
      </c>
      <c r="J313" s="40">
        <v>6.9332663387642182</v>
      </c>
      <c r="K313" s="160">
        <f t="shared" si="11"/>
        <v>2040</v>
      </c>
      <c r="L313" s="4"/>
      <c r="M313" s="4"/>
    </row>
    <row r="314" spans="7:13">
      <c r="G314" s="36">
        <v>51410</v>
      </c>
      <c r="H314" s="40">
        <v>6.9048883673469392</v>
      </c>
      <c r="I314" s="40">
        <v>6.7386195458231954</v>
      </c>
      <c r="J314" s="40">
        <v>6.9568343272876323</v>
      </c>
      <c r="K314" s="160">
        <f t="shared" si="11"/>
        <v>2040</v>
      </c>
      <c r="L314" s="4"/>
      <c r="M314" s="4"/>
    </row>
    <row r="315" spans="7:13">
      <c r="G315" s="36">
        <v>51441</v>
      </c>
      <c r="H315" s="40">
        <v>7.1984597959183674</v>
      </c>
      <c r="I315" s="40">
        <v>7.1031775344687746</v>
      </c>
      <c r="J315" s="40">
        <v>7.2311452197971109</v>
      </c>
      <c r="K315" s="160">
        <f t="shared" si="11"/>
        <v>2040</v>
      </c>
      <c r="L315" s="4"/>
      <c r="M315" s="4"/>
    </row>
    <row r="316" spans="7:13">
      <c r="G316" s="36">
        <v>51471</v>
      </c>
      <c r="H316" s="40">
        <v>7.5653985714285712</v>
      </c>
      <c r="I316" s="40">
        <v>7.5952699918896993</v>
      </c>
      <c r="J316" s="40">
        <v>7.6021873347679074</v>
      </c>
      <c r="K316" s="160">
        <f t="shared" si="11"/>
        <v>2040</v>
      </c>
      <c r="L316" s="4"/>
      <c r="M316" s="4"/>
    </row>
    <row r="317" spans="7:13">
      <c r="G317" s="36">
        <v>51502</v>
      </c>
      <c r="H317" s="40">
        <v>7.7695822448979586</v>
      </c>
      <c r="I317" s="40">
        <v>7.7989399026763984</v>
      </c>
      <c r="J317" s="40">
        <v>7.8239313659186394</v>
      </c>
      <c r="K317" s="160">
        <f t="shared" si="11"/>
        <v>2041</v>
      </c>
      <c r="L317" s="4"/>
      <c r="M317" s="4"/>
    </row>
    <row r="318" spans="7:13">
      <c r="G318" s="36">
        <v>51533</v>
      </c>
      <c r="H318" s="40">
        <v>7.7695822448979586</v>
      </c>
      <c r="I318" s="40">
        <v>7.7617339010543382</v>
      </c>
      <c r="J318" s="40">
        <v>7.7662410287939343</v>
      </c>
      <c r="K318" s="160">
        <f t="shared" si="11"/>
        <v>2041</v>
      </c>
      <c r="L318" s="4"/>
      <c r="M318" s="4"/>
    </row>
    <row r="319" spans="7:13">
      <c r="G319" s="36">
        <v>51561</v>
      </c>
      <c r="H319" s="40">
        <v>7.3945822448979595</v>
      </c>
      <c r="I319" s="40">
        <v>7.3518596107055956</v>
      </c>
      <c r="J319" s="40">
        <v>7.3871038221129224</v>
      </c>
      <c r="K319" s="160">
        <f t="shared" si="11"/>
        <v>2041</v>
      </c>
      <c r="L319" s="4"/>
      <c r="M319" s="4"/>
    </row>
    <row r="320" spans="7:13">
      <c r="G320" s="36">
        <v>51592</v>
      </c>
      <c r="H320" s="40">
        <v>7.0570312244897959</v>
      </c>
      <c r="I320" s="40">
        <v>6.9792927007299266</v>
      </c>
      <c r="J320" s="40">
        <v>7.1044928988625884</v>
      </c>
      <c r="K320" s="160">
        <f t="shared" si="11"/>
        <v>2041</v>
      </c>
      <c r="L320" s="4"/>
      <c r="M320" s="4"/>
    </row>
    <row r="321" spans="7:13">
      <c r="G321" s="36">
        <v>51622</v>
      </c>
      <c r="H321" s="40">
        <v>6.9633577551020407</v>
      </c>
      <c r="I321" s="40">
        <v>6.8862270072992695</v>
      </c>
      <c r="J321" s="40">
        <v>7.0155493595655294</v>
      </c>
      <c r="K321" s="160">
        <f t="shared" si="11"/>
        <v>2041</v>
      </c>
      <c r="L321" s="4"/>
      <c r="M321" s="4"/>
    </row>
    <row r="322" spans="7:13">
      <c r="G322" s="36">
        <v>51653</v>
      </c>
      <c r="H322" s="40">
        <v>7.0383577551020409</v>
      </c>
      <c r="I322" s="40">
        <v>6.9047793187347928</v>
      </c>
      <c r="J322" s="40">
        <v>7.0857409775591762</v>
      </c>
      <c r="K322" s="160">
        <f t="shared" si="11"/>
        <v>2041</v>
      </c>
      <c r="L322" s="4"/>
      <c r="M322" s="4"/>
    </row>
    <row r="323" spans="7:13">
      <c r="G323" s="36">
        <v>51683</v>
      </c>
      <c r="H323" s="40">
        <v>7.3945822448979595</v>
      </c>
      <c r="I323" s="40">
        <v>7.202832846715328</v>
      </c>
      <c r="J323" s="40">
        <v>7.4485855313044373</v>
      </c>
      <c r="K323" s="160">
        <f t="shared" si="11"/>
        <v>2041</v>
      </c>
      <c r="L323" s="4"/>
      <c r="M323" s="4"/>
    </row>
    <row r="324" spans="7:13">
      <c r="G324" s="36">
        <v>51714</v>
      </c>
      <c r="H324" s="40">
        <v>7.4133577551020409</v>
      </c>
      <c r="I324" s="40">
        <v>7.2401402270884017</v>
      </c>
      <c r="J324" s="40">
        <v>7.4674399221231695</v>
      </c>
      <c r="K324" s="160">
        <f t="shared" si="11"/>
        <v>2041</v>
      </c>
      <c r="L324" s="4"/>
      <c r="M324" s="4"/>
    </row>
    <row r="325" spans="7:13">
      <c r="G325" s="36">
        <v>51745</v>
      </c>
      <c r="H325" s="40">
        <v>7.0383577551020409</v>
      </c>
      <c r="I325" s="40">
        <v>6.8489196269261958</v>
      </c>
      <c r="J325" s="40">
        <v>7.0857409775591762</v>
      </c>
      <c r="K325" s="160">
        <f t="shared" si="11"/>
        <v>2041</v>
      </c>
      <c r="L325" s="4"/>
      <c r="M325" s="4"/>
    </row>
    <row r="326" spans="7:13">
      <c r="G326" s="36">
        <v>51775</v>
      </c>
      <c r="H326" s="40">
        <v>7.0570312244897959</v>
      </c>
      <c r="I326" s="40">
        <v>6.8862270072992695</v>
      </c>
      <c r="J326" s="40">
        <v>7.1096163746285486</v>
      </c>
      <c r="K326" s="160">
        <f t="shared" si="11"/>
        <v>2041</v>
      </c>
      <c r="L326" s="4"/>
      <c r="M326" s="4"/>
    </row>
    <row r="327" spans="7:13">
      <c r="G327" s="36">
        <v>51806</v>
      </c>
      <c r="H327" s="40">
        <v>7.3570312244897966</v>
      </c>
      <c r="I327" s="40">
        <v>7.2587939172749385</v>
      </c>
      <c r="J327" s="40">
        <v>7.3903828466031358</v>
      </c>
      <c r="K327" s="160">
        <f t="shared" si="11"/>
        <v>2041</v>
      </c>
      <c r="L327" s="4"/>
      <c r="M327" s="4"/>
    </row>
    <row r="328" spans="7:13">
      <c r="G328" s="36">
        <v>51836</v>
      </c>
      <c r="H328" s="40">
        <v>7.7320312244897957</v>
      </c>
      <c r="I328" s="40">
        <v>7.7617339010543382</v>
      </c>
      <c r="J328" s="40">
        <v>7.7695200532841486</v>
      </c>
      <c r="K328" s="160">
        <f t="shared" si="11"/>
        <v>2041</v>
      </c>
      <c r="L328" s="4"/>
      <c r="M328" s="4"/>
    </row>
    <row r="329" spans="7:13">
      <c r="G329" s="36">
        <v>51867</v>
      </c>
      <c r="H329" s="40">
        <v>7.9407046938775503</v>
      </c>
      <c r="I329" s="40">
        <v>7.9698644768856441</v>
      </c>
      <c r="J329" s="40">
        <v>7.9958752126242452</v>
      </c>
      <c r="K329" s="160">
        <f t="shared" ref="K329:K340" si="12">YEAR(G329)</f>
        <v>2042</v>
      </c>
    </row>
    <row r="330" spans="7:13">
      <c r="G330" s="36">
        <v>51898</v>
      </c>
      <c r="H330" s="40">
        <v>7.9407046938775503</v>
      </c>
      <c r="I330" s="40">
        <v>7.9317460665044601</v>
      </c>
      <c r="J330" s="40">
        <v>7.9380824059842201</v>
      </c>
      <c r="K330" s="160">
        <f t="shared" si="12"/>
        <v>2042</v>
      </c>
    </row>
    <row r="331" spans="7:13">
      <c r="G331" s="36">
        <v>51926</v>
      </c>
      <c r="H331" s="40">
        <v>7.5574393877551023</v>
      </c>
      <c r="I331" s="40">
        <v>7.5129504460665038</v>
      </c>
      <c r="J331" s="40">
        <v>7.5506451685623537</v>
      </c>
      <c r="K331" s="160">
        <f t="shared" si="12"/>
        <v>2042</v>
      </c>
    </row>
    <row r="332" spans="7:13">
      <c r="G332" s="36">
        <v>51957</v>
      </c>
      <c r="H332" s="40">
        <v>7.2125414285714289</v>
      </c>
      <c r="I332" s="40">
        <v>7.1321718572587178</v>
      </c>
      <c r="J332" s="40">
        <v>7.2606564402090381</v>
      </c>
      <c r="K332" s="160">
        <f t="shared" si="12"/>
        <v>2042</v>
      </c>
    </row>
    <row r="333" spans="7:13">
      <c r="G333" s="36">
        <v>51987</v>
      </c>
      <c r="H333" s="40">
        <v>7.1167251020408164</v>
      </c>
      <c r="I333" s="40">
        <v>7.0369772100567713</v>
      </c>
      <c r="J333" s="40">
        <v>7.1695610410902768</v>
      </c>
      <c r="K333" s="160">
        <f t="shared" si="12"/>
        <v>2042</v>
      </c>
    </row>
    <row r="334" spans="7:13">
      <c r="G334" s="36">
        <v>52018</v>
      </c>
      <c r="H334" s="40">
        <v>7.1934597959183675</v>
      </c>
      <c r="I334" s="40">
        <v>7.0560364152473634</v>
      </c>
      <c r="J334" s="40">
        <v>7.2414946408443495</v>
      </c>
      <c r="K334" s="160">
        <f t="shared" si="12"/>
        <v>2042</v>
      </c>
    </row>
    <row r="335" spans="7:13">
      <c r="G335" s="36">
        <v>52048</v>
      </c>
      <c r="H335" s="40">
        <v>7.5574393877551023</v>
      </c>
      <c r="I335" s="40">
        <v>7.3606795620437957</v>
      </c>
      <c r="J335" s="40">
        <v>7.6121268777538686</v>
      </c>
      <c r="K335" s="160">
        <f t="shared" si="12"/>
        <v>2042</v>
      </c>
    </row>
    <row r="336" spans="7:13">
      <c r="G336" s="36">
        <v>52079</v>
      </c>
      <c r="H336" s="40">
        <v>7.5766230612244891</v>
      </c>
      <c r="I336" s="40">
        <v>7.3986965936739653</v>
      </c>
      <c r="J336" s="40">
        <v>7.6313911466338764</v>
      </c>
      <c r="K336" s="160">
        <f t="shared" si="12"/>
        <v>2042</v>
      </c>
    </row>
    <row r="337" spans="7:11">
      <c r="G337" s="36">
        <v>52110</v>
      </c>
      <c r="H337" s="40">
        <v>0</v>
      </c>
      <c r="I337" s="40">
        <v>0</v>
      </c>
      <c r="J337" s="40">
        <v>0</v>
      </c>
      <c r="K337" s="160">
        <f t="shared" si="12"/>
        <v>2042</v>
      </c>
    </row>
    <row r="338" spans="7:11">
      <c r="G338" s="36">
        <v>52140</v>
      </c>
      <c r="H338" s="40">
        <v>0</v>
      </c>
      <c r="I338" s="40">
        <v>0</v>
      </c>
      <c r="J338" s="40">
        <v>0</v>
      </c>
      <c r="K338" s="160">
        <f t="shared" si="12"/>
        <v>2042</v>
      </c>
    </row>
    <row r="339" spans="7:11">
      <c r="G339" s="36">
        <v>52171</v>
      </c>
      <c r="H339" s="40">
        <v>0</v>
      </c>
      <c r="I339" s="40">
        <v>0</v>
      </c>
      <c r="J339" s="40">
        <v>0</v>
      </c>
      <c r="K339" s="160">
        <f t="shared" si="12"/>
        <v>2042</v>
      </c>
    </row>
    <row r="340" spans="7:11">
      <c r="G340" s="36">
        <v>52201</v>
      </c>
      <c r="H340" s="40">
        <v>0</v>
      </c>
      <c r="I340" s="40">
        <v>0</v>
      </c>
      <c r="J340" s="40">
        <v>0</v>
      </c>
      <c r="K340" s="160">
        <f t="shared" si="12"/>
        <v>2042</v>
      </c>
    </row>
    <row r="341" spans="7:11">
      <c r="G341" s="36">
        <v>0</v>
      </c>
      <c r="H341" s="40" t="e">
        <v>#N/A</v>
      </c>
      <c r="I341" s="40" t="e">
        <v>#N/A</v>
      </c>
      <c r="J341" s="40" t="e">
        <v>#N/A</v>
      </c>
      <c r="K341" s="160">
        <f t="shared" ref="K341:K343" si="13">YEAR(G341)</f>
        <v>1900</v>
      </c>
    </row>
    <row r="342" spans="7:11">
      <c r="G342" s="36">
        <v>0</v>
      </c>
      <c r="H342" s="40" t="e">
        <v>#N/A</v>
      </c>
      <c r="I342" s="40" t="e">
        <v>#N/A</v>
      </c>
      <c r="J342" s="40" t="e">
        <v>#N/A</v>
      </c>
      <c r="K342" s="160">
        <f t="shared" si="13"/>
        <v>1900</v>
      </c>
    </row>
    <row r="343" spans="7:11">
      <c r="G343" s="36">
        <v>0</v>
      </c>
      <c r="H343" s="40" t="e">
        <v>#N/A</v>
      </c>
      <c r="I343" s="40" t="e">
        <v>#N/A</v>
      </c>
      <c r="J343" s="40" t="e">
        <v>#N/A</v>
      </c>
      <c r="K343" s="160">
        <f t="shared" si="13"/>
        <v>1900</v>
      </c>
    </row>
    <row r="344" spans="7:11">
      <c r="G344" s="36"/>
      <c r="H344" s="40"/>
      <c r="K344" s="160"/>
    </row>
    <row r="345" spans="7:11">
      <c r="G345" s="36"/>
      <c r="H345" s="40"/>
      <c r="K345" s="160"/>
    </row>
  </sheetData>
  <phoneticPr fontId="7" type="noConversion"/>
  <printOptions horizontalCentered="1"/>
  <pageMargins left="0.25" right="0.25" top="0.75" bottom="0.75" header="0.3" footer="0.3"/>
  <pageSetup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T266"/>
  <sheetViews>
    <sheetView zoomScale="70" zoomScaleNormal="70" zoomScaleSheetLayoutView="85" workbookViewId="0">
      <pane xSplit="2" ySplit="12" topLeftCell="G13" activePane="bottomRight" state="frozen"/>
      <selection activeCell="C14" sqref="C14"/>
      <selection pane="topRight" activeCell="C14" sqref="C14"/>
      <selection pane="bottomLeft" activeCell="C14" sqref="C14"/>
      <selection pane="bottomRight" activeCell="G4" sqref="G4"/>
    </sheetView>
  </sheetViews>
  <sheetFormatPr defaultColWidth="9.33203125" defaultRowHeight="12.75" outlineLevelRow="1"/>
  <cols>
    <col min="1" max="1" width="18.5" style="73" customWidth="1"/>
    <col min="2" max="2" width="22.83203125" style="73" customWidth="1"/>
    <col min="3" max="3" width="18.1640625" style="73" customWidth="1"/>
    <col min="4" max="4" width="16.1640625" style="73" customWidth="1"/>
    <col min="5" max="5" width="18.5" style="73" customWidth="1"/>
    <col min="6" max="7" width="16.1640625" style="73" customWidth="1"/>
    <col min="8" max="8" width="3.83203125" style="73" customWidth="1"/>
    <col min="9" max="9" width="9.5" style="73" customWidth="1"/>
    <col min="10" max="11" width="10" style="73" customWidth="1"/>
    <col min="12" max="12" width="9.33203125" style="73" customWidth="1"/>
    <col min="13" max="13" width="21.1640625" style="73" customWidth="1"/>
    <col min="14" max="14" width="13.83203125" style="73" customWidth="1"/>
    <col min="15" max="15" width="16" style="73" customWidth="1"/>
    <col min="16" max="16" width="28.6640625" style="73" customWidth="1"/>
    <col min="17" max="17" width="28" style="73" customWidth="1"/>
    <col min="18" max="19" width="9.33203125" style="73"/>
    <col min="20" max="20" width="15.1640625" style="73" bestFit="1" customWidth="1"/>
    <col min="21" max="16384" width="9.33203125" style="73"/>
  </cols>
  <sheetData>
    <row r="1" spans="1:18" s="4" customFormat="1" ht="15.75" hidden="1">
      <c r="B1" s="1" t="s">
        <v>52</v>
      </c>
      <c r="C1" s="1"/>
      <c r="D1" s="12"/>
      <c r="E1" s="12"/>
      <c r="F1" s="12"/>
      <c r="G1" s="12"/>
      <c r="H1" s="37"/>
      <c r="I1" s="150"/>
      <c r="J1" s="150"/>
      <c r="K1" s="150"/>
    </row>
    <row r="2" spans="1:18" ht="5.25" customHeight="1"/>
    <row r="3" spans="1:18" ht="15.75">
      <c r="B3" s="1" t="str">
        <f>"Table "&amp;RIGHT('Table 4'!B3,1)+1</f>
        <v>Table 5</v>
      </c>
      <c r="C3" s="101"/>
      <c r="D3" s="101"/>
      <c r="E3" s="101"/>
      <c r="F3" s="101"/>
      <c r="G3" s="101"/>
      <c r="M3" s="73" t="s">
        <v>76</v>
      </c>
      <c r="O3" s="181"/>
    </row>
    <row r="4" spans="1:18">
      <c r="B4" s="101" t="str">
        <f ca="1">'Table 1'!B5</f>
        <v>Utah 2017.Q4_Solar - 80.0 MW and 31.1% CF</v>
      </c>
      <c r="C4" s="101"/>
      <c r="D4" s="101"/>
      <c r="E4" s="101"/>
      <c r="F4" s="101"/>
      <c r="G4" s="101"/>
      <c r="M4" s="74" t="s">
        <v>204</v>
      </c>
      <c r="P4" s="163" t="s">
        <v>168</v>
      </c>
      <c r="Q4" s="163" t="s">
        <v>169</v>
      </c>
      <c r="R4" s="163" t="s">
        <v>170</v>
      </c>
    </row>
    <row r="5" spans="1:18">
      <c r="B5" s="101" t="str">
        <f>TEXT($K$5,"MMMM YYYY")&amp;"  through  "&amp;TEXT($K$6,"MMMM YYYY")</f>
        <v>January 2018  through  December 2037</v>
      </c>
      <c r="C5" s="101"/>
      <c r="D5" s="101"/>
      <c r="E5" s="101"/>
      <c r="F5" s="101"/>
      <c r="G5" s="101"/>
      <c r="J5" s="73" t="s">
        <v>57</v>
      </c>
      <c r="K5" s="291">
        <f>MIN(K13:K24)</f>
        <v>43101</v>
      </c>
      <c r="M5" s="73" t="s">
        <v>58</v>
      </c>
      <c r="O5" s="4" t="s">
        <v>155</v>
      </c>
      <c r="P5" s="6">
        <f>MATCH('Table 5'!K5,'Table 5'!$B$12:$B$264,FALSE)+ROW('Table 5'!$B$11)</f>
        <v>13</v>
      </c>
      <c r="Q5" s="6">
        <f>P5+12</f>
        <v>25</v>
      </c>
      <c r="R5" s="6">
        <f>Q5</f>
        <v>25</v>
      </c>
    </row>
    <row r="6" spans="1:18">
      <c r="B6" s="101" t="s">
        <v>59</v>
      </c>
      <c r="C6" s="101"/>
      <c r="D6" s="101"/>
      <c r="E6" s="101"/>
      <c r="F6" s="101"/>
      <c r="G6" s="101"/>
      <c r="J6" s="73" t="s">
        <v>60</v>
      </c>
      <c r="K6" s="291">
        <f>EDATE(K5,239)</f>
        <v>50375</v>
      </c>
      <c r="M6" s="74">
        <v>80</v>
      </c>
      <c r="N6" s="73" t="s">
        <v>41</v>
      </c>
      <c r="O6" s="6" t="s">
        <v>156</v>
      </c>
      <c r="P6">
        <f>P5+179</f>
        <v>192</v>
      </c>
      <c r="Q6" s="73">
        <f>P6+12</f>
        <v>204</v>
      </c>
      <c r="R6" s="73">
        <f>Q6+5*12</f>
        <v>264</v>
      </c>
    </row>
    <row r="7" spans="1:18">
      <c r="A7" s="163" t="str">
        <f>"15 Year Starting "&amp;YEAR($K$5)+1</f>
        <v>15 Year Starting 2019</v>
      </c>
      <c r="B7" s="269"/>
      <c r="C7" s="75">
        <f ca="1">NPV($K$9,INDIRECT("C"&amp;$Q$5&amp;":C"&amp;$Q$6))</f>
        <v>40858367.4333269</v>
      </c>
      <c r="D7" s="75">
        <f ca="1">NPV($K$9,INDIRECT("d"&amp;$Q$5&amp;":d"&amp;$Q$6))</f>
        <v>0</v>
      </c>
      <c r="E7" s="75">
        <f ca="1">NPV($K$9,INDIRECT("e"&amp;$Q$5&amp;":e"&amp;$Q$6))</f>
        <v>40858367.4333269</v>
      </c>
      <c r="F7" s="75">
        <f ca="1">NPV($K$9,INDIRECT("f"&amp;$Q$5&amp;":f"&amp;$Q$6))</f>
        <v>2029991.9190027739</v>
      </c>
      <c r="G7" s="139">
        <f ca="1">($C7+D7)/$F7</f>
        <v>20.127354720406188</v>
      </c>
      <c r="M7" s="170">
        <f ca="1">SUM(OFFSET(F12,MATCH(K5,B13:B24,0),0,12))/(EDATE(K5,12)-K5)/24/Study_MW</f>
        <v>0.31060559218036532</v>
      </c>
      <c r="N7" s="130" t="s">
        <v>46</v>
      </c>
    </row>
    <row r="8" spans="1:18">
      <c r="A8" s="163"/>
      <c r="B8" s="163" t="str">
        <f>"Nominal NPV at "&amp;TEXT(J9,"0.00%")&amp;" Discount Rate"</f>
        <v>Nominal NPV at 6.57% Discount Rate</v>
      </c>
      <c r="J8" s="73" t="str">
        <f>'Table 1'!I38</f>
        <v>Discount Rate - 2017 IRP</v>
      </c>
    </row>
    <row r="9" spans="1:18">
      <c r="A9" s="163" t="str">
        <f>"15 Year Starting "&amp;YEAR($K$5)</f>
        <v>15 Year Starting 2018</v>
      </c>
      <c r="C9" s="75">
        <f ca="1">NPV($K$9,INDIRECT("C"&amp;$P$5&amp;":C"&amp;$P$6))</f>
        <v>40221881.463416167</v>
      </c>
      <c r="D9" s="75">
        <f ca="1">NPV($K$9,INDIRECT("d"&amp;$P$5&amp;":d"&amp;$P$6))</f>
        <v>0</v>
      </c>
      <c r="E9" s="75">
        <f ca="1">NPV($K$9,INDIRECT("e"&amp;$P$5&amp;":e"&amp;$P$6))</f>
        <v>40221881.463416167</v>
      </c>
      <c r="F9" s="75">
        <f ca="1">NPV($K$9,INDIRECT("f"&amp;$P$5&amp;":f"&amp;$P$6))</f>
        <v>2040121.0074118024</v>
      </c>
      <c r="G9" s="139">
        <f ca="1">($C9+D9)/$F9</f>
        <v>19.715439092725003</v>
      </c>
      <c r="J9" s="167">
        <f>'Table 1'!I39</f>
        <v>6.5699999999999995E-2</v>
      </c>
      <c r="K9" s="141">
        <f>((1+J9)^(1/12))-1</f>
        <v>5.3167389786501484E-3</v>
      </c>
    </row>
    <row r="10" spans="1:18">
      <c r="A10" s="163" t="str">
        <f>"20 Year Starting "&amp;YEAR($K$5)+1</f>
        <v>20 Year Starting 2019</v>
      </c>
      <c r="C10" s="75">
        <f ca="1">NPV($K$9,INDIRECT("C"&amp;$R$5&amp;":C"&amp;$R$6))</f>
        <v>42995417.066172682</v>
      </c>
      <c r="D10" s="75">
        <f ca="1">NPV($K$9,INDIRECT("d"&amp;$R$5&amp;":d"&amp;$R$6))</f>
        <v>22713940.453205187</v>
      </c>
      <c r="E10" s="75">
        <f ca="1">NPV($K$9,INDIRECT("e"&amp;$R$5&amp;":e"&amp;$R$6))</f>
        <v>65709357.519377813</v>
      </c>
      <c r="F10" s="75">
        <f ca="1">NPV($K$9,INDIRECT("f"&amp;$R$5&amp;":f"&amp;$R$6))</f>
        <v>2358442.1029291335</v>
      </c>
      <c r="G10" s="139">
        <f ca="1">($C10+D10)/$F10</f>
        <v>27.861340093008131</v>
      </c>
      <c r="N10" s="76"/>
    </row>
    <row r="11" spans="1:18">
      <c r="B11" s="140"/>
      <c r="C11" s="78" t="s">
        <v>22</v>
      </c>
      <c r="D11" s="79" t="s">
        <v>61</v>
      </c>
      <c r="E11" s="79" t="s">
        <v>62</v>
      </c>
      <c r="F11" s="79" t="s">
        <v>62</v>
      </c>
      <c r="G11" s="80" t="s">
        <v>70</v>
      </c>
    </row>
    <row r="12" spans="1:18">
      <c r="B12" s="84" t="s">
        <v>63</v>
      </c>
      <c r="C12" s="78" t="s">
        <v>64</v>
      </c>
      <c r="D12" s="82" t="str">
        <f>TEXT((SUM(F25:F72)/(8760*3+8784))/Study_MW,"0.0%")&amp;" CF"</f>
        <v>30.7% CF</v>
      </c>
      <c r="E12" s="83" t="s">
        <v>69</v>
      </c>
      <c r="F12" s="84" t="s">
        <v>65</v>
      </c>
      <c r="G12" s="82" t="str">
        <f>D12</f>
        <v>30.7% CF</v>
      </c>
      <c r="I12" s="79" t="s">
        <v>66</v>
      </c>
      <c r="J12" s="85" t="s">
        <v>0</v>
      </c>
      <c r="K12" s="85" t="s">
        <v>67</v>
      </c>
      <c r="L12" s="85" t="s">
        <v>66</v>
      </c>
      <c r="M12" s="85"/>
      <c r="N12" s="80"/>
      <c r="P12" s="73" t="s">
        <v>62</v>
      </c>
      <c r="Q12" s="73" t="s">
        <v>134</v>
      </c>
      <c r="R12" s="73" t="s">
        <v>135</v>
      </c>
    </row>
    <row r="13" spans="1:18">
      <c r="B13" s="91">
        <v>43101</v>
      </c>
      <c r="C13" s="86">
        <v>203476.67162200809</v>
      </c>
      <c r="D13" s="87">
        <f>IF(ISNUMBER($F13),VLOOKUP($J13,'Table 1'!$B$13:$C$33,2,FALSE)/12*1000*Study_MW,"")</f>
        <v>0</v>
      </c>
      <c r="E13" s="88">
        <f>IF(ISNUMBER(C13+D13),C13+D13,"")</f>
        <v>203476.67162200809</v>
      </c>
      <c r="F13" s="86">
        <v>10533.986000000001</v>
      </c>
      <c r="G13" s="89">
        <f>IF(ISNUMBER($F13),E13/$F13,"")</f>
        <v>19.31620866232479</v>
      </c>
      <c r="I13" s="77">
        <v>1</v>
      </c>
      <c r="J13" s="90">
        <f>YEAR(B13)</f>
        <v>2018</v>
      </c>
      <c r="K13" s="91">
        <f t="shared" ref="K13:K24" si="0">IF(ISNUMBER(F13),B13,"")</f>
        <v>43101</v>
      </c>
      <c r="L13" s="73">
        <v>275</v>
      </c>
      <c r="M13" s="73" t="s">
        <v>68</v>
      </c>
    </row>
    <row r="14" spans="1:18">
      <c r="B14" s="95">
        <f t="shared" ref="B14:B77" si="1">EDATE(B13,1)</f>
        <v>43132</v>
      </c>
      <c r="C14" s="92">
        <v>209748.50513440371</v>
      </c>
      <c r="D14" s="88">
        <f>IF(ISNUMBER($F14),VLOOKUP($J14,'Table 1'!$B$13:$C$33,2,FALSE)/12*1000*Study_MW,"")</f>
        <v>0</v>
      </c>
      <c r="E14" s="88">
        <f t="shared" ref="E14:E23" si="2">IF(ISNUMBER(C14+D14),C14+D14,"")</f>
        <v>209748.50513440371</v>
      </c>
      <c r="F14" s="92">
        <v>11789.456</v>
      </c>
      <c r="G14" s="93">
        <f t="shared" ref="G14:G77" si="3">IF(ISNUMBER($F14),E14/$F14,"")</f>
        <v>17.791194533013542</v>
      </c>
      <c r="I14" s="94">
        <f>I13+1</f>
        <v>2</v>
      </c>
      <c r="J14" s="90">
        <f t="shared" ref="J14:J77" si="4">YEAR(B14)</f>
        <v>2018</v>
      </c>
      <c r="K14" s="95">
        <f t="shared" si="0"/>
        <v>43132</v>
      </c>
      <c r="L14" s="73">
        <v>363</v>
      </c>
      <c r="M14" s="137" t="s">
        <v>206</v>
      </c>
    </row>
    <row r="15" spans="1:18">
      <c r="B15" s="95">
        <f t="shared" si="1"/>
        <v>43160</v>
      </c>
      <c r="C15" s="92">
        <v>317067.79485854506</v>
      </c>
      <c r="D15" s="88">
        <f>IF(ISNUMBER($F15),VLOOKUP($J15,'Table 1'!$B$13:$C$33,2,FALSE)/12*1000*Study_MW,"")</f>
        <v>0</v>
      </c>
      <c r="E15" s="88">
        <f t="shared" si="2"/>
        <v>317067.79485854506</v>
      </c>
      <c r="F15" s="92">
        <v>18361.082999999999</v>
      </c>
      <c r="G15" s="93">
        <f t="shared" si="3"/>
        <v>17.268469123446863</v>
      </c>
      <c r="I15" s="94">
        <f t="shared" ref="I15:I24" si="5">I14+1</f>
        <v>3</v>
      </c>
      <c r="J15" s="90">
        <f t="shared" si="4"/>
        <v>2018</v>
      </c>
      <c r="K15" s="95">
        <f t="shared" si="0"/>
        <v>43160</v>
      </c>
    </row>
    <row r="16" spans="1:18">
      <c r="B16" s="95">
        <f t="shared" si="1"/>
        <v>43191</v>
      </c>
      <c r="C16" s="92">
        <v>333073.29027834535</v>
      </c>
      <c r="D16" s="88">
        <f>IF(ISNUMBER($F16),VLOOKUP($J16,'Table 1'!$B$13:$C$33,2,FALSE)/12*1000*Study_MW,"")</f>
        <v>0</v>
      </c>
      <c r="E16" s="88">
        <f t="shared" si="2"/>
        <v>333073.29027834535</v>
      </c>
      <c r="F16" s="92">
        <v>21207.119999999999</v>
      </c>
      <c r="G16" s="93">
        <f t="shared" si="3"/>
        <v>15.705729503975332</v>
      </c>
      <c r="I16" s="94">
        <f t="shared" si="5"/>
        <v>4</v>
      </c>
      <c r="J16" s="90">
        <f t="shared" si="4"/>
        <v>2018</v>
      </c>
      <c r="K16" s="95">
        <f t="shared" si="0"/>
        <v>43191</v>
      </c>
      <c r="L16" s="90">
        <f>YEAR(B13)</f>
        <v>2018</v>
      </c>
      <c r="M16" s="73">
        <f>SUMIF($J$13:$J$264,L16,$C$13:$C$264)</f>
        <v>4207260.1551444083</v>
      </c>
      <c r="N16" s="73">
        <f>SUMIF($J$13:$J$264,L16,$D$13:$D$264)</f>
        <v>0</v>
      </c>
      <c r="O16" s="73">
        <f t="shared" ref="O16:O25" si="6">SUMIF($J$13:$J$264,L16,$F$13:$F$264)</f>
        <v>217672.399</v>
      </c>
      <c r="P16" s="180">
        <f t="shared" ref="P16:P25" si="7">(M16+N16)/O16</f>
        <v>19.328404402546269</v>
      </c>
      <c r="Q16" s="255">
        <f>M16/O16</f>
        <v>19.328404402546269</v>
      </c>
      <c r="R16" s="255">
        <f>IFERROR(N16/O16,0)</f>
        <v>0</v>
      </c>
    </row>
    <row r="17" spans="2:18">
      <c r="B17" s="95">
        <f t="shared" si="1"/>
        <v>43221</v>
      </c>
      <c r="C17" s="92">
        <v>401235.03987587988</v>
      </c>
      <c r="D17" s="88">
        <f>IF(ISNUMBER($F17),VLOOKUP($J17,'Table 1'!$B$13:$C$33,2,FALSE)/12*1000*Study_MW,"")</f>
        <v>0</v>
      </c>
      <c r="E17" s="88">
        <f t="shared" si="2"/>
        <v>401235.03987587988</v>
      </c>
      <c r="F17" s="92">
        <v>24548.807000000001</v>
      </c>
      <c r="G17" s="93">
        <f t="shared" si="3"/>
        <v>16.344380395995614</v>
      </c>
      <c r="I17" s="94">
        <f t="shared" si="5"/>
        <v>5</v>
      </c>
      <c r="J17" s="90">
        <f t="shared" si="4"/>
        <v>2018</v>
      </c>
      <c r="K17" s="95">
        <f t="shared" si="0"/>
        <v>43221</v>
      </c>
      <c r="L17" s="90">
        <f>L16+1</f>
        <v>2019</v>
      </c>
      <c r="M17" s="73">
        <f>SUMIF($J$13:$J$264,L17,$C$13:$C$264)</f>
        <v>3863184.1146755069</v>
      </c>
      <c r="N17" s="73">
        <f t="shared" ref="N17:N36" si="8">SUMIF($J$13:$J$264,L17,$D$13:$D$264)</f>
        <v>0</v>
      </c>
      <c r="O17" s="73">
        <f t="shared" si="6"/>
        <v>216584.21599999999</v>
      </c>
      <c r="P17" s="180">
        <f t="shared" si="7"/>
        <v>17.836868198537179</v>
      </c>
      <c r="Q17" s="255">
        <f t="shared" ref="Q17:Q33" si="9">M17/O17</f>
        <v>17.836868198537179</v>
      </c>
      <c r="R17" s="255">
        <f t="shared" ref="R17:R33" si="10">IFERROR(N17/O17,0)</f>
        <v>0</v>
      </c>
    </row>
    <row r="18" spans="2:18">
      <c r="B18" s="95">
        <f t="shared" si="1"/>
        <v>43252</v>
      </c>
      <c r="C18" s="92">
        <v>411465.20372228324</v>
      </c>
      <c r="D18" s="88">
        <f>IF(ISNUMBER($F18),VLOOKUP($J18,'Table 1'!$B$13:$C$33,2,FALSE)/12*1000*Study_MW,"")</f>
        <v>0</v>
      </c>
      <c r="E18" s="88">
        <f t="shared" si="2"/>
        <v>411465.20372228324</v>
      </c>
      <c r="F18" s="92">
        <v>26080.38</v>
      </c>
      <c r="G18" s="93">
        <f t="shared" si="3"/>
        <v>15.776810143191289</v>
      </c>
      <c r="I18" s="94">
        <f t="shared" si="5"/>
        <v>6</v>
      </c>
      <c r="J18" s="90">
        <f t="shared" si="4"/>
        <v>2018</v>
      </c>
      <c r="K18" s="95">
        <f t="shared" si="0"/>
        <v>43252</v>
      </c>
      <c r="L18" s="90">
        <f t="shared" ref="L18:L36" si="11">L17+1</f>
        <v>2020</v>
      </c>
      <c r="M18" s="73">
        <f t="shared" ref="M18:M36" si="12">SUMIF($J$13:$J$264,L18,$C$13:$C$264)</f>
        <v>2528168.8944865167</v>
      </c>
      <c r="N18" s="73">
        <f t="shared" si="8"/>
        <v>0</v>
      </c>
      <c r="O18" s="73">
        <f t="shared" si="6"/>
        <v>215918.05200000003</v>
      </c>
      <c r="P18" s="180">
        <f t="shared" si="7"/>
        <v>11.708927859753553</v>
      </c>
      <c r="Q18" s="255">
        <f t="shared" si="9"/>
        <v>11.708927859753553</v>
      </c>
      <c r="R18" s="255">
        <f t="shared" si="10"/>
        <v>0</v>
      </c>
    </row>
    <row r="19" spans="2:18">
      <c r="B19" s="95">
        <f t="shared" si="1"/>
        <v>43282</v>
      </c>
      <c r="C19" s="92">
        <v>714964.98985815048</v>
      </c>
      <c r="D19" s="88">
        <f>IF(ISNUMBER($F19),VLOOKUP($J19,'Table 1'!$B$13:$C$33,2,FALSE)/12*1000*Study_MW,"")</f>
        <v>0</v>
      </c>
      <c r="E19" s="88">
        <f t="shared" si="2"/>
        <v>714964.98985815048</v>
      </c>
      <c r="F19" s="92">
        <v>23606.065999999999</v>
      </c>
      <c r="G19" s="93">
        <f t="shared" si="3"/>
        <v>30.287341815368581</v>
      </c>
      <c r="I19" s="94">
        <f t="shared" si="5"/>
        <v>7</v>
      </c>
      <c r="J19" s="90">
        <f t="shared" si="4"/>
        <v>2018</v>
      </c>
      <c r="K19" s="95">
        <f t="shared" si="0"/>
        <v>43282</v>
      </c>
      <c r="L19" s="90">
        <f t="shared" si="11"/>
        <v>2021</v>
      </c>
      <c r="M19" s="73">
        <f t="shared" si="12"/>
        <v>3241403.6617821157</v>
      </c>
      <c r="N19" s="73">
        <f t="shared" si="8"/>
        <v>0</v>
      </c>
      <c r="O19" s="73">
        <f t="shared" si="6"/>
        <v>214423.94299999997</v>
      </c>
      <c r="P19" s="180">
        <f t="shared" si="7"/>
        <v>15.116799068386296</v>
      </c>
      <c r="Q19" s="255">
        <f t="shared" si="9"/>
        <v>15.116799068386296</v>
      </c>
      <c r="R19" s="255">
        <f t="shared" si="10"/>
        <v>0</v>
      </c>
    </row>
    <row r="20" spans="2:18">
      <c r="B20" s="95">
        <f t="shared" si="1"/>
        <v>43313</v>
      </c>
      <c r="C20" s="92">
        <v>563201.89354422688</v>
      </c>
      <c r="D20" s="88">
        <f>IF(ISNUMBER($F20),VLOOKUP($J20,'Table 1'!$B$13:$C$33,2,FALSE)/12*1000*Study_MW,"")</f>
        <v>0</v>
      </c>
      <c r="E20" s="88">
        <f t="shared" si="2"/>
        <v>563201.89354422688</v>
      </c>
      <c r="F20" s="92">
        <v>23644.444</v>
      </c>
      <c r="G20" s="93">
        <f t="shared" si="3"/>
        <v>23.819629404025186</v>
      </c>
      <c r="I20" s="94">
        <f t="shared" si="5"/>
        <v>8</v>
      </c>
      <c r="J20" s="90">
        <f t="shared" si="4"/>
        <v>2018</v>
      </c>
      <c r="K20" s="95">
        <f t="shared" si="0"/>
        <v>43313</v>
      </c>
      <c r="L20" s="90">
        <f t="shared" si="11"/>
        <v>2022</v>
      </c>
      <c r="M20" s="73">
        <f t="shared" si="12"/>
        <v>3601824.7447886616</v>
      </c>
      <c r="N20" s="73">
        <f t="shared" si="8"/>
        <v>0</v>
      </c>
      <c r="O20" s="73">
        <f t="shared" si="6"/>
        <v>213351.655</v>
      </c>
      <c r="P20" s="180">
        <f t="shared" si="7"/>
        <v>16.882103608658024</v>
      </c>
      <c r="Q20" s="255">
        <f t="shared" si="9"/>
        <v>16.882103608658024</v>
      </c>
      <c r="R20" s="255">
        <f t="shared" si="10"/>
        <v>0</v>
      </c>
    </row>
    <row r="21" spans="2:18">
      <c r="B21" s="95">
        <f t="shared" si="1"/>
        <v>43344</v>
      </c>
      <c r="C21" s="92">
        <v>375001.73156434298</v>
      </c>
      <c r="D21" s="88">
        <f>IF(ISNUMBER($F21),VLOOKUP($J21,'Table 1'!$B$13:$C$33,2,FALSE)/12*1000*Study_MW,"")</f>
        <v>0</v>
      </c>
      <c r="E21" s="88">
        <f t="shared" si="2"/>
        <v>375001.73156434298</v>
      </c>
      <c r="F21" s="92">
        <v>20842.38</v>
      </c>
      <c r="G21" s="93">
        <f t="shared" si="3"/>
        <v>17.992270151697788</v>
      </c>
      <c r="I21" s="94">
        <f t="shared" si="5"/>
        <v>9</v>
      </c>
      <c r="J21" s="90">
        <f t="shared" si="4"/>
        <v>2018</v>
      </c>
      <c r="K21" s="95">
        <f t="shared" si="0"/>
        <v>43344</v>
      </c>
      <c r="L21" s="90">
        <f t="shared" si="11"/>
        <v>2023</v>
      </c>
      <c r="M21" s="73">
        <f t="shared" si="12"/>
        <v>3798129.9820650071</v>
      </c>
      <c r="N21" s="73">
        <f t="shared" si="8"/>
        <v>0</v>
      </c>
      <c r="O21" s="73">
        <f t="shared" si="6"/>
        <v>212284.875</v>
      </c>
      <c r="P21" s="180">
        <f t="shared" si="7"/>
        <v>17.891665537005437</v>
      </c>
      <c r="Q21" s="255">
        <f t="shared" si="9"/>
        <v>17.891665537005437</v>
      </c>
      <c r="R21" s="255">
        <f t="shared" si="10"/>
        <v>0</v>
      </c>
    </row>
    <row r="22" spans="2:18">
      <c r="B22" s="95">
        <f t="shared" si="1"/>
        <v>43374</v>
      </c>
      <c r="C22" s="92">
        <v>290657.18211175501</v>
      </c>
      <c r="D22" s="88">
        <f>IF(ISNUMBER($F22),VLOOKUP($J22,'Table 1'!$B$13:$C$33,2,FALSE)/12*1000*Study_MW,"")</f>
        <v>0</v>
      </c>
      <c r="E22" s="88">
        <f t="shared" si="2"/>
        <v>290657.18211175501</v>
      </c>
      <c r="F22" s="92">
        <v>16897.418000000001</v>
      </c>
      <c r="G22" s="93">
        <f t="shared" si="3"/>
        <v>17.201277858650059</v>
      </c>
      <c r="I22" s="94">
        <f t="shared" si="5"/>
        <v>10</v>
      </c>
      <c r="J22" s="90">
        <f t="shared" si="4"/>
        <v>2018</v>
      </c>
      <c r="K22" s="95">
        <f t="shared" si="0"/>
        <v>43374</v>
      </c>
      <c r="L22" s="90">
        <f t="shared" si="11"/>
        <v>2024</v>
      </c>
      <c r="M22" s="73">
        <f t="shared" si="12"/>
        <v>4154321.0929401368</v>
      </c>
      <c r="N22" s="73">
        <f t="shared" si="8"/>
        <v>0</v>
      </c>
      <c r="O22" s="73">
        <f t="shared" si="6"/>
        <v>211632.15</v>
      </c>
      <c r="P22" s="180">
        <f t="shared" si="7"/>
        <v>19.629914892137784</v>
      </c>
      <c r="Q22" s="255">
        <f t="shared" si="9"/>
        <v>19.629914892137784</v>
      </c>
      <c r="R22" s="255">
        <f t="shared" si="10"/>
        <v>0</v>
      </c>
    </row>
    <row r="23" spans="2:18">
      <c r="B23" s="95">
        <f t="shared" si="1"/>
        <v>43405</v>
      </c>
      <c r="C23" s="92">
        <v>196135.21362310648</v>
      </c>
      <c r="D23" s="88">
        <f>IF(F23&lt;&gt;0,VLOOKUP($J23,'Table 1'!$B$13:$C$33,2,FALSE)/12*1000*Study_MW,0)</f>
        <v>0</v>
      </c>
      <c r="E23" s="88">
        <f t="shared" si="2"/>
        <v>196135.21362310648</v>
      </c>
      <c r="F23" s="92">
        <v>11381.16</v>
      </c>
      <c r="G23" s="93">
        <f t="shared" si="3"/>
        <v>17.233323635122122</v>
      </c>
      <c r="I23" s="94">
        <f t="shared" si="5"/>
        <v>11</v>
      </c>
      <c r="J23" s="90">
        <f t="shared" si="4"/>
        <v>2018</v>
      </c>
      <c r="K23" s="95">
        <f t="shared" si="0"/>
        <v>43405</v>
      </c>
      <c r="L23" s="90">
        <f t="shared" si="11"/>
        <v>2025</v>
      </c>
      <c r="M23" s="73">
        <f t="shared" si="12"/>
        <v>4407648.9750871956</v>
      </c>
      <c r="N23" s="73">
        <f t="shared" si="8"/>
        <v>0</v>
      </c>
      <c r="O23" s="73">
        <f t="shared" si="6"/>
        <v>210167.663</v>
      </c>
      <c r="P23" s="180">
        <f t="shared" si="7"/>
        <v>20.972060649916422</v>
      </c>
      <c r="Q23" s="255">
        <f t="shared" si="9"/>
        <v>20.972060649916422</v>
      </c>
      <c r="R23" s="255">
        <f t="shared" si="10"/>
        <v>0</v>
      </c>
    </row>
    <row r="24" spans="2:18">
      <c r="B24" s="99">
        <f t="shared" si="1"/>
        <v>43435</v>
      </c>
      <c r="C24" s="96">
        <v>191232.63895136118</v>
      </c>
      <c r="D24" s="97">
        <f>IF(F24&lt;&gt;0,VLOOKUP($J24,'Table 1'!$B$13:$C$33,2,FALSE)/12*1000*Study_MW,0)</f>
        <v>0</v>
      </c>
      <c r="E24" s="97">
        <f t="shared" ref="E24" si="13">IF(ISNUMBER(C24+D24),C24+D24,"")</f>
        <v>191232.63895136118</v>
      </c>
      <c r="F24" s="96">
        <v>8780.0990000000002</v>
      </c>
      <c r="G24" s="98">
        <f t="shared" ref="G24" si="14">IF(ISNUMBER($F24),E24/$F24,"")</f>
        <v>21.780237210464389</v>
      </c>
      <c r="I24" s="81">
        <f t="shared" si="5"/>
        <v>12</v>
      </c>
      <c r="J24" s="90">
        <f t="shared" si="4"/>
        <v>2018</v>
      </c>
      <c r="K24" s="99">
        <f t="shared" si="0"/>
        <v>43435</v>
      </c>
      <c r="L24" s="90">
        <f t="shared" si="11"/>
        <v>2026</v>
      </c>
      <c r="M24" s="73">
        <f t="shared" si="12"/>
        <v>4560947.2357276976</v>
      </c>
      <c r="N24" s="73">
        <f t="shared" si="8"/>
        <v>0</v>
      </c>
      <c r="O24" s="73">
        <f t="shared" si="6"/>
        <v>209116.68400000001</v>
      </c>
      <c r="P24" s="180">
        <f t="shared" si="7"/>
        <v>21.81053729662095</v>
      </c>
      <c r="Q24" s="255">
        <f t="shared" si="9"/>
        <v>21.81053729662095</v>
      </c>
      <c r="R24" s="255">
        <f t="shared" si="10"/>
        <v>0</v>
      </c>
    </row>
    <row r="25" spans="2:18">
      <c r="B25" s="91">
        <f t="shared" si="1"/>
        <v>43466</v>
      </c>
      <c r="C25" s="86">
        <v>221483.90717506409</v>
      </c>
      <c r="D25" s="87">
        <f>IF(F25&lt;&gt;0,VLOOKUP($J25,'Table 1'!$B$13:$C$33,2,FALSE)/12*1000*Study_MW,0)</f>
        <v>0</v>
      </c>
      <c r="E25" s="87">
        <f t="shared" ref="E25:E77" si="15">C25+D25</f>
        <v>221483.90717506409</v>
      </c>
      <c r="F25" s="86">
        <v>10481.286</v>
      </c>
      <c r="G25" s="89">
        <f t="shared" si="3"/>
        <v>21.131367579805005</v>
      </c>
      <c r="I25" s="77">
        <f>I13+13</f>
        <v>14</v>
      </c>
      <c r="J25" s="90">
        <f t="shared" si="4"/>
        <v>2019</v>
      </c>
      <c r="K25" s="91">
        <f>IF(ISNUMBER(F25),IF(F25&lt;&gt;0,B25,""),"")</f>
        <v>43466</v>
      </c>
      <c r="L25" s="90">
        <f t="shared" si="11"/>
        <v>2027</v>
      </c>
      <c r="M25" s="73">
        <f t="shared" si="12"/>
        <v>4890809.1472472399</v>
      </c>
      <c r="N25" s="73">
        <f t="shared" si="8"/>
        <v>0</v>
      </c>
      <c r="O25" s="73">
        <f t="shared" si="6"/>
        <v>208071.00600000002</v>
      </c>
      <c r="P25" s="180">
        <f t="shared" si="7"/>
        <v>23.505481331922041</v>
      </c>
      <c r="Q25" s="255">
        <f t="shared" si="9"/>
        <v>23.505481331922041</v>
      </c>
      <c r="R25" s="255">
        <f t="shared" si="10"/>
        <v>0</v>
      </c>
    </row>
    <row r="26" spans="2:18">
      <c r="B26" s="95">
        <f t="shared" si="1"/>
        <v>43497</v>
      </c>
      <c r="C26" s="92">
        <v>216068.82760052383</v>
      </c>
      <c r="D26" s="88">
        <f>IF(F26&lt;&gt;0,VLOOKUP($J26,'Table 1'!$B$13:$C$33,2,FALSE)/12*1000*Study_MW,0)</f>
        <v>0</v>
      </c>
      <c r="E26" s="88">
        <f t="shared" si="15"/>
        <v>216068.82760052383</v>
      </c>
      <c r="F26" s="92">
        <v>11730.487999999999</v>
      </c>
      <c r="G26" s="93">
        <f t="shared" si="3"/>
        <v>18.419423607996858</v>
      </c>
      <c r="I26" s="94">
        <f t="shared" ref="I26:I89" si="16">I14+13</f>
        <v>15</v>
      </c>
      <c r="J26" s="90">
        <f t="shared" si="4"/>
        <v>2019</v>
      </c>
      <c r="K26" s="95">
        <f t="shared" ref="K26:K89" si="17">IF(ISNUMBER(F26),IF(F26&lt;&gt;0,B26,""),"")</f>
        <v>43497</v>
      </c>
      <c r="L26" s="90">
        <f t="shared" si="11"/>
        <v>2028</v>
      </c>
      <c r="M26" s="73">
        <f t="shared" si="12"/>
        <v>4912836.9453194737</v>
      </c>
      <c r="N26" s="73">
        <f t="shared" si="8"/>
        <v>0</v>
      </c>
      <c r="O26" s="73">
        <f>SUMIF($J$13:$J$264,L26,$F$13:$F$264)</f>
        <v>207431.21599999996</v>
      </c>
      <c r="P26" s="180">
        <f>(M26+N26)/O26</f>
        <v>23.684173674802519</v>
      </c>
      <c r="Q26" s="255">
        <f t="shared" si="9"/>
        <v>23.684173674802519</v>
      </c>
      <c r="R26" s="255">
        <f t="shared" si="10"/>
        <v>0</v>
      </c>
    </row>
    <row r="27" spans="2:18">
      <c r="B27" s="95">
        <f t="shared" si="1"/>
        <v>43525</v>
      </c>
      <c r="C27" s="92">
        <v>322341.81880810857</v>
      </c>
      <c r="D27" s="88">
        <f>IF(F27&lt;&gt;0,VLOOKUP($J27,'Table 1'!$B$13:$C$33,2,FALSE)/12*1000*Study_MW,0)</f>
        <v>0</v>
      </c>
      <c r="E27" s="88">
        <f t="shared" si="15"/>
        <v>322341.81880810857</v>
      </c>
      <c r="F27" s="92">
        <v>18269.323</v>
      </c>
      <c r="G27" s="93">
        <f t="shared" si="3"/>
        <v>17.64388416626651</v>
      </c>
      <c r="I27" s="94">
        <f t="shared" si="16"/>
        <v>16</v>
      </c>
      <c r="J27" s="90">
        <f t="shared" si="4"/>
        <v>2019</v>
      </c>
      <c r="K27" s="95">
        <f t="shared" si="17"/>
        <v>43525</v>
      </c>
      <c r="L27" s="90">
        <f t="shared" si="11"/>
        <v>2029</v>
      </c>
      <c r="M27" s="73">
        <f t="shared" si="12"/>
        <v>5123961.2402148247</v>
      </c>
      <c r="N27" s="73">
        <f t="shared" si="8"/>
        <v>0</v>
      </c>
      <c r="O27" s="73">
        <f t="shared" ref="O27:O31" si="18">SUMIF($J$13:$J$264,L27,$F$13:$F$264)</f>
        <v>205995.45199999999</v>
      </c>
      <c r="P27" s="180">
        <f t="shared" ref="P27:P31" si="19">(M27+N27)/O27</f>
        <v>24.874147416685805</v>
      </c>
      <c r="Q27" s="255">
        <f t="shared" si="9"/>
        <v>24.874147416685805</v>
      </c>
      <c r="R27" s="255">
        <f t="shared" si="10"/>
        <v>0</v>
      </c>
    </row>
    <row r="28" spans="2:18">
      <c r="B28" s="95">
        <f t="shared" si="1"/>
        <v>43556</v>
      </c>
      <c r="C28" s="92">
        <v>321991.08267743886</v>
      </c>
      <c r="D28" s="88">
        <f>IF(F28&lt;&gt;0,VLOOKUP($J28,'Table 1'!$B$13:$C$33,2,FALSE)/12*1000*Study_MW,0)</f>
        <v>0</v>
      </c>
      <c r="E28" s="88">
        <f t="shared" si="15"/>
        <v>321991.08267743886</v>
      </c>
      <c r="F28" s="92">
        <v>21101.040000000001</v>
      </c>
      <c r="G28" s="93">
        <f t="shared" si="3"/>
        <v>15.25948875872653</v>
      </c>
      <c r="I28" s="94">
        <f t="shared" si="16"/>
        <v>17</v>
      </c>
      <c r="J28" s="90">
        <f t="shared" si="4"/>
        <v>2019</v>
      </c>
      <c r="K28" s="95">
        <f t="shared" si="17"/>
        <v>43556</v>
      </c>
      <c r="L28" s="90">
        <f t="shared" si="11"/>
        <v>2030</v>
      </c>
      <c r="M28" s="73">
        <f t="shared" si="12"/>
        <v>5117281.7781107128</v>
      </c>
      <c r="N28" s="73">
        <f t="shared" si="8"/>
        <v>0</v>
      </c>
      <c r="O28" s="73">
        <f t="shared" si="18"/>
        <v>204965.48900000003</v>
      </c>
      <c r="P28" s="180">
        <f t="shared" si="19"/>
        <v>24.966553165009707</v>
      </c>
      <c r="Q28" s="255">
        <f t="shared" si="9"/>
        <v>24.966553165009707</v>
      </c>
      <c r="R28" s="255">
        <f t="shared" si="10"/>
        <v>0</v>
      </c>
    </row>
    <row r="29" spans="2:18">
      <c r="B29" s="95">
        <f t="shared" si="1"/>
        <v>43586</v>
      </c>
      <c r="C29" s="92">
        <v>391204.66800683737</v>
      </c>
      <c r="D29" s="88">
        <f>IF(F29&lt;&gt;0,VLOOKUP($J29,'Table 1'!$B$13:$C$33,2,FALSE)/12*1000*Study_MW,0)</f>
        <v>0</v>
      </c>
      <c r="E29" s="88">
        <f t="shared" si="15"/>
        <v>391204.66800683737</v>
      </c>
      <c r="F29" s="92">
        <v>24426.109</v>
      </c>
      <c r="G29" s="93">
        <f t="shared" si="3"/>
        <v>16.015840591182059</v>
      </c>
      <c r="I29" s="94">
        <f t="shared" si="16"/>
        <v>18</v>
      </c>
      <c r="J29" s="90">
        <f t="shared" si="4"/>
        <v>2019</v>
      </c>
      <c r="K29" s="95">
        <f t="shared" si="17"/>
        <v>43586</v>
      </c>
      <c r="L29" s="90">
        <f t="shared" si="11"/>
        <v>2031</v>
      </c>
      <c r="M29" s="73">
        <f t="shared" si="12"/>
        <v>5390545.8207457364</v>
      </c>
      <c r="N29" s="73">
        <f t="shared" si="8"/>
        <v>0</v>
      </c>
      <c r="O29" s="73">
        <f t="shared" si="18"/>
        <v>203940.58200000005</v>
      </c>
      <c r="P29" s="180">
        <f t="shared" si="19"/>
        <v>26.431942911419831</v>
      </c>
      <c r="Q29" s="255">
        <f t="shared" si="9"/>
        <v>26.431942911419831</v>
      </c>
      <c r="R29" s="255">
        <f t="shared" si="10"/>
        <v>0</v>
      </c>
    </row>
    <row r="30" spans="2:18">
      <c r="B30" s="95">
        <f t="shared" si="1"/>
        <v>43617</v>
      </c>
      <c r="C30" s="92">
        <v>397548.25230872631</v>
      </c>
      <c r="D30" s="88">
        <f>IF(F30&lt;&gt;0,VLOOKUP($J30,'Table 1'!$B$13:$C$33,2,FALSE)/12*1000*Study_MW,0)</f>
        <v>0</v>
      </c>
      <c r="E30" s="88">
        <f t="shared" si="15"/>
        <v>397548.25230872631</v>
      </c>
      <c r="F30" s="92">
        <v>25950</v>
      </c>
      <c r="G30" s="93">
        <f t="shared" si="3"/>
        <v>15.319778509006793</v>
      </c>
      <c r="I30" s="94">
        <f t="shared" si="16"/>
        <v>19</v>
      </c>
      <c r="J30" s="90">
        <f t="shared" si="4"/>
        <v>2019</v>
      </c>
      <c r="K30" s="95">
        <f t="shared" si="17"/>
        <v>43617</v>
      </c>
      <c r="L30" s="90">
        <f t="shared" si="11"/>
        <v>2032</v>
      </c>
      <c r="M30" s="73">
        <f t="shared" si="12"/>
        <v>5521895.4235714376</v>
      </c>
      <c r="N30" s="73">
        <f t="shared" si="8"/>
        <v>0</v>
      </c>
      <c r="O30" s="73">
        <f t="shared" si="18"/>
        <v>203313.39799999999</v>
      </c>
      <c r="P30" s="180">
        <f t="shared" si="19"/>
        <v>27.159525529996984</v>
      </c>
      <c r="Q30" s="255">
        <f t="shared" si="9"/>
        <v>27.159525529996984</v>
      </c>
      <c r="R30" s="255">
        <f t="shared" si="10"/>
        <v>0</v>
      </c>
    </row>
    <row r="31" spans="2:18">
      <c r="B31" s="95">
        <f t="shared" si="1"/>
        <v>43647</v>
      </c>
      <c r="C31" s="92">
        <v>537537.69106289744</v>
      </c>
      <c r="D31" s="88">
        <f>IF(F31&lt;&gt;0,VLOOKUP($J31,'Table 1'!$B$13:$C$33,2,FALSE)/12*1000*Study_MW,0)</f>
        <v>0</v>
      </c>
      <c r="E31" s="88">
        <f t="shared" si="15"/>
        <v>537537.69106289744</v>
      </c>
      <c r="F31" s="92">
        <v>23488.048999999999</v>
      </c>
      <c r="G31" s="93">
        <f t="shared" si="3"/>
        <v>22.885582836739545</v>
      </c>
      <c r="I31" s="94">
        <f t="shared" si="16"/>
        <v>20</v>
      </c>
      <c r="J31" s="90">
        <f t="shared" si="4"/>
        <v>2019</v>
      </c>
      <c r="K31" s="95">
        <f t="shared" si="17"/>
        <v>43647</v>
      </c>
      <c r="L31" s="90">
        <f t="shared" si="11"/>
        <v>2033</v>
      </c>
      <c r="M31" s="73">
        <f t="shared" si="12"/>
        <v>5853548.3993554413</v>
      </c>
      <c r="N31" s="73">
        <f t="shared" si="8"/>
        <v>0</v>
      </c>
      <c r="O31" s="73">
        <f t="shared" si="18"/>
        <v>201906.41899999999</v>
      </c>
      <c r="P31" s="180">
        <f t="shared" si="19"/>
        <v>28.991393281832419</v>
      </c>
      <c r="Q31" s="255">
        <f t="shared" si="9"/>
        <v>28.991393281832419</v>
      </c>
      <c r="R31" s="255">
        <f t="shared" si="10"/>
        <v>0</v>
      </c>
    </row>
    <row r="32" spans="2:18">
      <c r="B32" s="95">
        <f t="shared" si="1"/>
        <v>43678</v>
      </c>
      <c r="C32" s="92">
        <v>499259.39638918638</v>
      </c>
      <c r="D32" s="88">
        <f>IF(F32&lt;&gt;0,VLOOKUP($J32,'Table 1'!$B$13:$C$33,2,FALSE)/12*1000*Study_MW,0)</f>
        <v>0</v>
      </c>
      <c r="E32" s="88">
        <f t="shared" si="15"/>
        <v>499259.39638918638</v>
      </c>
      <c r="F32" s="92">
        <v>23526.272000000001</v>
      </c>
      <c r="G32" s="93">
        <f t="shared" si="3"/>
        <v>21.221356124301646</v>
      </c>
      <c r="I32" s="94">
        <f t="shared" si="16"/>
        <v>21</v>
      </c>
      <c r="J32" s="90">
        <f t="shared" si="4"/>
        <v>2019</v>
      </c>
      <c r="K32" s="95">
        <f t="shared" si="17"/>
        <v>43678</v>
      </c>
      <c r="L32" s="90">
        <f t="shared" si="11"/>
        <v>2034</v>
      </c>
      <c r="M32" s="73">
        <f t="shared" si="12"/>
        <v>6147549.0356036723</v>
      </c>
      <c r="N32" s="73">
        <f t="shared" si="8"/>
        <v>0</v>
      </c>
      <c r="O32" s="73">
        <f t="shared" ref="O32:O35" si="20">SUMIF($J$13:$J$264,L32,$F$13:$F$264)</f>
        <v>200896.85399999999</v>
      </c>
      <c r="P32" s="180">
        <f t="shared" ref="P32:P34" si="21">(M32+N32)/O32</f>
        <v>30.600524165518653</v>
      </c>
      <c r="Q32" s="255">
        <f t="shared" si="9"/>
        <v>30.600524165518653</v>
      </c>
      <c r="R32" s="255">
        <f t="shared" si="10"/>
        <v>0</v>
      </c>
    </row>
    <row r="33" spans="2:20">
      <c r="B33" s="95">
        <f t="shared" si="1"/>
        <v>43709</v>
      </c>
      <c r="C33" s="92">
        <v>344819.63672098517</v>
      </c>
      <c r="D33" s="88">
        <f>IF(F33&lt;&gt;0,VLOOKUP($J33,'Table 1'!$B$13:$C$33,2,FALSE)/12*1000*Study_MW,0)</f>
        <v>0</v>
      </c>
      <c r="E33" s="88">
        <f t="shared" si="15"/>
        <v>344819.63672098517</v>
      </c>
      <c r="F33" s="92">
        <v>20738.189999999999</v>
      </c>
      <c r="G33" s="93">
        <f t="shared" si="3"/>
        <v>16.627277342959303</v>
      </c>
      <c r="I33" s="94">
        <f t="shared" si="16"/>
        <v>22</v>
      </c>
      <c r="J33" s="90">
        <f t="shared" si="4"/>
        <v>2019</v>
      </c>
      <c r="K33" s="95">
        <f t="shared" si="17"/>
        <v>43709</v>
      </c>
      <c r="L33" s="90">
        <f t="shared" si="11"/>
        <v>2035</v>
      </c>
      <c r="M33" s="73">
        <f t="shared" si="12"/>
        <v>-627519.99015519023</v>
      </c>
      <c r="N33" s="73">
        <f t="shared" si="8"/>
        <v>17289981.108556639</v>
      </c>
      <c r="O33" s="73">
        <f t="shared" si="20"/>
        <v>199892.37600000002</v>
      </c>
      <c r="P33" s="180">
        <f t="shared" si="21"/>
        <v>83.357161747887005</v>
      </c>
      <c r="Q33" s="255">
        <f t="shared" si="9"/>
        <v>-3.1392892651152948</v>
      </c>
      <c r="R33" s="255">
        <f t="shared" si="10"/>
        <v>86.4964510130023</v>
      </c>
    </row>
    <row r="34" spans="2:20">
      <c r="B34" s="95">
        <f t="shared" si="1"/>
        <v>43739</v>
      </c>
      <c r="C34" s="92">
        <v>278016.17215940356</v>
      </c>
      <c r="D34" s="88">
        <f>IF(F34&lt;&gt;0,VLOOKUP($J34,'Table 1'!$B$13:$C$33,2,FALSE)/12*1000*Study_MW,0)</f>
        <v>0</v>
      </c>
      <c r="E34" s="88">
        <f t="shared" si="15"/>
        <v>278016.17215940356</v>
      </c>
      <c r="F34" s="92">
        <v>16812.942999999999</v>
      </c>
      <c r="G34" s="93">
        <f t="shared" si="3"/>
        <v>16.535842187736172</v>
      </c>
      <c r="I34" s="94">
        <f t="shared" si="16"/>
        <v>23</v>
      </c>
      <c r="J34" s="90">
        <f t="shared" si="4"/>
        <v>2019</v>
      </c>
      <c r="K34" s="95">
        <f t="shared" si="17"/>
        <v>43739</v>
      </c>
      <c r="L34" s="90">
        <f t="shared" si="11"/>
        <v>2036</v>
      </c>
      <c r="M34" s="73">
        <f t="shared" si="12"/>
        <v>67494.488319724798</v>
      </c>
      <c r="N34" s="73">
        <f t="shared" si="8"/>
        <v>17686142.467913549</v>
      </c>
      <c r="O34" s="73">
        <f t="shared" si="20"/>
        <v>199277.68699999998</v>
      </c>
      <c r="P34" s="180">
        <f t="shared" si="21"/>
        <v>89.089938886300288</v>
      </c>
      <c r="Q34" s="255">
        <f t="shared" ref="Q34" si="22">M34/O34</f>
        <v>0.33869566300076942</v>
      </c>
      <c r="R34" s="255">
        <f t="shared" ref="R34" si="23">IFERROR(N34/O34,0)</f>
        <v>88.751243223299511</v>
      </c>
    </row>
    <row r="35" spans="2:20">
      <c r="B35" s="95">
        <f t="shared" si="1"/>
        <v>43770</v>
      </c>
      <c r="C35" s="92">
        <v>191564.5631736815</v>
      </c>
      <c r="D35" s="88">
        <f>IF(F35&lt;&gt;0,VLOOKUP($J35,'Table 1'!$B$13:$C$33,2,FALSE)/12*1000*Study_MW,0)</f>
        <v>0</v>
      </c>
      <c r="E35" s="88">
        <f t="shared" si="15"/>
        <v>191564.5631736815</v>
      </c>
      <c r="F35" s="92">
        <v>11324.22</v>
      </c>
      <c r="G35" s="93">
        <f t="shared" si="3"/>
        <v>16.91635831639455</v>
      </c>
      <c r="I35" s="94">
        <f t="shared" si="16"/>
        <v>24</v>
      </c>
      <c r="J35" s="90">
        <f t="shared" si="4"/>
        <v>2019</v>
      </c>
      <c r="K35" s="95">
        <f t="shared" si="17"/>
        <v>43770</v>
      </c>
      <c r="L35" s="90">
        <f t="shared" si="11"/>
        <v>2037</v>
      </c>
      <c r="M35" s="73">
        <f t="shared" si="12"/>
        <v>68873.286201468713</v>
      </c>
      <c r="N35" s="73">
        <f t="shared" si="8"/>
        <v>18076423.881305985</v>
      </c>
      <c r="O35" s="73">
        <f t="shared" si="20"/>
        <v>198892.96299999999</v>
      </c>
      <c r="P35" s="180">
        <f t="shared" ref="P35" si="24">(M35+N35)/O35</f>
        <v>91.231468895696707</v>
      </c>
      <c r="Q35" s="255">
        <f t="shared" ref="Q35" si="25">M35/O35</f>
        <v>0.34628317242912571</v>
      </c>
      <c r="R35" s="255">
        <f t="shared" ref="R35" si="26">IFERROR(N35/O35,0)</f>
        <v>90.885185723267583</v>
      </c>
    </row>
    <row r="36" spans="2:20">
      <c r="B36" s="99">
        <f t="shared" si="1"/>
        <v>43800</v>
      </c>
      <c r="C36" s="96">
        <v>141348.09859265387</v>
      </c>
      <c r="D36" s="97">
        <f>IF(F36&lt;&gt;0,VLOOKUP($J36,'Table 1'!$B$13:$C$33,2,FALSE)/12*1000*Study_MW,0)</f>
        <v>0</v>
      </c>
      <c r="E36" s="97">
        <f t="shared" si="15"/>
        <v>141348.09859265387</v>
      </c>
      <c r="F36" s="96">
        <v>8736.2960000000003</v>
      </c>
      <c r="G36" s="98">
        <f t="shared" si="3"/>
        <v>16.179408137344918</v>
      </c>
      <c r="I36" s="81">
        <f t="shared" si="16"/>
        <v>25</v>
      </c>
      <c r="J36" s="90">
        <f t="shared" si="4"/>
        <v>2019</v>
      </c>
      <c r="K36" s="99">
        <f t="shared" si="17"/>
        <v>43800</v>
      </c>
      <c r="L36" s="90">
        <f t="shared" si="11"/>
        <v>2038</v>
      </c>
      <c r="M36" s="73">
        <f t="shared" si="12"/>
        <v>70388.498497901048</v>
      </c>
      <c r="N36" s="73">
        <f t="shared" si="8"/>
        <v>18473320.23390846</v>
      </c>
      <c r="O36" s="73">
        <f t="shared" ref="O36" si="27">SUMIF($J$13:$J$264,L36,$F$13:$F$264)</f>
        <v>198892.96299999999</v>
      </c>
      <c r="P36" s="180">
        <f t="shared" ref="P36" si="28">(M36+N36)/O36</f>
        <v>93.23461450170241</v>
      </c>
      <c r="Q36" s="255">
        <f t="shared" ref="Q36" si="29">M36/O36</f>
        <v>0.35390140222256655</v>
      </c>
      <c r="R36" s="255">
        <f t="shared" ref="R36" si="30">IFERROR(N36/O36,0)</f>
        <v>92.880713099479848</v>
      </c>
    </row>
    <row r="37" spans="2:20" outlineLevel="1">
      <c r="B37" s="91">
        <f t="shared" si="1"/>
        <v>43831</v>
      </c>
      <c r="C37" s="86">
        <v>131779.93626695871</v>
      </c>
      <c r="D37" s="87">
        <f>IF(F37&lt;&gt;0,VLOOKUP($J37,'Table 1'!$B$13:$C$33,2,FALSE)/12*1000*Study_MW,0)</f>
        <v>0</v>
      </c>
      <c r="E37" s="87">
        <f t="shared" si="15"/>
        <v>131779.93626695871</v>
      </c>
      <c r="F37" s="86">
        <v>10428.896000000001</v>
      </c>
      <c r="G37" s="89">
        <f t="shared" si="3"/>
        <v>12.636038969700984</v>
      </c>
      <c r="I37" s="77">
        <f>I25+13</f>
        <v>27</v>
      </c>
      <c r="J37" s="90">
        <f t="shared" si="4"/>
        <v>2020</v>
      </c>
      <c r="K37" s="91">
        <f t="shared" si="17"/>
        <v>43831</v>
      </c>
      <c r="M37" s="270"/>
    </row>
    <row r="38" spans="2:20" outlineLevel="1">
      <c r="B38" s="95">
        <f t="shared" si="1"/>
        <v>43862</v>
      </c>
      <c r="C38" s="92">
        <v>165505.2216270864</v>
      </c>
      <c r="D38" s="88">
        <f>IF(F38&lt;&gt;0,VLOOKUP($J38,'Table 1'!$B$13:$C$33,2,FALSE)/12*1000*Study_MW,0)</f>
        <v>0</v>
      </c>
      <c r="E38" s="88">
        <f t="shared" si="15"/>
        <v>165505.2216270864</v>
      </c>
      <c r="F38" s="92">
        <v>12088.736999999999</v>
      </c>
      <c r="G38" s="93">
        <f t="shared" si="3"/>
        <v>13.690861305617487</v>
      </c>
      <c r="I38" s="94">
        <f t="shared" si="16"/>
        <v>28</v>
      </c>
      <c r="J38" s="90">
        <f t="shared" si="4"/>
        <v>2020</v>
      </c>
      <c r="K38" s="95">
        <f t="shared" si="17"/>
        <v>43862</v>
      </c>
      <c r="M38" s="270"/>
    </row>
    <row r="39" spans="2:20" outlineLevel="1">
      <c r="B39" s="95">
        <f t="shared" si="1"/>
        <v>43891</v>
      </c>
      <c r="C39" s="92">
        <v>192040.10488948226</v>
      </c>
      <c r="D39" s="88">
        <f>IF(F39&lt;&gt;0,VLOOKUP($J39,'Table 1'!$B$13:$C$33,2,FALSE)/12*1000*Study_MW,0)</f>
        <v>0</v>
      </c>
      <c r="E39" s="88">
        <f t="shared" si="15"/>
        <v>192040.10488948226</v>
      </c>
      <c r="F39" s="92">
        <v>18177.966</v>
      </c>
      <c r="G39" s="93">
        <f t="shared" si="3"/>
        <v>10.564444057684026</v>
      </c>
      <c r="I39" s="94">
        <f t="shared" si="16"/>
        <v>29</v>
      </c>
      <c r="J39" s="90">
        <f t="shared" si="4"/>
        <v>2020</v>
      </c>
      <c r="K39" s="95">
        <f t="shared" si="17"/>
        <v>43891</v>
      </c>
    </row>
    <row r="40" spans="2:20" outlineLevel="1">
      <c r="B40" s="95">
        <f t="shared" si="1"/>
        <v>43922</v>
      </c>
      <c r="C40" s="92">
        <v>233552.14870230854</v>
      </c>
      <c r="D40" s="88">
        <f>IF(F40&lt;&gt;0,VLOOKUP($J40,'Table 1'!$B$13:$C$33,2,FALSE)/12*1000*Study_MW,0)</f>
        <v>0</v>
      </c>
      <c r="E40" s="88">
        <f t="shared" si="15"/>
        <v>233552.14870230854</v>
      </c>
      <c r="F40" s="92">
        <v>20995.59</v>
      </c>
      <c r="G40" s="93">
        <f t="shared" si="3"/>
        <v>11.123866902635674</v>
      </c>
      <c r="I40" s="94">
        <f t="shared" si="16"/>
        <v>30</v>
      </c>
      <c r="J40" s="90">
        <f t="shared" si="4"/>
        <v>2020</v>
      </c>
      <c r="K40" s="95">
        <f t="shared" si="17"/>
        <v>43922</v>
      </c>
      <c r="O40" s="300" t="str">
        <f>"15 Year Starting "&amp;YEAR($K$5)+2</f>
        <v>15 Year Starting 2020</v>
      </c>
      <c r="P40" s="75">
        <f ca="1">NPV($K$9,INDIRECT("C"&amp;$P$5+24&amp;":C"&amp;$P$6+24))</f>
        <v>42002263.955558114</v>
      </c>
      <c r="Q40" s="75">
        <f ca="1">NPV($K$9,INDIRECT("D"&amp;$P$5+24&amp;":D"&amp;$P$6+24))</f>
        <v>0</v>
      </c>
      <c r="R40" s="75">
        <f ca="1">NPV($K$9,INDIRECT("E"&amp;$P$5+24&amp;":E"&amp;$P$6+24))</f>
        <v>42002263.955558114</v>
      </c>
      <c r="S40" s="75">
        <f ca="1">NPV($K$9,INDIRECT("F"&amp;$P$5+24&amp;":F"&amp;$P$6+24))</f>
        <v>2019917.9820249144</v>
      </c>
      <c r="T40" s="139">
        <f ca="1">R40/S40</f>
        <v>20.79404427770476</v>
      </c>
    </row>
    <row r="41" spans="2:20" outlineLevel="1">
      <c r="B41" s="95">
        <f t="shared" si="1"/>
        <v>43952</v>
      </c>
      <c r="C41" s="92">
        <v>265866.30863949656</v>
      </c>
      <c r="D41" s="88">
        <f>IF(F41&lt;&gt;0,VLOOKUP($J41,'Table 1'!$B$13:$C$33,2,FALSE)/12*1000*Study_MW,0)</f>
        <v>0</v>
      </c>
      <c r="E41" s="88">
        <f t="shared" si="15"/>
        <v>265866.30863949656</v>
      </c>
      <c r="F41" s="92">
        <v>24303.937999999998</v>
      </c>
      <c r="G41" s="93">
        <f t="shared" si="3"/>
        <v>10.939227570424867</v>
      </c>
      <c r="I41" s="94">
        <f t="shared" si="16"/>
        <v>31</v>
      </c>
      <c r="J41" s="90">
        <f t="shared" si="4"/>
        <v>2020</v>
      </c>
      <c r="K41" s="95">
        <f t="shared" si="17"/>
        <v>43952</v>
      </c>
      <c r="O41" s="300" t="str">
        <f>"15 Year Starting "&amp;YEAR($K$5)+3</f>
        <v>15 Year Starting 2021</v>
      </c>
      <c r="P41" s="75">
        <f ca="1">NPV($K$9,INDIRECT("C"&amp;$P$5+36&amp;":C"&amp;$P$6+36))</f>
        <v>41911408.044398025</v>
      </c>
      <c r="Q41" s="75">
        <f ca="1">NPV($K$9,INDIRECT("D"&amp;$P$5+36&amp;":D"&amp;$P$6+36))</f>
        <v>6855021.4192932136</v>
      </c>
      <c r="R41" s="75">
        <f ca="1">NPV($K$9,INDIRECT("E"&amp;$P$5+36&amp;":E"&amp;$P$6+36))</f>
        <v>48766429.463691227</v>
      </c>
      <c r="S41" s="75">
        <f ca="1">NPV($K$9,INDIRECT("F"&amp;$P$5+36&amp;":F"&amp;$P$6+36))</f>
        <v>2009459.9514010416</v>
      </c>
      <c r="T41" s="139">
        <f ca="1">R41/S41</f>
        <v>24.26842566814539</v>
      </c>
    </row>
    <row r="42" spans="2:20" outlineLevel="1">
      <c r="B42" s="95">
        <f t="shared" si="1"/>
        <v>43983</v>
      </c>
      <c r="C42" s="92">
        <v>282313.14703346789</v>
      </c>
      <c r="D42" s="88">
        <f>IF(F42&lt;&gt;0,VLOOKUP($J42,'Table 1'!$B$13:$C$33,2,FALSE)/12*1000*Study_MW,0)</f>
        <v>0</v>
      </c>
      <c r="E42" s="88">
        <f t="shared" si="15"/>
        <v>282313.14703346789</v>
      </c>
      <c r="F42" s="92">
        <v>25820.19</v>
      </c>
      <c r="G42" s="93">
        <f t="shared" si="3"/>
        <v>10.933813695153596</v>
      </c>
      <c r="I42" s="94">
        <f t="shared" si="16"/>
        <v>32</v>
      </c>
      <c r="J42" s="90">
        <f t="shared" si="4"/>
        <v>2020</v>
      </c>
      <c r="K42" s="95">
        <f t="shared" si="17"/>
        <v>43983</v>
      </c>
    </row>
    <row r="43" spans="2:20" outlineLevel="1">
      <c r="B43" s="95">
        <f t="shared" si="1"/>
        <v>44013</v>
      </c>
      <c r="C43" s="92">
        <v>289606.48816794157</v>
      </c>
      <c r="D43" s="88">
        <f>IF(F43&lt;&gt;0,VLOOKUP($J43,'Table 1'!$B$13:$C$33,2,FALSE)/12*1000*Study_MW,0)</f>
        <v>0</v>
      </c>
      <c r="E43" s="88">
        <f t="shared" si="15"/>
        <v>289606.48816794157</v>
      </c>
      <c r="F43" s="92">
        <v>23370.59</v>
      </c>
      <c r="G43" s="93">
        <f t="shared" si="3"/>
        <v>12.391920279631005</v>
      </c>
      <c r="I43" s="94">
        <f t="shared" si="16"/>
        <v>33</v>
      </c>
      <c r="J43" s="90">
        <f t="shared" si="4"/>
        <v>2020</v>
      </c>
      <c r="K43" s="95">
        <f t="shared" si="17"/>
        <v>44013</v>
      </c>
    </row>
    <row r="44" spans="2:20" outlineLevel="1">
      <c r="B44" s="95">
        <f t="shared" si="1"/>
        <v>44044</v>
      </c>
      <c r="C44" s="92">
        <v>302697.48892307281</v>
      </c>
      <c r="D44" s="88">
        <f>IF(F44&lt;&gt;0,VLOOKUP($J44,'Table 1'!$B$13:$C$33,2,FALSE)/12*1000*Study_MW,0)</f>
        <v>0</v>
      </c>
      <c r="E44" s="88">
        <f t="shared" si="15"/>
        <v>302697.48892307281</v>
      </c>
      <c r="F44" s="92">
        <v>23408.688999999998</v>
      </c>
      <c r="G44" s="93">
        <f t="shared" si="3"/>
        <v>12.930988528365379</v>
      </c>
      <c r="I44" s="94">
        <f t="shared" si="16"/>
        <v>34</v>
      </c>
      <c r="J44" s="90">
        <f t="shared" si="4"/>
        <v>2020</v>
      </c>
      <c r="K44" s="95">
        <f t="shared" si="17"/>
        <v>44044</v>
      </c>
    </row>
    <row r="45" spans="2:20" outlineLevel="1">
      <c r="B45" s="95">
        <f t="shared" si="1"/>
        <v>44075</v>
      </c>
      <c r="C45" s="92">
        <v>292252.69790335</v>
      </c>
      <c r="D45" s="88">
        <f>IF(F45&lt;&gt;0,VLOOKUP($J45,'Table 1'!$B$13:$C$33,2,FALSE)/12*1000*Study_MW,0)</f>
        <v>0</v>
      </c>
      <c r="E45" s="88">
        <f t="shared" si="15"/>
        <v>292252.69790335</v>
      </c>
      <c r="F45" s="92">
        <v>20634.48</v>
      </c>
      <c r="G45" s="93">
        <f t="shared" si="3"/>
        <v>14.163317801240932</v>
      </c>
      <c r="I45" s="94">
        <f t="shared" si="16"/>
        <v>35</v>
      </c>
      <c r="J45" s="90">
        <f t="shared" si="4"/>
        <v>2020</v>
      </c>
      <c r="K45" s="95">
        <f t="shared" si="17"/>
        <v>44075</v>
      </c>
    </row>
    <row r="46" spans="2:20" outlineLevel="1">
      <c r="B46" s="95">
        <f t="shared" si="1"/>
        <v>44105</v>
      </c>
      <c r="C46" s="92">
        <v>187865.07978305221</v>
      </c>
      <c r="D46" s="88">
        <f>IF(F46&lt;&gt;0,VLOOKUP($J46,'Table 1'!$B$13:$C$33,2,FALSE)/12*1000*Study_MW,0)</f>
        <v>0</v>
      </c>
      <c r="E46" s="88">
        <f t="shared" si="15"/>
        <v>187865.07978305221</v>
      </c>
      <c r="F46" s="92">
        <v>16728.870999999999</v>
      </c>
      <c r="G46" s="93">
        <f t="shared" si="3"/>
        <v>11.22999153876267</v>
      </c>
      <c r="I46" s="94">
        <f t="shared" si="16"/>
        <v>36</v>
      </c>
      <c r="J46" s="90">
        <f t="shared" si="4"/>
        <v>2020</v>
      </c>
      <c r="K46" s="95">
        <f t="shared" si="17"/>
        <v>44105</v>
      </c>
    </row>
    <row r="47" spans="2:20" outlineLevel="1">
      <c r="B47" s="95">
        <f t="shared" si="1"/>
        <v>44136</v>
      </c>
      <c r="C47" s="92">
        <v>114410.85985353589</v>
      </c>
      <c r="D47" s="88">
        <f>IF(F47&lt;&gt;0,VLOOKUP($J47,'Table 1'!$B$13:$C$33,2,FALSE)/12*1000*Study_MW,0)</f>
        <v>0</v>
      </c>
      <c r="E47" s="88">
        <f t="shared" si="15"/>
        <v>114410.85985353589</v>
      </c>
      <c r="F47" s="92">
        <v>11267.55</v>
      </c>
      <c r="G47" s="93">
        <f t="shared" si="3"/>
        <v>10.154013947445176</v>
      </c>
      <c r="I47" s="94">
        <f t="shared" si="16"/>
        <v>37</v>
      </c>
      <c r="J47" s="90">
        <f t="shared" si="4"/>
        <v>2020</v>
      </c>
      <c r="K47" s="95">
        <f t="shared" si="17"/>
        <v>44136</v>
      </c>
    </row>
    <row r="48" spans="2:20" outlineLevel="1">
      <c r="B48" s="99">
        <f t="shared" si="1"/>
        <v>44166</v>
      </c>
      <c r="C48" s="96">
        <v>70279.412696763873</v>
      </c>
      <c r="D48" s="97">
        <f>IF(F48&lt;&gt;0,VLOOKUP($J48,'Table 1'!$B$13:$C$33,2,FALSE)/12*1000*Study_MW,0)</f>
        <v>0</v>
      </c>
      <c r="E48" s="97">
        <f t="shared" si="15"/>
        <v>70279.412696763873</v>
      </c>
      <c r="F48" s="96">
        <v>8692.5550000000003</v>
      </c>
      <c r="G48" s="98">
        <f t="shared" si="3"/>
        <v>8.0850121393265706</v>
      </c>
      <c r="I48" s="81">
        <f t="shared" si="16"/>
        <v>38</v>
      </c>
      <c r="J48" s="90">
        <f t="shared" si="4"/>
        <v>2020</v>
      </c>
      <c r="K48" s="99">
        <f t="shared" si="17"/>
        <v>44166</v>
      </c>
    </row>
    <row r="49" spans="2:11" outlineLevel="1">
      <c r="B49" s="91">
        <f t="shared" si="1"/>
        <v>44197</v>
      </c>
      <c r="C49" s="86">
        <v>225674.63707622886</v>
      </c>
      <c r="D49" s="87">
        <f>IF(F49&lt;&gt;0,VLOOKUP($J49,'Table 1'!$B$13:$C$33,2,FALSE)/12*1000*Study_MW,0)</f>
        <v>0</v>
      </c>
      <c r="E49" s="87">
        <f t="shared" si="15"/>
        <v>225674.63707622886</v>
      </c>
      <c r="F49" s="86">
        <v>10376.723</v>
      </c>
      <c r="G49" s="89">
        <f t="shared" si="3"/>
        <v>21.748160481515104</v>
      </c>
      <c r="I49" s="77">
        <f>I37+13</f>
        <v>40</v>
      </c>
      <c r="J49" s="90">
        <f t="shared" si="4"/>
        <v>2021</v>
      </c>
      <c r="K49" s="91">
        <f t="shared" si="17"/>
        <v>44197</v>
      </c>
    </row>
    <row r="50" spans="2:11" outlineLevel="1">
      <c r="B50" s="95">
        <f t="shared" si="1"/>
        <v>44228</v>
      </c>
      <c r="C50" s="92">
        <v>206394.70012834668</v>
      </c>
      <c r="D50" s="88">
        <f>IF(F50&lt;&gt;0,VLOOKUP($J50,'Table 1'!$B$13:$C$33,2,FALSE)/12*1000*Study_MW,0)</f>
        <v>0</v>
      </c>
      <c r="E50" s="88">
        <f t="shared" si="15"/>
        <v>206394.70012834668</v>
      </c>
      <c r="F50" s="92">
        <v>11613.504000000001</v>
      </c>
      <c r="G50" s="93">
        <f t="shared" si="3"/>
        <v>17.771957552892449</v>
      </c>
      <c r="I50" s="94">
        <f t="shared" si="16"/>
        <v>41</v>
      </c>
      <c r="J50" s="90">
        <f t="shared" si="4"/>
        <v>2021</v>
      </c>
      <c r="K50" s="95">
        <f t="shared" si="17"/>
        <v>44228</v>
      </c>
    </row>
    <row r="51" spans="2:11" outlineLevel="1">
      <c r="B51" s="95">
        <f t="shared" si="1"/>
        <v>44256</v>
      </c>
      <c r="C51" s="92">
        <v>373760.48926125467</v>
      </c>
      <c r="D51" s="88">
        <f>IF(F51&lt;&gt;0,VLOOKUP($J51,'Table 1'!$B$13:$C$33,2,FALSE)/12*1000*Study_MW,0)</f>
        <v>0</v>
      </c>
      <c r="E51" s="88">
        <f t="shared" si="15"/>
        <v>373760.48926125467</v>
      </c>
      <c r="F51" s="92">
        <v>18087.105</v>
      </c>
      <c r="G51" s="93">
        <f t="shared" si="3"/>
        <v>20.664472797678496</v>
      </c>
      <c r="I51" s="94">
        <f t="shared" si="16"/>
        <v>42</v>
      </c>
      <c r="J51" s="90">
        <f t="shared" si="4"/>
        <v>2021</v>
      </c>
      <c r="K51" s="95">
        <f t="shared" si="17"/>
        <v>44256</v>
      </c>
    </row>
    <row r="52" spans="2:11" outlineLevel="1">
      <c r="B52" s="95">
        <f t="shared" si="1"/>
        <v>44287</v>
      </c>
      <c r="C52" s="92">
        <v>316954.05152142048</v>
      </c>
      <c r="D52" s="88">
        <f>IF(F52&lt;&gt;0,VLOOKUP($J52,'Table 1'!$B$13:$C$33,2,FALSE)/12*1000*Study_MW,0)</f>
        <v>0</v>
      </c>
      <c r="E52" s="88">
        <f t="shared" si="15"/>
        <v>316954.05152142048</v>
      </c>
      <c r="F52" s="92">
        <v>20890.59</v>
      </c>
      <c r="G52" s="93">
        <f t="shared" si="3"/>
        <v>15.172096696235984</v>
      </c>
      <c r="I52" s="94">
        <f t="shared" si="16"/>
        <v>43</v>
      </c>
      <c r="J52" s="90">
        <f t="shared" si="4"/>
        <v>2021</v>
      </c>
      <c r="K52" s="95">
        <f t="shared" si="17"/>
        <v>44287</v>
      </c>
    </row>
    <row r="53" spans="2:11" outlineLevel="1">
      <c r="B53" s="95">
        <f t="shared" si="1"/>
        <v>44317</v>
      </c>
      <c r="C53" s="92">
        <v>292441.55077505112</v>
      </c>
      <c r="D53" s="88">
        <f>IF(F53&lt;&gt;0,VLOOKUP($J53,'Table 1'!$B$13:$C$33,2,FALSE)/12*1000*Study_MW,0)</f>
        <v>0</v>
      </c>
      <c r="E53" s="88">
        <f t="shared" si="15"/>
        <v>292441.55077505112</v>
      </c>
      <c r="F53" s="92">
        <v>24182.510999999999</v>
      </c>
      <c r="G53" s="93">
        <f t="shared" si="3"/>
        <v>12.093101116548697</v>
      </c>
      <c r="I53" s="94">
        <f t="shared" si="16"/>
        <v>44</v>
      </c>
      <c r="J53" s="90">
        <f t="shared" si="4"/>
        <v>2021</v>
      </c>
      <c r="K53" s="95">
        <f t="shared" si="17"/>
        <v>44317</v>
      </c>
    </row>
    <row r="54" spans="2:11" outlineLevel="1">
      <c r="B54" s="95">
        <f t="shared" si="1"/>
        <v>44348</v>
      </c>
      <c r="C54" s="92">
        <v>243058.16160391271</v>
      </c>
      <c r="D54" s="88">
        <f>IF(F54&lt;&gt;0,VLOOKUP($J54,'Table 1'!$B$13:$C$33,2,FALSE)/12*1000*Study_MW,0)</f>
        <v>0</v>
      </c>
      <c r="E54" s="88">
        <f t="shared" si="15"/>
        <v>243058.16160391271</v>
      </c>
      <c r="F54" s="92">
        <v>25691.19</v>
      </c>
      <c r="G54" s="93">
        <f t="shared" si="3"/>
        <v>9.4607591786878196</v>
      </c>
      <c r="I54" s="94">
        <f t="shared" si="16"/>
        <v>45</v>
      </c>
      <c r="J54" s="90">
        <f t="shared" si="4"/>
        <v>2021</v>
      </c>
      <c r="K54" s="95">
        <f t="shared" si="17"/>
        <v>44348</v>
      </c>
    </row>
    <row r="55" spans="2:11" outlineLevel="1">
      <c r="B55" s="95">
        <f t="shared" si="1"/>
        <v>44378</v>
      </c>
      <c r="C55" s="92">
        <v>197436.40263468027</v>
      </c>
      <c r="D55" s="88">
        <f>IF(F55&lt;&gt;0,VLOOKUP($J55,'Table 1'!$B$13:$C$33,2,FALSE)/12*1000*Study_MW,0)</f>
        <v>0</v>
      </c>
      <c r="E55" s="88">
        <f t="shared" si="15"/>
        <v>197436.40263468027</v>
      </c>
      <c r="F55" s="92">
        <v>23253.751</v>
      </c>
      <c r="G55" s="93">
        <f t="shared" si="3"/>
        <v>8.4905184817142096</v>
      </c>
      <c r="I55" s="94">
        <f t="shared" si="16"/>
        <v>46</v>
      </c>
      <c r="J55" s="90">
        <f t="shared" si="4"/>
        <v>2021</v>
      </c>
      <c r="K55" s="95">
        <f t="shared" si="17"/>
        <v>44378</v>
      </c>
    </row>
    <row r="56" spans="2:11" outlineLevel="1">
      <c r="B56" s="95">
        <f t="shared" si="1"/>
        <v>44409</v>
      </c>
      <c r="C56" s="92">
        <v>305264.35270512104</v>
      </c>
      <c r="D56" s="88">
        <f>IF(F56&lt;&gt;0,VLOOKUP($J56,'Table 1'!$B$13:$C$33,2,FALSE)/12*1000*Study_MW,0)</f>
        <v>0</v>
      </c>
      <c r="E56" s="88">
        <f t="shared" si="15"/>
        <v>305264.35270512104</v>
      </c>
      <c r="F56" s="92">
        <v>23291.633000000002</v>
      </c>
      <c r="G56" s="93">
        <f t="shared" si="3"/>
        <v>13.106180777669003</v>
      </c>
      <c r="I56" s="94">
        <f t="shared" si="16"/>
        <v>47</v>
      </c>
      <c r="J56" s="90">
        <f t="shared" si="4"/>
        <v>2021</v>
      </c>
      <c r="K56" s="95">
        <f t="shared" si="17"/>
        <v>44409</v>
      </c>
    </row>
    <row r="57" spans="2:11" outlineLevel="1">
      <c r="B57" s="95">
        <f t="shared" si="1"/>
        <v>44440</v>
      </c>
      <c r="C57" s="92">
        <v>407142.51038859785</v>
      </c>
      <c r="D57" s="88">
        <f>IF(F57&lt;&gt;0,VLOOKUP($J57,'Table 1'!$B$13:$C$33,2,FALSE)/12*1000*Study_MW,0)</f>
        <v>0</v>
      </c>
      <c r="E57" s="88">
        <f t="shared" si="15"/>
        <v>407142.51038859785</v>
      </c>
      <c r="F57" s="92">
        <v>20531.37</v>
      </c>
      <c r="G57" s="93">
        <f t="shared" si="3"/>
        <v>19.830265120573927</v>
      </c>
      <c r="I57" s="94">
        <f t="shared" si="16"/>
        <v>48</v>
      </c>
      <c r="J57" s="90">
        <f t="shared" si="4"/>
        <v>2021</v>
      </c>
      <c r="K57" s="95">
        <f t="shared" si="17"/>
        <v>44440</v>
      </c>
    </row>
    <row r="58" spans="2:11" outlineLevel="1">
      <c r="B58" s="95">
        <f t="shared" si="1"/>
        <v>44470</v>
      </c>
      <c r="C58" s="92">
        <v>326948.21900989115</v>
      </c>
      <c r="D58" s="88">
        <f>IF(F58&lt;&gt;0,VLOOKUP($J58,'Table 1'!$B$13:$C$33,2,FALSE)/12*1000*Study_MW,0)</f>
        <v>0</v>
      </c>
      <c r="E58" s="88">
        <f t="shared" si="15"/>
        <v>326948.21900989115</v>
      </c>
      <c r="F58" s="92">
        <v>16645.202000000001</v>
      </c>
      <c r="G58" s="93">
        <f t="shared" si="3"/>
        <v>19.642189924152987</v>
      </c>
      <c r="I58" s="94">
        <f t="shared" si="16"/>
        <v>49</v>
      </c>
      <c r="J58" s="90">
        <f t="shared" si="4"/>
        <v>2021</v>
      </c>
      <c r="K58" s="95">
        <f t="shared" si="17"/>
        <v>44470</v>
      </c>
    </row>
    <row r="59" spans="2:11" outlineLevel="1">
      <c r="B59" s="95">
        <f t="shared" si="1"/>
        <v>44501</v>
      </c>
      <c r="C59" s="92">
        <v>176675.28605252504</v>
      </c>
      <c r="D59" s="88">
        <f>IF(F59&lt;&gt;0,VLOOKUP($J59,'Table 1'!$B$13:$C$33,2,FALSE)/12*1000*Study_MW,0)</f>
        <v>0</v>
      </c>
      <c r="E59" s="88">
        <f t="shared" si="15"/>
        <v>176675.28605252504</v>
      </c>
      <c r="F59" s="92">
        <v>11211.24</v>
      </c>
      <c r="G59" s="93">
        <f t="shared" si="3"/>
        <v>15.75876406646589</v>
      </c>
      <c r="I59" s="94">
        <f t="shared" si="16"/>
        <v>50</v>
      </c>
      <c r="J59" s="90">
        <f t="shared" si="4"/>
        <v>2021</v>
      </c>
      <c r="K59" s="95">
        <f t="shared" si="17"/>
        <v>44501</v>
      </c>
    </row>
    <row r="60" spans="2:11" outlineLevel="1">
      <c r="B60" s="99">
        <f t="shared" si="1"/>
        <v>44531</v>
      </c>
      <c r="C60" s="96">
        <v>169653.30062508583</v>
      </c>
      <c r="D60" s="97">
        <f>IF(F60&lt;&gt;0,VLOOKUP($J60,'Table 1'!$B$13:$C$33,2,FALSE)/12*1000*Study_MW,0)</f>
        <v>0</v>
      </c>
      <c r="E60" s="97">
        <f t="shared" si="15"/>
        <v>169653.30062508583</v>
      </c>
      <c r="F60" s="96">
        <v>8649.1239999999998</v>
      </c>
      <c r="G60" s="98">
        <f t="shared" si="3"/>
        <v>19.615084790677741</v>
      </c>
      <c r="I60" s="81">
        <f t="shared" si="16"/>
        <v>51</v>
      </c>
      <c r="J60" s="90">
        <f t="shared" si="4"/>
        <v>2021</v>
      </c>
      <c r="K60" s="99">
        <f t="shared" si="17"/>
        <v>44531</v>
      </c>
    </row>
    <row r="61" spans="2:11" outlineLevel="1">
      <c r="B61" s="91">
        <f t="shared" si="1"/>
        <v>44562</v>
      </c>
      <c r="C61" s="86">
        <v>241883.77271094918</v>
      </c>
      <c r="D61" s="87">
        <f>IF(F61&lt;&gt;0,VLOOKUP($J61,'Table 1'!$B$13:$C$33,2,FALSE)/12*1000*Study_MW,0)</f>
        <v>0</v>
      </c>
      <c r="E61" s="87">
        <f t="shared" si="15"/>
        <v>241883.77271094918</v>
      </c>
      <c r="F61" s="86">
        <v>10324.891</v>
      </c>
      <c r="G61" s="89">
        <f t="shared" si="3"/>
        <v>23.427247097422065</v>
      </c>
      <c r="I61" s="77">
        <f>I49+13</f>
        <v>53</v>
      </c>
      <c r="J61" s="90">
        <f t="shared" si="4"/>
        <v>2022</v>
      </c>
      <c r="K61" s="91">
        <f t="shared" si="17"/>
        <v>44562</v>
      </c>
    </row>
    <row r="62" spans="2:11" outlineLevel="1">
      <c r="B62" s="95">
        <f t="shared" si="1"/>
        <v>44593</v>
      </c>
      <c r="C62" s="92">
        <v>261453.01353402436</v>
      </c>
      <c r="D62" s="88">
        <f>IF(F62&lt;&gt;0,VLOOKUP($J62,'Table 1'!$B$13:$C$33,2,FALSE)/12*1000*Study_MW,0)</f>
        <v>0</v>
      </c>
      <c r="E62" s="88">
        <f t="shared" si="15"/>
        <v>261453.01353402436</v>
      </c>
      <c r="F62" s="92">
        <v>11555.404</v>
      </c>
      <c r="G62" s="93">
        <f t="shared" si="3"/>
        <v>22.626038305023723</v>
      </c>
      <c r="I62" s="94">
        <f t="shared" si="16"/>
        <v>54</v>
      </c>
      <c r="J62" s="90">
        <f t="shared" si="4"/>
        <v>2022</v>
      </c>
      <c r="K62" s="95">
        <f t="shared" si="17"/>
        <v>44593</v>
      </c>
    </row>
    <row r="63" spans="2:11" outlineLevel="1">
      <c r="B63" s="95">
        <f t="shared" si="1"/>
        <v>44621</v>
      </c>
      <c r="C63" s="92">
        <v>376024.61532762647</v>
      </c>
      <c r="D63" s="88">
        <f>IF(F63&lt;&gt;0,VLOOKUP($J63,'Table 1'!$B$13:$C$33,2,FALSE)/12*1000*Study_MW,0)</f>
        <v>0</v>
      </c>
      <c r="E63" s="88">
        <f t="shared" si="15"/>
        <v>376024.61532762647</v>
      </c>
      <c r="F63" s="92">
        <v>17996.708999999999</v>
      </c>
      <c r="G63" s="93">
        <f t="shared" si="3"/>
        <v>20.894076540751229</v>
      </c>
      <c r="I63" s="94">
        <f t="shared" si="16"/>
        <v>55</v>
      </c>
      <c r="J63" s="90">
        <f t="shared" si="4"/>
        <v>2022</v>
      </c>
      <c r="K63" s="95">
        <f t="shared" si="17"/>
        <v>44621</v>
      </c>
    </row>
    <row r="64" spans="2:11" outlineLevel="1">
      <c r="B64" s="95">
        <f t="shared" si="1"/>
        <v>44652</v>
      </c>
      <c r="C64" s="92">
        <v>365324.824665308</v>
      </c>
      <c r="D64" s="88">
        <f>IF(F64&lt;&gt;0,VLOOKUP($J64,'Table 1'!$B$13:$C$33,2,FALSE)/12*1000*Study_MW,0)</f>
        <v>0</v>
      </c>
      <c r="E64" s="88">
        <f t="shared" si="15"/>
        <v>365324.824665308</v>
      </c>
      <c r="F64" s="92">
        <v>20786.099999999999</v>
      </c>
      <c r="G64" s="93">
        <f t="shared" si="3"/>
        <v>17.575438618370356</v>
      </c>
      <c r="I64" s="94">
        <f t="shared" si="16"/>
        <v>56</v>
      </c>
      <c r="J64" s="90">
        <f t="shared" si="4"/>
        <v>2022</v>
      </c>
      <c r="K64" s="95">
        <f t="shared" si="17"/>
        <v>44652</v>
      </c>
    </row>
    <row r="65" spans="2:11" outlineLevel="1">
      <c r="B65" s="95">
        <f t="shared" si="1"/>
        <v>44682</v>
      </c>
      <c r="C65" s="92">
        <v>303416.34188812971</v>
      </c>
      <c r="D65" s="88">
        <f>IF(F65&lt;&gt;0,VLOOKUP($J65,'Table 1'!$B$13:$C$33,2,FALSE)/12*1000*Study_MW,0)</f>
        <v>0</v>
      </c>
      <c r="E65" s="88">
        <f t="shared" si="15"/>
        <v>303416.34188812971</v>
      </c>
      <c r="F65" s="92">
        <v>24061.611000000001</v>
      </c>
      <c r="G65" s="93">
        <f t="shared" si="3"/>
        <v>12.609976193536239</v>
      </c>
      <c r="I65" s="94">
        <f t="shared" si="16"/>
        <v>57</v>
      </c>
      <c r="J65" s="90">
        <f t="shared" si="4"/>
        <v>2022</v>
      </c>
      <c r="K65" s="95">
        <f t="shared" si="17"/>
        <v>44682</v>
      </c>
    </row>
    <row r="66" spans="2:11" outlineLevel="1">
      <c r="B66" s="95">
        <f t="shared" si="1"/>
        <v>44713</v>
      </c>
      <c r="C66" s="92">
        <v>236530.56774194539</v>
      </c>
      <c r="D66" s="88">
        <f>IF(F66&lt;&gt;0,VLOOKUP($J66,'Table 1'!$B$13:$C$33,2,FALSE)/12*1000*Study_MW,0)</f>
        <v>0</v>
      </c>
      <c r="E66" s="88">
        <f t="shared" si="15"/>
        <v>236530.56774194539</v>
      </c>
      <c r="F66" s="92">
        <v>25562.639999999999</v>
      </c>
      <c r="G66" s="93">
        <f t="shared" si="3"/>
        <v>9.2529788684558945</v>
      </c>
      <c r="I66" s="94">
        <f t="shared" si="16"/>
        <v>58</v>
      </c>
      <c r="J66" s="90">
        <f t="shared" si="4"/>
        <v>2022</v>
      </c>
      <c r="K66" s="95">
        <f t="shared" si="17"/>
        <v>44713</v>
      </c>
    </row>
    <row r="67" spans="2:11" outlineLevel="1">
      <c r="B67" s="95">
        <f t="shared" si="1"/>
        <v>44743</v>
      </c>
      <c r="C67" s="92">
        <v>247136.63391461968</v>
      </c>
      <c r="D67" s="88">
        <f>IF(F67&lt;&gt;0,VLOOKUP($J67,'Table 1'!$B$13:$C$33,2,FALSE)/12*1000*Study_MW,0)</f>
        <v>0</v>
      </c>
      <c r="E67" s="88">
        <f t="shared" si="15"/>
        <v>247136.63391461968</v>
      </c>
      <c r="F67" s="92">
        <v>23137.47</v>
      </c>
      <c r="G67" s="93">
        <f t="shared" si="3"/>
        <v>10.681229793690481</v>
      </c>
      <c r="I67" s="94">
        <f t="shared" si="16"/>
        <v>59</v>
      </c>
      <c r="J67" s="90">
        <f t="shared" si="4"/>
        <v>2022</v>
      </c>
      <c r="K67" s="95">
        <f t="shared" si="17"/>
        <v>44743</v>
      </c>
    </row>
    <row r="68" spans="2:11" outlineLevel="1">
      <c r="B68" s="95">
        <f t="shared" si="1"/>
        <v>44774</v>
      </c>
      <c r="C68" s="92">
        <v>356842.96623781323</v>
      </c>
      <c r="D68" s="88">
        <f>IF(F68&lt;&gt;0,VLOOKUP($J68,'Table 1'!$B$13:$C$33,2,FALSE)/12*1000*Study_MW,0)</f>
        <v>0</v>
      </c>
      <c r="E68" s="88">
        <f t="shared" si="15"/>
        <v>356842.96623781323</v>
      </c>
      <c r="F68" s="92">
        <v>23175.103999999999</v>
      </c>
      <c r="G68" s="93">
        <f t="shared" si="3"/>
        <v>15.39768564740047</v>
      </c>
      <c r="I68" s="94">
        <f t="shared" si="16"/>
        <v>60</v>
      </c>
      <c r="J68" s="90">
        <f t="shared" si="4"/>
        <v>2022</v>
      </c>
      <c r="K68" s="95">
        <f t="shared" si="17"/>
        <v>44774</v>
      </c>
    </row>
    <row r="69" spans="2:11" outlineLevel="1">
      <c r="B69" s="95">
        <f t="shared" si="1"/>
        <v>44805</v>
      </c>
      <c r="C69" s="92">
        <v>441657.90056443214</v>
      </c>
      <c r="D69" s="88">
        <f>IF(F69&lt;&gt;0,VLOOKUP($J69,'Table 1'!$B$13:$C$33,2,FALSE)/12*1000*Study_MW,0)</f>
        <v>0</v>
      </c>
      <c r="E69" s="88">
        <f t="shared" si="15"/>
        <v>441657.90056443214</v>
      </c>
      <c r="F69" s="92">
        <v>20428.68</v>
      </c>
      <c r="G69" s="93">
        <f t="shared" si="3"/>
        <v>21.619502609293999</v>
      </c>
      <c r="I69" s="94">
        <f t="shared" si="16"/>
        <v>61</v>
      </c>
      <c r="J69" s="90">
        <f t="shared" si="4"/>
        <v>2022</v>
      </c>
      <c r="K69" s="95">
        <f t="shared" si="17"/>
        <v>44805</v>
      </c>
    </row>
    <row r="70" spans="2:11" outlineLevel="1">
      <c r="B70" s="95">
        <f t="shared" si="1"/>
        <v>44835</v>
      </c>
      <c r="C70" s="92">
        <v>364287.16215541959</v>
      </c>
      <c r="D70" s="88">
        <f>IF(F70&lt;&gt;0,VLOOKUP($J70,'Table 1'!$B$13:$C$33,2,FALSE)/12*1000*Study_MW,0)</f>
        <v>0</v>
      </c>
      <c r="E70" s="88">
        <f t="shared" si="15"/>
        <v>364287.16215541959</v>
      </c>
      <c r="F70" s="92">
        <v>16561.998</v>
      </c>
      <c r="G70" s="93">
        <f t="shared" si="3"/>
        <v>21.995363249978631</v>
      </c>
      <c r="I70" s="94">
        <f t="shared" si="16"/>
        <v>62</v>
      </c>
      <c r="J70" s="90">
        <f t="shared" si="4"/>
        <v>2022</v>
      </c>
      <c r="K70" s="95">
        <f t="shared" si="17"/>
        <v>44835</v>
      </c>
    </row>
    <row r="71" spans="2:11" outlineLevel="1">
      <c r="B71" s="95">
        <f t="shared" si="1"/>
        <v>44866</v>
      </c>
      <c r="C71" s="92">
        <v>215971.88459853828</v>
      </c>
      <c r="D71" s="88">
        <f>IF(F71&lt;&gt;0,VLOOKUP($J71,'Table 1'!$B$13:$C$33,2,FALSE)/12*1000*Study_MW,0)</f>
        <v>0</v>
      </c>
      <c r="E71" s="88">
        <f t="shared" si="15"/>
        <v>215971.88459853828</v>
      </c>
      <c r="F71" s="92">
        <v>11155.2</v>
      </c>
      <c r="G71" s="93">
        <f t="shared" si="3"/>
        <v>19.360646568285485</v>
      </c>
      <c r="I71" s="94">
        <f t="shared" si="16"/>
        <v>63</v>
      </c>
      <c r="J71" s="90">
        <f t="shared" si="4"/>
        <v>2022</v>
      </c>
      <c r="K71" s="95">
        <f t="shared" si="17"/>
        <v>44866</v>
      </c>
    </row>
    <row r="72" spans="2:11" outlineLevel="1">
      <c r="B72" s="99">
        <f t="shared" si="1"/>
        <v>44896</v>
      </c>
      <c r="C72" s="96">
        <v>191295.06144985557</v>
      </c>
      <c r="D72" s="97">
        <f>IF(F72&lt;&gt;0,VLOOKUP($J72,'Table 1'!$B$13:$C$33,2,FALSE)/12*1000*Study_MW,0)</f>
        <v>0</v>
      </c>
      <c r="E72" s="97">
        <f t="shared" si="15"/>
        <v>191295.06144985557</v>
      </c>
      <c r="F72" s="96">
        <v>8605.848</v>
      </c>
      <c r="G72" s="98">
        <f t="shared" si="3"/>
        <v>22.228496418929961</v>
      </c>
      <c r="I72" s="81">
        <f t="shared" si="16"/>
        <v>64</v>
      </c>
      <c r="J72" s="90">
        <f t="shared" si="4"/>
        <v>2022</v>
      </c>
      <c r="K72" s="99">
        <f t="shared" si="17"/>
        <v>44896</v>
      </c>
    </row>
    <row r="73" spans="2:11" outlineLevel="1">
      <c r="B73" s="91">
        <f t="shared" si="1"/>
        <v>44927</v>
      </c>
      <c r="C73" s="86">
        <v>230453.99799624085</v>
      </c>
      <c r="D73" s="87">
        <f>IF(F73&lt;&gt;0,VLOOKUP($J73,'Table 1'!$B$13:$C$33,2,FALSE)/12*1000*Study_MW,0)</f>
        <v>0</v>
      </c>
      <c r="E73" s="87">
        <f t="shared" si="15"/>
        <v>230453.99799624085</v>
      </c>
      <c r="F73" s="86">
        <v>10273.276</v>
      </c>
      <c r="G73" s="89">
        <f t="shared" si="3"/>
        <v>22.432376779932795</v>
      </c>
      <c r="I73" s="77">
        <f>I61+13</f>
        <v>66</v>
      </c>
      <c r="J73" s="90">
        <f t="shared" si="4"/>
        <v>2023</v>
      </c>
      <c r="K73" s="91">
        <f t="shared" si="17"/>
        <v>44927</v>
      </c>
    </row>
    <row r="74" spans="2:11" outlineLevel="1">
      <c r="B74" s="95">
        <f t="shared" si="1"/>
        <v>44958</v>
      </c>
      <c r="C74" s="92">
        <v>255687.85707265139</v>
      </c>
      <c r="D74" s="88">
        <f>IF(F74&lt;&gt;0,VLOOKUP($J74,'Table 1'!$B$13:$C$33,2,FALSE)/12*1000*Study_MW,0)</f>
        <v>0</v>
      </c>
      <c r="E74" s="88">
        <f t="shared" si="15"/>
        <v>255687.85707265139</v>
      </c>
      <c r="F74" s="92">
        <v>11497.611999999999</v>
      </c>
      <c r="G74" s="93">
        <f t="shared" si="3"/>
        <v>22.238344542558178</v>
      </c>
      <c r="I74" s="94">
        <f t="shared" si="16"/>
        <v>67</v>
      </c>
      <c r="J74" s="90">
        <f t="shared" si="4"/>
        <v>2023</v>
      </c>
      <c r="K74" s="95">
        <f t="shared" si="17"/>
        <v>44958</v>
      </c>
    </row>
    <row r="75" spans="2:11" outlineLevel="1">
      <c r="B75" s="95">
        <f t="shared" si="1"/>
        <v>44986</v>
      </c>
      <c r="C75" s="92">
        <v>392505.46251127124</v>
      </c>
      <c r="D75" s="88">
        <f>IF(F75&lt;&gt;0,VLOOKUP($J75,'Table 1'!$B$13:$C$33,2,FALSE)/12*1000*Study_MW,0)</f>
        <v>0</v>
      </c>
      <c r="E75" s="88">
        <f t="shared" si="15"/>
        <v>392505.46251127124</v>
      </c>
      <c r="F75" s="92">
        <v>17906.685000000001</v>
      </c>
      <c r="G75" s="93">
        <f t="shared" si="3"/>
        <v>21.919493335102015</v>
      </c>
      <c r="I75" s="94">
        <f t="shared" si="16"/>
        <v>68</v>
      </c>
      <c r="J75" s="90">
        <f t="shared" si="4"/>
        <v>2023</v>
      </c>
      <c r="K75" s="95">
        <f t="shared" si="17"/>
        <v>44986</v>
      </c>
    </row>
    <row r="76" spans="2:11" outlineLevel="1">
      <c r="B76" s="95">
        <f t="shared" si="1"/>
        <v>45017</v>
      </c>
      <c r="C76" s="92">
        <v>347493.9424316287</v>
      </c>
      <c r="D76" s="88">
        <f>IF(F76&lt;&gt;0,VLOOKUP($J76,'Table 1'!$B$13:$C$33,2,FALSE)/12*1000*Study_MW,0)</f>
        <v>0</v>
      </c>
      <c r="E76" s="88">
        <f t="shared" si="15"/>
        <v>347493.9424316287</v>
      </c>
      <c r="F76" s="92">
        <v>20682.150000000001</v>
      </c>
      <c r="G76" s="93">
        <f t="shared" si="3"/>
        <v>16.80163534408312</v>
      </c>
      <c r="I76" s="94">
        <f t="shared" si="16"/>
        <v>69</v>
      </c>
      <c r="J76" s="90">
        <f t="shared" si="4"/>
        <v>2023</v>
      </c>
      <c r="K76" s="95">
        <f t="shared" si="17"/>
        <v>45017</v>
      </c>
    </row>
    <row r="77" spans="2:11" outlineLevel="1">
      <c r="B77" s="95">
        <f t="shared" si="1"/>
        <v>45047</v>
      </c>
      <c r="C77" s="92">
        <v>333176.56357167661</v>
      </c>
      <c r="D77" s="88">
        <f>IF(F77&lt;&gt;0,VLOOKUP($J77,'Table 1'!$B$13:$C$33,2,FALSE)/12*1000*Study_MW,0)</f>
        <v>0</v>
      </c>
      <c r="E77" s="88">
        <f t="shared" si="15"/>
        <v>333176.56357167661</v>
      </c>
      <c r="F77" s="92">
        <v>23941.269</v>
      </c>
      <c r="G77" s="93">
        <f t="shared" si="3"/>
        <v>13.916412015239318</v>
      </c>
      <c r="I77" s="94">
        <f t="shared" si="16"/>
        <v>70</v>
      </c>
      <c r="J77" s="90">
        <f t="shared" si="4"/>
        <v>2023</v>
      </c>
      <c r="K77" s="95">
        <f t="shared" si="17"/>
        <v>45047</v>
      </c>
    </row>
    <row r="78" spans="2:11" outlineLevel="1">
      <c r="B78" s="95">
        <f t="shared" ref="B78:B141" si="31">EDATE(B77,1)</f>
        <v>45078</v>
      </c>
      <c r="C78" s="92">
        <v>294485.83535675704</v>
      </c>
      <c r="D78" s="88">
        <f>IF(F78&lt;&gt;0,VLOOKUP($J78,'Table 1'!$B$13:$C$33,2,FALSE)/12*1000*Study_MW,0)</f>
        <v>0</v>
      </c>
      <c r="E78" s="88">
        <f t="shared" ref="E78:E141" si="32">C78+D78</f>
        <v>294485.83535675704</v>
      </c>
      <c r="F78" s="92">
        <v>25434.84</v>
      </c>
      <c r="G78" s="93">
        <f t="shared" ref="G78:G141" si="33">IF(ISNUMBER($F78),E78/$F78,"")</f>
        <v>11.578049453299373</v>
      </c>
      <c r="I78" s="94">
        <f t="shared" si="16"/>
        <v>71</v>
      </c>
      <c r="J78" s="90">
        <f t="shared" ref="J78:J141" si="34">YEAR(B78)</f>
        <v>2023</v>
      </c>
      <c r="K78" s="95">
        <f t="shared" si="17"/>
        <v>45078</v>
      </c>
    </row>
    <row r="79" spans="2:11" outlineLevel="1">
      <c r="B79" s="95">
        <f t="shared" si="31"/>
        <v>45108</v>
      </c>
      <c r="C79" s="92">
        <v>322976.113784343</v>
      </c>
      <c r="D79" s="88">
        <f>IF(F79&lt;&gt;0,VLOOKUP($J79,'Table 1'!$B$13:$C$33,2,FALSE)/12*1000*Study_MW,0)</f>
        <v>0</v>
      </c>
      <c r="E79" s="88">
        <f t="shared" si="32"/>
        <v>322976.113784343</v>
      </c>
      <c r="F79" s="92">
        <v>23021.84</v>
      </c>
      <c r="G79" s="93">
        <f t="shared" si="33"/>
        <v>14.029118167111882</v>
      </c>
      <c r="I79" s="94">
        <f t="shared" si="16"/>
        <v>72</v>
      </c>
      <c r="J79" s="90">
        <f t="shared" si="34"/>
        <v>2023</v>
      </c>
      <c r="K79" s="95">
        <f t="shared" si="17"/>
        <v>45108</v>
      </c>
    </row>
    <row r="80" spans="2:11" outlineLevel="1">
      <c r="B80" s="95">
        <f t="shared" si="31"/>
        <v>45139</v>
      </c>
      <c r="C80" s="92">
        <v>393983.34039512277</v>
      </c>
      <c r="D80" s="88">
        <f>IF(F80&lt;&gt;0,VLOOKUP($J80,'Table 1'!$B$13:$C$33,2,FALSE)/12*1000*Study_MW,0)</f>
        <v>0</v>
      </c>
      <c r="E80" s="88">
        <f t="shared" si="32"/>
        <v>393983.34039512277</v>
      </c>
      <c r="F80" s="92">
        <v>23059.195</v>
      </c>
      <c r="G80" s="93">
        <f t="shared" si="33"/>
        <v>17.0857369650208</v>
      </c>
      <c r="I80" s="94">
        <f t="shared" si="16"/>
        <v>73</v>
      </c>
      <c r="J80" s="90">
        <f t="shared" si="34"/>
        <v>2023</v>
      </c>
      <c r="K80" s="95">
        <f t="shared" si="17"/>
        <v>45139</v>
      </c>
    </row>
    <row r="81" spans="2:11" outlineLevel="1">
      <c r="B81" s="95">
        <f t="shared" si="31"/>
        <v>45170</v>
      </c>
      <c r="C81" s="92">
        <v>486356.1751165688</v>
      </c>
      <c r="D81" s="88">
        <f>IF(F81&lt;&gt;0,VLOOKUP($J81,'Table 1'!$B$13:$C$33,2,FALSE)/12*1000*Study_MW,0)</f>
        <v>0</v>
      </c>
      <c r="E81" s="88">
        <f t="shared" si="32"/>
        <v>486356.1751165688</v>
      </c>
      <c r="F81" s="92">
        <v>20326.560000000001</v>
      </c>
      <c r="G81" s="93">
        <f t="shared" si="33"/>
        <v>23.927126632178233</v>
      </c>
      <c r="I81" s="94">
        <f t="shared" si="16"/>
        <v>74</v>
      </c>
      <c r="J81" s="90">
        <f t="shared" si="34"/>
        <v>2023</v>
      </c>
      <c r="K81" s="95">
        <f t="shared" si="17"/>
        <v>45170</v>
      </c>
    </row>
    <row r="82" spans="2:11" outlineLevel="1">
      <c r="B82" s="95">
        <f t="shared" si="31"/>
        <v>45200</v>
      </c>
      <c r="C82" s="92">
        <v>362764.46247884631</v>
      </c>
      <c r="D82" s="88">
        <f>IF(F82&lt;&gt;0,VLOOKUP($J82,'Table 1'!$B$13:$C$33,2,FALSE)/12*1000*Study_MW,0)</f>
        <v>0</v>
      </c>
      <c r="E82" s="88">
        <f t="shared" si="32"/>
        <v>362764.46247884631</v>
      </c>
      <c r="F82" s="92">
        <v>16479.197</v>
      </c>
      <c r="G82" s="93">
        <f t="shared" si="33"/>
        <v>22.01347932662291</v>
      </c>
      <c r="I82" s="94">
        <f t="shared" si="16"/>
        <v>75</v>
      </c>
      <c r="J82" s="90">
        <f t="shared" si="34"/>
        <v>2023</v>
      </c>
      <c r="K82" s="95">
        <f t="shared" si="17"/>
        <v>45200</v>
      </c>
    </row>
    <row r="83" spans="2:11" outlineLevel="1">
      <c r="B83" s="95">
        <f t="shared" si="31"/>
        <v>45231</v>
      </c>
      <c r="C83" s="92">
        <v>228783.62332136929</v>
      </c>
      <c r="D83" s="88">
        <f>IF(F83&lt;&gt;0,VLOOKUP($J83,'Table 1'!$B$13:$C$33,2,FALSE)/12*1000*Study_MW,0)</f>
        <v>0</v>
      </c>
      <c r="E83" s="88">
        <f t="shared" si="32"/>
        <v>228783.62332136929</v>
      </c>
      <c r="F83" s="92">
        <v>11099.4</v>
      </c>
      <c r="G83" s="93">
        <f t="shared" si="33"/>
        <v>20.612251411911391</v>
      </c>
      <c r="I83" s="94">
        <f t="shared" si="16"/>
        <v>76</v>
      </c>
      <c r="J83" s="90">
        <f t="shared" si="34"/>
        <v>2023</v>
      </c>
      <c r="K83" s="95">
        <f t="shared" si="17"/>
        <v>45231</v>
      </c>
    </row>
    <row r="84" spans="2:11" outlineLevel="1">
      <c r="B84" s="99">
        <f t="shared" si="31"/>
        <v>45261</v>
      </c>
      <c r="C84" s="96">
        <v>149462.60802853107</v>
      </c>
      <c r="D84" s="97">
        <f>IF(F84&lt;&gt;0,VLOOKUP($J84,'Table 1'!$B$13:$C$33,2,FALSE)/12*1000*Study_MW,0)</f>
        <v>0</v>
      </c>
      <c r="E84" s="97">
        <f t="shared" si="32"/>
        <v>149462.60802853107</v>
      </c>
      <c r="F84" s="96">
        <v>8562.8510000000006</v>
      </c>
      <c r="G84" s="98">
        <f t="shared" si="33"/>
        <v>17.454771550799034</v>
      </c>
      <c r="I84" s="81">
        <f t="shared" si="16"/>
        <v>77</v>
      </c>
      <c r="J84" s="90">
        <f t="shared" si="34"/>
        <v>2023</v>
      </c>
      <c r="K84" s="99">
        <f t="shared" si="17"/>
        <v>45261</v>
      </c>
    </row>
    <row r="85" spans="2:11" outlineLevel="1">
      <c r="B85" s="91">
        <f t="shared" si="31"/>
        <v>45292</v>
      </c>
      <c r="C85" s="86">
        <v>232205.10963818431</v>
      </c>
      <c r="D85" s="87">
        <f>IF(F85&lt;&gt;0,VLOOKUP($J85,'Table 1'!$B$13:$C$33,2,FALSE)/12*1000*Study_MW,0)</f>
        <v>0</v>
      </c>
      <c r="E85" s="87">
        <f t="shared" si="32"/>
        <v>232205.10963818431</v>
      </c>
      <c r="F85" s="86">
        <v>10221.94</v>
      </c>
      <c r="G85" s="89">
        <f t="shared" si="33"/>
        <v>22.716344415852987</v>
      </c>
      <c r="I85" s="77">
        <f>I73+13</f>
        <v>79</v>
      </c>
      <c r="J85" s="90">
        <f t="shared" si="34"/>
        <v>2024</v>
      </c>
      <c r="K85" s="91">
        <f t="shared" si="17"/>
        <v>45292</v>
      </c>
    </row>
    <row r="86" spans="2:11" outlineLevel="1">
      <c r="B86" s="95">
        <f t="shared" si="31"/>
        <v>45323</v>
      </c>
      <c r="C86" s="92">
        <v>305219.25484606624</v>
      </c>
      <c r="D86" s="88">
        <f>IF(F86&lt;&gt;0,VLOOKUP($J86,'Table 1'!$B$13:$C$33,2,FALSE)/12*1000*Study_MW,0)</f>
        <v>0</v>
      </c>
      <c r="E86" s="88">
        <f t="shared" si="32"/>
        <v>305219.25484606624</v>
      </c>
      <c r="F86" s="92">
        <v>11848.674999999999</v>
      </c>
      <c r="G86" s="93">
        <f t="shared" si="33"/>
        <v>25.759779456020716</v>
      </c>
      <c r="I86" s="94">
        <f t="shared" si="16"/>
        <v>80</v>
      </c>
      <c r="J86" s="90">
        <f t="shared" si="34"/>
        <v>2024</v>
      </c>
      <c r="K86" s="95">
        <f t="shared" si="17"/>
        <v>45323</v>
      </c>
    </row>
    <row r="87" spans="2:11" outlineLevel="1">
      <c r="B87" s="95">
        <f t="shared" si="31"/>
        <v>45352</v>
      </c>
      <c r="C87" s="92">
        <v>410613.96697662771</v>
      </c>
      <c r="D87" s="88">
        <f>IF(F87&lt;&gt;0,VLOOKUP($J87,'Table 1'!$B$13:$C$33,2,FALSE)/12*1000*Study_MW,0)</f>
        <v>0</v>
      </c>
      <c r="E87" s="88">
        <f t="shared" si="32"/>
        <v>410613.96697662771</v>
      </c>
      <c r="F87" s="92">
        <v>17817.126</v>
      </c>
      <c r="G87" s="93">
        <f t="shared" si="33"/>
        <v>23.046027006635509</v>
      </c>
      <c r="I87" s="94">
        <f t="shared" si="16"/>
        <v>81</v>
      </c>
      <c r="J87" s="90">
        <f t="shared" si="34"/>
        <v>2024</v>
      </c>
      <c r="K87" s="95">
        <f t="shared" si="17"/>
        <v>45352</v>
      </c>
    </row>
    <row r="88" spans="2:11" outlineLevel="1">
      <c r="B88" s="95">
        <f t="shared" si="31"/>
        <v>45383</v>
      </c>
      <c r="C88" s="92">
        <v>438764.06055869162</v>
      </c>
      <c r="D88" s="88">
        <f>IF(F88&lt;&gt;0,VLOOKUP($J88,'Table 1'!$B$13:$C$33,2,FALSE)/12*1000*Study_MW,0)</f>
        <v>0</v>
      </c>
      <c r="E88" s="88">
        <f t="shared" si="32"/>
        <v>438764.06055869162</v>
      </c>
      <c r="F88" s="92">
        <v>20578.8</v>
      </c>
      <c r="G88" s="93">
        <f t="shared" si="33"/>
        <v>21.321168414032481</v>
      </c>
      <c r="I88" s="94">
        <f t="shared" si="16"/>
        <v>82</v>
      </c>
      <c r="J88" s="90">
        <f t="shared" si="34"/>
        <v>2024</v>
      </c>
      <c r="K88" s="95">
        <f t="shared" si="17"/>
        <v>45383</v>
      </c>
    </row>
    <row r="89" spans="2:11" outlineLevel="1">
      <c r="B89" s="95">
        <f t="shared" si="31"/>
        <v>45413</v>
      </c>
      <c r="C89" s="92">
        <v>364986.13714566827</v>
      </c>
      <c r="D89" s="88">
        <f>IF(F89&lt;&gt;0,VLOOKUP($J89,'Table 1'!$B$13:$C$33,2,FALSE)/12*1000*Study_MW,0)</f>
        <v>0</v>
      </c>
      <c r="E89" s="88">
        <f t="shared" si="32"/>
        <v>364986.13714566827</v>
      </c>
      <c r="F89" s="92">
        <v>23821.578000000001</v>
      </c>
      <c r="G89" s="93">
        <f t="shared" si="33"/>
        <v>15.321660770989572</v>
      </c>
      <c r="I89" s="94">
        <f t="shared" si="16"/>
        <v>83</v>
      </c>
      <c r="J89" s="90">
        <f t="shared" si="34"/>
        <v>2024</v>
      </c>
      <c r="K89" s="95">
        <f t="shared" si="17"/>
        <v>45413</v>
      </c>
    </row>
    <row r="90" spans="2:11" outlineLevel="1">
      <c r="B90" s="95">
        <f t="shared" si="31"/>
        <v>45444</v>
      </c>
      <c r="C90" s="92">
        <v>323884.32601553202</v>
      </c>
      <c r="D90" s="88">
        <f>IF(F90&lt;&gt;0,VLOOKUP($J90,'Table 1'!$B$13:$C$33,2,FALSE)/12*1000*Study_MW,0)</f>
        <v>0</v>
      </c>
      <c r="E90" s="88">
        <f t="shared" si="32"/>
        <v>323884.32601553202</v>
      </c>
      <c r="F90" s="92">
        <v>25307.73</v>
      </c>
      <c r="G90" s="93">
        <f t="shared" si="33"/>
        <v>12.797841845773288</v>
      </c>
      <c r="I90" s="94">
        <f t="shared" ref="I90:I96" si="35">I78+13</f>
        <v>84</v>
      </c>
      <c r="J90" s="90">
        <f t="shared" si="34"/>
        <v>2024</v>
      </c>
      <c r="K90" s="95">
        <f t="shared" ref="K90:K153" si="36">IF(ISNUMBER(F90),IF(F90&lt;&gt;0,B90,""),"")</f>
        <v>45444</v>
      </c>
    </row>
    <row r="91" spans="2:11" outlineLevel="1">
      <c r="B91" s="95">
        <f t="shared" si="31"/>
        <v>45474</v>
      </c>
      <c r="C91" s="92">
        <v>291267.1097843349</v>
      </c>
      <c r="D91" s="88">
        <f>IF(F91&lt;&gt;0,VLOOKUP($J91,'Table 1'!$B$13:$C$33,2,FALSE)/12*1000*Study_MW,0)</f>
        <v>0</v>
      </c>
      <c r="E91" s="88">
        <f t="shared" si="32"/>
        <v>291267.1097843349</v>
      </c>
      <c r="F91" s="92">
        <v>22906.674999999999</v>
      </c>
      <c r="G91" s="93">
        <f t="shared" si="33"/>
        <v>12.715381424162821</v>
      </c>
      <c r="I91" s="94">
        <f t="shared" si="35"/>
        <v>85</v>
      </c>
      <c r="J91" s="90">
        <f t="shared" si="34"/>
        <v>2024</v>
      </c>
      <c r="K91" s="95">
        <f t="shared" si="36"/>
        <v>45474</v>
      </c>
    </row>
    <row r="92" spans="2:11" outlineLevel="1">
      <c r="B92" s="95">
        <f t="shared" si="31"/>
        <v>45505</v>
      </c>
      <c r="C92" s="92">
        <v>442394.68338802457</v>
      </c>
      <c r="D92" s="88">
        <f>IF(F92&lt;&gt;0,VLOOKUP($J92,'Table 1'!$B$13:$C$33,2,FALSE)/12*1000*Study_MW,0)</f>
        <v>0</v>
      </c>
      <c r="E92" s="88">
        <f t="shared" si="32"/>
        <v>442394.68338802457</v>
      </c>
      <c r="F92" s="92">
        <v>22943.937000000002</v>
      </c>
      <c r="G92" s="93">
        <f t="shared" si="33"/>
        <v>19.281550650528047</v>
      </c>
      <c r="I92" s="94">
        <f t="shared" si="35"/>
        <v>86</v>
      </c>
      <c r="J92" s="90">
        <f t="shared" si="34"/>
        <v>2024</v>
      </c>
      <c r="K92" s="95">
        <f t="shared" si="36"/>
        <v>45505</v>
      </c>
    </row>
    <row r="93" spans="2:11" outlineLevel="1">
      <c r="B93" s="95">
        <f t="shared" si="31"/>
        <v>45536</v>
      </c>
      <c r="C93" s="92">
        <v>533644.22809931636</v>
      </c>
      <c r="D93" s="88">
        <f>IF(F93&lt;&gt;0,VLOOKUP($J93,'Table 1'!$B$13:$C$33,2,FALSE)/12*1000*Study_MW,0)</f>
        <v>0</v>
      </c>
      <c r="E93" s="88">
        <f t="shared" si="32"/>
        <v>533644.22809931636</v>
      </c>
      <c r="F93" s="92">
        <v>20224.919999999998</v>
      </c>
      <c r="G93" s="93">
        <f t="shared" si="33"/>
        <v>26.385480293584173</v>
      </c>
      <c r="I93" s="94">
        <f t="shared" si="35"/>
        <v>87</v>
      </c>
      <c r="J93" s="90">
        <f t="shared" si="34"/>
        <v>2024</v>
      </c>
      <c r="K93" s="95">
        <f t="shared" si="36"/>
        <v>45536</v>
      </c>
    </row>
    <row r="94" spans="2:11" outlineLevel="1">
      <c r="B94" s="95">
        <f t="shared" si="31"/>
        <v>45566</v>
      </c>
      <c r="C94" s="92">
        <v>393843.16238354146</v>
      </c>
      <c r="D94" s="88">
        <f>IF(F94&lt;&gt;0,VLOOKUP($J94,'Table 1'!$B$13:$C$33,2,FALSE)/12*1000*Study_MW,0)</f>
        <v>0</v>
      </c>
      <c r="E94" s="88">
        <f t="shared" si="32"/>
        <v>393843.16238354146</v>
      </c>
      <c r="F94" s="92">
        <v>16396.798999999999</v>
      </c>
      <c r="G94" s="93">
        <f t="shared" si="33"/>
        <v>24.019515173878847</v>
      </c>
      <c r="I94" s="94">
        <f t="shared" si="35"/>
        <v>88</v>
      </c>
      <c r="J94" s="90">
        <f t="shared" si="34"/>
        <v>2024</v>
      </c>
      <c r="K94" s="95">
        <f t="shared" si="36"/>
        <v>45566</v>
      </c>
    </row>
    <row r="95" spans="2:11" outlineLevel="1">
      <c r="B95" s="95">
        <f t="shared" si="31"/>
        <v>45597</v>
      </c>
      <c r="C95" s="92">
        <v>205064.53757932782</v>
      </c>
      <c r="D95" s="88">
        <f>IF(F95&lt;&gt;0,VLOOKUP($J95,'Table 1'!$B$13:$C$33,2,FALSE)/12*1000*Study_MW,0)</f>
        <v>0</v>
      </c>
      <c r="E95" s="88">
        <f t="shared" si="32"/>
        <v>205064.53757932782</v>
      </c>
      <c r="F95" s="92">
        <v>11043.93</v>
      </c>
      <c r="G95" s="93">
        <f t="shared" si="33"/>
        <v>18.568076543343523</v>
      </c>
      <c r="I95" s="94">
        <f t="shared" si="35"/>
        <v>89</v>
      </c>
      <c r="J95" s="90">
        <f t="shared" si="34"/>
        <v>2024</v>
      </c>
      <c r="K95" s="95">
        <f t="shared" si="36"/>
        <v>45597</v>
      </c>
    </row>
    <row r="96" spans="2:11" outlineLevel="1">
      <c r="B96" s="99">
        <f t="shared" si="31"/>
        <v>45627</v>
      </c>
      <c r="C96" s="96">
        <v>212434.51652482152</v>
      </c>
      <c r="D96" s="97">
        <f>IF(F96&lt;&gt;0,VLOOKUP($J96,'Table 1'!$B$13:$C$33,2,FALSE)/12*1000*Study_MW,0)</f>
        <v>0</v>
      </c>
      <c r="E96" s="97">
        <f t="shared" si="32"/>
        <v>212434.51652482152</v>
      </c>
      <c r="F96" s="96">
        <v>8520.0400000000009</v>
      </c>
      <c r="G96" s="98">
        <f t="shared" si="33"/>
        <v>24.933511641356318</v>
      </c>
      <c r="I96" s="81">
        <f t="shared" si="35"/>
        <v>90</v>
      </c>
      <c r="J96" s="90">
        <f t="shared" si="34"/>
        <v>2024</v>
      </c>
      <c r="K96" s="99">
        <f t="shared" si="36"/>
        <v>45627</v>
      </c>
    </row>
    <row r="97" spans="2:11" outlineLevel="1">
      <c r="B97" s="91">
        <f t="shared" si="31"/>
        <v>45658</v>
      </c>
      <c r="C97" s="86">
        <v>247910.13321894407</v>
      </c>
      <c r="D97" s="87">
        <f>IF(F97&lt;&gt;0,VLOOKUP($J97,'Table 1'!$B$13:$C$33,2,FALSE)/12*1000*Study_MW,0)</f>
        <v>0</v>
      </c>
      <c r="E97" s="87">
        <f t="shared" si="32"/>
        <v>247910.13321894407</v>
      </c>
      <c r="F97" s="86">
        <v>10170.790000000001</v>
      </c>
      <c r="G97" s="89">
        <f t="shared" si="33"/>
        <v>24.374717521347314</v>
      </c>
      <c r="I97" s="77">
        <f>I85+13</f>
        <v>92</v>
      </c>
      <c r="J97" s="90">
        <f t="shared" si="34"/>
        <v>2025</v>
      </c>
      <c r="K97" s="91">
        <f t="shared" si="36"/>
        <v>45658</v>
      </c>
    </row>
    <row r="98" spans="2:11" outlineLevel="1">
      <c r="B98" s="95">
        <f t="shared" si="31"/>
        <v>45689</v>
      </c>
      <c r="C98" s="92">
        <v>307483.85604441166</v>
      </c>
      <c r="D98" s="88">
        <f>IF(F98&lt;&gt;0,VLOOKUP($J98,'Table 1'!$B$13:$C$33,2,FALSE)/12*1000*Study_MW,0)</f>
        <v>0</v>
      </c>
      <c r="E98" s="88">
        <f t="shared" si="32"/>
        <v>307483.85604441166</v>
      </c>
      <c r="F98" s="92">
        <v>11382.98</v>
      </c>
      <c r="G98" s="93">
        <f t="shared" si="33"/>
        <v>27.012597408096269</v>
      </c>
      <c r="I98" s="94">
        <f t="shared" ref="I98:I120" si="37">I86+13</f>
        <v>93</v>
      </c>
      <c r="J98" s="90">
        <f t="shared" si="34"/>
        <v>2025</v>
      </c>
      <c r="K98" s="95">
        <f t="shared" si="36"/>
        <v>45689</v>
      </c>
    </row>
    <row r="99" spans="2:11" outlineLevel="1">
      <c r="B99" s="95">
        <f t="shared" si="31"/>
        <v>45717</v>
      </c>
      <c r="C99" s="92">
        <v>423875.58977165818</v>
      </c>
      <c r="D99" s="88">
        <f>IF(F99&lt;&gt;0,VLOOKUP($J99,'Table 1'!$B$13:$C$33,2,FALSE)/12*1000*Study_MW,0)</f>
        <v>0</v>
      </c>
      <c r="E99" s="88">
        <f t="shared" si="32"/>
        <v>423875.58977165818</v>
      </c>
      <c r="F99" s="92">
        <v>17728.125</v>
      </c>
      <c r="G99" s="93">
        <f t="shared" si="33"/>
        <v>23.909781196356533</v>
      </c>
      <c r="I99" s="94">
        <f t="shared" si="37"/>
        <v>94</v>
      </c>
      <c r="J99" s="90">
        <f t="shared" si="34"/>
        <v>2025</v>
      </c>
      <c r="K99" s="95">
        <f t="shared" si="36"/>
        <v>45717</v>
      </c>
    </row>
    <row r="100" spans="2:11" outlineLevel="1">
      <c r="B100" s="95">
        <f t="shared" si="31"/>
        <v>45748</v>
      </c>
      <c r="C100" s="92">
        <v>493132.40608164668</v>
      </c>
      <c r="D100" s="88">
        <f>IF(F100&lt;&gt;0,VLOOKUP($J100,'Table 1'!$B$13:$C$33,2,FALSE)/12*1000*Study_MW,0)</f>
        <v>0</v>
      </c>
      <c r="E100" s="88">
        <f t="shared" si="32"/>
        <v>493132.40608164668</v>
      </c>
      <c r="F100" s="92">
        <v>20475.87</v>
      </c>
      <c r="G100" s="93">
        <f t="shared" si="33"/>
        <v>24.083587465716803</v>
      </c>
      <c r="I100" s="94">
        <f t="shared" si="37"/>
        <v>95</v>
      </c>
      <c r="J100" s="90">
        <f t="shared" si="34"/>
        <v>2025</v>
      </c>
      <c r="K100" s="95">
        <f t="shared" si="36"/>
        <v>45748</v>
      </c>
    </row>
    <row r="101" spans="2:11" outlineLevel="1">
      <c r="B101" s="95">
        <f t="shared" si="31"/>
        <v>45778</v>
      </c>
      <c r="C101" s="92">
        <v>406567.51670385897</v>
      </c>
      <c r="D101" s="88">
        <f>IF(F101&lt;&gt;0,VLOOKUP($J101,'Table 1'!$B$13:$C$33,2,FALSE)/12*1000*Study_MW,0)</f>
        <v>0</v>
      </c>
      <c r="E101" s="88">
        <f t="shared" si="32"/>
        <v>406567.51670385897</v>
      </c>
      <c r="F101" s="92">
        <v>23702.507000000001</v>
      </c>
      <c r="G101" s="93">
        <f t="shared" si="33"/>
        <v>17.152933092852116</v>
      </c>
      <c r="I101" s="94">
        <f t="shared" si="37"/>
        <v>96</v>
      </c>
      <c r="J101" s="90">
        <f t="shared" si="34"/>
        <v>2025</v>
      </c>
      <c r="K101" s="95">
        <f t="shared" si="36"/>
        <v>45778</v>
      </c>
    </row>
    <row r="102" spans="2:11" outlineLevel="1">
      <c r="B102" s="95">
        <f t="shared" si="31"/>
        <v>45809</v>
      </c>
      <c r="C102" s="92">
        <v>381029.02113097906</v>
      </c>
      <c r="D102" s="88">
        <f>IF(F102&lt;&gt;0,VLOOKUP($J102,'Table 1'!$B$13:$C$33,2,FALSE)/12*1000*Study_MW,0)</f>
        <v>0</v>
      </c>
      <c r="E102" s="88">
        <f t="shared" si="32"/>
        <v>381029.02113097906</v>
      </c>
      <c r="F102" s="92">
        <v>25181.19</v>
      </c>
      <c r="G102" s="93">
        <f t="shared" si="33"/>
        <v>15.131493830552849</v>
      </c>
      <c r="I102" s="94">
        <f t="shared" si="37"/>
        <v>97</v>
      </c>
      <c r="J102" s="90">
        <f t="shared" si="34"/>
        <v>2025</v>
      </c>
      <c r="K102" s="95">
        <f t="shared" si="36"/>
        <v>45809</v>
      </c>
    </row>
    <row r="103" spans="2:11" outlineLevel="1">
      <c r="B103" s="95">
        <f t="shared" si="31"/>
        <v>45839</v>
      </c>
      <c r="C103" s="92">
        <v>246131.38044688106</v>
      </c>
      <c r="D103" s="88">
        <f>IF(F103&lt;&gt;0,VLOOKUP($J103,'Table 1'!$B$13:$C$33,2,FALSE)/12*1000*Study_MW,0)</f>
        <v>0</v>
      </c>
      <c r="E103" s="88">
        <f t="shared" si="32"/>
        <v>246131.38044688106</v>
      </c>
      <c r="F103" s="92">
        <v>22792.161</v>
      </c>
      <c r="G103" s="93">
        <f t="shared" si="33"/>
        <v>10.798948833631048</v>
      </c>
      <c r="I103" s="94">
        <f t="shared" si="37"/>
        <v>98</v>
      </c>
      <c r="J103" s="90">
        <f t="shared" si="34"/>
        <v>2025</v>
      </c>
      <c r="K103" s="95">
        <f t="shared" si="36"/>
        <v>45839</v>
      </c>
    </row>
    <row r="104" spans="2:11" outlineLevel="1">
      <c r="B104" s="95">
        <f t="shared" si="31"/>
        <v>45870</v>
      </c>
      <c r="C104" s="92">
        <v>428168.40603744984</v>
      </c>
      <c r="D104" s="88">
        <f>IF(F104&lt;&gt;0,VLOOKUP($J104,'Table 1'!$B$13:$C$33,2,FALSE)/12*1000*Study_MW,0)</f>
        <v>0</v>
      </c>
      <c r="E104" s="88">
        <f t="shared" si="32"/>
        <v>428168.40603744984</v>
      </c>
      <c r="F104" s="92">
        <v>22829.33</v>
      </c>
      <c r="G104" s="93">
        <f t="shared" si="33"/>
        <v>18.755189312934274</v>
      </c>
      <c r="I104" s="94">
        <f t="shared" si="37"/>
        <v>99</v>
      </c>
      <c r="J104" s="90">
        <f t="shared" si="34"/>
        <v>2025</v>
      </c>
      <c r="K104" s="95">
        <f t="shared" si="36"/>
        <v>45870</v>
      </c>
    </row>
    <row r="105" spans="2:11" outlineLevel="1">
      <c r="B105" s="95">
        <f t="shared" si="31"/>
        <v>45901</v>
      </c>
      <c r="C105" s="92">
        <v>605055.34508979321</v>
      </c>
      <c r="D105" s="88">
        <f>IF(F105&lt;&gt;0,VLOOKUP($J105,'Table 1'!$B$13:$C$33,2,FALSE)/12*1000*Study_MW,0)</f>
        <v>0</v>
      </c>
      <c r="E105" s="88">
        <f t="shared" si="32"/>
        <v>605055.34508979321</v>
      </c>
      <c r="F105" s="92">
        <v>20123.79</v>
      </c>
      <c r="G105" s="93">
        <f t="shared" si="33"/>
        <v>30.066669602982003</v>
      </c>
      <c r="I105" s="94">
        <f t="shared" si="37"/>
        <v>100</v>
      </c>
      <c r="J105" s="90">
        <f t="shared" si="34"/>
        <v>2025</v>
      </c>
      <c r="K105" s="95">
        <f t="shared" si="36"/>
        <v>45901</v>
      </c>
    </row>
    <row r="106" spans="2:11" outlineLevel="1">
      <c r="B106" s="95">
        <f t="shared" si="31"/>
        <v>45931</v>
      </c>
      <c r="C106" s="92">
        <v>409966.78949253261</v>
      </c>
      <c r="D106" s="88">
        <f>IF(F106&lt;&gt;0,VLOOKUP($J106,'Table 1'!$B$13:$C$33,2,FALSE)/12*1000*Study_MW,0)</f>
        <v>0</v>
      </c>
      <c r="E106" s="88">
        <f t="shared" si="32"/>
        <v>409966.78949253261</v>
      </c>
      <c r="F106" s="92">
        <v>16314.804</v>
      </c>
      <c r="G106" s="93">
        <f t="shared" si="33"/>
        <v>25.128514537626845</v>
      </c>
      <c r="I106" s="94">
        <f t="shared" si="37"/>
        <v>101</v>
      </c>
      <c r="J106" s="90">
        <f t="shared" si="34"/>
        <v>2025</v>
      </c>
      <c r="K106" s="95">
        <f t="shared" si="36"/>
        <v>45931</v>
      </c>
    </row>
    <row r="107" spans="2:11" outlineLevel="1">
      <c r="B107" s="95">
        <f t="shared" si="31"/>
        <v>45962</v>
      </c>
      <c r="C107" s="92">
        <v>246954.06214639544</v>
      </c>
      <c r="D107" s="88">
        <f>IF(F107&lt;&gt;0,VLOOKUP($J107,'Table 1'!$B$13:$C$33,2,FALSE)/12*1000*Study_MW,0)</f>
        <v>0</v>
      </c>
      <c r="E107" s="88">
        <f t="shared" si="32"/>
        <v>246954.06214639544</v>
      </c>
      <c r="F107" s="92">
        <v>10988.67</v>
      </c>
      <c r="G107" s="93">
        <f t="shared" si="33"/>
        <v>22.473517008554762</v>
      </c>
      <c r="I107" s="94">
        <f t="shared" si="37"/>
        <v>102</v>
      </c>
      <c r="J107" s="90">
        <f t="shared" si="34"/>
        <v>2025</v>
      </c>
      <c r="K107" s="95">
        <f t="shared" si="36"/>
        <v>45962</v>
      </c>
    </row>
    <row r="108" spans="2:11" outlineLevel="1">
      <c r="B108" s="99">
        <f t="shared" si="31"/>
        <v>45992</v>
      </c>
      <c r="C108" s="96">
        <v>211374.46892264485</v>
      </c>
      <c r="D108" s="97">
        <f>IF(F108&lt;&gt;0,VLOOKUP($J108,'Table 1'!$B$13:$C$33,2,FALSE)/12*1000*Study_MW,0)</f>
        <v>0</v>
      </c>
      <c r="E108" s="97">
        <f t="shared" si="32"/>
        <v>211374.46892264485</v>
      </c>
      <c r="F108" s="96">
        <v>8477.4459999999999</v>
      </c>
      <c r="G108" s="98">
        <f t="shared" si="33"/>
        <v>24.933744068985501</v>
      </c>
      <c r="I108" s="81">
        <f t="shared" si="37"/>
        <v>103</v>
      </c>
      <c r="J108" s="90">
        <f t="shared" si="34"/>
        <v>2025</v>
      </c>
      <c r="K108" s="99">
        <f t="shared" si="36"/>
        <v>45992</v>
      </c>
    </row>
    <row r="109" spans="2:11" outlineLevel="1">
      <c r="B109" s="91">
        <f t="shared" si="31"/>
        <v>46023</v>
      </c>
      <c r="C109" s="86">
        <v>306669.13680678606</v>
      </c>
      <c r="D109" s="87">
        <f>IF(F109&lt;&gt;0,VLOOKUP($J109,'Table 1'!$B$13:$C$33,2,FALSE)/12*1000*Study_MW,0)</f>
        <v>0</v>
      </c>
      <c r="E109" s="87">
        <f t="shared" si="32"/>
        <v>306669.13680678606</v>
      </c>
      <c r="F109" s="86">
        <v>10119.950000000001</v>
      </c>
      <c r="G109" s="89">
        <f t="shared" si="33"/>
        <v>30.303424108497179</v>
      </c>
      <c r="I109" s="77">
        <f>I97+13</f>
        <v>105</v>
      </c>
      <c r="J109" s="90">
        <f t="shared" si="34"/>
        <v>2026</v>
      </c>
      <c r="K109" s="91">
        <f t="shared" si="36"/>
        <v>46023</v>
      </c>
    </row>
    <row r="110" spans="2:11" outlineLevel="1">
      <c r="B110" s="95">
        <f t="shared" si="31"/>
        <v>46054</v>
      </c>
      <c r="C110" s="92">
        <v>311687.53091470897</v>
      </c>
      <c r="D110" s="88">
        <f>IF(F110&lt;&gt;0,VLOOKUP($J110,'Table 1'!$B$13:$C$33,2,FALSE)/12*1000*Study_MW,0)</f>
        <v>0</v>
      </c>
      <c r="E110" s="88">
        <f t="shared" si="32"/>
        <v>311687.53091470897</v>
      </c>
      <c r="F110" s="92">
        <v>11326.056</v>
      </c>
      <c r="G110" s="93">
        <f t="shared" si="33"/>
        <v>27.519511727181019</v>
      </c>
      <c r="I110" s="94">
        <f t="shared" si="37"/>
        <v>106</v>
      </c>
      <c r="J110" s="90">
        <f t="shared" si="34"/>
        <v>2026</v>
      </c>
      <c r="K110" s="95">
        <f t="shared" si="36"/>
        <v>46054</v>
      </c>
    </row>
    <row r="111" spans="2:11" outlineLevel="1">
      <c r="B111" s="95">
        <f t="shared" si="31"/>
        <v>46082</v>
      </c>
      <c r="C111" s="92">
        <v>429513.31505516171</v>
      </c>
      <c r="D111" s="88">
        <f>IF(F111&lt;&gt;0,VLOOKUP($J111,'Table 1'!$B$13:$C$33,2,FALSE)/12*1000*Study_MW,0)</f>
        <v>0</v>
      </c>
      <c r="E111" s="88">
        <f t="shared" si="32"/>
        <v>429513.31505516171</v>
      </c>
      <c r="F111" s="92">
        <v>17639.434000000001</v>
      </c>
      <c r="G111" s="93">
        <f t="shared" si="33"/>
        <v>24.349608669709113</v>
      </c>
      <c r="I111" s="94">
        <f t="shared" si="37"/>
        <v>107</v>
      </c>
      <c r="J111" s="90">
        <f t="shared" si="34"/>
        <v>2026</v>
      </c>
      <c r="K111" s="95">
        <f t="shared" si="36"/>
        <v>46082</v>
      </c>
    </row>
    <row r="112" spans="2:11" outlineLevel="1">
      <c r="B112" s="95">
        <f t="shared" si="31"/>
        <v>46113</v>
      </c>
      <c r="C112" s="92">
        <v>532853.82085460424</v>
      </c>
      <c r="D112" s="88">
        <f>IF(F112&lt;&gt;0,VLOOKUP($J112,'Table 1'!$B$13:$C$33,2,FALSE)/12*1000*Study_MW,0)</f>
        <v>0</v>
      </c>
      <c r="E112" s="88">
        <f t="shared" si="32"/>
        <v>532853.82085460424</v>
      </c>
      <c r="F112" s="92">
        <v>20373.54</v>
      </c>
      <c r="G112" s="93">
        <f t="shared" si="33"/>
        <v>26.154208883414675</v>
      </c>
      <c r="I112" s="94">
        <f t="shared" si="37"/>
        <v>108</v>
      </c>
      <c r="J112" s="90">
        <f t="shared" si="34"/>
        <v>2026</v>
      </c>
      <c r="K112" s="95">
        <f t="shared" si="36"/>
        <v>46113</v>
      </c>
    </row>
    <row r="113" spans="2:11" outlineLevel="1">
      <c r="B113" s="95">
        <f t="shared" si="31"/>
        <v>46143</v>
      </c>
      <c r="C113" s="92">
        <v>398663.04567457736</v>
      </c>
      <c r="D113" s="88">
        <f>IF(F113&lt;&gt;0,VLOOKUP($J113,'Table 1'!$B$13:$C$33,2,FALSE)/12*1000*Study_MW,0)</f>
        <v>0</v>
      </c>
      <c r="E113" s="88">
        <f t="shared" si="32"/>
        <v>398663.04567457736</v>
      </c>
      <c r="F113" s="92">
        <v>23583.932000000001</v>
      </c>
      <c r="G113" s="93">
        <f t="shared" si="33"/>
        <v>16.90401098826851</v>
      </c>
      <c r="I113" s="94">
        <f t="shared" si="37"/>
        <v>109</v>
      </c>
      <c r="J113" s="90">
        <f t="shared" si="34"/>
        <v>2026</v>
      </c>
      <c r="K113" s="95">
        <f t="shared" si="36"/>
        <v>46143</v>
      </c>
    </row>
    <row r="114" spans="2:11" outlineLevel="1">
      <c r="B114" s="95">
        <f t="shared" si="31"/>
        <v>46174</v>
      </c>
      <c r="C114" s="92">
        <v>389579.53957146406</v>
      </c>
      <c r="D114" s="88">
        <f>IF(F114&lt;&gt;0,VLOOKUP($J114,'Table 1'!$B$13:$C$33,2,FALSE)/12*1000*Study_MW,0)</f>
        <v>0</v>
      </c>
      <c r="E114" s="88">
        <f t="shared" si="32"/>
        <v>389579.53957146406</v>
      </c>
      <c r="F114" s="92">
        <v>25055.279999999999</v>
      </c>
      <c r="G114" s="93">
        <f t="shared" si="33"/>
        <v>15.548800076130224</v>
      </c>
      <c r="I114" s="94">
        <f t="shared" si="37"/>
        <v>110</v>
      </c>
      <c r="J114" s="90">
        <f t="shared" si="34"/>
        <v>2026</v>
      </c>
      <c r="K114" s="95">
        <f t="shared" si="36"/>
        <v>46174</v>
      </c>
    </row>
    <row r="115" spans="2:11" outlineLevel="1">
      <c r="B115" s="95">
        <f t="shared" si="31"/>
        <v>46204</v>
      </c>
      <c r="C115" s="92">
        <v>277682.1948903501</v>
      </c>
      <c r="D115" s="88">
        <f>IF(F115&lt;&gt;0,VLOOKUP($J115,'Table 1'!$B$13:$C$33,2,FALSE)/12*1000*Study_MW,0)</f>
        <v>0</v>
      </c>
      <c r="E115" s="88">
        <f t="shared" si="32"/>
        <v>277682.1948903501</v>
      </c>
      <c r="F115" s="92">
        <v>22678.236000000001</v>
      </c>
      <c r="G115" s="93">
        <f t="shared" si="33"/>
        <v>12.244435364829526</v>
      </c>
      <c r="I115" s="94">
        <f t="shared" si="37"/>
        <v>111</v>
      </c>
      <c r="J115" s="90">
        <f t="shared" si="34"/>
        <v>2026</v>
      </c>
      <c r="K115" s="95">
        <f t="shared" si="36"/>
        <v>46204</v>
      </c>
    </row>
    <row r="116" spans="2:11" outlineLevel="1">
      <c r="B116" s="95">
        <f t="shared" si="31"/>
        <v>46235</v>
      </c>
      <c r="C116" s="92">
        <v>452460.30560088158</v>
      </c>
      <c r="D116" s="88">
        <f>IF(F116&lt;&gt;0,VLOOKUP($J116,'Table 1'!$B$13:$C$33,2,FALSE)/12*1000*Study_MW,0)</f>
        <v>0</v>
      </c>
      <c r="E116" s="88">
        <f t="shared" si="32"/>
        <v>452460.30560088158</v>
      </c>
      <c r="F116" s="92">
        <v>22715.095000000001</v>
      </c>
      <c r="G116" s="93">
        <f t="shared" si="33"/>
        <v>19.918926405585427</v>
      </c>
      <c r="I116" s="94">
        <f t="shared" si="37"/>
        <v>112</v>
      </c>
      <c r="J116" s="90">
        <f t="shared" si="34"/>
        <v>2026</v>
      </c>
      <c r="K116" s="95">
        <f t="shared" si="36"/>
        <v>46235</v>
      </c>
    </row>
    <row r="117" spans="2:11" outlineLevel="1">
      <c r="B117" s="95">
        <f t="shared" si="31"/>
        <v>46266</v>
      </c>
      <c r="C117" s="92">
        <v>586014.11825057864</v>
      </c>
      <c r="D117" s="88">
        <f>IF(F117&lt;&gt;0,VLOOKUP($J117,'Table 1'!$B$13:$C$33,2,FALSE)/12*1000*Study_MW,0)</f>
        <v>0</v>
      </c>
      <c r="E117" s="88">
        <f t="shared" si="32"/>
        <v>586014.11825057864</v>
      </c>
      <c r="F117" s="92">
        <v>20023.080000000002</v>
      </c>
      <c r="G117" s="93">
        <f t="shared" si="33"/>
        <v>29.266931873147318</v>
      </c>
      <c r="I117" s="94">
        <f t="shared" si="37"/>
        <v>113</v>
      </c>
      <c r="J117" s="90">
        <f t="shared" si="34"/>
        <v>2026</v>
      </c>
      <c r="K117" s="95">
        <f t="shared" si="36"/>
        <v>46266</v>
      </c>
    </row>
    <row r="118" spans="2:11" outlineLevel="1">
      <c r="B118" s="95">
        <f t="shared" si="31"/>
        <v>46296</v>
      </c>
      <c r="C118" s="92">
        <v>416054.69627603889</v>
      </c>
      <c r="D118" s="88">
        <f>IF(F118&lt;&gt;0,VLOOKUP($J118,'Table 1'!$B$13:$C$33,2,FALSE)/12*1000*Study_MW,0)</f>
        <v>0</v>
      </c>
      <c r="E118" s="88">
        <f t="shared" si="32"/>
        <v>416054.69627603889</v>
      </c>
      <c r="F118" s="92">
        <v>16233.273999999999</v>
      </c>
      <c r="G118" s="93">
        <f t="shared" si="33"/>
        <v>25.629746425523212</v>
      </c>
      <c r="I118" s="94">
        <f t="shared" si="37"/>
        <v>114</v>
      </c>
      <c r="J118" s="90">
        <f t="shared" si="34"/>
        <v>2026</v>
      </c>
      <c r="K118" s="95">
        <f t="shared" si="36"/>
        <v>46296</v>
      </c>
    </row>
    <row r="119" spans="2:11" outlineLevel="1">
      <c r="B119" s="95">
        <f t="shared" si="31"/>
        <v>46327</v>
      </c>
      <c r="C119" s="92">
        <v>254587.65963423252</v>
      </c>
      <c r="D119" s="88">
        <f>IF(F119&lt;&gt;0,VLOOKUP($J119,'Table 1'!$B$13:$C$33,2,FALSE)/12*1000*Study_MW,0)</f>
        <v>0</v>
      </c>
      <c r="E119" s="88">
        <f t="shared" si="32"/>
        <v>254587.65963423252</v>
      </c>
      <c r="F119" s="92">
        <v>10933.8</v>
      </c>
      <c r="G119" s="93">
        <f t="shared" si="33"/>
        <v>23.284462824839721</v>
      </c>
      <c r="I119" s="94">
        <f t="shared" si="37"/>
        <v>115</v>
      </c>
      <c r="J119" s="90">
        <f t="shared" si="34"/>
        <v>2026</v>
      </c>
      <c r="K119" s="95">
        <f t="shared" si="36"/>
        <v>46327</v>
      </c>
    </row>
    <row r="120" spans="2:11" outlineLevel="1">
      <c r="B120" s="99">
        <f t="shared" si="31"/>
        <v>46357</v>
      </c>
      <c r="C120" s="96">
        <v>205181.87219831347</v>
      </c>
      <c r="D120" s="97">
        <f>IF(F120&lt;&gt;0,VLOOKUP($J120,'Table 1'!$B$13:$C$33,2,FALSE)/12*1000*Study_MW,0)</f>
        <v>0</v>
      </c>
      <c r="E120" s="97">
        <f t="shared" si="32"/>
        <v>205181.87219831347</v>
      </c>
      <c r="F120" s="96">
        <v>8435.0069999999996</v>
      </c>
      <c r="G120" s="98">
        <f t="shared" si="33"/>
        <v>24.325038757918456</v>
      </c>
      <c r="I120" s="81">
        <f t="shared" si="37"/>
        <v>116</v>
      </c>
      <c r="J120" s="90">
        <f t="shared" si="34"/>
        <v>2026</v>
      </c>
      <c r="K120" s="99">
        <f t="shared" si="36"/>
        <v>46357</v>
      </c>
    </row>
    <row r="121" spans="2:11" outlineLevel="1">
      <c r="B121" s="91">
        <f t="shared" si="31"/>
        <v>46388</v>
      </c>
      <c r="C121" s="86">
        <v>298017.92357826233</v>
      </c>
      <c r="D121" s="87">
        <f>IF(F121&lt;&gt;0,VLOOKUP($J121,'Table 1'!$B$13:$C$33,2,FALSE)/12*1000*Study_MW,0)</f>
        <v>0</v>
      </c>
      <c r="E121" s="87">
        <f t="shared" si="32"/>
        <v>298017.92357826233</v>
      </c>
      <c r="F121" s="86">
        <v>10069.326999999999</v>
      </c>
      <c r="G121" s="89">
        <f t="shared" si="33"/>
        <v>29.596607953864478</v>
      </c>
      <c r="I121" s="77">
        <f>I109+13</f>
        <v>118</v>
      </c>
      <c r="J121" s="90">
        <f t="shared" si="34"/>
        <v>2027</v>
      </c>
      <c r="K121" s="91">
        <f t="shared" si="36"/>
        <v>46388</v>
      </c>
    </row>
    <row r="122" spans="2:11" outlineLevel="1">
      <c r="B122" s="95">
        <f t="shared" si="31"/>
        <v>46419</v>
      </c>
      <c r="C122" s="92">
        <v>307684.66465783119</v>
      </c>
      <c r="D122" s="88">
        <f>IF(F122&lt;&gt;0,VLOOKUP($J122,'Table 1'!$B$13:$C$33,2,FALSE)/12*1000*Study_MW,0)</f>
        <v>0</v>
      </c>
      <c r="E122" s="88">
        <f t="shared" si="32"/>
        <v>307684.66465783119</v>
      </c>
      <c r="F122" s="92">
        <v>11269.384</v>
      </c>
      <c r="G122" s="93">
        <f t="shared" si="33"/>
        <v>27.302704802483543</v>
      </c>
      <c r="I122" s="94">
        <f t="shared" ref="I122:I132" si="38">I110+13</f>
        <v>119</v>
      </c>
      <c r="J122" s="90">
        <f t="shared" si="34"/>
        <v>2027</v>
      </c>
      <c r="K122" s="95">
        <f t="shared" si="36"/>
        <v>46419</v>
      </c>
    </row>
    <row r="123" spans="2:11" outlineLevel="1">
      <c r="B123" s="95">
        <f t="shared" si="31"/>
        <v>46447</v>
      </c>
      <c r="C123" s="92">
        <v>434626.85099233687</v>
      </c>
      <c r="D123" s="88">
        <f>IF(F123&lt;&gt;0,VLOOKUP($J123,'Table 1'!$B$13:$C$33,2,FALSE)/12*1000*Study_MW,0)</f>
        <v>0</v>
      </c>
      <c r="E123" s="88">
        <f t="shared" si="32"/>
        <v>434626.85099233687</v>
      </c>
      <c r="F123" s="92">
        <v>17551.177</v>
      </c>
      <c r="G123" s="93">
        <f t="shared" si="33"/>
        <v>24.763401964001439</v>
      </c>
      <c r="I123" s="94">
        <f t="shared" si="38"/>
        <v>120</v>
      </c>
      <c r="J123" s="90">
        <f t="shared" si="34"/>
        <v>2027</v>
      </c>
      <c r="K123" s="95">
        <f t="shared" si="36"/>
        <v>46447</v>
      </c>
    </row>
    <row r="124" spans="2:11" outlineLevel="1">
      <c r="B124" s="95">
        <f t="shared" si="31"/>
        <v>46478</v>
      </c>
      <c r="C124" s="92">
        <v>525105.11170400679</v>
      </c>
      <c r="D124" s="88">
        <f>IF(F124&lt;&gt;0,VLOOKUP($J124,'Table 1'!$B$13:$C$33,2,FALSE)/12*1000*Study_MW,0)</f>
        <v>0</v>
      </c>
      <c r="E124" s="88">
        <f t="shared" si="32"/>
        <v>525105.11170400679</v>
      </c>
      <c r="F124" s="92">
        <v>20271.63</v>
      </c>
      <c r="G124" s="93">
        <f t="shared" si="33"/>
        <v>25.903447907445369</v>
      </c>
      <c r="I124" s="94">
        <f t="shared" si="38"/>
        <v>121</v>
      </c>
      <c r="J124" s="90">
        <f t="shared" si="34"/>
        <v>2027</v>
      </c>
      <c r="K124" s="95">
        <f t="shared" si="36"/>
        <v>46478</v>
      </c>
    </row>
    <row r="125" spans="2:11" outlineLevel="1">
      <c r="B125" s="95">
        <f t="shared" si="31"/>
        <v>46508</v>
      </c>
      <c r="C125" s="92">
        <v>437262.39457961917</v>
      </c>
      <c r="D125" s="88">
        <f>IF(F125&lt;&gt;0,VLOOKUP($J125,'Table 1'!$B$13:$C$33,2,FALSE)/12*1000*Study_MW,0)</f>
        <v>0</v>
      </c>
      <c r="E125" s="88">
        <f t="shared" si="32"/>
        <v>437262.39457961917</v>
      </c>
      <c r="F125" s="92">
        <v>23466.039000000001</v>
      </c>
      <c r="G125" s="93">
        <f t="shared" si="33"/>
        <v>18.633839080367128</v>
      </c>
      <c r="I125" s="94">
        <f t="shared" si="38"/>
        <v>122</v>
      </c>
      <c r="J125" s="90">
        <f t="shared" si="34"/>
        <v>2027</v>
      </c>
      <c r="K125" s="95">
        <f t="shared" si="36"/>
        <v>46508</v>
      </c>
    </row>
    <row r="126" spans="2:11" outlineLevel="1">
      <c r="B126" s="95">
        <f t="shared" si="31"/>
        <v>46539</v>
      </c>
      <c r="C126" s="92">
        <v>438029.33324128389</v>
      </c>
      <c r="D126" s="88">
        <f>IF(F126&lt;&gt;0,VLOOKUP($J126,'Table 1'!$B$13:$C$33,2,FALSE)/12*1000*Study_MW,0)</f>
        <v>0</v>
      </c>
      <c r="E126" s="88">
        <f t="shared" si="32"/>
        <v>438029.33324128389</v>
      </c>
      <c r="F126" s="92">
        <v>24930.03</v>
      </c>
      <c r="G126" s="93">
        <f t="shared" si="33"/>
        <v>17.570349223056848</v>
      </c>
      <c r="I126" s="94">
        <f t="shared" si="38"/>
        <v>123</v>
      </c>
      <c r="J126" s="90">
        <f t="shared" si="34"/>
        <v>2027</v>
      </c>
      <c r="K126" s="95">
        <f t="shared" si="36"/>
        <v>46539</v>
      </c>
    </row>
    <row r="127" spans="2:11" outlineLevel="1">
      <c r="B127" s="95">
        <f t="shared" si="31"/>
        <v>46569</v>
      </c>
      <c r="C127" s="92">
        <v>293083.08311489224</v>
      </c>
      <c r="D127" s="88">
        <f>IF(F127&lt;&gt;0,VLOOKUP($J127,'Table 1'!$B$13:$C$33,2,FALSE)/12*1000*Study_MW,0)</f>
        <v>0</v>
      </c>
      <c r="E127" s="88">
        <f t="shared" si="32"/>
        <v>293083.08311489224</v>
      </c>
      <c r="F127" s="92">
        <v>22564.776000000002</v>
      </c>
      <c r="G127" s="93">
        <f t="shared" si="33"/>
        <v>12.98852171698457</v>
      </c>
      <c r="I127" s="94">
        <f t="shared" si="38"/>
        <v>124</v>
      </c>
      <c r="J127" s="90">
        <f t="shared" si="34"/>
        <v>2027</v>
      </c>
      <c r="K127" s="95">
        <f t="shared" si="36"/>
        <v>46569</v>
      </c>
    </row>
    <row r="128" spans="2:11" outlineLevel="1">
      <c r="B128" s="95">
        <f t="shared" si="31"/>
        <v>46600</v>
      </c>
      <c r="C128" s="92">
        <v>512269.76279714704</v>
      </c>
      <c r="D128" s="88">
        <f>IF(F128&lt;&gt;0,VLOOKUP($J128,'Table 1'!$B$13:$C$33,2,FALSE)/12*1000*Study_MW,0)</f>
        <v>0</v>
      </c>
      <c r="E128" s="88">
        <f t="shared" si="32"/>
        <v>512269.76279714704</v>
      </c>
      <c r="F128" s="92">
        <v>22601.510999999999</v>
      </c>
      <c r="G128" s="93">
        <f t="shared" si="33"/>
        <v>22.665288298518938</v>
      </c>
      <c r="I128" s="94">
        <f t="shared" si="38"/>
        <v>125</v>
      </c>
      <c r="J128" s="90">
        <f t="shared" si="34"/>
        <v>2027</v>
      </c>
      <c r="K128" s="95">
        <f t="shared" si="36"/>
        <v>46600</v>
      </c>
    </row>
    <row r="129" spans="2:11" outlineLevel="1">
      <c r="B129" s="95">
        <f t="shared" si="31"/>
        <v>46631</v>
      </c>
      <c r="C129" s="92">
        <v>625039.53105792403</v>
      </c>
      <c r="D129" s="88">
        <f>IF(F129&lt;&gt;0,VLOOKUP($J129,'Table 1'!$B$13:$C$33,2,FALSE)/12*1000*Study_MW,0)</f>
        <v>0</v>
      </c>
      <c r="E129" s="88">
        <f t="shared" si="32"/>
        <v>625039.53105792403</v>
      </c>
      <c r="F129" s="92">
        <v>19923.060000000001</v>
      </c>
      <c r="G129" s="93">
        <f t="shared" si="33"/>
        <v>31.372667203628559</v>
      </c>
      <c r="I129" s="94">
        <f t="shared" si="38"/>
        <v>126</v>
      </c>
      <c r="J129" s="90">
        <f t="shared" si="34"/>
        <v>2027</v>
      </c>
      <c r="K129" s="95">
        <f t="shared" si="36"/>
        <v>46631</v>
      </c>
    </row>
    <row r="130" spans="2:11" outlineLevel="1">
      <c r="B130" s="95">
        <f t="shared" si="31"/>
        <v>46661</v>
      </c>
      <c r="C130" s="92">
        <v>520429.18299359083</v>
      </c>
      <c r="D130" s="88">
        <f>IF(F130&lt;&gt;0,VLOOKUP($J130,'Table 1'!$B$13:$C$33,2,FALSE)/12*1000*Study_MW,0)</f>
        <v>0</v>
      </c>
      <c r="E130" s="88">
        <f t="shared" si="32"/>
        <v>520429.18299359083</v>
      </c>
      <c r="F130" s="92">
        <v>16152.054</v>
      </c>
      <c r="G130" s="93">
        <f t="shared" si="33"/>
        <v>32.220619309073065</v>
      </c>
      <c r="I130" s="94">
        <f t="shared" si="38"/>
        <v>127</v>
      </c>
      <c r="J130" s="90">
        <f t="shared" si="34"/>
        <v>2027</v>
      </c>
      <c r="K130" s="95">
        <f t="shared" si="36"/>
        <v>46661</v>
      </c>
    </row>
    <row r="131" spans="2:11" outlineLevel="1">
      <c r="B131" s="95">
        <f t="shared" si="31"/>
        <v>46692</v>
      </c>
      <c r="C131" s="92">
        <v>279319.26103012264</v>
      </c>
      <c r="D131" s="88">
        <f>IF(F131&lt;&gt;0,VLOOKUP($J131,'Table 1'!$B$13:$C$33,2,FALSE)/12*1000*Study_MW,0)</f>
        <v>0</v>
      </c>
      <c r="E131" s="88">
        <f t="shared" si="32"/>
        <v>279319.26103012264</v>
      </c>
      <c r="F131" s="92">
        <v>10879.14</v>
      </c>
      <c r="G131" s="93">
        <f t="shared" si="33"/>
        <v>25.674755636026621</v>
      </c>
      <c r="I131" s="94">
        <f t="shared" si="38"/>
        <v>128</v>
      </c>
      <c r="J131" s="90">
        <f t="shared" si="34"/>
        <v>2027</v>
      </c>
      <c r="K131" s="95">
        <f t="shared" si="36"/>
        <v>46692</v>
      </c>
    </row>
    <row r="132" spans="2:11" outlineLevel="1">
      <c r="B132" s="99">
        <f t="shared" si="31"/>
        <v>46722</v>
      </c>
      <c r="C132" s="96">
        <v>219942.04750022292</v>
      </c>
      <c r="D132" s="97">
        <f>IF(F132&lt;&gt;0,VLOOKUP($J132,'Table 1'!$B$13:$C$33,2,FALSE)/12*1000*Study_MW,0)</f>
        <v>0</v>
      </c>
      <c r="E132" s="97">
        <f t="shared" si="32"/>
        <v>219942.04750022292</v>
      </c>
      <c r="F132" s="96">
        <v>8392.8780000000006</v>
      </c>
      <c r="G132" s="98">
        <f t="shared" si="33"/>
        <v>26.205795854559415</v>
      </c>
      <c r="I132" s="81">
        <f t="shared" si="38"/>
        <v>129</v>
      </c>
      <c r="J132" s="90">
        <f t="shared" si="34"/>
        <v>2027</v>
      </c>
      <c r="K132" s="99">
        <f t="shared" si="36"/>
        <v>46722</v>
      </c>
    </row>
    <row r="133" spans="2:11" outlineLevel="1">
      <c r="B133" s="91">
        <f t="shared" si="31"/>
        <v>46753</v>
      </c>
      <c r="C133" s="86">
        <v>316980.33282735944</v>
      </c>
      <c r="D133" s="87">
        <f>IF(F133&lt;&gt;0,VLOOKUP($J133,'Table 1'!$B$13:$C$33,2,FALSE)/12*1000*Study_MW,0)</f>
        <v>0</v>
      </c>
      <c r="E133" s="87">
        <f t="shared" si="32"/>
        <v>316980.33282735944</v>
      </c>
      <c r="F133" s="86">
        <v>10018.983</v>
      </c>
      <c r="G133" s="89">
        <f t="shared" si="33"/>
        <v>31.637974914954885</v>
      </c>
      <c r="I133" s="77">
        <f>I13</f>
        <v>1</v>
      </c>
      <c r="J133" s="90">
        <f t="shared" si="34"/>
        <v>2028</v>
      </c>
      <c r="K133" s="91">
        <f t="shared" si="36"/>
        <v>46753</v>
      </c>
    </row>
    <row r="134" spans="2:11" outlineLevel="1">
      <c r="B134" s="95">
        <f t="shared" si="31"/>
        <v>46784</v>
      </c>
      <c r="C134" s="92">
        <v>323155.57044917345</v>
      </c>
      <c r="D134" s="88">
        <f>IF(F134&lt;&gt;0,VLOOKUP($J134,'Table 1'!$B$13:$C$33,2,FALSE)/12*1000*Study_MW,0)</f>
        <v>0</v>
      </c>
      <c r="E134" s="88">
        <f t="shared" si="32"/>
        <v>323155.57044917345</v>
      </c>
      <c r="F134" s="92">
        <v>11613.543</v>
      </c>
      <c r="G134" s="93">
        <f t="shared" si="33"/>
        <v>27.825752266054678</v>
      </c>
      <c r="I134" s="94">
        <f t="shared" ref="I134:I197" si="39">I14</f>
        <v>2</v>
      </c>
      <c r="J134" s="90">
        <f t="shared" si="34"/>
        <v>2028</v>
      </c>
      <c r="K134" s="95">
        <f t="shared" si="36"/>
        <v>46784</v>
      </c>
    </row>
    <row r="135" spans="2:11" outlineLevel="1">
      <c r="B135" s="95">
        <f t="shared" si="31"/>
        <v>46813</v>
      </c>
      <c r="C135" s="92">
        <v>448139.82424005866</v>
      </c>
      <c r="D135" s="88">
        <f>IF(F135&lt;&gt;0,VLOOKUP($J135,'Table 1'!$B$13:$C$33,2,FALSE)/12*1000*Study_MW,0)</f>
        <v>0</v>
      </c>
      <c r="E135" s="88">
        <f t="shared" si="32"/>
        <v>448139.82424005866</v>
      </c>
      <c r="F135" s="92">
        <v>17463.416000000001</v>
      </c>
      <c r="G135" s="93">
        <f t="shared" si="33"/>
        <v>25.661635973171492</v>
      </c>
      <c r="I135" s="94">
        <f t="shared" si="39"/>
        <v>3</v>
      </c>
      <c r="J135" s="90">
        <f t="shared" si="34"/>
        <v>2028</v>
      </c>
      <c r="K135" s="95">
        <f t="shared" si="36"/>
        <v>46813</v>
      </c>
    </row>
    <row r="136" spans="2:11" outlineLevel="1">
      <c r="B136" s="95">
        <f t="shared" si="31"/>
        <v>46844</v>
      </c>
      <c r="C136" s="92">
        <v>514083.13956569135</v>
      </c>
      <c r="D136" s="88">
        <f>IF(F136&lt;&gt;0,VLOOKUP($J136,'Table 1'!$B$13:$C$33,2,FALSE)/12*1000*Study_MW,0)</f>
        <v>0</v>
      </c>
      <c r="E136" s="88">
        <f t="shared" si="32"/>
        <v>514083.13956569135</v>
      </c>
      <c r="F136" s="92">
        <v>20170.29</v>
      </c>
      <c r="G136" s="93">
        <f t="shared" si="33"/>
        <v>25.487146667980049</v>
      </c>
      <c r="I136" s="94">
        <f t="shared" si="39"/>
        <v>4</v>
      </c>
      <c r="J136" s="90">
        <f t="shared" si="34"/>
        <v>2028</v>
      </c>
      <c r="K136" s="95">
        <f t="shared" si="36"/>
        <v>46844</v>
      </c>
    </row>
    <row r="137" spans="2:11" outlineLevel="1">
      <c r="B137" s="95">
        <f t="shared" si="31"/>
        <v>46874</v>
      </c>
      <c r="C137" s="92">
        <v>473311.54905809462</v>
      </c>
      <c r="D137" s="88">
        <f>IF(F137&lt;&gt;0,VLOOKUP($J137,'Table 1'!$B$13:$C$33,2,FALSE)/12*1000*Study_MW,0)</f>
        <v>0</v>
      </c>
      <c r="E137" s="88">
        <f t="shared" si="32"/>
        <v>473311.54905809462</v>
      </c>
      <c r="F137" s="92">
        <v>23348.704000000002</v>
      </c>
      <c r="G137" s="93">
        <f t="shared" si="33"/>
        <v>20.271427016167348</v>
      </c>
      <c r="I137" s="94">
        <f t="shared" si="39"/>
        <v>5</v>
      </c>
      <c r="J137" s="90">
        <f t="shared" si="34"/>
        <v>2028</v>
      </c>
      <c r="K137" s="95">
        <f t="shared" si="36"/>
        <v>46874</v>
      </c>
    </row>
    <row r="138" spans="2:11" outlineLevel="1">
      <c r="B138" s="95">
        <f t="shared" si="31"/>
        <v>46905</v>
      </c>
      <c r="C138" s="92">
        <v>459103.28455799818</v>
      </c>
      <c r="D138" s="88">
        <f>IF(F138&lt;&gt;0,VLOOKUP($J138,'Table 1'!$B$13:$C$33,2,FALSE)/12*1000*Study_MW,0)</f>
        <v>0</v>
      </c>
      <c r="E138" s="88">
        <f t="shared" si="32"/>
        <v>459103.28455799818</v>
      </c>
      <c r="F138" s="92">
        <v>24805.35</v>
      </c>
      <c r="G138" s="93">
        <f t="shared" si="33"/>
        <v>18.50823651180081</v>
      </c>
      <c r="I138" s="94">
        <f t="shared" si="39"/>
        <v>6</v>
      </c>
      <c r="J138" s="90">
        <f t="shared" si="34"/>
        <v>2028</v>
      </c>
      <c r="K138" s="95">
        <f t="shared" si="36"/>
        <v>46905</v>
      </c>
    </row>
    <row r="139" spans="2:11" outlineLevel="1">
      <c r="B139" s="95">
        <f t="shared" si="31"/>
        <v>46935</v>
      </c>
      <c r="C139" s="92">
        <v>389691.06178560853</v>
      </c>
      <c r="D139" s="88">
        <f>IF(F139&lt;&gt;0,VLOOKUP($J139,'Table 1'!$B$13:$C$33,2,FALSE)/12*1000*Study_MW,0)</f>
        <v>0</v>
      </c>
      <c r="E139" s="88">
        <f t="shared" si="32"/>
        <v>389691.06178560853</v>
      </c>
      <c r="F139" s="92">
        <v>22451.998</v>
      </c>
      <c r="G139" s="93">
        <f t="shared" si="33"/>
        <v>17.356631769947981</v>
      </c>
      <c r="I139" s="94">
        <f t="shared" si="39"/>
        <v>7</v>
      </c>
      <c r="J139" s="90">
        <f t="shared" si="34"/>
        <v>2028</v>
      </c>
      <c r="K139" s="95">
        <f t="shared" si="36"/>
        <v>46935</v>
      </c>
    </row>
    <row r="140" spans="2:11" outlineLevel="1">
      <c r="B140" s="95">
        <f t="shared" si="31"/>
        <v>46966</v>
      </c>
      <c r="C140" s="92">
        <v>484103.21751388907</v>
      </c>
      <c r="D140" s="88">
        <f>IF(F140&lt;&gt;0,VLOOKUP($J140,'Table 1'!$B$13:$C$33,2,FALSE)/12*1000*Study_MW,0)</f>
        <v>0</v>
      </c>
      <c r="E140" s="88">
        <f t="shared" si="32"/>
        <v>484103.21751388907</v>
      </c>
      <c r="F140" s="92">
        <v>22488.546999999999</v>
      </c>
      <c r="G140" s="93">
        <f t="shared" si="33"/>
        <v>21.526656102499157</v>
      </c>
      <c r="I140" s="94">
        <f t="shared" si="39"/>
        <v>8</v>
      </c>
      <c r="J140" s="90">
        <f t="shared" si="34"/>
        <v>2028</v>
      </c>
      <c r="K140" s="95">
        <f t="shared" si="36"/>
        <v>46966</v>
      </c>
    </row>
    <row r="141" spans="2:11" outlineLevel="1">
      <c r="B141" s="95">
        <f t="shared" si="31"/>
        <v>46997</v>
      </c>
      <c r="C141" s="92">
        <v>578603.51202353835</v>
      </c>
      <c r="D141" s="88">
        <f>IF(F141&lt;&gt;0,VLOOKUP($J141,'Table 1'!$B$13:$C$33,2,FALSE)/12*1000*Study_MW,0)</f>
        <v>0</v>
      </c>
      <c r="E141" s="88">
        <f t="shared" si="32"/>
        <v>578603.51202353835</v>
      </c>
      <c r="F141" s="92">
        <v>19823.400000000001</v>
      </c>
      <c r="G141" s="93">
        <f t="shared" si="33"/>
        <v>29.187904800565914</v>
      </c>
      <c r="I141" s="94">
        <f t="shared" si="39"/>
        <v>9</v>
      </c>
      <c r="J141" s="90">
        <f t="shared" si="34"/>
        <v>2028</v>
      </c>
      <c r="K141" s="95">
        <f t="shared" si="36"/>
        <v>46997</v>
      </c>
    </row>
    <row r="142" spans="2:11" outlineLevel="1">
      <c r="B142" s="95">
        <f t="shared" ref="B142:B205" si="40">EDATE(B141,1)</f>
        <v>47027</v>
      </c>
      <c r="C142" s="92">
        <v>481263.77385431528</v>
      </c>
      <c r="D142" s="88">
        <f>IF(F142&lt;&gt;0,VLOOKUP($J142,'Table 1'!$B$13:$C$33,2,FALSE)/12*1000*Study_MW,0)</f>
        <v>0</v>
      </c>
      <c r="E142" s="88">
        <f t="shared" ref="E142:E205" si="41">C142+D142</f>
        <v>481263.77385431528</v>
      </c>
      <c r="F142" s="92">
        <v>16071.33</v>
      </c>
      <c r="G142" s="93">
        <f t="shared" ref="G142:G192" si="42">IF(ISNUMBER($F142),E142/$F142,"")</f>
        <v>29.945485149910759</v>
      </c>
      <c r="I142" s="94">
        <f t="shared" si="39"/>
        <v>10</v>
      </c>
      <c r="J142" s="90">
        <f t="shared" ref="J142:J205" si="43">YEAR(B142)</f>
        <v>2028</v>
      </c>
      <c r="K142" s="95">
        <f t="shared" si="36"/>
        <v>47027</v>
      </c>
    </row>
    <row r="143" spans="2:11" outlineLevel="1">
      <c r="B143" s="95">
        <f t="shared" si="40"/>
        <v>47058</v>
      </c>
      <c r="C143" s="92">
        <v>275919.93676972389</v>
      </c>
      <c r="D143" s="88">
        <f>IF(F143&lt;&gt;0,VLOOKUP($J143,'Table 1'!$B$13:$C$33,2,FALSE)/12*1000*Study_MW,0)</f>
        <v>0</v>
      </c>
      <c r="E143" s="88">
        <f t="shared" si="41"/>
        <v>275919.93676972389</v>
      </c>
      <c r="F143" s="92">
        <v>10824.72</v>
      </c>
      <c r="G143" s="93">
        <f t="shared" si="42"/>
        <v>25.48979897583715</v>
      </c>
      <c r="I143" s="94">
        <f t="shared" si="39"/>
        <v>11</v>
      </c>
      <c r="J143" s="90">
        <f t="shared" si="43"/>
        <v>2028</v>
      </c>
      <c r="K143" s="95">
        <f t="shared" si="36"/>
        <v>47058</v>
      </c>
    </row>
    <row r="144" spans="2:11" outlineLevel="1">
      <c r="B144" s="99">
        <f t="shared" si="40"/>
        <v>47088</v>
      </c>
      <c r="C144" s="96">
        <v>168481.74267402291</v>
      </c>
      <c r="D144" s="97">
        <f>IF(F144&lt;&gt;0,VLOOKUP($J144,'Table 1'!$B$13:$C$33,2,FALSE)/12*1000*Study_MW,0)</f>
        <v>0</v>
      </c>
      <c r="E144" s="97">
        <f t="shared" si="41"/>
        <v>168481.74267402291</v>
      </c>
      <c r="F144" s="96">
        <v>8350.9349999999995</v>
      </c>
      <c r="G144" s="98">
        <f t="shared" si="42"/>
        <v>20.175195073847771</v>
      </c>
      <c r="I144" s="81">
        <f t="shared" si="39"/>
        <v>12</v>
      </c>
      <c r="J144" s="90">
        <f t="shared" si="43"/>
        <v>2028</v>
      </c>
      <c r="K144" s="99">
        <f t="shared" si="36"/>
        <v>47088</v>
      </c>
    </row>
    <row r="145" spans="2:11" outlineLevel="1">
      <c r="B145" s="91">
        <f t="shared" si="40"/>
        <v>47119</v>
      </c>
      <c r="C145" s="86">
        <v>346896.71390688419</v>
      </c>
      <c r="D145" s="87">
        <f>IF(F145&lt;&gt;0,VLOOKUP($J145,'Table 1'!$B$13:$C$33,2,FALSE)/12*1000*Study_MW,0)</f>
        <v>0</v>
      </c>
      <c r="E145" s="87">
        <f t="shared" si="41"/>
        <v>346896.71390688419</v>
      </c>
      <c r="F145" s="86">
        <v>9968.9179999999997</v>
      </c>
      <c r="G145" s="89">
        <f t="shared" si="42"/>
        <v>34.7978300059128</v>
      </c>
      <c r="I145" s="77">
        <f>I25</f>
        <v>14</v>
      </c>
      <c r="J145" s="90">
        <f t="shared" si="43"/>
        <v>2029</v>
      </c>
      <c r="K145" s="91">
        <f t="shared" si="36"/>
        <v>47119</v>
      </c>
    </row>
    <row r="146" spans="2:11" outlineLevel="1">
      <c r="B146" s="95">
        <f t="shared" si="40"/>
        <v>47150</v>
      </c>
      <c r="C146" s="92">
        <v>339958.08365061879</v>
      </c>
      <c r="D146" s="88">
        <f>IF(F146&lt;&gt;0,VLOOKUP($J146,'Table 1'!$B$13:$C$33,2,FALSE)/12*1000*Study_MW,0)</f>
        <v>0</v>
      </c>
      <c r="E146" s="88">
        <f t="shared" si="41"/>
        <v>339958.08365061879</v>
      </c>
      <c r="F146" s="92">
        <v>11157.02</v>
      </c>
      <c r="G146" s="93">
        <f t="shared" si="42"/>
        <v>30.470330218160296</v>
      </c>
      <c r="I146" s="94">
        <f t="shared" si="39"/>
        <v>15</v>
      </c>
      <c r="J146" s="90">
        <f t="shared" si="43"/>
        <v>2029</v>
      </c>
      <c r="K146" s="95">
        <f t="shared" si="36"/>
        <v>47150</v>
      </c>
    </row>
    <row r="147" spans="2:11" outlineLevel="1">
      <c r="B147" s="95">
        <f t="shared" si="40"/>
        <v>47178</v>
      </c>
      <c r="C147" s="92">
        <v>485605.14676597714</v>
      </c>
      <c r="D147" s="88">
        <f>IF(F147&lt;&gt;0,VLOOKUP($J147,'Table 1'!$B$13:$C$33,2,FALSE)/12*1000*Study_MW,0)</f>
        <v>0</v>
      </c>
      <c r="E147" s="88">
        <f t="shared" si="41"/>
        <v>485605.14676597714</v>
      </c>
      <c r="F147" s="92">
        <v>17376.089</v>
      </c>
      <c r="G147" s="93">
        <f t="shared" si="42"/>
        <v>27.946746058101862</v>
      </c>
      <c r="I147" s="94">
        <f t="shared" si="39"/>
        <v>16</v>
      </c>
      <c r="J147" s="90">
        <f t="shared" si="43"/>
        <v>2029</v>
      </c>
      <c r="K147" s="95">
        <f t="shared" si="36"/>
        <v>47178</v>
      </c>
    </row>
    <row r="148" spans="2:11" outlineLevel="1">
      <c r="B148" s="95">
        <f t="shared" si="40"/>
        <v>47209</v>
      </c>
      <c r="C148" s="92">
        <v>574341.64219143987</v>
      </c>
      <c r="D148" s="88">
        <f>IF(F148&lt;&gt;0,VLOOKUP($J148,'Table 1'!$B$13:$C$33,2,FALSE)/12*1000*Study_MW,0)</f>
        <v>0</v>
      </c>
      <c r="E148" s="88">
        <f t="shared" si="41"/>
        <v>574341.64219143987</v>
      </c>
      <c r="F148" s="92">
        <v>20069.46</v>
      </c>
      <c r="G148" s="93">
        <f t="shared" si="42"/>
        <v>28.617692862261361</v>
      </c>
      <c r="I148" s="94">
        <f t="shared" si="39"/>
        <v>17</v>
      </c>
      <c r="J148" s="90">
        <f t="shared" si="43"/>
        <v>2029</v>
      </c>
      <c r="K148" s="95">
        <f t="shared" si="36"/>
        <v>47209</v>
      </c>
    </row>
    <row r="149" spans="2:11" outlineLevel="1">
      <c r="B149" s="95">
        <f t="shared" si="40"/>
        <v>47239</v>
      </c>
      <c r="C149" s="92">
        <v>500618.56857547164</v>
      </c>
      <c r="D149" s="88">
        <f>IF(F149&lt;&gt;0,VLOOKUP($J149,'Table 1'!$B$13:$C$33,2,FALSE)/12*1000*Study_MW,0)</f>
        <v>0</v>
      </c>
      <c r="E149" s="88">
        <f t="shared" si="41"/>
        <v>500618.56857547164</v>
      </c>
      <c r="F149" s="92">
        <v>23231.927</v>
      </c>
      <c r="G149" s="93">
        <f t="shared" si="42"/>
        <v>21.548731991774581</v>
      </c>
      <c r="I149" s="94">
        <f t="shared" si="39"/>
        <v>18</v>
      </c>
      <c r="J149" s="90">
        <f t="shared" si="43"/>
        <v>2029</v>
      </c>
      <c r="K149" s="95">
        <f t="shared" si="36"/>
        <v>47239</v>
      </c>
    </row>
    <row r="150" spans="2:11" outlineLevel="1">
      <c r="B150" s="95">
        <f t="shared" si="40"/>
        <v>47270</v>
      </c>
      <c r="C150" s="92">
        <v>475588.45044088364</v>
      </c>
      <c r="D150" s="88">
        <f>IF(F150&lt;&gt;0,VLOOKUP($J150,'Table 1'!$B$13:$C$33,2,FALSE)/12*1000*Study_MW,0)</f>
        <v>0</v>
      </c>
      <c r="E150" s="88">
        <f t="shared" si="41"/>
        <v>475588.45044088364</v>
      </c>
      <c r="F150" s="92">
        <v>24681.360000000001</v>
      </c>
      <c r="G150" s="93">
        <f t="shared" si="42"/>
        <v>19.269134700878865</v>
      </c>
      <c r="I150" s="94">
        <f t="shared" si="39"/>
        <v>19</v>
      </c>
      <c r="J150" s="90">
        <f t="shared" si="43"/>
        <v>2029</v>
      </c>
      <c r="K150" s="95">
        <f t="shared" si="36"/>
        <v>47270</v>
      </c>
    </row>
    <row r="151" spans="2:11" outlineLevel="1">
      <c r="B151" s="95">
        <f t="shared" si="40"/>
        <v>47300</v>
      </c>
      <c r="C151" s="92">
        <v>330763.03637430072</v>
      </c>
      <c r="D151" s="88">
        <f>IF(F151&lt;&gt;0,VLOOKUP($J151,'Table 1'!$B$13:$C$33,2,FALSE)/12*1000*Study_MW,0)</f>
        <v>0</v>
      </c>
      <c r="E151" s="88">
        <f t="shared" si="41"/>
        <v>330763.03637430072</v>
      </c>
      <c r="F151" s="92">
        <v>22339.746999999999</v>
      </c>
      <c r="G151" s="93">
        <f t="shared" si="42"/>
        <v>14.806033227426466</v>
      </c>
      <c r="I151" s="94">
        <f t="shared" si="39"/>
        <v>20</v>
      </c>
      <c r="J151" s="90">
        <f t="shared" si="43"/>
        <v>2029</v>
      </c>
      <c r="K151" s="95">
        <f t="shared" si="36"/>
        <v>47300</v>
      </c>
    </row>
    <row r="152" spans="2:11" outlineLevel="1">
      <c r="B152" s="95">
        <f t="shared" si="40"/>
        <v>47331</v>
      </c>
      <c r="C152" s="92">
        <v>396752.67232191563</v>
      </c>
      <c r="D152" s="88">
        <f>IF(F152&lt;&gt;0,VLOOKUP($J152,'Table 1'!$B$13:$C$33,2,FALSE)/12*1000*Study_MW,0)</f>
        <v>0</v>
      </c>
      <c r="E152" s="88">
        <f t="shared" si="41"/>
        <v>396752.67232191563</v>
      </c>
      <c r="F152" s="92">
        <v>22376.017</v>
      </c>
      <c r="G152" s="93">
        <f t="shared" si="42"/>
        <v>17.731157083135734</v>
      </c>
      <c r="I152" s="94">
        <f t="shared" si="39"/>
        <v>21</v>
      </c>
      <c r="J152" s="90">
        <f t="shared" si="43"/>
        <v>2029</v>
      </c>
      <c r="K152" s="95">
        <f t="shared" si="36"/>
        <v>47331</v>
      </c>
    </row>
    <row r="153" spans="2:11" outlineLevel="1">
      <c r="B153" s="95">
        <f t="shared" si="40"/>
        <v>47362</v>
      </c>
      <c r="C153" s="92">
        <v>600975.57508406043</v>
      </c>
      <c r="D153" s="88">
        <f>IF(F153&lt;&gt;0,VLOOKUP($J153,'Table 1'!$B$13:$C$33,2,FALSE)/12*1000*Study_MW,0)</f>
        <v>0</v>
      </c>
      <c r="E153" s="88">
        <f t="shared" si="41"/>
        <v>600975.57508406043</v>
      </c>
      <c r="F153" s="92">
        <v>19724.25</v>
      </c>
      <c r="G153" s="93">
        <f t="shared" si="42"/>
        <v>30.468868275552197</v>
      </c>
      <c r="I153" s="94">
        <f t="shared" si="39"/>
        <v>22</v>
      </c>
      <c r="J153" s="90">
        <f t="shared" si="43"/>
        <v>2029</v>
      </c>
      <c r="K153" s="95">
        <f t="shared" si="36"/>
        <v>47362</v>
      </c>
    </row>
    <row r="154" spans="2:11" outlineLevel="1">
      <c r="B154" s="95">
        <f t="shared" si="40"/>
        <v>47392</v>
      </c>
      <c r="C154" s="92">
        <v>472642.91031911969</v>
      </c>
      <c r="D154" s="88">
        <f>IF(F154&lt;&gt;0,VLOOKUP($J154,'Table 1'!$B$13:$C$33,2,FALSE)/12*1000*Study_MW,0)</f>
        <v>0</v>
      </c>
      <c r="E154" s="88">
        <f t="shared" si="41"/>
        <v>472642.91031911969</v>
      </c>
      <c r="F154" s="92">
        <v>15990.915999999999</v>
      </c>
      <c r="G154" s="93">
        <f t="shared" si="42"/>
        <v>29.556962860609094</v>
      </c>
      <c r="I154" s="94">
        <f t="shared" si="39"/>
        <v>23</v>
      </c>
      <c r="J154" s="90">
        <f t="shared" si="43"/>
        <v>2029</v>
      </c>
      <c r="K154" s="95">
        <f t="shared" ref="K154:K216" si="44">IF(ISNUMBER(F154),IF(F154&lt;&gt;0,B154,""),"")</f>
        <v>47392</v>
      </c>
    </row>
    <row r="155" spans="2:11" outlineLevel="1">
      <c r="B155" s="95">
        <f t="shared" si="40"/>
        <v>47423</v>
      </c>
      <c r="C155" s="92">
        <v>363112.39059430361</v>
      </c>
      <c r="D155" s="88">
        <f>IF(F155&lt;&gt;0,VLOOKUP($J155,'Table 1'!$B$13:$C$33,2,FALSE)/12*1000*Study_MW,0)</f>
        <v>0</v>
      </c>
      <c r="E155" s="88">
        <f t="shared" si="41"/>
        <v>363112.39059430361</v>
      </c>
      <c r="F155" s="92">
        <v>10770.57</v>
      </c>
      <c r="G155" s="93">
        <f t="shared" si="42"/>
        <v>33.713386626177041</v>
      </c>
      <c r="I155" s="94">
        <f t="shared" si="39"/>
        <v>24</v>
      </c>
      <c r="J155" s="90">
        <f t="shared" si="43"/>
        <v>2029</v>
      </c>
      <c r="K155" s="95">
        <f t="shared" si="44"/>
        <v>47423</v>
      </c>
    </row>
    <row r="156" spans="2:11" outlineLevel="1">
      <c r="B156" s="99">
        <f t="shared" si="40"/>
        <v>47453</v>
      </c>
      <c r="C156" s="96">
        <v>236706.04998984933</v>
      </c>
      <c r="D156" s="97">
        <f>IF(F156&lt;&gt;0,VLOOKUP($J156,'Table 1'!$B$13:$C$33,2,FALSE)/12*1000*Study_MW,0)</f>
        <v>0</v>
      </c>
      <c r="E156" s="97">
        <f t="shared" si="41"/>
        <v>236706.04998984933</v>
      </c>
      <c r="F156" s="96">
        <v>8309.1779999999999</v>
      </c>
      <c r="G156" s="98">
        <f t="shared" si="42"/>
        <v>28.487300427292485</v>
      </c>
      <c r="I156" s="81">
        <f t="shared" si="39"/>
        <v>25</v>
      </c>
      <c r="J156" s="90">
        <f t="shared" si="43"/>
        <v>2029</v>
      </c>
      <c r="K156" s="99">
        <f t="shared" si="44"/>
        <v>47453</v>
      </c>
    </row>
    <row r="157" spans="2:11" outlineLevel="1">
      <c r="B157" s="91">
        <f t="shared" si="40"/>
        <v>47484</v>
      </c>
      <c r="C157" s="86">
        <v>374159.0303632915</v>
      </c>
      <c r="D157" s="87">
        <f>IF(F157&lt;&gt;0,VLOOKUP($J157,'Table 1'!$B$13:$C$33,2,FALSE)/12*1000*Study_MW,0)</f>
        <v>0</v>
      </c>
      <c r="E157" s="87">
        <f t="shared" si="41"/>
        <v>374159.0303632915</v>
      </c>
      <c r="F157" s="86">
        <v>9919.0390000000007</v>
      </c>
      <c r="G157" s="89">
        <f t="shared" si="42"/>
        <v>37.721298440634371</v>
      </c>
      <c r="I157" s="77">
        <f>I37</f>
        <v>27</v>
      </c>
      <c r="J157" s="90">
        <f t="shared" si="43"/>
        <v>2030</v>
      </c>
      <c r="K157" s="91">
        <f t="shared" si="44"/>
        <v>47484</v>
      </c>
    </row>
    <row r="158" spans="2:11" outlineLevel="1">
      <c r="B158" s="95">
        <f t="shared" si="40"/>
        <v>47515</v>
      </c>
      <c r="C158" s="92">
        <v>319077.68429511786</v>
      </c>
      <c r="D158" s="88">
        <f>IF(F158&lt;&gt;0,VLOOKUP($J158,'Table 1'!$B$13:$C$33,2,FALSE)/12*1000*Study_MW,0)</f>
        <v>0</v>
      </c>
      <c r="E158" s="88">
        <f t="shared" si="41"/>
        <v>319077.68429511786</v>
      </c>
      <c r="F158" s="92">
        <v>11101.244000000001</v>
      </c>
      <c r="G158" s="93">
        <f t="shared" si="42"/>
        <v>28.742516090549657</v>
      </c>
      <c r="I158" s="94">
        <f t="shared" si="39"/>
        <v>28</v>
      </c>
      <c r="J158" s="90">
        <f t="shared" si="43"/>
        <v>2030</v>
      </c>
      <c r="K158" s="95">
        <f t="shared" si="44"/>
        <v>47515</v>
      </c>
    </row>
    <row r="159" spans="2:11" outlineLevel="1">
      <c r="B159" s="95">
        <f t="shared" si="40"/>
        <v>47543</v>
      </c>
      <c r="C159" s="92">
        <v>526210.20251619816</v>
      </c>
      <c r="D159" s="88">
        <f>IF(F159&lt;&gt;0,VLOOKUP($J159,'Table 1'!$B$13:$C$33,2,FALSE)/12*1000*Study_MW,0)</f>
        <v>0</v>
      </c>
      <c r="E159" s="88">
        <f t="shared" si="41"/>
        <v>526210.20251619816</v>
      </c>
      <c r="F159" s="92">
        <v>17289.258000000002</v>
      </c>
      <c r="G159" s="93">
        <f t="shared" si="42"/>
        <v>30.435672977764465</v>
      </c>
      <c r="I159" s="94">
        <f t="shared" si="39"/>
        <v>29</v>
      </c>
      <c r="J159" s="90">
        <f t="shared" si="43"/>
        <v>2030</v>
      </c>
      <c r="K159" s="95">
        <f t="shared" si="44"/>
        <v>47543</v>
      </c>
    </row>
    <row r="160" spans="2:11" outlineLevel="1">
      <c r="B160" s="95">
        <f t="shared" si="40"/>
        <v>47574</v>
      </c>
      <c r="C160" s="92">
        <v>577630.34390771389</v>
      </c>
      <c r="D160" s="88">
        <f>IF(F160&lt;&gt;0,VLOOKUP($J160,'Table 1'!$B$13:$C$33,2,FALSE)/12*1000*Study_MW,0)</f>
        <v>0</v>
      </c>
      <c r="E160" s="88">
        <f t="shared" si="41"/>
        <v>577630.34390771389</v>
      </c>
      <c r="F160" s="92">
        <v>19969.11</v>
      </c>
      <c r="G160" s="93">
        <f t="shared" si="42"/>
        <v>28.92619370155775</v>
      </c>
      <c r="I160" s="94">
        <f t="shared" si="39"/>
        <v>30</v>
      </c>
      <c r="J160" s="90">
        <f t="shared" si="43"/>
        <v>2030</v>
      </c>
      <c r="K160" s="95">
        <f t="shared" si="44"/>
        <v>47574</v>
      </c>
    </row>
    <row r="161" spans="2:11" outlineLevel="1">
      <c r="B161" s="95">
        <f t="shared" si="40"/>
        <v>47604</v>
      </c>
      <c r="C161" s="92">
        <v>514034.89043945074</v>
      </c>
      <c r="D161" s="88">
        <f>IF(F161&lt;&gt;0,VLOOKUP($J161,'Table 1'!$B$13:$C$33,2,FALSE)/12*1000*Study_MW,0)</f>
        <v>0</v>
      </c>
      <c r="E161" s="88">
        <f t="shared" si="41"/>
        <v>514034.89043945074</v>
      </c>
      <c r="F161" s="92">
        <v>23115.739000000001</v>
      </c>
      <c r="G161" s="93">
        <f t="shared" si="42"/>
        <v>22.237441357139858</v>
      </c>
      <c r="I161" s="94">
        <f t="shared" si="39"/>
        <v>31</v>
      </c>
      <c r="J161" s="90">
        <f t="shared" si="43"/>
        <v>2030</v>
      </c>
      <c r="K161" s="95">
        <f t="shared" si="44"/>
        <v>47604</v>
      </c>
    </row>
    <row r="162" spans="2:11" outlineLevel="1">
      <c r="B162" s="95">
        <f t="shared" si="40"/>
        <v>47635</v>
      </c>
      <c r="C162" s="92">
        <v>497466.26879352331</v>
      </c>
      <c r="D162" s="88">
        <f>IF(F162&lt;&gt;0,VLOOKUP($J162,'Table 1'!$B$13:$C$33,2,FALSE)/12*1000*Study_MW,0)</f>
        <v>0</v>
      </c>
      <c r="E162" s="88">
        <f t="shared" si="41"/>
        <v>497466.26879352331</v>
      </c>
      <c r="F162" s="92">
        <v>24557.85</v>
      </c>
      <c r="G162" s="93">
        <f t="shared" si="42"/>
        <v>20.256914542336702</v>
      </c>
      <c r="I162" s="94">
        <f t="shared" si="39"/>
        <v>32</v>
      </c>
      <c r="J162" s="90">
        <f t="shared" si="43"/>
        <v>2030</v>
      </c>
      <c r="K162" s="95">
        <f t="shared" si="44"/>
        <v>47635</v>
      </c>
    </row>
    <row r="163" spans="2:11" outlineLevel="1">
      <c r="B163" s="95">
        <f t="shared" si="40"/>
        <v>47665</v>
      </c>
      <c r="C163" s="92">
        <v>313180.76330220699</v>
      </c>
      <c r="D163" s="88">
        <f>IF(F163&lt;&gt;0,VLOOKUP($J163,'Table 1'!$B$13:$C$33,2,FALSE)/12*1000*Study_MW,0)</f>
        <v>0</v>
      </c>
      <c r="E163" s="88">
        <f t="shared" si="41"/>
        <v>313180.76330220699</v>
      </c>
      <c r="F163" s="92">
        <v>22228.084999999999</v>
      </c>
      <c r="G163" s="93">
        <f t="shared" si="42"/>
        <v>14.089417208104386</v>
      </c>
      <c r="I163" s="94">
        <f t="shared" si="39"/>
        <v>33</v>
      </c>
      <c r="J163" s="90">
        <f t="shared" si="43"/>
        <v>2030</v>
      </c>
      <c r="K163" s="95">
        <f t="shared" si="44"/>
        <v>47665</v>
      </c>
    </row>
    <row r="164" spans="2:11" outlineLevel="1">
      <c r="B164" s="95">
        <f t="shared" si="40"/>
        <v>47696</v>
      </c>
      <c r="C164" s="92">
        <v>386511.19398653507</v>
      </c>
      <c r="D164" s="88">
        <f>IF(F164&lt;&gt;0,VLOOKUP($J164,'Table 1'!$B$13:$C$33,2,FALSE)/12*1000*Study_MW,0)</f>
        <v>0</v>
      </c>
      <c r="E164" s="88">
        <f t="shared" si="41"/>
        <v>386511.19398653507</v>
      </c>
      <c r="F164" s="92">
        <v>22264.231</v>
      </c>
      <c r="G164" s="93">
        <f t="shared" si="42"/>
        <v>17.360186120353095</v>
      </c>
      <c r="I164" s="94">
        <f t="shared" si="39"/>
        <v>34</v>
      </c>
      <c r="J164" s="90">
        <f t="shared" si="43"/>
        <v>2030</v>
      </c>
      <c r="K164" s="95">
        <f t="shared" si="44"/>
        <v>47696</v>
      </c>
    </row>
    <row r="165" spans="2:11" outlineLevel="1">
      <c r="B165" s="95">
        <f t="shared" si="40"/>
        <v>47727</v>
      </c>
      <c r="C165" s="92">
        <v>585580.02812203765</v>
      </c>
      <c r="D165" s="88">
        <f>IF(F165&lt;&gt;0,VLOOKUP($J165,'Table 1'!$B$13:$C$33,2,FALSE)/12*1000*Study_MW,0)</f>
        <v>0</v>
      </c>
      <c r="E165" s="88">
        <f t="shared" si="41"/>
        <v>585580.02812203765</v>
      </c>
      <c r="F165" s="92">
        <v>19625.669999999998</v>
      </c>
      <c r="G165" s="93">
        <f t="shared" si="42"/>
        <v>29.837454116065221</v>
      </c>
      <c r="I165" s="94">
        <f t="shared" si="39"/>
        <v>35</v>
      </c>
      <c r="J165" s="90">
        <f t="shared" si="43"/>
        <v>2030</v>
      </c>
      <c r="K165" s="95">
        <f t="shared" si="44"/>
        <v>47727</v>
      </c>
    </row>
    <row r="166" spans="2:11" outlineLevel="1">
      <c r="B166" s="95">
        <f t="shared" si="40"/>
        <v>47757</v>
      </c>
      <c r="C166" s="92">
        <v>508780.11734125018</v>
      </c>
      <c r="D166" s="88">
        <f>IF(F166&lt;&gt;0,VLOOKUP($J166,'Table 1'!$B$13:$C$33,2,FALSE)/12*1000*Study_MW,0)</f>
        <v>0</v>
      </c>
      <c r="E166" s="88">
        <f t="shared" si="41"/>
        <v>508780.11734125018</v>
      </c>
      <c r="F166" s="92">
        <v>15910.967000000001</v>
      </c>
      <c r="G166" s="93">
        <f t="shared" si="42"/>
        <v>31.976693644154384</v>
      </c>
      <c r="I166" s="94">
        <f t="shared" si="39"/>
        <v>36</v>
      </c>
      <c r="J166" s="90">
        <f t="shared" si="43"/>
        <v>2030</v>
      </c>
      <c r="K166" s="95">
        <f t="shared" si="44"/>
        <v>47757</v>
      </c>
    </row>
    <row r="167" spans="2:11" outlineLevel="1">
      <c r="B167" s="95">
        <f t="shared" si="40"/>
        <v>47788</v>
      </c>
      <c r="C167" s="92">
        <v>276136.41502144933</v>
      </c>
      <c r="D167" s="88">
        <f>IF(F167&lt;&gt;0,VLOOKUP($J167,'Table 1'!$B$13:$C$33,2,FALSE)/12*1000*Study_MW,0)</f>
        <v>0</v>
      </c>
      <c r="E167" s="88">
        <f t="shared" si="41"/>
        <v>276136.41502144933</v>
      </c>
      <c r="F167" s="92">
        <v>10716.72</v>
      </c>
      <c r="G167" s="93">
        <f t="shared" si="42"/>
        <v>25.766877834024715</v>
      </c>
      <c r="I167" s="94">
        <f t="shared" si="39"/>
        <v>37</v>
      </c>
      <c r="J167" s="90">
        <f t="shared" si="43"/>
        <v>2030</v>
      </c>
      <c r="K167" s="95">
        <f t="shared" si="44"/>
        <v>47788</v>
      </c>
    </row>
    <row r="168" spans="2:11" outlineLevel="1">
      <c r="B168" s="99">
        <f t="shared" si="40"/>
        <v>47818</v>
      </c>
      <c r="C168" s="96">
        <v>238514.84002193809</v>
      </c>
      <c r="D168" s="97">
        <f>IF(F168&lt;&gt;0,VLOOKUP($J168,'Table 1'!$B$13:$C$33,2,FALSE)/12*1000*Study_MW,0)</f>
        <v>0</v>
      </c>
      <c r="E168" s="97">
        <f t="shared" si="41"/>
        <v>238514.84002193809</v>
      </c>
      <c r="F168" s="96">
        <v>8267.5759999999991</v>
      </c>
      <c r="G168" s="98">
        <f t="shared" si="42"/>
        <v>28.849428178457398</v>
      </c>
      <c r="I168" s="81">
        <f t="shared" si="39"/>
        <v>38</v>
      </c>
      <c r="J168" s="90">
        <f t="shared" si="43"/>
        <v>2030</v>
      </c>
      <c r="K168" s="99">
        <f t="shared" si="44"/>
        <v>47818</v>
      </c>
    </row>
    <row r="169" spans="2:11" outlineLevel="1">
      <c r="B169" s="91">
        <f t="shared" si="40"/>
        <v>47849</v>
      </c>
      <c r="C169" s="86">
        <v>388411.30427500606</v>
      </c>
      <c r="D169" s="87">
        <f>IF(F169&lt;&gt;0,VLOOKUP($J169,'Table 1'!$B$13:$C$33,2,FALSE)/12*1000*Study_MW,0)</f>
        <v>0</v>
      </c>
      <c r="E169" s="87">
        <f t="shared" si="41"/>
        <v>388411.30427500606</v>
      </c>
      <c r="F169" s="86">
        <v>9869.4699999999993</v>
      </c>
      <c r="G169" s="89">
        <f t="shared" si="42"/>
        <v>39.354829010575649</v>
      </c>
      <c r="I169" s="77">
        <f>I49</f>
        <v>40</v>
      </c>
      <c r="J169" s="90">
        <f t="shared" si="43"/>
        <v>2031</v>
      </c>
      <c r="K169" s="91">
        <f t="shared" si="44"/>
        <v>47849</v>
      </c>
    </row>
    <row r="170" spans="2:11" outlineLevel="1">
      <c r="B170" s="95">
        <f t="shared" si="40"/>
        <v>47880</v>
      </c>
      <c r="C170" s="92">
        <v>342844.87775537372</v>
      </c>
      <c r="D170" s="88">
        <f>IF(F170&lt;&gt;0,VLOOKUP($J170,'Table 1'!$B$13:$C$33,2,FALSE)/12*1000*Study_MW,0)</f>
        <v>0</v>
      </c>
      <c r="E170" s="88">
        <f t="shared" si="41"/>
        <v>342844.87775537372</v>
      </c>
      <c r="F170" s="92">
        <v>11045.664000000001</v>
      </c>
      <c r="G170" s="93">
        <f t="shared" si="42"/>
        <v>31.038865364307089</v>
      </c>
      <c r="I170" s="94">
        <f t="shared" si="39"/>
        <v>41</v>
      </c>
      <c r="J170" s="90">
        <f t="shared" si="43"/>
        <v>2031</v>
      </c>
      <c r="K170" s="95">
        <f t="shared" si="44"/>
        <v>47880</v>
      </c>
    </row>
    <row r="171" spans="2:11" outlineLevel="1">
      <c r="B171" s="95">
        <f t="shared" si="40"/>
        <v>47908</v>
      </c>
      <c r="C171" s="92">
        <v>531418.20801636577</v>
      </c>
      <c r="D171" s="88">
        <f>IF(F171&lt;&gt;0,VLOOKUP($J171,'Table 1'!$B$13:$C$33,2,FALSE)/12*1000*Study_MW,0)</f>
        <v>0</v>
      </c>
      <c r="E171" s="88">
        <f t="shared" si="41"/>
        <v>531418.20801636577</v>
      </c>
      <c r="F171" s="92">
        <v>17202.737000000001</v>
      </c>
      <c r="G171" s="93">
        <f t="shared" si="42"/>
        <v>30.891491744387288</v>
      </c>
      <c r="I171" s="94">
        <f t="shared" si="39"/>
        <v>42</v>
      </c>
      <c r="J171" s="90">
        <f t="shared" si="43"/>
        <v>2031</v>
      </c>
      <c r="K171" s="95">
        <f t="shared" si="44"/>
        <v>47908</v>
      </c>
    </row>
    <row r="172" spans="2:11" outlineLevel="1">
      <c r="B172" s="95">
        <f t="shared" si="40"/>
        <v>47939</v>
      </c>
      <c r="C172" s="92">
        <v>604297.51524657011</v>
      </c>
      <c r="D172" s="88">
        <f>IF(F172&lt;&gt;0,VLOOKUP($J172,'Table 1'!$B$13:$C$33,2,FALSE)/12*1000*Study_MW,0)</f>
        <v>0</v>
      </c>
      <c r="E172" s="88">
        <f t="shared" si="41"/>
        <v>604297.51524657011</v>
      </c>
      <c r="F172" s="92">
        <v>19869.27</v>
      </c>
      <c r="G172" s="93">
        <f t="shared" si="42"/>
        <v>30.413674747314325</v>
      </c>
      <c r="I172" s="94">
        <f t="shared" si="39"/>
        <v>43</v>
      </c>
      <c r="J172" s="90">
        <f t="shared" si="43"/>
        <v>2031</v>
      </c>
      <c r="K172" s="95">
        <f t="shared" si="44"/>
        <v>47939</v>
      </c>
    </row>
    <row r="173" spans="2:11" outlineLevel="1">
      <c r="B173" s="95">
        <f t="shared" si="40"/>
        <v>47969</v>
      </c>
      <c r="C173" s="92">
        <v>544514.91421440244</v>
      </c>
      <c r="D173" s="88">
        <f>IF(F173&lt;&gt;0,VLOOKUP($J173,'Table 1'!$B$13:$C$33,2,FALSE)/12*1000*Study_MW,0)</f>
        <v>0</v>
      </c>
      <c r="E173" s="88">
        <f t="shared" si="41"/>
        <v>544514.91421440244</v>
      </c>
      <c r="F173" s="92">
        <v>23000.170999999998</v>
      </c>
      <c r="G173" s="93">
        <f t="shared" si="42"/>
        <v>23.674385473673325</v>
      </c>
      <c r="I173" s="94">
        <f t="shared" si="39"/>
        <v>44</v>
      </c>
      <c r="J173" s="90">
        <f t="shared" si="43"/>
        <v>2031</v>
      </c>
      <c r="K173" s="95">
        <f t="shared" si="44"/>
        <v>47969</v>
      </c>
    </row>
    <row r="174" spans="2:11" outlineLevel="1">
      <c r="B174" s="95">
        <f t="shared" si="40"/>
        <v>48000</v>
      </c>
      <c r="C174" s="92">
        <v>536467.34841999412</v>
      </c>
      <c r="D174" s="88">
        <f>IF(F174&lt;&gt;0,VLOOKUP($J174,'Table 1'!$B$13:$C$33,2,FALSE)/12*1000*Study_MW,0)</f>
        <v>0</v>
      </c>
      <c r="E174" s="88">
        <f t="shared" si="41"/>
        <v>536467.34841999412</v>
      </c>
      <c r="F174" s="92">
        <v>24435.119999999999</v>
      </c>
      <c r="G174" s="93">
        <f t="shared" si="42"/>
        <v>21.954766271661203</v>
      </c>
      <c r="I174" s="94">
        <f t="shared" si="39"/>
        <v>45</v>
      </c>
      <c r="J174" s="90">
        <f t="shared" si="43"/>
        <v>2031</v>
      </c>
      <c r="K174" s="95">
        <f t="shared" si="44"/>
        <v>48000</v>
      </c>
    </row>
    <row r="175" spans="2:11" outlineLevel="1">
      <c r="B175" s="95">
        <f t="shared" si="40"/>
        <v>48030</v>
      </c>
      <c r="C175" s="92">
        <v>371091.0430150032</v>
      </c>
      <c r="D175" s="88">
        <f>IF(F175&lt;&gt;0,VLOOKUP($J175,'Table 1'!$B$13:$C$33,2,FALSE)/12*1000*Study_MW,0)</f>
        <v>0</v>
      </c>
      <c r="E175" s="88">
        <f t="shared" si="41"/>
        <v>371091.0430150032</v>
      </c>
      <c r="F175" s="92">
        <v>22116.857</v>
      </c>
      <c r="G175" s="93">
        <f t="shared" si="42"/>
        <v>16.778651822680015</v>
      </c>
      <c r="I175" s="94">
        <f t="shared" si="39"/>
        <v>46</v>
      </c>
      <c r="J175" s="90">
        <f t="shared" si="43"/>
        <v>2031</v>
      </c>
      <c r="K175" s="95">
        <f t="shared" si="44"/>
        <v>48030</v>
      </c>
    </row>
    <row r="176" spans="2:11" outlineLevel="1">
      <c r="B176" s="95">
        <f t="shared" si="40"/>
        <v>48061</v>
      </c>
      <c r="C176" s="92">
        <v>332997.67790195346</v>
      </c>
      <c r="D176" s="88">
        <f>IF(F176&lt;&gt;0,VLOOKUP($J176,'Table 1'!$B$13:$C$33,2,FALSE)/12*1000*Study_MW,0)</f>
        <v>0</v>
      </c>
      <c r="E176" s="88">
        <f t="shared" si="41"/>
        <v>332997.67790195346</v>
      </c>
      <c r="F176" s="92">
        <v>22152.848000000002</v>
      </c>
      <c r="G176" s="93">
        <f t="shared" si="42"/>
        <v>15.031822450185793</v>
      </c>
      <c r="I176" s="94">
        <f t="shared" si="39"/>
        <v>47</v>
      </c>
      <c r="J176" s="90">
        <f t="shared" si="43"/>
        <v>2031</v>
      </c>
      <c r="K176" s="95">
        <f t="shared" si="44"/>
        <v>48061</v>
      </c>
    </row>
    <row r="177" spans="2:11" outlineLevel="1">
      <c r="B177" s="95">
        <f t="shared" si="40"/>
        <v>48092</v>
      </c>
      <c r="C177" s="92">
        <v>614701.93965372443</v>
      </c>
      <c r="D177" s="88">
        <f>IF(F177&lt;&gt;0,VLOOKUP($J177,'Table 1'!$B$13:$C$33,2,FALSE)/12*1000*Study_MW,0)</f>
        <v>0</v>
      </c>
      <c r="E177" s="88">
        <f t="shared" si="41"/>
        <v>614701.93965372443</v>
      </c>
      <c r="F177" s="92">
        <v>19527.57</v>
      </c>
      <c r="G177" s="93">
        <f t="shared" si="42"/>
        <v>31.478670395431916</v>
      </c>
      <c r="I177" s="94">
        <f t="shared" si="39"/>
        <v>48</v>
      </c>
      <c r="J177" s="90">
        <f t="shared" si="43"/>
        <v>2031</v>
      </c>
      <c r="K177" s="95">
        <f t="shared" si="44"/>
        <v>48092</v>
      </c>
    </row>
    <row r="178" spans="2:11" outlineLevel="1">
      <c r="B178" s="95">
        <f t="shared" si="40"/>
        <v>48122</v>
      </c>
      <c r="C178" s="92">
        <v>509754.53454515338</v>
      </c>
      <c r="D178" s="88">
        <f>IF(F178&lt;&gt;0,VLOOKUP($J178,'Table 1'!$B$13:$C$33,2,FALSE)/12*1000*Study_MW,0)</f>
        <v>0</v>
      </c>
      <c r="E178" s="88">
        <f t="shared" si="41"/>
        <v>509754.53454515338</v>
      </c>
      <c r="F178" s="92">
        <v>15831.483</v>
      </c>
      <c r="G178" s="93">
        <f t="shared" si="42"/>
        <v>32.198786086253158</v>
      </c>
      <c r="I178" s="94">
        <f t="shared" si="39"/>
        <v>49</v>
      </c>
      <c r="J178" s="90">
        <f t="shared" si="43"/>
        <v>2031</v>
      </c>
      <c r="K178" s="95">
        <f t="shared" si="44"/>
        <v>48122</v>
      </c>
    </row>
    <row r="179" spans="2:11" outlineLevel="1">
      <c r="B179" s="95">
        <f t="shared" si="40"/>
        <v>48153</v>
      </c>
      <c r="C179" s="92">
        <v>266321.40592986345</v>
      </c>
      <c r="D179" s="88">
        <f>IF(F179&lt;&gt;0,VLOOKUP($J179,'Table 1'!$B$13:$C$33,2,FALSE)/12*1000*Study_MW,0)</f>
        <v>0</v>
      </c>
      <c r="E179" s="88">
        <f t="shared" si="41"/>
        <v>266321.40592986345</v>
      </c>
      <c r="F179" s="92">
        <v>10663.17</v>
      </c>
      <c r="G179" s="93">
        <f t="shared" si="42"/>
        <v>24.975819191653464</v>
      </c>
      <c r="I179" s="94">
        <f t="shared" si="39"/>
        <v>50</v>
      </c>
      <c r="J179" s="90">
        <f t="shared" si="43"/>
        <v>2031</v>
      </c>
      <c r="K179" s="95">
        <f t="shared" si="44"/>
        <v>48153</v>
      </c>
    </row>
    <row r="180" spans="2:11" outlineLevel="1">
      <c r="B180" s="99">
        <f t="shared" si="40"/>
        <v>48183</v>
      </c>
      <c r="C180" s="96">
        <v>347725.05177232623</v>
      </c>
      <c r="D180" s="97">
        <f>IF(F180&lt;&gt;0,VLOOKUP($J180,'Table 1'!$B$13:$C$33,2,FALSE)/12*1000*Study_MW,0)</f>
        <v>0</v>
      </c>
      <c r="E180" s="97">
        <f t="shared" si="41"/>
        <v>347725.05177232623</v>
      </c>
      <c r="F180" s="96">
        <v>8226.2219999999998</v>
      </c>
      <c r="G180" s="98">
        <f t="shared" si="42"/>
        <v>42.270321877081152</v>
      </c>
      <c r="I180" s="81">
        <f t="shared" si="39"/>
        <v>51</v>
      </c>
      <c r="J180" s="90">
        <f t="shared" si="43"/>
        <v>2031</v>
      </c>
      <c r="K180" s="99">
        <f t="shared" si="44"/>
        <v>48183</v>
      </c>
    </row>
    <row r="181" spans="2:11" outlineLevel="1" collapsed="1">
      <c r="B181" s="91">
        <f t="shared" si="40"/>
        <v>48214</v>
      </c>
      <c r="C181" s="86">
        <v>428070.28967702389</v>
      </c>
      <c r="D181" s="87">
        <f>IF(F181&lt;&gt;0,VLOOKUP($J181,'Table 1'!$B$13:$C$33,2,FALSE)/12*1000*Study_MW,0)</f>
        <v>0</v>
      </c>
      <c r="E181" s="87">
        <f t="shared" si="41"/>
        <v>428070.28967702389</v>
      </c>
      <c r="F181" s="86">
        <v>9820.1180000000004</v>
      </c>
      <c r="G181" s="89">
        <f t="shared" si="42"/>
        <v>43.591155389072092</v>
      </c>
      <c r="I181" s="77">
        <f>I61</f>
        <v>53</v>
      </c>
      <c r="J181" s="90">
        <f t="shared" si="43"/>
        <v>2032</v>
      </c>
      <c r="K181" s="91">
        <f t="shared" si="44"/>
        <v>48214</v>
      </c>
    </row>
    <row r="182" spans="2:11" outlineLevel="1">
      <c r="B182" s="95">
        <f t="shared" si="40"/>
        <v>48245</v>
      </c>
      <c r="C182" s="92">
        <v>365115.52938756347</v>
      </c>
      <c r="D182" s="88">
        <f>IF(F182&lt;&gt;0,VLOOKUP($J182,'Table 1'!$B$13:$C$33,2,FALSE)/12*1000*Study_MW,0)</f>
        <v>0</v>
      </c>
      <c r="E182" s="88">
        <f t="shared" si="41"/>
        <v>365115.52938756347</v>
      </c>
      <c r="F182" s="92">
        <v>11382.964</v>
      </c>
      <c r="G182" s="93">
        <f t="shared" si="42"/>
        <v>32.07561135988513</v>
      </c>
      <c r="I182" s="94">
        <f t="shared" si="39"/>
        <v>54</v>
      </c>
      <c r="J182" s="90">
        <f t="shared" si="43"/>
        <v>2032</v>
      </c>
      <c r="K182" s="95">
        <f t="shared" si="44"/>
        <v>48245</v>
      </c>
    </row>
    <row r="183" spans="2:11" outlineLevel="1">
      <c r="B183" s="95">
        <f t="shared" si="40"/>
        <v>48274</v>
      </c>
      <c r="C183" s="92">
        <v>567815.05195072293</v>
      </c>
      <c r="D183" s="88">
        <f>IF(F183&lt;&gt;0,VLOOKUP($J183,'Table 1'!$B$13:$C$33,2,FALSE)/12*1000*Study_MW,0)</f>
        <v>0</v>
      </c>
      <c r="E183" s="88">
        <f t="shared" si="41"/>
        <v>567815.05195072293</v>
      </c>
      <c r="F183" s="92">
        <v>17116.742999999999</v>
      </c>
      <c r="G183" s="93">
        <f t="shared" si="42"/>
        <v>33.173078076286068</v>
      </c>
      <c r="I183" s="94">
        <f t="shared" si="39"/>
        <v>55</v>
      </c>
      <c r="J183" s="90">
        <f t="shared" si="43"/>
        <v>2032</v>
      </c>
      <c r="K183" s="95">
        <f t="shared" si="44"/>
        <v>48274</v>
      </c>
    </row>
    <row r="184" spans="2:11" outlineLevel="1">
      <c r="B184" s="95">
        <f t="shared" si="40"/>
        <v>48305</v>
      </c>
      <c r="C184" s="92">
        <v>650010.07242363691</v>
      </c>
      <c r="D184" s="88">
        <f>IF(F184&lt;&gt;0,VLOOKUP($J184,'Table 1'!$B$13:$C$33,2,FALSE)/12*1000*Study_MW,0)</f>
        <v>0</v>
      </c>
      <c r="E184" s="88">
        <f t="shared" si="41"/>
        <v>650010.07242363691</v>
      </c>
      <c r="F184" s="92">
        <v>19769.939999999999</v>
      </c>
      <c r="G184" s="93">
        <f t="shared" si="42"/>
        <v>32.878707392315654</v>
      </c>
      <c r="I184" s="94">
        <f t="shared" si="39"/>
        <v>56</v>
      </c>
      <c r="J184" s="90">
        <f t="shared" si="43"/>
        <v>2032</v>
      </c>
      <c r="K184" s="95">
        <f t="shared" si="44"/>
        <v>48305</v>
      </c>
    </row>
    <row r="185" spans="2:11" outlineLevel="1">
      <c r="B185" s="95">
        <f t="shared" si="40"/>
        <v>48335</v>
      </c>
      <c r="C185" s="92">
        <v>556388.9040029943</v>
      </c>
      <c r="D185" s="88">
        <f>IF(F185&lt;&gt;0,VLOOKUP($J185,'Table 1'!$B$13:$C$33,2,FALSE)/12*1000*Study_MW,0)</f>
        <v>0</v>
      </c>
      <c r="E185" s="88">
        <f t="shared" si="41"/>
        <v>556388.9040029943</v>
      </c>
      <c r="F185" s="92">
        <v>22885.254000000001</v>
      </c>
      <c r="G185" s="93">
        <f t="shared" si="42"/>
        <v>24.312113992835485</v>
      </c>
      <c r="I185" s="94">
        <f t="shared" si="39"/>
        <v>57</v>
      </c>
      <c r="J185" s="90">
        <f t="shared" si="43"/>
        <v>2032</v>
      </c>
      <c r="K185" s="95">
        <f t="shared" si="44"/>
        <v>48335</v>
      </c>
    </row>
    <row r="186" spans="2:11" outlineLevel="1">
      <c r="B186" s="95">
        <f t="shared" si="40"/>
        <v>48366</v>
      </c>
      <c r="C186" s="92">
        <v>551707.44547978044</v>
      </c>
      <c r="D186" s="88">
        <f>IF(F186&lt;&gt;0,VLOOKUP($J186,'Table 1'!$B$13:$C$33,2,FALSE)/12*1000*Study_MW,0)</f>
        <v>0</v>
      </c>
      <c r="E186" s="88">
        <f t="shared" si="41"/>
        <v>551707.44547978044</v>
      </c>
      <c r="F186" s="92">
        <v>24312.9</v>
      </c>
      <c r="G186" s="93">
        <f t="shared" si="42"/>
        <v>22.691963750921545</v>
      </c>
      <c r="I186" s="94">
        <f t="shared" si="39"/>
        <v>58</v>
      </c>
      <c r="J186" s="90">
        <f t="shared" si="43"/>
        <v>2032</v>
      </c>
      <c r="K186" s="95">
        <f t="shared" si="44"/>
        <v>48366</v>
      </c>
    </row>
    <row r="187" spans="2:11" outlineLevel="1">
      <c r="B187" s="95">
        <f t="shared" si="40"/>
        <v>48396</v>
      </c>
      <c r="C187" s="92">
        <v>374005.53211116791</v>
      </c>
      <c r="D187" s="88">
        <f>IF(F187&lt;&gt;0,VLOOKUP($J187,'Table 1'!$B$13:$C$33,2,FALSE)/12*1000*Study_MW,0)</f>
        <v>0</v>
      </c>
      <c r="E187" s="88">
        <f t="shared" si="41"/>
        <v>374005.53211116791</v>
      </c>
      <c r="F187" s="92">
        <v>22006.311000000002</v>
      </c>
      <c r="G187" s="93">
        <f t="shared" si="42"/>
        <v>16.995376104207921</v>
      </c>
      <c r="I187" s="94">
        <f t="shared" si="39"/>
        <v>59</v>
      </c>
      <c r="J187" s="90">
        <f t="shared" si="43"/>
        <v>2032</v>
      </c>
      <c r="K187" s="95">
        <f t="shared" si="44"/>
        <v>48396</v>
      </c>
    </row>
    <row r="188" spans="2:11" outlineLevel="1">
      <c r="B188" s="95">
        <f t="shared" si="40"/>
        <v>48427</v>
      </c>
      <c r="C188" s="92">
        <v>329841.98898163438</v>
      </c>
      <c r="D188" s="88">
        <f>IF(F188&lt;&gt;0,VLOOKUP($J188,'Table 1'!$B$13:$C$33,2,FALSE)/12*1000*Study_MW,0)</f>
        <v>0</v>
      </c>
      <c r="E188" s="88">
        <f t="shared" si="41"/>
        <v>329841.98898163438</v>
      </c>
      <c r="F188" s="92">
        <v>22042.084999999999</v>
      </c>
      <c r="G188" s="93">
        <f t="shared" si="42"/>
        <v>14.964191862141643</v>
      </c>
      <c r="I188" s="94">
        <f t="shared" si="39"/>
        <v>60</v>
      </c>
      <c r="J188" s="90">
        <f t="shared" si="43"/>
        <v>2032</v>
      </c>
      <c r="K188" s="95">
        <f t="shared" si="44"/>
        <v>48427</v>
      </c>
    </row>
    <row r="189" spans="2:11" outlineLevel="1">
      <c r="B189" s="95">
        <f t="shared" si="40"/>
        <v>48458</v>
      </c>
      <c r="C189" s="92">
        <v>591065.83880323172</v>
      </c>
      <c r="D189" s="88">
        <f>IF(F189&lt;&gt;0,VLOOKUP($J189,'Table 1'!$B$13:$C$33,2,FALSE)/12*1000*Study_MW,0)</f>
        <v>0</v>
      </c>
      <c r="E189" s="88">
        <f t="shared" si="41"/>
        <v>591065.83880323172</v>
      </c>
      <c r="F189" s="92">
        <v>19429.919999999998</v>
      </c>
      <c r="G189" s="93">
        <f t="shared" si="42"/>
        <v>30.420394875698499</v>
      </c>
      <c r="I189" s="94">
        <f t="shared" si="39"/>
        <v>61</v>
      </c>
      <c r="J189" s="90">
        <f t="shared" si="43"/>
        <v>2032</v>
      </c>
      <c r="K189" s="95">
        <f t="shared" si="44"/>
        <v>48458</v>
      </c>
    </row>
    <row r="190" spans="2:11" outlineLevel="1">
      <c r="B190" s="95">
        <f t="shared" si="40"/>
        <v>48488</v>
      </c>
      <c r="C190" s="92">
        <v>527685.90294826031</v>
      </c>
      <c r="D190" s="88">
        <f>IF(F190&lt;&gt;0,VLOOKUP($J190,'Table 1'!$B$13:$C$33,2,FALSE)/12*1000*Study_MW,0)</f>
        <v>0</v>
      </c>
      <c r="E190" s="88">
        <f t="shared" si="41"/>
        <v>527685.90294826031</v>
      </c>
      <c r="F190" s="92">
        <v>15752.308999999999</v>
      </c>
      <c r="G190" s="93">
        <f t="shared" si="42"/>
        <v>33.498955800591538</v>
      </c>
      <c r="I190" s="94">
        <f t="shared" si="39"/>
        <v>62</v>
      </c>
      <c r="J190" s="90">
        <f t="shared" si="43"/>
        <v>2032</v>
      </c>
      <c r="K190" s="95">
        <f t="shared" si="44"/>
        <v>48488</v>
      </c>
    </row>
    <row r="191" spans="2:11" outlineLevel="1">
      <c r="B191" s="95">
        <f t="shared" si="40"/>
        <v>48519</v>
      </c>
      <c r="C191" s="92">
        <v>318551.35874977708</v>
      </c>
      <c r="D191" s="88">
        <f>IF(F191&lt;&gt;0,VLOOKUP($J191,'Table 1'!$B$13:$C$33,2,FALSE)/12*1000*Study_MW,0)</f>
        <v>0</v>
      </c>
      <c r="E191" s="88">
        <f t="shared" si="41"/>
        <v>318551.35874977708</v>
      </c>
      <c r="F191" s="92">
        <v>10609.8</v>
      </c>
      <c r="G191" s="93">
        <f t="shared" si="42"/>
        <v>30.024256701330572</v>
      </c>
      <c r="I191" s="94">
        <f t="shared" si="39"/>
        <v>63</v>
      </c>
      <c r="J191" s="90">
        <f t="shared" si="43"/>
        <v>2032</v>
      </c>
      <c r="K191" s="95">
        <f t="shared" si="44"/>
        <v>48519</v>
      </c>
    </row>
    <row r="192" spans="2:11" outlineLevel="1">
      <c r="B192" s="99">
        <f t="shared" si="40"/>
        <v>48549</v>
      </c>
      <c r="C192" s="96">
        <v>261637.50905564427</v>
      </c>
      <c r="D192" s="97">
        <f>IF(F192&lt;&gt;0,VLOOKUP($J192,'Table 1'!$B$13:$C$33,2,FALSE)/12*1000*Study_MW,0)</f>
        <v>0</v>
      </c>
      <c r="E192" s="97">
        <f t="shared" si="41"/>
        <v>261637.50905564427</v>
      </c>
      <c r="F192" s="96">
        <v>8185.0540000000001</v>
      </c>
      <c r="G192" s="98">
        <f t="shared" si="42"/>
        <v>31.965275862033931</v>
      </c>
      <c r="I192" s="81">
        <f t="shared" si="39"/>
        <v>64</v>
      </c>
      <c r="J192" s="90">
        <f t="shared" si="43"/>
        <v>2032</v>
      </c>
      <c r="K192" s="99">
        <f t="shared" si="44"/>
        <v>48549</v>
      </c>
    </row>
    <row r="193" spans="2:11">
      <c r="B193" s="91">
        <f t="shared" si="40"/>
        <v>48580</v>
      </c>
      <c r="C193" s="86">
        <v>392086.16380825639</v>
      </c>
      <c r="D193" s="87">
        <f>IF(F193&lt;&gt;0,VLOOKUP($J193,'Table 1'!$B$13:$C$33,2,FALSE)/12*1000*Study_MW,0)</f>
        <v>0</v>
      </c>
      <c r="E193" s="87">
        <f t="shared" si="41"/>
        <v>392086.16380825639</v>
      </c>
      <c r="F193" s="86">
        <v>9771.0139999999992</v>
      </c>
      <c r="G193" s="89">
        <f>IFERROR(E193/$F193,0)</f>
        <v>40.127479482503702</v>
      </c>
      <c r="I193" s="77">
        <f>I73</f>
        <v>66</v>
      </c>
      <c r="J193" s="90">
        <f t="shared" si="43"/>
        <v>2033</v>
      </c>
      <c r="K193" s="91">
        <f t="shared" si="44"/>
        <v>48580</v>
      </c>
    </row>
    <row r="194" spans="2:11">
      <c r="B194" s="95">
        <f t="shared" si="40"/>
        <v>48611</v>
      </c>
      <c r="C194" s="92">
        <v>363370.34495255351</v>
      </c>
      <c r="D194" s="88">
        <f>IF(F194&lt;&gt;0,VLOOKUP($J194,'Table 1'!$B$13:$C$33,2,FALSE)/12*1000*Study_MW,0)</f>
        <v>0</v>
      </c>
      <c r="E194" s="88">
        <f t="shared" si="41"/>
        <v>363370.34495255351</v>
      </c>
      <c r="F194" s="92">
        <v>10935.512000000001</v>
      </c>
      <c r="G194" s="93">
        <f t="shared" ref="G194:G252" si="45">IFERROR(E194/$F194,0)</f>
        <v>33.228471145434568</v>
      </c>
      <c r="I194" s="94">
        <f t="shared" si="39"/>
        <v>67</v>
      </c>
      <c r="J194" s="90">
        <f t="shared" si="43"/>
        <v>2033</v>
      </c>
      <c r="K194" s="95">
        <f t="shared" si="44"/>
        <v>48611</v>
      </c>
    </row>
    <row r="195" spans="2:11">
      <c r="B195" s="95">
        <f t="shared" si="40"/>
        <v>48639</v>
      </c>
      <c r="C195" s="92">
        <v>594085.70551005006</v>
      </c>
      <c r="D195" s="88">
        <f>IF(F195&lt;&gt;0,VLOOKUP($J195,'Table 1'!$B$13:$C$33,2,FALSE)/12*1000*Study_MW,0)</f>
        <v>0</v>
      </c>
      <c r="E195" s="88">
        <f t="shared" si="41"/>
        <v>594085.70551005006</v>
      </c>
      <c r="F195" s="92">
        <v>17031.244999999999</v>
      </c>
      <c r="G195" s="93">
        <f t="shared" si="45"/>
        <v>34.88210671093335</v>
      </c>
      <c r="I195" s="94">
        <f t="shared" si="39"/>
        <v>68</v>
      </c>
      <c r="J195" s="90">
        <f t="shared" si="43"/>
        <v>2033</v>
      </c>
      <c r="K195" s="95">
        <f t="shared" si="44"/>
        <v>48639</v>
      </c>
    </row>
    <row r="196" spans="2:11">
      <c r="B196" s="95">
        <f t="shared" si="40"/>
        <v>48670</v>
      </c>
      <c r="C196" s="92">
        <v>669862.45763134956</v>
      </c>
      <c r="D196" s="88">
        <f>IF(F196&lt;&gt;0,VLOOKUP($J196,'Table 1'!$B$13:$C$33,2,FALSE)/12*1000*Study_MW,0)</f>
        <v>0</v>
      </c>
      <c r="E196" s="88">
        <f t="shared" si="41"/>
        <v>669862.45763134956</v>
      </c>
      <c r="F196" s="92">
        <v>19671.060000000001</v>
      </c>
      <c r="G196" s="93">
        <f t="shared" si="45"/>
        <v>34.053195792771184</v>
      </c>
      <c r="I196" s="94">
        <f t="shared" si="39"/>
        <v>69</v>
      </c>
      <c r="J196" s="90">
        <f t="shared" si="43"/>
        <v>2033</v>
      </c>
      <c r="K196" s="95">
        <f t="shared" si="44"/>
        <v>48670</v>
      </c>
    </row>
    <row r="197" spans="2:11">
      <c r="B197" s="95">
        <f t="shared" si="40"/>
        <v>48700</v>
      </c>
      <c r="C197" s="92">
        <v>582060.6617115736</v>
      </c>
      <c r="D197" s="88">
        <f>IF(F197&lt;&gt;0,VLOOKUP($J197,'Table 1'!$B$13:$C$33,2,FALSE)/12*1000*Study_MW,0)</f>
        <v>0</v>
      </c>
      <c r="E197" s="88">
        <f t="shared" si="41"/>
        <v>582060.6617115736</v>
      </c>
      <c r="F197" s="92">
        <v>22770.74</v>
      </c>
      <c r="G197" s="93">
        <f t="shared" si="45"/>
        <v>25.561780676059431</v>
      </c>
      <c r="I197" s="94">
        <f t="shared" si="39"/>
        <v>70</v>
      </c>
      <c r="J197" s="90">
        <f t="shared" si="43"/>
        <v>2033</v>
      </c>
      <c r="K197" s="95">
        <f t="shared" si="44"/>
        <v>48700</v>
      </c>
    </row>
    <row r="198" spans="2:11">
      <c r="B198" s="95">
        <f t="shared" si="40"/>
        <v>48731</v>
      </c>
      <c r="C198" s="92">
        <v>597169.31963205338</v>
      </c>
      <c r="D198" s="88">
        <f>IF(F198&lt;&gt;0,VLOOKUP($J198,'Table 1'!$B$13:$C$33,2,FALSE)/12*1000*Study_MW,0)</f>
        <v>0</v>
      </c>
      <c r="E198" s="88">
        <f t="shared" si="41"/>
        <v>597169.31963205338</v>
      </c>
      <c r="F198" s="92">
        <v>24191.37</v>
      </c>
      <c r="G198" s="93">
        <f t="shared" si="45"/>
        <v>24.685221202108579</v>
      </c>
      <c r="I198" s="94">
        <f t="shared" ref="I198:I204" si="46">I78</f>
        <v>71</v>
      </c>
      <c r="J198" s="90">
        <f t="shared" si="43"/>
        <v>2033</v>
      </c>
      <c r="K198" s="95">
        <f t="shared" si="44"/>
        <v>48731</v>
      </c>
    </row>
    <row r="199" spans="2:11">
      <c r="B199" s="95">
        <f t="shared" si="40"/>
        <v>48761</v>
      </c>
      <c r="C199" s="92">
        <v>766159.63507521152</v>
      </c>
      <c r="D199" s="88">
        <f>IF(F199&lt;&gt;0,VLOOKUP($J199,'Table 1'!$B$13:$C$33,2,FALSE)/12*1000*Study_MW,0)</f>
        <v>0</v>
      </c>
      <c r="E199" s="88">
        <f t="shared" si="41"/>
        <v>766159.63507521152</v>
      </c>
      <c r="F199" s="92">
        <v>21896.292000000001</v>
      </c>
      <c r="G199" s="93">
        <f t="shared" si="45"/>
        <v>34.990382621642581</v>
      </c>
      <c r="I199" s="94">
        <f t="shared" si="46"/>
        <v>72</v>
      </c>
      <c r="J199" s="90">
        <f t="shared" si="43"/>
        <v>2033</v>
      </c>
      <c r="K199" s="95">
        <f t="shared" si="44"/>
        <v>48761</v>
      </c>
    </row>
    <row r="200" spans="2:11">
      <c r="B200" s="95">
        <f t="shared" si="40"/>
        <v>48792</v>
      </c>
      <c r="C200" s="92">
        <v>278214.52560201287</v>
      </c>
      <c r="D200" s="88">
        <f>IF(F200&lt;&gt;0,VLOOKUP($J200,'Table 1'!$B$13:$C$33,2,FALSE)/12*1000*Study_MW,0)</f>
        <v>0</v>
      </c>
      <c r="E200" s="88">
        <f t="shared" si="41"/>
        <v>278214.52560201287</v>
      </c>
      <c r="F200" s="92">
        <v>21931.911</v>
      </c>
      <c r="G200" s="93">
        <f t="shared" si="45"/>
        <v>12.685375460533871</v>
      </c>
      <c r="I200" s="94">
        <f t="shared" si="46"/>
        <v>73</v>
      </c>
      <c r="J200" s="90">
        <f t="shared" si="43"/>
        <v>2033</v>
      </c>
      <c r="K200" s="95">
        <f t="shared" si="44"/>
        <v>48792</v>
      </c>
    </row>
    <row r="201" spans="2:11">
      <c r="B201" s="95">
        <f t="shared" si="40"/>
        <v>48823</v>
      </c>
      <c r="C201" s="92">
        <v>518248.410910815</v>
      </c>
      <c r="D201" s="88">
        <f>IF(F201&lt;&gt;0,VLOOKUP($J201,'Table 1'!$B$13:$C$33,2,FALSE)/12*1000*Study_MW,0)</f>
        <v>0</v>
      </c>
      <c r="E201" s="88">
        <f t="shared" si="41"/>
        <v>518248.410910815</v>
      </c>
      <c r="F201" s="92">
        <v>19332.75</v>
      </c>
      <c r="G201" s="93">
        <f t="shared" si="45"/>
        <v>26.806761113179192</v>
      </c>
      <c r="I201" s="94">
        <f t="shared" si="46"/>
        <v>74</v>
      </c>
      <c r="J201" s="90">
        <f t="shared" si="43"/>
        <v>2033</v>
      </c>
      <c r="K201" s="95">
        <f t="shared" si="44"/>
        <v>48823</v>
      </c>
    </row>
    <row r="202" spans="2:11">
      <c r="B202" s="95">
        <f t="shared" si="40"/>
        <v>48853</v>
      </c>
      <c r="C202" s="92">
        <v>471399.61068600416</v>
      </c>
      <c r="D202" s="88">
        <f>IF(F202&lt;&gt;0,VLOOKUP($J202,'Table 1'!$B$13:$C$33,2,FALSE)/12*1000*Study_MW,0)</f>
        <v>0</v>
      </c>
      <c r="E202" s="88">
        <f t="shared" si="41"/>
        <v>471399.61068600416</v>
      </c>
      <c r="F202" s="92">
        <v>15673.569</v>
      </c>
      <c r="G202" s="93">
        <f t="shared" si="45"/>
        <v>30.076086096664021</v>
      </c>
      <c r="I202" s="94">
        <f t="shared" si="46"/>
        <v>75</v>
      </c>
      <c r="J202" s="90">
        <f t="shared" si="43"/>
        <v>2033</v>
      </c>
      <c r="K202" s="95">
        <f t="shared" si="44"/>
        <v>48853</v>
      </c>
    </row>
    <row r="203" spans="2:11">
      <c r="B203" s="95">
        <f t="shared" si="40"/>
        <v>48884</v>
      </c>
      <c r="C203" s="92">
        <v>321513.77887263894</v>
      </c>
      <c r="D203" s="88">
        <f>IF(F203&lt;&gt;0,VLOOKUP($J203,'Table 1'!$B$13:$C$33,2,FALSE)/12*1000*Study_MW,0)</f>
        <v>0</v>
      </c>
      <c r="E203" s="88">
        <f t="shared" si="41"/>
        <v>321513.77887263894</v>
      </c>
      <c r="F203" s="92">
        <v>10556.76</v>
      </c>
      <c r="G203" s="93">
        <f t="shared" si="45"/>
        <v>30.455724945214151</v>
      </c>
      <c r="I203" s="94">
        <f t="shared" si="46"/>
        <v>76</v>
      </c>
      <c r="J203" s="90">
        <f t="shared" si="43"/>
        <v>2033</v>
      </c>
      <c r="K203" s="95">
        <f t="shared" si="44"/>
        <v>48884</v>
      </c>
    </row>
    <row r="204" spans="2:11">
      <c r="B204" s="99">
        <f t="shared" si="40"/>
        <v>48914</v>
      </c>
      <c r="C204" s="96">
        <v>299377.78496292233</v>
      </c>
      <c r="D204" s="97">
        <f>IF(F204&lt;&gt;0,VLOOKUP($J204,'Table 1'!$B$13:$C$33,2,FALSE)/12*1000*Study_MW,0)</f>
        <v>0</v>
      </c>
      <c r="E204" s="97">
        <f t="shared" si="41"/>
        <v>299377.78496292233</v>
      </c>
      <c r="F204" s="96">
        <v>8144.1959999999999</v>
      </c>
      <c r="G204" s="98">
        <f t="shared" si="45"/>
        <v>36.759648830028446</v>
      </c>
      <c r="I204" s="81">
        <f t="shared" si="46"/>
        <v>77</v>
      </c>
      <c r="J204" s="90">
        <f t="shared" si="43"/>
        <v>2033</v>
      </c>
      <c r="K204" s="99">
        <f t="shared" si="44"/>
        <v>48914</v>
      </c>
    </row>
    <row r="205" spans="2:11" outlineLevel="1">
      <c r="B205" s="91">
        <f t="shared" si="40"/>
        <v>48945</v>
      </c>
      <c r="C205" s="86">
        <v>419519.38349637389</v>
      </c>
      <c r="D205" s="87">
        <f>IF(ISNUMBER($F205)*SUM(F205:F216)&lt;&gt;0,VLOOKUP($J205,'Table 1'!$B$13:$C$33,2,FALSE)/12*1000*Study_MW,0)</f>
        <v>0</v>
      </c>
      <c r="E205" s="87">
        <f t="shared" si="41"/>
        <v>419519.38349637389</v>
      </c>
      <c r="F205" s="86">
        <v>9722.1579999999994</v>
      </c>
      <c r="G205" s="89">
        <f t="shared" si="45"/>
        <v>43.150850201814649</v>
      </c>
      <c r="I205" s="77">
        <f>I85</f>
        <v>79</v>
      </c>
      <c r="J205" s="90">
        <f t="shared" si="43"/>
        <v>2034</v>
      </c>
      <c r="K205" s="91">
        <f t="shared" si="44"/>
        <v>48945</v>
      </c>
    </row>
    <row r="206" spans="2:11" outlineLevel="1">
      <c r="B206" s="95">
        <f t="shared" ref="B206:B264" si="47">EDATE(B205,1)</f>
        <v>48976</v>
      </c>
      <c r="C206" s="92">
        <v>355278.23393628001</v>
      </c>
      <c r="D206" s="88">
        <f>IF(ISNUMBER($F206)*SUM(F206:F217)&lt;&gt;0,VLOOKUP($J206,'Table 1'!$B$13:$C$33,2,FALSE)/12*1000*Study_MW,0)</f>
        <v>0</v>
      </c>
      <c r="E206" s="88">
        <f t="shared" ref="E206:E252" si="48">C206+D206</f>
        <v>355278.23393628001</v>
      </c>
      <c r="F206" s="92">
        <v>10880.856</v>
      </c>
      <c r="G206" s="93">
        <f t="shared" si="45"/>
        <v>32.651680523690416</v>
      </c>
      <c r="I206" s="94">
        <f t="shared" ref="I206:I240" si="49">I86</f>
        <v>80</v>
      </c>
      <c r="J206" s="90">
        <f t="shared" ref="J206:J252" si="50">YEAR(B206)</f>
        <v>2034</v>
      </c>
      <c r="K206" s="95">
        <f t="shared" si="44"/>
        <v>48976</v>
      </c>
    </row>
    <row r="207" spans="2:11" outlineLevel="1">
      <c r="B207" s="95">
        <f t="shared" si="47"/>
        <v>49004</v>
      </c>
      <c r="C207" s="92">
        <v>616234.75470283628</v>
      </c>
      <c r="D207" s="88">
        <f>IF(ISNUMBER($F207)*SUM(F207:F218)&lt;&gt;0,VLOOKUP($J207,'Table 1'!$B$13:$C$33,2,FALSE)/12*1000*Study_MW,0)</f>
        <v>0</v>
      </c>
      <c r="E207" s="88">
        <f t="shared" si="48"/>
        <v>616234.75470283628</v>
      </c>
      <c r="F207" s="92">
        <v>16946.118999999999</v>
      </c>
      <c r="G207" s="93">
        <f t="shared" si="45"/>
        <v>36.364358984073952</v>
      </c>
      <c r="I207" s="94">
        <f t="shared" si="49"/>
        <v>81</v>
      </c>
      <c r="J207" s="90">
        <f t="shared" si="50"/>
        <v>2034</v>
      </c>
      <c r="K207" s="95">
        <f t="shared" si="44"/>
        <v>49004</v>
      </c>
    </row>
    <row r="208" spans="2:11" outlineLevel="1">
      <c r="B208" s="95">
        <f t="shared" si="47"/>
        <v>49035</v>
      </c>
      <c r="C208" s="92">
        <v>664099.5719165802</v>
      </c>
      <c r="D208" s="88">
        <f>IF(ISNUMBER($F208)*SUM(F208:F219)&lt;&gt;0,VLOOKUP($J208,'Table 1'!$B$13:$C$33,2,FALSE)/12*1000*Study_MW,0)</f>
        <v>0</v>
      </c>
      <c r="E208" s="88">
        <f t="shared" si="48"/>
        <v>664099.5719165802</v>
      </c>
      <c r="F208" s="92">
        <v>19572.689999999999</v>
      </c>
      <c r="G208" s="93">
        <f t="shared" si="45"/>
        <v>33.92990804618988</v>
      </c>
      <c r="I208" s="94">
        <f t="shared" si="49"/>
        <v>82</v>
      </c>
      <c r="J208" s="90">
        <f t="shared" si="50"/>
        <v>2034</v>
      </c>
      <c r="K208" s="95">
        <f t="shared" si="44"/>
        <v>49035</v>
      </c>
    </row>
    <row r="209" spans="2:13" outlineLevel="1">
      <c r="B209" s="95">
        <f t="shared" si="47"/>
        <v>49065</v>
      </c>
      <c r="C209" s="92">
        <v>600724.00635573268</v>
      </c>
      <c r="D209" s="88">
        <f>IF(ISNUMBER($F209)*SUM(F209:F220)&lt;&gt;0,VLOOKUP($J209,'Table 1'!$B$13:$C$33,2,FALSE)/12*1000*Study_MW,0)</f>
        <v>0</v>
      </c>
      <c r="E209" s="88">
        <f t="shared" si="48"/>
        <v>600724.00635573268</v>
      </c>
      <c r="F209" s="92">
        <v>22656.907999999999</v>
      </c>
      <c r="G209" s="93">
        <f t="shared" si="45"/>
        <v>26.513944725190775</v>
      </c>
      <c r="I209" s="94">
        <f t="shared" si="49"/>
        <v>83</v>
      </c>
      <c r="J209" s="90">
        <f t="shared" si="50"/>
        <v>2034</v>
      </c>
      <c r="K209" s="95">
        <f t="shared" si="44"/>
        <v>49065</v>
      </c>
    </row>
    <row r="210" spans="2:13" outlineLevel="1">
      <c r="B210" s="95">
        <f t="shared" si="47"/>
        <v>49096</v>
      </c>
      <c r="C210" s="92">
        <v>596925.6334233284</v>
      </c>
      <c r="D210" s="88">
        <f>IF(ISNUMBER($F210)*SUM(F210:F221)&lt;&gt;0,VLOOKUP($J210,'Table 1'!$B$13:$C$33,2,FALSE)/12*1000*Study_MW,0)</f>
        <v>0</v>
      </c>
      <c r="E210" s="88">
        <f t="shared" si="48"/>
        <v>596925.6334233284</v>
      </c>
      <c r="F210" s="92">
        <v>24070.44</v>
      </c>
      <c r="G210" s="93">
        <f t="shared" si="45"/>
        <v>24.799115987216204</v>
      </c>
      <c r="I210" s="94">
        <f t="shared" si="49"/>
        <v>84</v>
      </c>
      <c r="J210" s="90">
        <f t="shared" si="50"/>
        <v>2034</v>
      </c>
      <c r="K210" s="95">
        <f t="shared" si="44"/>
        <v>49096</v>
      </c>
    </row>
    <row r="211" spans="2:13" outlineLevel="1">
      <c r="B211" s="95">
        <f t="shared" si="47"/>
        <v>49126</v>
      </c>
      <c r="C211" s="92">
        <v>802894.47200101614</v>
      </c>
      <c r="D211" s="88">
        <f>IF(ISNUMBER($F211)*SUM(F211:F222)&lt;&gt;0,VLOOKUP($J211,'Table 1'!$B$13:$C$33,2,FALSE)/12*1000*Study_MW,0)</f>
        <v>0</v>
      </c>
      <c r="E211" s="88">
        <f t="shared" si="48"/>
        <v>802894.47200101614</v>
      </c>
      <c r="F211" s="92">
        <v>21786.738000000001</v>
      </c>
      <c r="G211" s="93">
        <f t="shared" si="45"/>
        <v>36.852440783058761</v>
      </c>
      <c r="I211" s="94">
        <f t="shared" si="49"/>
        <v>85</v>
      </c>
      <c r="J211" s="90">
        <f t="shared" si="50"/>
        <v>2034</v>
      </c>
      <c r="K211" s="95">
        <f t="shared" si="44"/>
        <v>49126</v>
      </c>
    </row>
    <row r="212" spans="2:13" outlineLevel="1">
      <c r="B212" s="95">
        <f t="shared" si="47"/>
        <v>49157</v>
      </c>
      <c r="C212" s="92">
        <v>304264.14096644521</v>
      </c>
      <c r="D212" s="88">
        <f>IF(ISNUMBER($F212)*SUM(F212:F223)&lt;&gt;0,VLOOKUP($J212,'Table 1'!$B$13:$C$33,2,FALSE)/12*1000*Study_MW,0)</f>
        <v>0</v>
      </c>
      <c r="E212" s="88">
        <f t="shared" si="48"/>
        <v>304264.14096644521</v>
      </c>
      <c r="F212" s="92">
        <v>21822.263999999999</v>
      </c>
      <c r="G212" s="93">
        <f t="shared" si="45"/>
        <v>13.942831090598355</v>
      </c>
      <c r="I212" s="94">
        <f t="shared" si="49"/>
        <v>86</v>
      </c>
      <c r="J212" s="90">
        <f t="shared" si="50"/>
        <v>2034</v>
      </c>
      <c r="K212" s="95">
        <f t="shared" si="44"/>
        <v>49157</v>
      </c>
    </row>
    <row r="213" spans="2:13" outlineLevel="1">
      <c r="B213" s="95">
        <f t="shared" si="47"/>
        <v>49188</v>
      </c>
      <c r="C213" s="92">
        <v>496959.84498915076</v>
      </c>
      <c r="D213" s="88">
        <f>IF(ISNUMBER($F213)*SUM(F213:F224)&lt;&gt;0,VLOOKUP($J213,'Table 1'!$B$13:$C$33,2,FALSE)/12*1000*Study_MW,0)</f>
        <v>0</v>
      </c>
      <c r="E213" s="88">
        <f t="shared" si="48"/>
        <v>496959.84498915076</v>
      </c>
      <c r="F213" s="92">
        <v>19236.09</v>
      </c>
      <c r="G213" s="93">
        <f t="shared" si="45"/>
        <v>25.834763976938699</v>
      </c>
      <c r="I213" s="94">
        <f t="shared" si="49"/>
        <v>87</v>
      </c>
      <c r="J213" s="90">
        <f t="shared" si="50"/>
        <v>2034</v>
      </c>
      <c r="K213" s="95">
        <f t="shared" si="44"/>
        <v>49188</v>
      </c>
    </row>
    <row r="214" spans="2:13" outlineLevel="1">
      <c r="B214" s="95">
        <f t="shared" si="47"/>
        <v>49218</v>
      </c>
      <c r="C214" s="92">
        <v>565315.20056864619</v>
      </c>
      <c r="D214" s="88">
        <f>IF(ISNUMBER($F214)*SUM(F214:F225)&lt;&gt;0,VLOOKUP($J214,'Table 1'!$B$13:$C$33,2,FALSE)/12*1000*Study_MW,0)</f>
        <v>0</v>
      </c>
      <c r="E214" s="88">
        <f t="shared" si="48"/>
        <v>565315.20056864619</v>
      </c>
      <c r="F214" s="92">
        <v>15595.138999999999</v>
      </c>
      <c r="G214" s="93">
        <f t="shared" si="45"/>
        <v>36.249449303955949</v>
      </c>
      <c r="I214" s="94">
        <f t="shared" si="49"/>
        <v>88</v>
      </c>
      <c r="J214" s="90">
        <f t="shared" si="50"/>
        <v>2034</v>
      </c>
      <c r="K214" s="95">
        <f t="shared" si="44"/>
        <v>49218</v>
      </c>
    </row>
    <row r="215" spans="2:13" outlineLevel="1">
      <c r="B215" s="95">
        <f t="shared" si="47"/>
        <v>49249</v>
      </c>
      <c r="C215" s="92">
        <v>328012.62573596835</v>
      </c>
      <c r="D215" s="88">
        <f>IF(ISNUMBER($F215)*SUM(F215:F226)&lt;&gt;0,VLOOKUP($J215,'Table 1'!$B$13:$C$33,2,FALSE)/12*1000*Study_MW,0)</f>
        <v>0</v>
      </c>
      <c r="E215" s="88">
        <f t="shared" si="48"/>
        <v>328012.62573596835</v>
      </c>
      <c r="F215" s="92">
        <v>10503.99</v>
      </c>
      <c r="G215" s="93">
        <f t="shared" si="45"/>
        <v>31.227431265259046</v>
      </c>
      <c r="I215" s="94">
        <f t="shared" si="49"/>
        <v>89</v>
      </c>
      <c r="J215" s="90">
        <f t="shared" si="50"/>
        <v>2034</v>
      </c>
      <c r="K215" s="95">
        <f t="shared" si="44"/>
        <v>49249</v>
      </c>
    </row>
    <row r="216" spans="2:13" outlineLevel="1">
      <c r="B216" s="99">
        <f t="shared" si="47"/>
        <v>49279</v>
      </c>
      <c r="C216" s="96">
        <v>397321.16751131415</v>
      </c>
      <c r="D216" s="97">
        <f>IF(ISNUMBER($F216)*SUM(F216:F227)&lt;&gt;0,VLOOKUP($J216,'Table 1'!$B$13:$C$33,2,FALSE)/12*1000*Study_MW,0)</f>
        <v>0</v>
      </c>
      <c r="E216" s="97">
        <f t="shared" si="48"/>
        <v>397321.16751131415</v>
      </c>
      <c r="F216" s="96">
        <v>8103.4620000000004</v>
      </c>
      <c r="G216" s="98">
        <f t="shared" si="45"/>
        <v>49.031039759465045</v>
      </c>
      <c r="I216" s="81">
        <f t="shared" si="49"/>
        <v>90</v>
      </c>
      <c r="J216" s="90">
        <f t="shared" si="50"/>
        <v>2034</v>
      </c>
      <c r="K216" s="99">
        <f t="shared" si="44"/>
        <v>49279</v>
      </c>
    </row>
    <row r="217" spans="2:13" outlineLevel="1">
      <c r="B217" s="91">
        <f t="shared" si="47"/>
        <v>49310</v>
      </c>
      <c r="C217" s="86">
        <v>118639.69916763902</v>
      </c>
      <c r="D217" s="87">
        <f>IF(ISNUMBER($F217)*SUM(F217:F228)&lt;&gt;0,VLOOKUP($J217,'Table 1'!$B$13:$C$33,2,FALSE)/12*1000*Study_MW,0)</f>
        <v>1440831.7590463865</v>
      </c>
      <c r="E217" s="87">
        <f t="shared" si="48"/>
        <v>1559471.4582140255</v>
      </c>
      <c r="F217" s="86">
        <v>9673.5499999999993</v>
      </c>
      <c r="G217" s="89">
        <f t="shared" ref="G217:G240" si="51">IFERROR(E217/$F217,0)</f>
        <v>161.2098410835759</v>
      </c>
      <c r="I217" s="77">
        <f t="shared" si="49"/>
        <v>92</v>
      </c>
      <c r="J217" s="90">
        <f t="shared" si="50"/>
        <v>2035</v>
      </c>
      <c r="K217" s="91">
        <f t="shared" ref="K217:K240" si="52">IF(ISNUMBER(F217),IF(F217&lt;&gt;0,B217,""),"")</f>
        <v>49310</v>
      </c>
      <c r="M217" s="57">
        <v>2.3E-2</v>
      </c>
    </row>
    <row r="218" spans="2:13" outlineLevel="1">
      <c r="B218" s="95">
        <f t="shared" si="47"/>
        <v>49341</v>
      </c>
      <c r="C218" s="92">
        <v>59124.463416516781</v>
      </c>
      <c r="D218" s="88">
        <f>IF(ISNUMBER($F218)*SUM(F218:F229)&lt;&gt;0,VLOOKUP($J218,'Table 1'!$B$13:$C$33,2,FALSE)/12*1000*Study_MW,0)</f>
        <v>1440831.7590463865</v>
      </c>
      <c r="E218" s="88">
        <f t="shared" ref="E218:E240" si="53">C218+D218</f>
        <v>1499956.2224629032</v>
      </c>
      <c r="F218" s="92">
        <v>10826.451999999999</v>
      </c>
      <c r="G218" s="93">
        <f t="shared" si="51"/>
        <v>138.5455015607055</v>
      </c>
      <c r="I218" s="94">
        <f t="shared" si="49"/>
        <v>93</v>
      </c>
      <c r="J218" s="90">
        <f t="shared" ref="J218:J240" si="54">YEAR(B218)</f>
        <v>2035</v>
      </c>
      <c r="K218" s="95">
        <f t="shared" si="52"/>
        <v>49341</v>
      </c>
      <c r="M218" s="57">
        <v>2.3E-2</v>
      </c>
    </row>
    <row r="219" spans="2:13" outlineLevel="1">
      <c r="B219" s="95">
        <f t="shared" si="47"/>
        <v>49369</v>
      </c>
      <c r="C219" s="92">
        <v>138647.78347891569</v>
      </c>
      <c r="D219" s="88">
        <f>IF(ISNUMBER($F219)*SUM(F219:F230)&lt;&gt;0,VLOOKUP($J219,'Table 1'!$B$13:$C$33,2,FALSE)/12*1000*Study_MW,0)</f>
        <v>1440831.7590463865</v>
      </c>
      <c r="E219" s="88">
        <f t="shared" si="53"/>
        <v>1579479.5425253022</v>
      </c>
      <c r="F219" s="92">
        <v>16861.333999999999</v>
      </c>
      <c r="G219" s="93">
        <f t="shared" si="51"/>
        <v>93.674648905318065</v>
      </c>
      <c r="I219" s="94">
        <f t="shared" si="49"/>
        <v>94</v>
      </c>
      <c r="J219" s="90">
        <f t="shared" si="54"/>
        <v>2035</v>
      </c>
      <c r="K219" s="95">
        <f t="shared" si="52"/>
        <v>49369</v>
      </c>
      <c r="M219" s="57">
        <v>2.3E-2</v>
      </c>
    </row>
    <row r="220" spans="2:13" outlineLevel="1">
      <c r="B220" s="95">
        <f t="shared" si="47"/>
        <v>49400</v>
      </c>
      <c r="C220" s="92">
        <v>111667.94586092234</v>
      </c>
      <c r="D220" s="88">
        <f>IF(ISNUMBER($F220)*SUM(F220:F231)&lt;&gt;0,VLOOKUP($J220,'Table 1'!$B$13:$C$33,2,FALSE)/12*1000*Study_MW,0)</f>
        <v>1440831.7590463865</v>
      </c>
      <c r="E220" s="88">
        <f t="shared" si="53"/>
        <v>1552499.7049073088</v>
      </c>
      <c r="F220" s="92">
        <v>19474.830000000002</v>
      </c>
      <c r="G220" s="93">
        <f t="shared" si="51"/>
        <v>79.718267369076329</v>
      </c>
      <c r="I220" s="94">
        <f t="shared" si="49"/>
        <v>95</v>
      </c>
      <c r="J220" s="90">
        <f t="shared" si="54"/>
        <v>2035</v>
      </c>
      <c r="K220" s="95">
        <f t="shared" si="52"/>
        <v>49400</v>
      </c>
      <c r="M220" s="57">
        <v>2.3E-2</v>
      </c>
    </row>
    <row r="221" spans="2:13" outlineLevel="1">
      <c r="B221" s="95">
        <f t="shared" si="47"/>
        <v>49430</v>
      </c>
      <c r="C221" s="92">
        <v>-84419.582203537226</v>
      </c>
      <c r="D221" s="88">
        <f>IF(ISNUMBER($F221)*SUM(F221:F232)&lt;&gt;0,VLOOKUP($J221,'Table 1'!$B$13:$C$33,2,FALSE)/12*1000*Study_MW,0)</f>
        <v>1440831.7590463865</v>
      </c>
      <c r="E221" s="88">
        <f t="shared" si="53"/>
        <v>1356412.1768428492</v>
      </c>
      <c r="F221" s="92">
        <v>22543.602999999999</v>
      </c>
      <c r="G221" s="93">
        <f t="shared" si="51"/>
        <v>60.168384656296922</v>
      </c>
      <c r="I221" s="94">
        <f t="shared" si="49"/>
        <v>96</v>
      </c>
      <c r="J221" s="90">
        <f t="shared" si="54"/>
        <v>2035</v>
      </c>
      <c r="K221" s="95">
        <f t="shared" si="52"/>
        <v>49430</v>
      </c>
      <c r="M221" s="57">
        <v>2.3E-2</v>
      </c>
    </row>
    <row r="222" spans="2:13" outlineLevel="1">
      <c r="B222" s="95">
        <f t="shared" si="47"/>
        <v>49461</v>
      </c>
      <c r="C222" s="92">
        <v>-218811.06725555658</v>
      </c>
      <c r="D222" s="88">
        <f>IF(ISNUMBER($F222)*SUM(F222:F233)&lt;&gt;0,VLOOKUP($J222,'Table 1'!$B$13:$C$33,2,FALSE)/12*1000*Study_MW,0)</f>
        <v>1440831.7590463865</v>
      </c>
      <c r="E222" s="88">
        <f t="shared" si="53"/>
        <v>1222020.6917908299</v>
      </c>
      <c r="F222" s="92">
        <v>23950.080000000002</v>
      </c>
      <c r="G222" s="93">
        <f t="shared" si="51"/>
        <v>51.02365803332723</v>
      </c>
      <c r="I222" s="94">
        <f t="shared" si="49"/>
        <v>97</v>
      </c>
      <c r="J222" s="90">
        <f t="shared" si="54"/>
        <v>2035</v>
      </c>
      <c r="K222" s="95">
        <f t="shared" si="52"/>
        <v>49461</v>
      </c>
      <c r="M222" s="57">
        <v>2.3E-2</v>
      </c>
    </row>
    <row r="223" spans="2:13" outlineLevel="1">
      <c r="B223" s="95">
        <f t="shared" si="47"/>
        <v>49491</v>
      </c>
      <c r="C223" s="92">
        <v>-378450.15279901028</v>
      </c>
      <c r="D223" s="88">
        <f>IF(ISNUMBER($F223)*SUM(F223:F234)&lt;&gt;0,VLOOKUP($J223,'Table 1'!$B$13:$C$33,2,FALSE)/12*1000*Study_MW,0)</f>
        <v>1440831.7590463865</v>
      </c>
      <c r="E223" s="88">
        <f t="shared" si="53"/>
        <v>1062381.6062473762</v>
      </c>
      <c r="F223" s="92">
        <v>21677.834999999999</v>
      </c>
      <c r="G223" s="93">
        <f t="shared" si="51"/>
        <v>49.007735608624024</v>
      </c>
      <c r="I223" s="94">
        <f t="shared" si="49"/>
        <v>98</v>
      </c>
      <c r="J223" s="90">
        <f t="shared" si="54"/>
        <v>2035</v>
      </c>
      <c r="K223" s="95">
        <f t="shared" si="52"/>
        <v>49491</v>
      </c>
      <c r="M223" s="57">
        <v>2.3E-2</v>
      </c>
    </row>
    <row r="224" spans="2:13" outlineLevel="1">
      <c r="B224" s="95">
        <f t="shared" si="47"/>
        <v>49522</v>
      </c>
      <c r="C224" s="92">
        <v>-414838.48650464416</v>
      </c>
      <c r="D224" s="88">
        <f>IF(ISNUMBER($F224)*SUM(F224:F235)&lt;&gt;0,VLOOKUP($J224,'Table 1'!$B$13:$C$33,2,FALSE)/12*1000*Study_MW,0)</f>
        <v>1440831.7590463865</v>
      </c>
      <c r="E224" s="88">
        <f t="shared" si="53"/>
        <v>1025993.2725417423</v>
      </c>
      <c r="F224" s="92">
        <v>21713.144</v>
      </c>
      <c r="G224" s="93">
        <f t="shared" si="51"/>
        <v>47.252174652447486</v>
      </c>
      <c r="I224" s="94">
        <f t="shared" si="49"/>
        <v>99</v>
      </c>
      <c r="J224" s="90">
        <f t="shared" si="54"/>
        <v>2035</v>
      </c>
      <c r="K224" s="95">
        <f t="shared" si="52"/>
        <v>49522</v>
      </c>
      <c r="M224" s="57">
        <v>2.3E-2</v>
      </c>
    </row>
    <row r="225" spans="2:20" outlineLevel="1">
      <c r="B225" s="95">
        <f t="shared" si="47"/>
        <v>49553</v>
      </c>
      <c r="C225" s="92">
        <v>-162410.91371050477</v>
      </c>
      <c r="D225" s="88">
        <f>IF(ISNUMBER($F225)*SUM(F225:F236)&lt;&gt;0,VLOOKUP($J225,'Table 1'!$B$13:$C$33,2,FALSE)/12*1000*Study_MW,0)</f>
        <v>1440831.7590463865</v>
      </c>
      <c r="E225" s="88">
        <f t="shared" si="53"/>
        <v>1278420.8453358817</v>
      </c>
      <c r="F225" s="92">
        <v>19140</v>
      </c>
      <c r="G225" s="93">
        <f t="shared" si="51"/>
        <v>66.793147614204898</v>
      </c>
      <c r="I225" s="94">
        <f t="shared" si="49"/>
        <v>100</v>
      </c>
      <c r="J225" s="90">
        <f t="shared" si="54"/>
        <v>2035</v>
      </c>
      <c r="K225" s="95">
        <f t="shared" si="52"/>
        <v>49553</v>
      </c>
      <c r="M225" s="57">
        <v>2.3E-2</v>
      </c>
    </row>
    <row r="226" spans="2:20" outlineLevel="1">
      <c r="B226" s="95">
        <f t="shared" si="47"/>
        <v>49583</v>
      </c>
      <c r="C226" s="92">
        <v>67001.36981934309</v>
      </c>
      <c r="D226" s="88">
        <f>IF(ISNUMBER($F226)*SUM(F226:F237)&lt;&gt;0,VLOOKUP($J226,'Table 1'!$B$13:$C$33,2,FALSE)/12*1000*Study_MW,0)</f>
        <v>1440831.7590463865</v>
      </c>
      <c r="E226" s="88">
        <f t="shared" si="53"/>
        <v>1507833.1288657296</v>
      </c>
      <c r="F226" s="92">
        <v>15517.143</v>
      </c>
      <c r="G226" s="93">
        <f t="shared" si="51"/>
        <v>97.172084375695292</v>
      </c>
      <c r="I226" s="94">
        <f t="shared" si="49"/>
        <v>101</v>
      </c>
      <c r="J226" s="90">
        <f t="shared" si="54"/>
        <v>2035</v>
      </c>
      <c r="K226" s="95">
        <f t="shared" si="52"/>
        <v>49583</v>
      </c>
      <c r="M226" s="57">
        <v>2.3E-2</v>
      </c>
    </row>
    <row r="227" spans="2:20" outlineLevel="1">
      <c r="B227" s="95">
        <f t="shared" si="47"/>
        <v>49614</v>
      </c>
      <c r="C227" s="92">
        <v>56292.655868202448</v>
      </c>
      <c r="D227" s="88">
        <f>IF(ISNUMBER($F227)*SUM(F227:F238)&lt;&gt;0,VLOOKUP($J227,'Table 1'!$B$13:$C$33,2,FALSE)/12*1000*Study_MW,0)</f>
        <v>1440831.7590463865</v>
      </c>
      <c r="E227" s="88">
        <f t="shared" si="53"/>
        <v>1497124.4149145889</v>
      </c>
      <c r="F227" s="92">
        <v>10451.459999999999</v>
      </c>
      <c r="G227" s="93">
        <f t="shared" si="51"/>
        <v>143.24548100596365</v>
      </c>
      <c r="I227" s="94">
        <f t="shared" si="49"/>
        <v>102</v>
      </c>
      <c r="J227" s="90">
        <f t="shared" si="54"/>
        <v>2035</v>
      </c>
      <c r="K227" s="95">
        <f t="shared" si="52"/>
        <v>49614</v>
      </c>
      <c r="M227" s="57">
        <v>2.3E-2</v>
      </c>
      <c r="T227" s="272"/>
    </row>
    <row r="228" spans="2:20" outlineLevel="1">
      <c r="B228" s="99">
        <f t="shared" si="47"/>
        <v>49644</v>
      </c>
      <c r="C228" s="96">
        <v>80036.294706523418</v>
      </c>
      <c r="D228" s="97">
        <f>IF(ISNUMBER($F228)*SUM(F228:F239)&lt;&gt;0,VLOOKUP($J228,'Table 1'!$B$13:$C$33,2,FALSE)/12*1000*Study_MW,0)</f>
        <v>1440831.7590463865</v>
      </c>
      <c r="E228" s="97">
        <f t="shared" si="53"/>
        <v>1520868.0537529099</v>
      </c>
      <c r="F228" s="96">
        <v>8062.9449999999997</v>
      </c>
      <c r="G228" s="98">
        <f t="shared" si="51"/>
        <v>188.6243864683326</v>
      </c>
      <c r="I228" s="81">
        <f t="shared" si="49"/>
        <v>103</v>
      </c>
      <c r="J228" s="90">
        <f t="shared" si="54"/>
        <v>2035</v>
      </c>
      <c r="K228" s="99">
        <f t="shared" si="52"/>
        <v>49644</v>
      </c>
      <c r="M228" s="57">
        <v>2.3E-2</v>
      </c>
      <c r="T228" s="272"/>
    </row>
    <row r="229" spans="2:20" outlineLevel="1">
      <c r="B229" s="91">
        <f t="shared" si="47"/>
        <v>49675</v>
      </c>
      <c r="C229" s="86">
        <v>3093.9846238195896</v>
      </c>
      <c r="D229" s="87">
        <f>IF(ISNUMBER($F229)*SUM(F229:F240)&lt;&gt;0,VLOOKUP($J229,'Table 1'!$B$13:$C$33,2,FALSE)/12*1000*Study_MW,0)</f>
        <v>1473845.2056594626</v>
      </c>
      <c r="E229" s="87">
        <f t="shared" si="53"/>
        <v>1476939.1902832822</v>
      </c>
      <c r="F229" s="86">
        <v>9625.19</v>
      </c>
      <c r="G229" s="89">
        <f t="shared" si="51"/>
        <v>153.44519851382489</v>
      </c>
      <c r="I229" s="77">
        <f t="shared" si="49"/>
        <v>105</v>
      </c>
      <c r="J229" s="90">
        <f t="shared" si="54"/>
        <v>2036</v>
      </c>
      <c r="K229" s="91">
        <f t="shared" si="52"/>
        <v>49675</v>
      </c>
      <c r="M229" s="57">
        <v>2.3E-2</v>
      </c>
      <c r="T229" s="272"/>
    </row>
    <row r="230" spans="2:20" outlineLevel="1">
      <c r="B230" s="95">
        <f t="shared" si="47"/>
        <v>49706</v>
      </c>
      <c r="C230" s="92">
        <v>3010.122287094593</v>
      </c>
      <c r="D230" s="88">
        <f>IF(ISNUMBER($F230)*SUM(F230:F241)&lt;&gt;0,VLOOKUP($J230,'Table 1'!$B$13:$C$33,2,FALSE)/12*1000*Study_MW,0)</f>
        <v>1473845.2056594626</v>
      </c>
      <c r="E230" s="88">
        <f t="shared" si="53"/>
        <v>1476855.3279465572</v>
      </c>
      <c r="F230" s="92">
        <v>11156.995999999999</v>
      </c>
      <c r="G230" s="93">
        <f t="shared" si="51"/>
        <v>132.37033767391844</v>
      </c>
      <c r="I230" s="94">
        <f t="shared" si="49"/>
        <v>106</v>
      </c>
      <c r="J230" s="90">
        <f t="shared" si="54"/>
        <v>2036</v>
      </c>
      <c r="K230" s="95">
        <f t="shared" si="52"/>
        <v>49706</v>
      </c>
      <c r="M230" s="57">
        <v>2.3E-2</v>
      </c>
      <c r="T230" s="272"/>
    </row>
    <row r="231" spans="2:20" outlineLevel="1">
      <c r="B231" s="95">
        <f t="shared" si="47"/>
        <v>49735</v>
      </c>
      <c r="C231" s="92">
        <v>4320.0034942030907</v>
      </c>
      <c r="D231" s="88">
        <f>IF(ISNUMBER($F231)*SUM(F231:F242)&lt;&gt;0,VLOOKUP($J231,'Table 1'!$B$13:$C$33,2,FALSE)/12*1000*Study_MW,0)</f>
        <v>1473845.2056594626</v>
      </c>
      <c r="E231" s="88">
        <f t="shared" si="53"/>
        <v>1478165.2091536657</v>
      </c>
      <c r="F231" s="92">
        <v>16777.013999999999</v>
      </c>
      <c r="G231" s="93">
        <f t="shared" si="51"/>
        <v>88.106573026264726</v>
      </c>
      <c r="I231" s="94">
        <f t="shared" si="49"/>
        <v>107</v>
      </c>
      <c r="J231" s="90">
        <f t="shared" si="54"/>
        <v>2036</v>
      </c>
      <c r="K231" s="95">
        <f t="shared" si="52"/>
        <v>49735</v>
      </c>
      <c r="M231" s="57">
        <v>2.3E-2</v>
      </c>
      <c r="T231" s="272"/>
    </row>
    <row r="232" spans="2:20" outlineLevel="1">
      <c r="B232" s="95">
        <f t="shared" si="47"/>
        <v>49766</v>
      </c>
      <c r="C232" s="92">
        <v>4399.7556518018246</v>
      </c>
      <c r="D232" s="88">
        <f>IF(ISNUMBER($F232)*SUM(F232:F243)&lt;&gt;0,VLOOKUP($J232,'Table 1'!$B$13:$C$33,2,FALSE)/12*1000*Study_MW,0)</f>
        <v>1473845.2056594626</v>
      </c>
      <c r="E232" s="88">
        <f t="shared" si="53"/>
        <v>1478244.9613112644</v>
      </c>
      <c r="F232" s="92">
        <v>19377.48</v>
      </c>
      <c r="G232" s="93">
        <f t="shared" si="51"/>
        <v>76.28674942826747</v>
      </c>
      <c r="I232" s="94">
        <f t="shared" si="49"/>
        <v>108</v>
      </c>
      <c r="J232" s="90">
        <f t="shared" si="54"/>
        <v>2036</v>
      </c>
      <c r="K232" s="95">
        <f t="shared" si="52"/>
        <v>49766</v>
      </c>
      <c r="M232" s="57">
        <v>2.3E-2</v>
      </c>
      <c r="T232" s="272"/>
    </row>
    <row r="233" spans="2:20" outlineLevel="1">
      <c r="B233" s="95">
        <f t="shared" si="47"/>
        <v>49796</v>
      </c>
      <c r="C233" s="92">
        <v>5830.4263396859169</v>
      </c>
      <c r="D233" s="88">
        <f>IF(ISNUMBER($F233)*SUM(F233:F244)&lt;&gt;0,VLOOKUP($J233,'Table 1'!$B$13:$C$33,2,FALSE)/12*1000*Study_MW,0)</f>
        <v>1473845.2056594626</v>
      </c>
      <c r="E233" s="88">
        <f t="shared" si="53"/>
        <v>1479675.6319991485</v>
      </c>
      <c r="F233" s="92">
        <v>22430.98</v>
      </c>
      <c r="G233" s="93">
        <f t="shared" si="51"/>
        <v>65.965714917455614</v>
      </c>
      <c r="I233" s="94">
        <f t="shared" si="49"/>
        <v>109</v>
      </c>
      <c r="J233" s="90">
        <f t="shared" si="54"/>
        <v>2036</v>
      </c>
      <c r="K233" s="95">
        <f t="shared" si="52"/>
        <v>49796</v>
      </c>
      <c r="M233" s="57">
        <v>2.3E-2</v>
      </c>
      <c r="T233" s="272"/>
    </row>
    <row r="234" spans="2:20" outlineLevel="1">
      <c r="B234" s="95">
        <f t="shared" si="47"/>
        <v>49827</v>
      </c>
      <c r="C234" s="92">
        <v>6618.4281111061573</v>
      </c>
      <c r="D234" s="88">
        <f>IF(ISNUMBER($F234)*SUM(F234:F245)&lt;&gt;0,VLOOKUP($J234,'Table 1'!$B$13:$C$33,2,FALSE)/12*1000*Study_MW,0)</f>
        <v>1473845.2056594626</v>
      </c>
      <c r="E234" s="88">
        <f t="shared" si="53"/>
        <v>1480463.6337705688</v>
      </c>
      <c r="F234" s="92">
        <v>23830.32</v>
      </c>
      <c r="G234" s="93">
        <f t="shared" si="51"/>
        <v>62.125209974963354</v>
      </c>
      <c r="I234" s="94">
        <f t="shared" si="49"/>
        <v>110</v>
      </c>
      <c r="J234" s="90">
        <f t="shared" si="54"/>
        <v>2036</v>
      </c>
      <c r="K234" s="95">
        <f t="shared" si="52"/>
        <v>49827</v>
      </c>
      <c r="M234" s="57">
        <v>2.3E-2</v>
      </c>
      <c r="T234" s="272"/>
    </row>
    <row r="235" spans="2:20" outlineLevel="1">
      <c r="B235" s="95">
        <f t="shared" si="47"/>
        <v>49857</v>
      </c>
      <c r="C235" s="92">
        <v>9527.0198002457619</v>
      </c>
      <c r="D235" s="88">
        <f>IF(ISNUMBER($F235)*SUM(F235:F246)&lt;&gt;0,VLOOKUP($J235,'Table 1'!$B$13:$C$33,2,FALSE)/12*1000*Study_MW,0)</f>
        <v>1473845.2056594626</v>
      </c>
      <c r="E235" s="88">
        <f t="shared" si="53"/>
        <v>1483372.2254597084</v>
      </c>
      <c r="F235" s="92">
        <v>21569.458999999999</v>
      </c>
      <c r="G235" s="93">
        <f t="shared" si="51"/>
        <v>68.771879047115107</v>
      </c>
      <c r="I235" s="94">
        <f t="shared" si="49"/>
        <v>111</v>
      </c>
      <c r="J235" s="90">
        <f t="shared" si="54"/>
        <v>2036</v>
      </c>
      <c r="K235" s="95">
        <f t="shared" si="52"/>
        <v>49857</v>
      </c>
      <c r="M235" s="57">
        <v>2.3E-2</v>
      </c>
      <c r="T235" s="272"/>
    </row>
    <row r="236" spans="2:20" outlineLevel="1">
      <c r="B236" s="95">
        <f t="shared" si="47"/>
        <v>49888</v>
      </c>
      <c r="C236" s="92">
        <v>10828.473201006651</v>
      </c>
      <c r="D236" s="88">
        <f>IF(ISNUMBER($F236)*SUM(F236:F247)&lt;&gt;0,VLOOKUP($J236,'Table 1'!$B$13:$C$33,2,FALSE)/12*1000*Study_MW,0)</f>
        <v>1473845.2056594626</v>
      </c>
      <c r="E236" s="88">
        <f t="shared" si="53"/>
        <v>1484673.6788604693</v>
      </c>
      <c r="F236" s="92">
        <v>21604.52</v>
      </c>
      <c r="G236" s="93">
        <f t="shared" si="51"/>
        <v>68.720512136370971</v>
      </c>
      <c r="I236" s="94">
        <f t="shared" si="49"/>
        <v>112</v>
      </c>
      <c r="J236" s="90">
        <f t="shared" si="54"/>
        <v>2036</v>
      </c>
      <c r="K236" s="95">
        <f t="shared" si="52"/>
        <v>49888</v>
      </c>
      <c r="M236" s="57">
        <v>2.3E-2</v>
      </c>
      <c r="T236" s="272"/>
    </row>
    <row r="237" spans="2:20" outlineLevel="1">
      <c r="B237" s="95">
        <f t="shared" si="47"/>
        <v>49919</v>
      </c>
      <c r="C237" s="92">
        <v>8098.2962144911289</v>
      </c>
      <c r="D237" s="88">
        <f>IF(ISNUMBER($F237)*SUM(F237:F248)&lt;&gt;0,VLOOKUP($J237,'Table 1'!$B$13:$C$33,2,FALSE)/12*1000*Study_MW,0)</f>
        <v>1473845.2056594626</v>
      </c>
      <c r="E237" s="88">
        <f t="shared" si="53"/>
        <v>1481943.5018739537</v>
      </c>
      <c r="F237" s="92">
        <v>19044.240000000002</v>
      </c>
      <c r="G237" s="93">
        <f t="shared" si="51"/>
        <v>77.81583837811084</v>
      </c>
      <c r="I237" s="94">
        <f t="shared" si="49"/>
        <v>113</v>
      </c>
      <c r="J237" s="90">
        <f t="shared" si="54"/>
        <v>2036</v>
      </c>
      <c r="K237" s="95">
        <f t="shared" si="52"/>
        <v>49919</v>
      </c>
      <c r="M237" s="57">
        <v>2.3E-2</v>
      </c>
      <c r="T237" s="272"/>
    </row>
    <row r="238" spans="2:20" outlineLevel="1">
      <c r="B238" s="95">
        <f t="shared" si="47"/>
        <v>49949</v>
      </c>
      <c r="C238" s="92">
        <v>5295.1328805983067</v>
      </c>
      <c r="D238" s="88">
        <f>IF(ISNUMBER($F238)*SUM(F238:F249)&lt;&gt;0,VLOOKUP($J238,'Table 1'!$B$13:$C$33,2,FALSE)/12*1000*Study_MW,0)</f>
        <v>1473845.2056594626</v>
      </c>
      <c r="E238" s="88">
        <f t="shared" si="53"/>
        <v>1479140.3385400609</v>
      </c>
      <c r="F238" s="92">
        <v>15439.611999999999</v>
      </c>
      <c r="G238" s="93">
        <f t="shared" si="51"/>
        <v>95.801652174942021</v>
      </c>
      <c r="I238" s="94">
        <f t="shared" si="49"/>
        <v>114</v>
      </c>
      <c r="J238" s="90">
        <f t="shared" si="54"/>
        <v>2036</v>
      </c>
      <c r="K238" s="95">
        <f t="shared" si="52"/>
        <v>49949</v>
      </c>
      <c r="M238" s="57">
        <v>2.3E-2</v>
      </c>
      <c r="T238" s="272"/>
    </row>
    <row r="239" spans="2:20" outlineLevel="1">
      <c r="B239" s="95">
        <f t="shared" si="47"/>
        <v>49980</v>
      </c>
      <c r="C239" s="92">
        <v>3418.2113342285156</v>
      </c>
      <c r="D239" s="88">
        <f>IF(ISNUMBER($F239)*SUM(F239:F250)&lt;&gt;0,VLOOKUP($J239,'Table 1'!$B$13:$C$33,2,FALSE)/12*1000*Study_MW,0)</f>
        <v>1473845.2056594626</v>
      </c>
      <c r="E239" s="88">
        <f t="shared" si="53"/>
        <v>1477263.4169936911</v>
      </c>
      <c r="F239" s="92">
        <v>10399.200000000001</v>
      </c>
      <c r="G239" s="93">
        <f t="shared" si="51"/>
        <v>142.05548667144501</v>
      </c>
      <c r="I239" s="94">
        <f t="shared" si="49"/>
        <v>115</v>
      </c>
      <c r="J239" s="90">
        <f t="shared" si="54"/>
        <v>2036</v>
      </c>
      <c r="K239" s="95">
        <f t="shared" si="52"/>
        <v>49980</v>
      </c>
      <c r="M239" s="57">
        <v>2.3E-2</v>
      </c>
      <c r="T239" s="272"/>
    </row>
    <row r="240" spans="2:20" outlineLevel="1">
      <c r="B240" s="99">
        <f t="shared" si="47"/>
        <v>50010</v>
      </c>
      <c r="C240" s="96">
        <v>3054.6343814432621</v>
      </c>
      <c r="D240" s="97">
        <f>IF(ISNUMBER($F240)*SUM(F240:F251)&lt;&gt;0,VLOOKUP($J240,'Table 1'!$B$13:$C$33,2,FALSE)/12*1000*Study_MW,0)</f>
        <v>1473845.2056594626</v>
      </c>
      <c r="E240" s="97">
        <f t="shared" si="53"/>
        <v>1476899.8400409059</v>
      </c>
      <c r="F240" s="96">
        <v>8022.6760000000004</v>
      </c>
      <c r="G240" s="98">
        <f t="shared" si="51"/>
        <v>184.09067498686295</v>
      </c>
      <c r="I240" s="81">
        <f t="shared" si="49"/>
        <v>116</v>
      </c>
      <c r="J240" s="90">
        <f t="shared" si="54"/>
        <v>2036</v>
      </c>
      <c r="K240" s="99">
        <f t="shared" si="52"/>
        <v>50010</v>
      </c>
      <c r="M240" s="57">
        <v>2.3E-2</v>
      </c>
      <c r="T240" s="272"/>
    </row>
    <row r="241" spans="2:20" outlineLevel="1">
      <c r="B241" s="292">
        <f t="shared" si="47"/>
        <v>50041</v>
      </c>
      <c r="C241" s="281">
        <f t="shared" ref="C241:C252" si="55">(C229*(1+M241))*IF(AND(MONTH(K241)=2,OR(J229=2036,J229=2040)),28/29,1)</f>
        <v>3162.0522855436207</v>
      </c>
      <c r="D241" s="282">
        <f>IF(ISNUMBER($F241)*SUM(F241:F252)&lt;&gt;0,VLOOKUP($J241,'Table 1'!$B$13:$C$33,2,FALSE)/12*1000*Study_MW,0)</f>
        <v>1506368.6567754988</v>
      </c>
      <c r="E241" s="282">
        <f t="shared" si="48"/>
        <v>1509530.7090610424</v>
      </c>
      <c r="F241" s="281">
        <v>9625.19</v>
      </c>
      <c r="G241" s="283">
        <f t="shared" si="45"/>
        <v>156.8312634930887</v>
      </c>
      <c r="I241" s="77">
        <f>I121</f>
        <v>118</v>
      </c>
      <c r="J241" s="90">
        <f t="shared" si="50"/>
        <v>2037</v>
      </c>
      <c r="K241" s="91">
        <f t="shared" ref="K241:K252" si="56">IF(ISNUMBER(F241),IF(F241&lt;&gt;0,B241,""),"")</f>
        <v>50041</v>
      </c>
      <c r="M241" s="57">
        <v>2.1999999999999999E-2</v>
      </c>
      <c r="T241" s="272"/>
    </row>
    <row r="242" spans="2:20" outlineLevel="1">
      <c r="B242" s="293">
        <f t="shared" si="47"/>
        <v>50072</v>
      </c>
      <c r="C242" s="275">
        <f t="shared" si="55"/>
        <v>2970.2641161206511</v>
      </c>
      <c r="D242" s="276">
        <f>IF(ISNUMBER($F242)*SUM(F242:F253)&lt;&gt;0,VLOOKUP($J242,'Table 1'!$B$13:$C$33,2,FALSE)/12*1000*Study_MW,0)</f>
        <v>1506368.6567754988</v>
      </c>
      <c r="E242" s="276">
        <f t="shared" si="48"/>
        <v>1509338.9208916195</v>
      </c>
      <c r="F242" s="275">
        <v>10772.271999999999</v>
      </c>
      <c r="G242" s="277">
        <f t="shared" si="45"/>
        <v>140.11333179218084</v>
      </c>
      <c r="I242" s="94">
        <f t="shared" ref="I242:I264" si="57">I122</f>
        <v>119</v>
      </c>
      <c r="J242" s="90">
        <f t="shared" si="50"/>
        <v>2037</v>
      </c>
      <c r="K242" s="95">
        <f t="shared" si="56"/>
        <v>50072</v>
      </c>
      <c r="M242" s="57">
        <v>2.1999999999999999E-2</v>
      </c>
      <c r="T242" s="272"/>
    </row>
    <row r="243" spans="2:20" outlineLevel="1">
      <c r="B243" s="293">
        <f t="shared" si="47"/>
        <v>50100</v>
      </c>
      <c r="C243" s="275">
        <f t="shared" si="55"/>
        <v>4415.0435710755592</v>
      </c>
      <c r="D243" s="276">
        <f>IF(ISNUMBER($F243)*SUM(F243:F254)&lt;&gt;0,VLOOKUP($J243,'Table 1'!$B$13:$C$33,2,FALSE)/12*1000*Study_MW,0)</f>
        <v>1506368.6567754988</v>
      </c>
      <c r="E243" s="276">
        <f t="shared" si="48"/>
        <v>1510783.7003465744</v>
      </c>
      <c r="F243" s="275">
        <v>16777.013999999999</v>
      </c>
      <c r="G243" s="277">
        <f t="shared" si="45"/>
        <v>90.050810015809404</v>
      </c>
      <c r="I243" s="94">
        <f t="shared" si="57"/>
        <v>120</v>
      </c>
      <c r="J243" s="90">
        <f t="shared" si="50"/>
        <v>2037</v>
      </c>
      <c r="K243" s="95">
        <f t="shared" si="56"/>
        <v>50100</v>
      </c>
      <c r="M243" s="57">
        <v>2.1999999999999999E-2</v>
      </c>
      <c r="T243" s="272"/>
    </row>
    <row r="244" spans="2:20" outlineLevel="1">
      <c r="B244" s="293">
        <f t="shared" si="47"/>
        <v>50131</v>
      </c>
      <c r="C244" s="275">
        <f t="shared" si="55"/>
        <v>4496.5502761414646</v>
      </c>
      <c r="D244" s="276">
        <f>IF(ISNUMBER($F244)*SUM(F244:F255)&lt;&gt;0,VLOOKUP($J244,'Table 1'!$B$13:$C$33,2,FALSE)/12*1000*Study_MW,0)</f>
        <v>1506368.6567754988</v>
      </c>
      <c r="E244" s="276">
        <f t="shared" si="48"/>
        <v>1510865.2070516401</v>
      </c>
      <c r="F244" s="275">
        <v>19377.48</v>
      </c>
      <c r="G244" s="277">
        <f t="shared" si="45"/>
        <v>77.970159538373423</v>
      </c>
      <c r="I244" s="94">
        <f t="shared" si="57"/>
        <v>121</v>
      </c>
      <c r="J244" s="90">
        <f t="shared" si="50"/>
        <v>2037</v>
      </c>
      <c r="K244" s="95">
        <f t="shared" si="56"/>
        <v>50131</v>
      </c>
      <c r="M244" s="57">
        <v>2.1999999999999999E-2</v>
      </c>
      <c r="T244" s="272"/>
    </row>
    <row r="245" spans="2:20" outlineLevel="1">
      <c r="B245" s="293">
        <f t="shared" si="47"/>
        <v>50161</v>
      </c>
      <c r="C245" s="275">
        <f t="shared" si="55"/>
        <v>5958.6957191590072</v>
      </c>
      <c r="D245" s="276">
        <f>IF(ISNUMBER($F245)*SUM(F245:F256)&lt;&gt;0,VLOOKUP($J245,'Table 1'!$B$13:$C$33,2,FALSE)/12*1000*Study_MW,0)</f>
        <v>1506368.6567754988</v>
      </c>
      <c r="E245" s="276">
        <f t="shared" si="48"/>
        <v>1512327.3524946577</v>
      </c>
      <c r="F245" s="275">
        <v>22430.98</v>
      </c>
      <c r="G245" s="277">
        <f t="shared" si="45"/>
        <v>67.421367791093289</v>
      </c>
      <c r="I245" s="94">
        <f t="shared" si="57"/>
        <v>122</v>
      </c>
      <c r="J245" s="90">
        <f t="shared" si="50"/>
        <v>2037</v>
      </c>
      <c r="K245" s="95">
        <f t="shared" si="56"/>
        <v>50161</v>
      </c>
      <c r="M245" s="57">
        <v>2.1999999999999999E-2</v>
      </c>
      <c r="T245" s="272"/>
    </row>
    <row r="246" spans="2:20" outlineLevel="1">
      <c r="B246" s="293">
        <f t="shared" si="47"/>
        <v>50192</v>
      </c>
      <c r="C246" s="275">
        <f t="shared" si="55"/>
        <v>6764.0335295504929</v>
      </c>
      <c r="D246" s="276">
        <f>IF(ISNUMBER($F246)*SUM(F246:F257)&lt;&gt;0,VLOOKUP($J246,'Table 1'!$B$13:$C$33,2,FALSE)/12*1000*Study_MW,0)</f>
        <v>1506368.6567754988</v>
      </c>
      <c r="E246" s="276">
        <f t="shared" si="48"/>
        <v>1513132.6903050493</v>
      </c>
      <c r="F246" s="275">
        <v>23830.32</v>
      </c>
      <c r="G246" s="277">
        <f t="shared" si="45"/>
        <v>63.496112947918839</v>
      </c>
      <c r="I246" s="94">
        <f t="shared" si="57"/>
        <v>123</v>
      </c>
      <c r="J246" s="90">
        <f t="shared" si="50"/>
        <v>2037</v>
      </c>
      <c r="K246" s="95">
        <f t="shared" si="56"/>
        <v>50192</v>
      </c>
      <c r="M246" s="57">
        <v>2.1999999999999999E-2</v>
      </c>
      <c r="T246" s="272"/>
    </row>
    <row r="247" spans="2:20" outlineLevel="1">
      <c r="B247" s="293">
        <f t="shared" si="47"/>
        <v>50222</v>
      </c>
      <c r="C247" s="275">
        <f t="shared" si="55"/>
        <v>9736.6142358511697</v>
      </c>
      <c r="D247" s="276">
        <f>IF(ISNUMBER($F247)*SUM(F247:F258)&lt;&gt;0,VLOOKUP($J247,'Table 1'!$B$13:$C$33,2,FALSE)/12*1000*Study_MW,0)</f>
        <v>1506368.6567754988</v>
      </c>
      <c r="E247" s="276">
        <f t="shared" si="48"/>
        <v>1516105.27101135</v>
      </c>
      <c r="F247" s="275">
        <v>21569.458999999999</v>
      </c>
      <c r="G247" s="277">
        <f t="shared" si="45"/>
        <v>70.289443560515366</v>
      </c>
      <c r="I247" s="94">
        <f t="shared" si="57"/>
        <v>124</v>
      </c>
      <c r="J247" s="90">
        <f t="shared" si="50"/>
        <v>2037</v>
      </c>
      <c r="K247" s="95">
        <f t="shared" si="56"/>
        <v>50222</v>
      </c>
      <c r="M247" s="57">
        <v>2.1999999999999999E-2</v>
      </c>
      <c r="T247" s="272"/>
    </row>
    <row r="248" spans="2:20" outlineLevel="1">
      <c r="B248" s="293">
        <f t="shared" si="47"/>
        <v>50253</v>
      </c>
      <c r="C248" s="275">
        <f t="shared" si="55"/>
        <v>11066.699611428798</v>
      </c>
      <c r="D248" s="276">
        <f>IF(ISNUMBER($F248)*SUM(F248:F259)&lt;&gt;0,VLOOKUP($J248,'Table 1'!$B$13:$C$33,2,FALSE)/12*1000*Study_MW,0)</f>
        <v>1506368.6567754988</v>
      </c>
      <c r="E248" s="276">
        <f t="shared" si="48"/>
        <v>1517435.3563869277</v>
      </c>
      <c r="F248" s="275">
        <v>21604.52</v>
      </c>
      <c r="G248" s="277">
        <f t="shared" si="45"/>
        <v>70.236939139908117</v>
      </c>
      <c r="I248" s="94">
        <f t="shared" si="57"/>
        <v>125</v>
      </c>
      <c r="J248" s="90">
        <f t="shared" si="50"/>
        <v>2037</v>
      </c>
      <c r="K248" s="95">
        <f t="shared" si="56"/>
        <v>50253</v>
      </c>
      <c r="M248" s="57">
        <v>2.1999999999999999E-2</v>
      </c>
      <c r="T248" s="272"/>
    </row>
    <row r="249" spans="2:20" outlineLevel="1">
      <c r="B249" s="293">
        <f t="shared" si="47"/>
        <v>50284</v>
      </c>
      <c r="C249" s="275">
        <f t="shared" si="55"/>
        <v>8276.4587312099338</v>
      </c>
      <c r="D249" s="276">
        <f>IF(ISNUMBER($F249)*SUM(F249:F260)&lt;&gt;0,VLOOKUP($J249,'Table 1'!$B$13:$C$33,2,FALSE)/12*1000*Study_MW,0)</f>
        <v>1506368.6567754988</v>
      </c>
      <c r="E249" s="276">
        <f t="shared" si="48"/>
        <v>1514645.1155067086</v>
      </c>
      <c r="F249" s="275">
        <v>19044.240000000002</v>
      </c>
      <c r="G249" s="277">
        <f t="shared" si="45"/>
        <v>79.532977714348718</v>
      </c>
      <c r="I249" s="94">
        <f t="shared" si="57"/>
        <v>126</v>
      </c>
      <c r="J249" s="90">
        <f t="shared" si="50"/>
        <v>2037</v>
      </c>
      <c r="K249" s="95">
        <f t="shared" si="56"/>
        <v>50284</v>
      </c>
      <c r="M249" s="57">
        <v>2.1999999999999999E-2</v>
      </c>
      <c r="T249" s="272"/>
    </row>
    <row r="250" spans="2:20" outlineLevel="1">
      <c r="B250" s="293">
        <f t="shared" si="47"/>
        <v>50314</v>
      </c>
      <c r="C250" s="275">
        <f t="shared" si="55"/>
        <v>5411.6258039714694</v>
      </c>
      <c r="D250" s="276">
        <f>IF(ISNUMBER($F250)*SUM(F250:F261)&lt;&gt;0,VLOOKUP($J250,'Table 1'!$B$13:$C$33,2,FALSE)/12*1000*Study_MW,0)</f>
        <v>1506368.6567754988</v>
      </c>
      <c r="E250" s="276">
        <f t="shared" si="48"/>
        <v>1511780.2825794702</v>
      </c>
      <c r="F250" s="275">
        <v>15439.611999999999</v>
      </c>
      <c r="G250" s="277">
        <f t="shared" si="45"/>
        <v>97.915691312674838</v>
      </c>
      <c r="I250" s="94">
        <f t="shared" si="57"/>
        <v>127</v>
      </c>
      <c r="J250" s="90">
        <f t="shared" si="50"/>
        <v>2037</v>
      </c>
      <c r="K250" s="95">
        <f t="shared" si="56"/>
        <v>50314</v>
      </c>
      <c r="M250" s="57">
        <v>2.1999999999999999E-2</v>
      </c>
      <c r="T250" s="272"/>
    </row>
    <row r="251" spans="2:20" outlineLevel="1">
      <c r="B251" s="293">
        <f t="shared" si="47"/>
        <v>50345</v>
      </c>
      <c r="C251" s="275">
        <f t="shared" si="55"/>
        <v>3493.4119835815432</v>
      </c>
      <c r="D251" s="276">
        <f>IF(ISNUMBER($F251)*SUM(F251:F262)&lt;&gt;0,VLOOKUP($J251,'Table 1'!$B$13:$C$33,2,FALSE)/12*1000*Study_MW,0)</f>
        <v>1506368.6567754988</v>
      </c>
      <c r="E251" s="276">
        <f t="shared" si="48"/>
        <v>1509862.0687590803</v>
      </c>
      <c r="F251" s="275">
        <v>10399.200000000001</v>
      </c>
      <c r="G251" s="277">
        <f t="shared" si="45"/>
        <v>145.19021355095393</v>
      </c>
      <c r="I251" s="94">
        <f t="shared" si="57"/>
        <v>128</v>
      </c>
      <c r="J251" s="90">
        <f t="shared" si="50"/>
        <v>2037</v>
      </c>
      <c r="K251" s="95">
        <f t="shared" si="56"/>
        <v>50345</v>
      </c>
      <c r="M251" s="57">
        <v>2.1999999999999999E-2</v>
      </c>
      <c r="O251" s="272"/>
      <c r="P251" s="272"/>
      <c r="T251" s="272"/>
    </row>
    <row r="252" spans="2:20" outlineLevel="1" collapsed="1">
      <c r="B252" s="294">
        <f t="shared" si="47"/>
        <v>50375</v>
      </c>
      <c r="C252" s="278">
        <f t="shared" si="55"/>
        <v>3121.8363378350141</v>
      </c>
      <c r="D252" s="279">
        <f>IF(ISNUMBER($F252)*SUM(F252:F263)&lt;&gt;0,VLOOKUP($J252,'Table 1'!$B$13:$C$33,2,FALSE)/12*1000*Study_MW,0)</f>
        <v>1506368.6567754988</v>
      </c>
      <c r="E252" s="279">
        <f t="shared" si="48"/>
        <v>1509490.4931133338</v>
      </c>
      <c r="F252" s="278">
        <v>8022.6760000000004</v>
      </c>
      <c r="G252" s="280">
        <f t="shared" si="45"/>
        <v>188.1529919833898</v>
      </c>
      <c r="I252" s="81">
        <f t="shared" si="57"/>
        <v>129</v>
      </c>
      <c r="J252" s="90">
        <f t="shared" si="50"/>
        <v>2037</v>
      </c>
      <c r="K252" s="99">
        <f t="shared" si="56"/>
        <v>50375</v>
      </c>
      <c r="M252" s="57">
        <v>2.1999999999999999E-2</v>
      </c>
      <c r="O252" s="272"/>
      <c r="P252" s="272"/>
      <c r="T252" s="272"/>
    </row>
    <row r="253" spans="2:20" outlineLevel="1">
      <c r="B253" s="292">
        <f t="shared" si="47"/>
        <v>50406</v>
      </c>
      <c r="C253" s="281">
        <f t="shared" ref="C253:C264" si="58">(C241*(1+M253))*IF(AND(MONTH(K253)=2,OR(J241=2036,J241=2040)),28/29,1)</f>
        <v>3231.6174358255803</v>
      </c>
      <c r="D253" s="282">
        <f>IF(ISNUMBER($F253)*SUM(F253:F264)&lt;&gt;0,VLOOKUP($J253,'Table 1'!$B$13:$C$33,2,FALSE)/12*1000*Study_MW,0)</f>
        <v>1539443.352825705</v>
      </c>
      <c r="E253" s="282">
        <f t="shared" ref="E253:E264" si="59">C253+D253</f>
        <v>1542674.9702615305</v>
      </c>
      <c r="F253" s="281">
        <v>9625.19</v>
      </c>
      <c r="G253" s="283">
        <f t="shared" ref="G253:G264" si="60">IFERROR(E253/$F253,0)</f>
        <v>160.27475512291502</v>
      </c>
      <c r="I253" s="77">
        <f>I133</f>
        <v>1</v>
      </c>
      <c r="J253" s="90">
        <f t="shared" ref="J253:J264" si="61">YEAR(B253)</f>
        <v>2038</v>
      </c>
      <c r="K253" s="91">
        <f t="shared" ref="K253:K264" si="62">IF(ISNUMBER(F253),IF(F253&lt;&gt;0,B253,""),"")</f>
        <v>50406</v>
      </c>
      <c r="M253" s="57">
        <v>2.1999999999999999E-2</v>
      </c>
      <c r="O253" s="272"/>
      <c r="P253" s="272"/>
      <c r="T253" s="272"/>
    </row>
    <row r="254" spans="2:20" outlineLevel="1">
      <c r="B254" s="293">
        <f t="shared" si="47"/>
        <v>50437</v>
      </c>
      <c r="C254" s="275">
        <f t="shared" si="58"/>
        <v>3035.6099266753054</v>
      </c>
      <c r="D254" s="276">
        <f>IF(ISNUMBER($F254)*SUM(F254:F265)&lt;&gt;0,VLOOKUP($J254,'Table 1'!$B$13:$C$33,2,FALSE)/12*1000*Study_MW,0)</f>
        <v>1539443.352825705</v>
      </c>
      <c r="E254" s="276">
        <f t="shared" si="59"/>
        <v>1542478.9627523802</v>
      </c>
      <c r="F254" s="275">
        <v>10772.271999999999</v>
      </c>
      <c r="G254" s="277">
        <f t="shared" si="60"/>
        <v>143.18975261229761</v>
      </c>
      <c r="I254" s="94">
        <f t="shared" si="57"/>
        <v>2</v>
      </c>
      <c r="J254" s="90">
        <f t="shared" si="61"/>
        <v>2038</v>
      </c>
      <c r="K254" s="95">
        <f t="shared" si="62"/>
        <v>50437</v>
      </c>
      <c r="M254" s="57">
        <v>2.1999999999999999E-2</v>
      </c>
      <c r="O254" s="272"/>
      <c r="P254" s="272"/>
      <c r="T254" s="272"/>
    </row>
    <row r="255" spans="2:20" outlineLevel="1">
      <c r="B255" s="293">
        <f t="shared" si="47"/>
        <v>50465</v>
      </c>
      <c r="C255" s="275">
        <f t="shared" si="58"/>
        <v>4512.1745296392219</v>
      </c>
      <c r="D255" s="276">
        <f>IF(ISNUMBER($F255)*SUM(F255:F266)&lt;&gt;0,VLOOKUP($J255,'Table 1'!$B$13:$C$33,2,FALSE)/12*1000*Study_MW,0)</f>
        <v>1539443.352825705</v>
      </c>
      <c r="E255" s="276">
        <f t="shared" si="59"/>
        <v>1543955.5273553443</v>
      </c>
      <c r="F255" s="275">
        <v>16777.013999999999</v>
      </c>
      <c r="G255" s="277">
        <f t="shared" si="60"/>
        <v>92.028028787205187</v>
      </c>
      <c r="I255" s="94">
        <f t="shared" si="57"/>
        <v>3</v>
      </c>
      <c r="J255" s="90">
        <f t="shared" si="61"/>
        <v>2038</v>
      </c>
      <c r="K255" s="95">
        <f t="shared" si="62"/>
        <v>50465</v>
      </c>
      <c r="M255" s="57">
        <v>2.1999999999999999E-2</v>
      </c>
      <c r="O255" s="272"/>
      <c r="P255" s="272"/>
      <c r="T255" s="272"/>
    </row>
    <row r="256" spans="2:20" outlineLevel="1">
      <c r="B256" s="293">
        <f t="shared" si="47"/>
        <v>50496</v>
      </c>
      <c r="C256" s="275">
        <f t="shared" si="58"/>
        <v>4595.4743822165765</v>
      </c>
      <c r="D256" s="276">
        <f>IF(ISNUMBER($F256)*SUM(F256:F267)&lt;&gt;0,VLOOKUP($J256,'Table 1'!$B$13:$C$33,2,FALSE)/12*1000*Study_MW,0)</f>
        <v>1539443.352825705</v>
      </c>
      <c r="E256" s="276">
        <f t="shared" si="59"/>
        <v>1544038.8272079215</v>
      </c>
      <c r="F256" s="275">
        <v>19377.48</v>
      </c>
      <c r="G256" s="277">
        <f t="shared" si="60"/>
        <v>79.68212725328172</v>
      </c>
      <c r="I256" s="94">
        <f t="shared" si="57"/>
        <v>4</v>
      </c>
      <c r="J256" s="90">
        <f t="shared" si="61"/>
        <v>2038</v>
      </c>
      <c r="K256" s="95">
        <f t="shared" si="62"/>
        <v>50496</v>
      </c>
      <c r="M256" s="57">
        <v>2.1999999999999999E-2</v>
      </c>
      <c r="O256" s="272"/>
      <c r="P256" s="272"/>
      <c r="T256" s="272"/>
    </row>
    <row r="257" spans="2:20" outlineLevel="1">
      <c r="B257" s="293">
        <f t="shared" si="47"/>
        <v>50526</v>
      </c>
      <c r="C257" s="275">
        <f t="shared" si="58"/>
        <v>6089.7870249805055</v>
      </c>
      <c r="D257" s="276">
        <f>IF(ISNUMBER($F257)*SUM(F257:F268)&lt;&gt;0,VLOOKUP($J257,'Table 1'!$B$13:$C$33,2,FALSE)/12*1000*Study_MW,0)</f>
        <v>1539443.352825705</v>
      </c>
      <c r="E257" s="276">
        <f t="shared" si="59"/>
        <v>1545533.1398506854</v>
      </c>
      <c r="F257" s="275">
        <v>22430.98</v>
      </c>
      <c r="G257" s="277">
        <f t="shared" si="60"/>
        <v>68.901721630115375</v>
      </c>
      <c r="I257" s="94">
        <f t="shared" si="57"/>
        <v>5</v>
      </c>
      <c r="J257" s="90">
        <f t="shared" si="61"/>
        <v>2038</v>
      </c>
      <c r="K257" s="95">
        <f t="shared" si="62"/>
        <v>50526</v>
      </c>
      <c r="M257" s="57">
        <v>2.1999999999999999E-2</v>
      </c>
      <c r="O257" s="272"/>
      <c r="P257" s="272"/>
      <c r="T257" s="272"/>
    </row>
    <row r="258" spans="2:20" outlineLevel="1">
      <c r="B258" s="293">
        <f t="shared" si="47"/>
        <v>50557</v>
      </c>
      <c r="C258" s="275">
        <f t="shared" si="58"/>
        <v>6912.8422672006036</v>
      </c>
      <c r="D258" s="276">
        <f>IF(ISNUMBER($F258)*SUM(F258:F269)&lt;&gt;0,VLOOKUP($J258,'Table 1'!$B$13:$C$33,2,FALSE)/12*1000*Study_MW,0)</f>
        <v>1539443.352825705</v>
      </c>
      <c r="E258" s="276">
        <f t="shared" si="59"/>
        <v>1546356.1950929055</v>
      </c>
      <c r="F258" s="275">
        <v>23830.32</v>
      </c>
      <c r="G258" s="277">
        <f t="shared" si="60"/>
        <v>64.8902824256202</v>
      </c>
      <c r="I258" s="94">
        <f t="shared" si="57"/>
        <v>6</v>
      </c>
      <c r="J258" s="90">
        <f t="shared" si="61"/>
        <v>2038</v>
      </c>
      <c r="K258" s="95">
        <f t="shared" si="62"/>
        <v>50557</v>
      </c>
      <c r="M258" s="57">
        <v>2.1999999999999999E-2</v>
      </c>
      <c r="O258" s="272"/>
      <c r="P258" s="272"/>
      <c r="T258" s="272"/>
    </row>
    <row r="259" spans="2:20" outlineLevel="1">
      <c r="B259" s="293">
        <f t="shared" si="47"/>
        <v>50587</v>
      </c>
      <c r="C259" s="275">
        <f t="shared" si="58"/>
        <v>9950.8197490398961</v>
      </c>
      <c r="D259" s="276">
        <f>IF(ISNUMBER($F259)*SUM(F259:F270)&lt;&gt;0,VLOOKUP($J259,'Table 1'!$B$13:$C$33,2,FALSE)/12*1000*Study_MW,0)</f>
        <v>1539443.352825705</v>
      </c>
      <c r="E259" s="276">
        <f t="shared" si="59"/>
        <v>1549394.1725747448</v>
      </c>
      <c r="F259" s="275">
        <v>21569.458999999999</v>
      </c>
      <c r="G259" s="277">
        <f t="shared" si="60"/>
        <v>71.832778586368107</v>
      </c>
      <c r="I259" s="94">
        <f t="shared" si="57"/>
        <v>7</v>
      </c>
      <c r="J259" s="90">
        <f t="shared" si="61"/>
        <v>2038</v>
      </c>
      <c r="K259" s="95">
        <f t="shared" si="62"/>
        <v>50587</v>
      </c>
      <c r="M259" s="57">
        <v>2.1999999999999999E-2</v>
      </c>
      <c r="O259" s="272"/>
      <c r="P259" s="272"/>
    </row>
    <row r="260" spans="2:20" outlineLevel="1">
      <c r="B260" s="293">
        <f t="shared" si="47"/>
        <v>50618</v>
      </c>
      <c r="C260" s="275">
        <f t="shared" si="58"/>
        <v>11310.167002880231</v>
      </c>
      <c r="D260" s="276">
        <f>IF(ISNUMBER($F260)*SUM(F260:F271)&lt;&gt;0,VLOOKUP($J260,'Table 1'!$B$13:$C$33,2,FALSE)/12*1000*Study_MW,0)</f>
        <v>1539443.352825705</v>
      </c>
      <c r="E260" s="276">
        <f t="shared" si="59"/>
        <v>1550753.5198285852</v>
      </c>
      <c r="F260" s="275">
        <v>21604.52</v>
      </c>
      <c r="G260" s="277">
        <f t="shared" si="60"/>
        <v>71.779123990192105</v>
      </c>
      <c r="I260" s="94">
        <f t="shared" si="57"/>
        <v>8</v>
      </c>
      <c r="J260" s="90">
        <f t="shared" si="61"/>
        <v>2038</v>
      </c>
      <c r="K260" s="95">
        <f t="shared" si="62"/>
        <v>50618</v>
      </c>
      <c r="M260" s="57">
        <v>2.1999999999999999E-2</v>
      </c>
      <c r="O260" s="272"/>
      <c r="P260" s="272"/>
    </row>
    <row r="261" spans="2:20" outlineLevel="1">
      <c r="B261" s="293">
        <f t="shared" si="47"/>
        <v>50649</v>
      </c>
      <c r="C261" s="275">
        <f t="shared" si="58"/>
        <v>8458.5408232965528</v>
      </c>
      <c r="D261" s="276">
        <f>IF(ISNUMBER($F261)*SUM(F261:F272)&lt;&gt;0,VLOOKUP($J261,'Table 1'!$B$13:$C$33,2,FALSE)/12*1000*Study_MW,0)</f>
        <v>1539443.352825705</v>
      </c>
      <c r="E261" s="276">
        <f t="shared" si="59"/>
        <v>1547901.8936490016</v>
      </c>
      <c r="F261" s="275">
        <v>19044.240000000002</v>
      </c>
      <c r="G261" s="277">
        <f t="shared" si="60"/>
        <v>81.279268358779419</v>
      </c>
      <c r="I261" s="94">
        <f t="shared" si="57"/>
        <v>9</v>
      </c>
      <c r="J261" s="90">
        <f t="shared" si="61"/>
        <v>2038</v>
      </c>
      <c r="K261" s="95">
        <f t="shared" si="62"/>
        <v>50649</v>
      </c>
      <c r="M261" s="57">
        <v>2.1999999999999999E-2</v>
      </c>
      <c r="O261" s="272"/>
      <c r="P261" s="272"/>
    </row>
    <row r="262" spans="2:20" outlineLevel="1">
      <c r="B262" s="293">
        <f t="shared" si="47"/>
        <v>50679</v>
      </c>
      <c r="C262" s="275">
        <f t="shared" si="58"/>
        <v>5530.6815716588417</v>
      </c>
      <c r="D262" s="276">
        <f>IF(ISNUMBER($F262)*SUM(F262:F273)&lt;&gt;0,VLOOKUP($J262,'Table 1'!$B$13:$C$33,2,FALSE)/12*1000*Study_MW,0)</f>
        <v>1539443.352825705</v>
      </c>
      <c r="E262" s="276">
        <f t="shared" si="59"/>
        <v>1544974.0343973639</v>
      </c>
      <c r="F262" s="275">
        <v>15439.611999999999</v>
      </c>
      <c r="G262" s="277">
        <f t="shared" si="60"/>
        <v>100.06559973122148</v>
      </c>
      <c r="I262" s="94">
        <f t="shared" si="57"/>
        <v>10</v>
      </c>
      <c r="J262" s="90">
        <f t="shared" si="61"/>
        <v>2038</v>
      </c>
      <c r="K262" s="95">
        <f t="shared" si="62"/>
        <v>50679</v>
      </c>
      <c r="M262" s="57">
        <v>2.1999999999999999E-2</v>
      </c>
    </row>
    <row r="263" spans="2:20" outlineLevel="1">
      <c r="B263" s="293">
        <f t="shared" si="47"/>
        <v>50710</v>
      </c>
      <c r="C263" s="275">
        <f t="shared" si="58"/>
        <v>3570.2670472203372</v>
      </c>
      <c r="D263" s="276">
        <f>IF(ISNUMBER($F263)*SUM(F263:F274)&lt;&gt;0,VLOOKUP($J263,'Table 1'!$B$13:$C$33,2,FALSE)/12*1000*Study_MW,0)</f>
        <v>1539443.352825705</v>
      </c>
      <c r="E263" s="276">
        <f t="shared" si="59"/>
        <v>1543013.6198729253</v>
      </c>
      <c r="F263" s="275">
        <v>10399.200000000001</v>
      </c>
      <c r="G263" s="277">
        <f t="shared" si="60"/>
        <v>148.37810791915967</v>
      </c>
      <c r="I263" s="94">
        <f t="shared" si="57"/>
        <v>11</v>
      </c>
      <c r="J263" s="90">
        <f t="shared" si="61"/>
        <v>2038</v>
      </c>
      <c r="K263" s="95">
        <f t="shared" si="62"/>
        <v>50710</v>
      </c>
      <c r="M263" s="57">
        <v>2.1999999999999999E-2</v>
      </c>
    </row>
    <row r="264" spans="2:20" outlineLevel="1">
      <c r="B264" s="294">
        <f t="shared" si="47"/>
        <v>50740</v>
      </c>
      <c r="C264" s="278">
        <f t="shared" si="58"/>
        <v>3190.5167372673845</v>
      </c>
      <c r="D264" s="279">
        <f>IF(ISNUMBER($F264)*SUM(F264:F275)&lt;&gt;0,VLOOKUP($J264,'Table 1'!$B$13:$C$33,2,FALSE)/12*1000*Study_MW,0)</f>
        <v>1539443.352825705</v>
      </c>
      <c r="E264" s="279">
        <f t="shared" si="59"/>
        <v>1542633.8695629723</v>
      </c>
      <c r="F264" s="278">
        <v>8022.6760000000004</v>
      </c>
      <c r="G264" s="280">
        <f t="shared" si="60"/>
        <v>192.28420411879679</v>
      </c>
      <c r="I264" s="81">
        <f t="shared" si="57"/>
        <v>12</v>
      </c>
      <c r="J264" s="90">
        <f t="shared" si="61"/>
        <v>2038</v>
      </c>
      <c r="K264" s="99">
        <f t="shared" si="62"/>
        <v>50740</v>
      </c>
      <c r="M264" s="57">
        <v>2.1999999999999999E-2</v>
      </c>
    </row>
    <row r="265" spans="2:20">
      <c r="B265" s="100"/>
      <c r="K265" s="90"/>
    </row>
    <row r="266" spans="2:20" hidden="1">
      <c r="B266" s="73" t="str">
        <f>"Note: Energy Dollars in "&amp;YEAR(B253)&amp;" are "&amp;YEAR(B241)&amp;" x ("&amp;YEAR(B241)&amp;" / "&amp;YEAR(B193)&amp;" ) ^ (1/4)"</f>
        <v>Note: Energy Dollars in 2038 are 2037 x (2037 / 2033 ) ^ (1/4)</v>
      </c>
    </row>
  </sheetData>
  <printOptions horizontalCentered="1"/>
  <pageMargins left="0.25" right="0.25" top="0.75" bottom="0.75" header="0.3" footer="0.3"/>
  <pageSetup scale="86" fitToHeight="0" orientation="portrait" r:id="rId1"/>
  <headerFooter alignWithMargins="0">
    <oddFooter>&amp;L&amp;8NPC Group - &amp;F   ( &amp;A )&amp;C &amp;R &amp;8&amp;D 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102"/>
  <sheetViews>
    <sheetView view="pageBreakPreview" zoomScale="60" zoomScaleNormal="100" workbookViewId="0">
      <selection activeCell="L21" sqref="L21"/>
    </sheetView>
  </sheetViews>
  <sheetFormatPr defaultColWidth="9.33203125" defaultRowHeight="12.75"/>
  <cols>
    <col min="1" max="1" width="1.5" style="188" customWidth="1"/>
    <col min="2" max="2" width="10.83203125" style="188" customWidth="1"/>
    <col min="3" max="3" width="14.1640625" style="188" customWidth="1"/>
    <col min="4" max="4" width="12.33203125" style="188" customWidth="1"/>
    <col min="5" max="5" width="9.1640625" style="188" customWidth="1"/>
    <col min="6" max="6" width="9.83203125" style="188" bestFit="1" customWidth="1"/>
    <col min="7" max="7" width="9.83203125" style="188" customWidth="1"/>
    <col min="8" max="8" width="10.5" style="188" customWidth="1"/>
    <col min="9" max="10" width="12.5" style="188" customWidth="1"/>
    <col min="11" max="11" width="11.6640625" style="188" customWidth="1"/>
    <col min="12" max="13" width="9.33203125" style="188"/>
    <col min="14" max="14" width="9.33203125" style="243"/>
    <col min="15" max="16384" width="9.33203125" style="188"/>
  </cols>
  <sheetData>
    <row r="1" spans="2:17" ht="15.75">
      <c r="B1" s="186" t="s">
        <v>85</v>
      </c>
      <c r="C1" s="187"/>
      <c r="D1" s="187"/>
      <c r="E1" s="187"/>
      <c r="F1" s="187"/>
      <c r="G1" s="187"/>
      <c r="H1" s="187"/>
      <c r="I1" s="187"/>
      <c r="J1" s="187"/>
    </row>
    <row r="2" spans="2:17" ht="15.75">
      <c r="B2" s="186" t="s">
        <v>157</v>
      </c>
      <c r="C2" s="187"/>
      <c r="D2" s="187"/>
      <c r="E2" s="187"/>
      <c r="F2" s="187"/>
      <c r="G2" s="187"/>
      <c r="H2" s="187"/>
      <c r="I2" s="187"/>
      <c r="J2" s="187"/>
    </row>
    <row r="3" spans="2:17" ht="15.75">
      <c r="B3" s="186" t="str">
        <f>TEXT($C$63,"0%")&amp;" Capacity Factor"</f>
        <v>41% Capacity Factor</v>
      </c>
      <c r="C3" s="187"/>
      <c r="D3" s="187"/>
      <c r="E3" s="187"/>
      <c r="F3" s="187"/>
      <c r="G3" s="187"/>
      <c r="H3" s="187"/>
      <c r="I3" s="187"/>
      <c r="J3" s="187"/>
    </row>
    <row r="4" spans="2:17">
      <c r="B4" s="189"/>
      <c r="C4" s="189"/>
      <c r="D4" s="189"/>
      <c r="E4" s="189"/>
      <c r="F4" s="189"/>
      <c r="G4" s="189"/>
      <c r="H4" s="189"/>
      <c r="I4" s="190"/>
      <c r="J4" s="190"/>
      <c r="K4" s="190"/>
    </row>
    <row r="5" spans="2:17" ht="51.75" customHeight="1">
      <c r="B5" s="191" t="s">
        <v>0</v>
      </c>
      <c r="C5" s="192" t="s">
        <v>10</v>
      </c>
      <c r="D5" s="192" t="s">
        <v>11</v>
      </c>
      <c r="E5" s="192" t="s">
        <v>12</v>
      </c>
      <c r="F5" s="192" t="s">
        <v>111</v>
      </c>
      <c r="G5" s="19" t="s">
        <v>13</v>
      </c>
      <c r="H5" s="192" t="s">
        <v>112</v>
      </c>
      <c r="I5" s="192" t="s">
        <v>138</v>
      </c>
      <c r="J5" s="19" t="s">
        <v>73</v>
      </c>
      <c r="K5" s="192" t="s">
        <v>113</v>
      </c>
    </row>
    <row r="6" spans="2:17" ht="24" customHeight="1">
      <c r="B6" s="193"/>
      <c r="C6" s="194" t="s">
        <v>8</v>
      </c>
      <c r="D6" s="195" t="s">
        <v>9</v>
      </c>
      <c r="E6" s="195" t="s">
        <v>9</v>
      </c>
      <c r="F6" s="194" t="s">
        <v>39</v>
      </c>
      <c r="G6" s="22" t="s">
        <v>39</v>
      </c>
      <c r="H6" s="194" t="s">
        <v>39</v>
      </c>
      <c r="I6" s="194" t="s">
        <v>39</v>
      </c>
      <c r="J6" s="23" t="s">
        <v>9</v>
      </c>
      <c r="K6" s="194" t="s">
        <v>39</v>
      </c>
    </row>
    <row r="7" spans="2:17">
      <c r="C7" s="196" t="s">
        <v>1</v>
      </c>
      <c r="D7" s="196" t="s">
        <v>2</v>
      </c>
      <c r="E7" s="196" t="s">
        <v>3</v>
      </c>
      <c r="F7" s="196" t="s">
        <v>4</v>
      </c>
      <c r="G7" s="196" t="s">
        <v>5</v>
      </c>
      <c r="H7" s="196" t="s">
        <v>7</v>
      </c>
      <c r="I7" s="196" t="s">
        <v>28</v>
      </c>
      <c r="J7" s="196" t="s">
        <v>29</v>
      </c>
      <c r="K7" s="196" t="s">
        <v>29</v>
      </c>
    </row>
    <row r="8" spans="2:17" ht="6" customHeight="1">
      <c r="K8" s="190"/>
    </row>
    <row r="9" spans="2:17" ht="15.75">
      <c r="B9" s="60" t="str">
        <f>C52</f>
        <v>2017 IRP Wyoming Wind Resource - 41% Capacity Factor</v>
      </c>
      <c r="C9" s="190"/>
      <c r="E9" s="190"/>
      <c r="F9" s="190"/>
      <c r="G9" s="190"/>
      <c r="H9" s="190"/>
      <c r="I9" s="190"/>
      <c r="J9" s="190"/>
      <c r="K9" s="190"/>
      <c r="N9" s="188"/>
    </row>
    <row r="10" spans="2:17">
      <c r="B10" s="197">
        <v>2016</v>
      </c>
      <c r="C10" s="198">
        <f>C55</f>
        <v>1637</v>
      </c>
      <c r="D10" s="199">
        <f>C10*$C$62</f>
        <v>115.6947435682565</v>
      </c>
      <c r="E10" s="199">
        <f>C56</f>
        <v>37.565582271006477</v>
      </c>
      <c r="F10" s="200">
        <f t="shared" ref="F10:F36" si="0">(D10+E10)/(8.76*$C$63)</f>
        <v>42.464735403439889</v>
      </c>
      <c r="G10" s="200">
        <f>C58</f>
        <v>0.65</v>
      </c>
      <c r="H10" s="274">
        <f>C59</f>
        <v>-17.762272248602351</v>
      </c>
      <c r="I10" s="201">
        <f>F10+H10+G10</f>
        <v>25.352463154837537</v>
      </c>
      <c r="J10" s="201">
        <f>ROUND(I10*$C$63*8.76,2)</f>
        <v>91.5</v>
      </c>
      <c r="K10" s="199">
        <f>$C$57</f>
        <v>0.57299999999999995</v>
      </c>
      <c r="N10" s="244"/>
    </row>
    <row r="11" spans="2:17">
      <c r="B11" s="197">
        <f t="shared" ref="B11:B36" si="1">B10+1</f>
        <v>2017</v>
      </c>
      <c r="C11" s="203"/>
      <c r="D11" s="199">
        <f>ROUND(D10*(1+$D66),2)</f>
        <v>118.01</v>
      </c>
      <c r="E11" s="199">
        <f>ROUND(E10*(1+$D66),2)</f>
        <v>38.32</v>
      </c>
      <c r="F11" s="200">
        <f t="shared" si="0"/>
        <v>43.315267987764337</v>
      </c>
      <c r="G11" s="199">
        <f>ROUND(G10*(1+$D66),2)</f>
        <v>0.66</v>
      </c>
      <c r="H11" s="199">
        <f>ROUND(H10*(1+$D66),2)</f>
        <v>-18.12</v>
      </c>
      <c r="I11" s="201">
        <f>F11+H11+G11</f>
        <v>25.855267987764336</v>
      </c>
      <c r="J11" s="201">
        <f t="shared" ref="J11:J36" si="2">ROUND(I11*$C$63*8.76,2)</f>
        <v>93.31</v>
      </c>
      <c r="K11" s="199">
        <f>ROUND(K10*(1+$D66),2)</f>
        <v>0.57999999999999996</v>
      </c>
      <c r="N11" s="244"/>
    </row>
    <row r="12" spans="2:17">
      <c r="B12" s="210">
        <f t="shared" si="1"/>
        <v>2018</v>
      </c>
      <c r="C12" s="211"/>
      <c r="D12" s="199">
        <f t="shared" ref="D12:G19" si="3">ROUND(D11*(1+$D67),2)</f>
        <v>120.25</v>
      </c>
      <c r="E12" s="199">
        <f t="shared" si="3"/>
        <v>39.049999999999997</v>
      </c>
      <c r="F12" s="201">
        <f t="shared" si="0"/>
        <v>44.138183269051737</v>
      </c>
      <c r="G12" s="199">
        <f t="shared" si="3"/>
        <v>0.67</v>
      </c>
      <c r="H12" s="199">
        <f t="shared" ref="H12" si="4">ROUND(H11*(1+$D67),2)</f>
        <v>-18.46</v>
      </c>
      <c r="I12" s="201">
        <f t="shared" ref="I12:I36" si="5">F12+H12+G12</f>
        <v>26.348183269051738</v>
      </c>
      <c r="J12" s="201">
        <f t="shared" si="2"/>
        <v>95.09</v>
      </c>
      <c r="K12" s="199">
        <f t="shared" ref="K12:K19" si="6">ROUND(K11*(1+$D67),2)</f>
        <v>0.59</v>
      </c>
      <c r="L12" s="190"/>
      <c r="N12" s="244"/>
    </row>
    <row r="13" spans="2:17">
      <c r="B13" s="210">
        <f t="shared" si="1"/>
        <v>2019</v>
      </c>
      <c r="C13" s="211"/>
      <c r="D13" s="199">
        <f t="shared" si="3"/>
        <v>122.9</v>
      </c>
      <c r="E13" s="199">
        <f t="shared" si="3"/>
        <v>39.909999999999997</v>
      </c>
      <c r="F13" s="201">
        <f t="shared" si="0"/>
        <v>45.110719510573219</v>
      </c>
      <c r="G13" s="199">
        <f t="shared" si="3"/>
        <v>0.68</v>
      </c>
      <c r="H13" s="199">
        <f t="shared" ref="H13" si="7">ROUND(H12*(1+$D68),2)</f>
        <v>-18.87</v>
      </c>
      <c r="I13" s="201">
        <f t="shared" si="5"/>
        <v>26.920719510573218</v>
      </c>
      <c r="J13" s="201">
        <f t="shared" si="2"/>
        <v>97.16</v>
      </c>
      <c r="K13" s="199">
        <f t="shared" si="6"/>
        <v>0.6</v>
      </c>
      <c r="L13" s="190"/>
      <c r="N13" s="244"/>
    </row>
    <row r="14" spans="2:17">
      <c r="B14" s="210">
        <f t="shared" si="1"/>
        <v>2020</v>
      </c>
      <c r="C14" s="211"/>
      <c r="D14" s="199">
        <f t="shared" si="3"/>
        <v>126.1</v>
      </c>
      <c r="E14" s="199">
        <f t="shared" si="3"/>
        <v>40.950000000000003</v>
      </c>
      <c r="F14" s="201">
        <f t="shared" si="0"/>
        <v>46.285521124262985</v>
      </c>
      <c r="G14" s="199">
        <f t="shared" si="3"/>
        <v>0.7</v>
      </c>
      <c r="H14" s="199">
        <f t="shared" ref="H14" si="8">ROUND(H13*(1+$D69),2)</f>
        <v>-19.36</v>
      </c>
      <c r="I14" s="201">
        <f t="shared" si="5"/>
        <v>27.625521124262985</v>
      </c>
      <c r="J14" s="201">
        <f t="shared" si="2"/>
        <v>99.7</v>
      </c>
      <c r="K14" s="199">
        <f t="shared" si="6"/>
        <v>0.62</v>
      </c>
      <c r="L14" s="190"/>
      <c r="N14" s="244"/>
      <c r="O14" s="207"/>
      <c r="P14" s="208"/>
      <c r="Q14" s="209"/>
    </row>
    <row r="15" spans="2:17">
      <c r="B15" s="210">
        <f t="shared" si="1"/>
        <v>2021</v>
      </c>
      <c r="C15" s="211"/>
      <c r="D15" s="199">
        <f t="shared" si="3"/>
        <v>129.13</v>
      </c>
      <c r="E15" s="199">
        <f t="shared" si="3"/>
        <v>41.93</v>
      </c>
      <c r="F15" s="201">
        <f t="shared" si="0"/>
        <v>47.39659529192712</v>
      </c>
      <c r="G15" s="199">
        <f t="shared" si="3"/>
        <v>0.72</v>
      </c>
      <c r="H15" s="199">
        <f t="shared" ref="H15" si="9">ROUND(H14*(1+$D70),2)</f>
        <v>-19.82</v>
      </c>
      <c r="I15" s="201">
        <f t="shared" si="5"/>
        <v>28.296595291927119</v>
      </c>
      <c r="J15" s="201">
        <f t="shared" si="2"/>
        <v>102.13</v>
      </c>
      <c r="K15" s="199">
        <f t="shared" si="6"/>
        <v>0.63</v>
      </c>
      <c r="L15" s="190"/>
      <c r="N15" s="244"/>
      <c r="O15" s="208"/>
      <c r="P15" s="208"/>
      <c r="Q15" s="209"/>
    </row>
    <row r="16" spans="2:17">
      <c r="B16" s="210">
        <f t="shared" si="1"/>
        <v>2022</v>
      </c>
      <c r="C16" s="211"/>
      <c r="D16" s="199">
        <f t="shared" si="3"/>
        <v>132.1</v>
      </c>
      <c r="E16" s="199">
        <f t="shared" si="3"/>
        <v>42.89</v>
      </c>
      <c r="F16" s="201">
        <f t="shared" si="0"/>
        <v>48.485503391408436</v>
      </c>
      <c r="G16" s="199">
        <f t="shared" si="3"/>
        <v>0.74</v>
      </c>
      <c r="H16" s="199">
        <f t="shared" ref="H16" si="10">ROUND(H15*(1+$D71),2)</f>
        <v>-20.28</v>
      </c>
      <c r="I16" s="201">
        <f t="shared" si="5"/>
        <v>28.945503391408433</v>
      </c>
      <c r="J16" s="201">
        <f t="shared" si="2"/>
        <v>104.47</v>
      </c>
      <c r="K16" s="199">
        <f t="shared" si="6"/>
        <v>0.64</v>
      </c>
      <c r="L16" s="190"/>
      <c r="N16" s="244"/>
    </row>
    <row r="17" spans="2:16">
      <c r="B17" s="210">
        <f t="shared" si="1"/>
        <v>2023</v>
      </c>
      <c r="C17" s="211"/>
      <c r="D17" s="199">
        <f t="shared" si="3"/>
        <v>135.13999999999999</v>
      </c>
      <c r="E17" s="199">
        <f t="shared" si="3"/>
        <v>43.88</v>
      </c>
      <c r="F17" s="201">
        <f t="shared" si="0"/>
        <v>49.602119076118278</v>
      </c>
      <c r="G17" s="199">
        <f t="shared" si="3"/>
        <v>0.76</v>
      </c>
      <c r="H17" s="199">
        <f t="shared" ref="H17" si="11">ROUND(H16*(1+$D72),2)</f>
        <v>-20.75</v>
      </c>
      <c r="I17" s="201">
        <f t="shared" si="5"/>
        <v>29.61211907611828</v>
      </c>
      <c r="J17" s="201">
        <f t="shared" si="2"/>
        <v>106.87</v>
      </c>
      <c r="K17" s="199">
        <f t="shared" si="6"/>
        <v>0.65</v>
      </c>
      <c r="L17" s="190"/>
      <c r="N17" s="244"/>
      <c r="O17" s="207"/>
    </row>
    <row r="18" spans="2:16">
      <c r="B18" s="210">
        <f t="shared" si="1"/>
        <v>2024</v>
      </c>
      <c r="C18" s="211"/>
      <c r="D18" s="199">
        <f t="shared" si="3"/>
        <v>138.25</v>
      </c>
      <c r="E18" s="199">
        <f t="shared" si="3"/>
        <v>44.89</v>
      </c>
      <c r="F18" s="201">
        <f t="shared" si="0"/>
        <v>50.743671587533804</v>
      </c>
      <c r="G18" s="199">
        <f t="shared" si="3"/>
        <v>0.78</v>
      </c>
      <c r="H18" s="199">
        <f t="shared" ref="H18" si="12">ROUND(H17*(1+$D73),2)</f>
        <v>-21.23</v>
      </c>
      <c r="I18" s="201">
        <f t="shared" si="5"/>
        <v>30.293671587533805</v>
      </c>
      <c r="J18" s="201">
        <f t="shared" si="2"/>
        <v>109.33</v>
      </c>
      <c r="K18" s="199">
        <f t="shared" si="6"/>
        <v>0.66</v>
      </c>
      <c r="L18" s="190"/>
      <c r="N18" s="244"/>
    </row>
    <row r="19" spans="2:16">
      <c r="B19" s="210">
        <f t="shared" si="1"/>
        <v>2025</v>
      </c>
      <c r="C19" s="211"/>
      <c r="D19" s="199">
        <f t="shared" si="3"/>
        <v>141.43</v>
      </c>
      <c r="E19" s="199">
        <f t="shared" si="3"/>
        <v>45.92</v>
      </c>
      <c r="F19" s="201">
        <f t="shared" si="0"/>
        <v>51.910160925655013</v>
      </c>
      <c r="G19" s="199">
        <f t="shared" si="3"/>
        <v>0.8</v>
      </c>
      <c r="H19" s="199">
        <f t="shared" ref="H19" si="13">ROUND(H18*(1+$D74),2)</f>
        <v>-21.72</v>
      </c>
      <c r="I19" s="201">
        <f t="shared" si="5"/>
        <v>30.990160925655015</v>
      </c>
      <c r="J19" s="201">
        <f t="shared" si="2"/>
        <v>111.85</v>
      </c>
      <c r="K19" s="199">
        <f t="shared" si="6"/>
        <v>0.68</v>
      </c>
      <c r="L19" s="190"/>
      <c r="N19" s="244"/>
    </row>
    <row r="20" spans="2:16">
      <c r="B20" s="210">
        <f t="shared" si="1"/>
        <v>2026</v>
      </c>
      <c r="C20" s="211"/>
      <c r="D20" s="199">
        <f>ROUND(D19*(1+$G66),2)</f>
        <v>144.68</v>
      </c>
      <c r="E20" s="199">
        <f>ROUND(E19*(1+$G66),2)</f>
        <v>46.98</v>
      </c>
      <c r="F20" s="201">
        <f t="shared" si="0"/>
        <v>53.104357849004742</v>
      </c>
      <c r="G20" s="199">
        <f>ROUND(G19*(1+$G66),2)</f>
        <v>0.82</v>
      </c>
      <c r="H20" s="199">
        <f>ROUND(H19*(1+$G66),2)</f>
        <v>-22.22</v>
      </c>
      <c r="I20" s="201">
        <f t="shared" si="5"/>
        <v>31.704357849004744</v>
      </c>
      <c r="J20" s="201">
        <f t="shared" si="2"/>
        <v>114.42</v>
      </c>
      <c r="K20" s="199">
        <f>ROUND(K19*(1+$G66),2)</f>
        <v>0.7</v>
      </c>
      <c r="L20" s="190"/>
      <c r="N20" s="244"/>
      <c r="P20" s="241"/>
    </row>
    <row r="21" spans="2:16">
      <c r="B21" s="210">
        <f t="shared" si="1"/>
        <v>2027</v>
      </c>
      <c r="C21" s="211"/>
      <c r="D21" s="199">
        <f t="shared" ref="D21:G28" si="14">ROUND(D20*(1+$G67),2)</f>
        <v>148.01</v>
      </c>
      <c r="E21" s="199">
        <f t="shared" si="14"/>
        <v>48.06</v>
      </c>
      <c r="F21" s="201">
        <f t="shared" si="0"/>
        <v>54.326262357583012</v>
      </c>
      <c r="G21" s="199">
        <f t="shared" si="14"/>
        <v>0.84</v>
      </c>
      <c r="H21" s="199">
        <f t="shared" ref="H21" si="15">ROUND(H20*(1+$G67),2)</f>
        <v>-22.73</v>
      </c>
      <c r="I21" s="201">
        <f t="shared" si="5"/>
        <v>32.436262357583011</v>
      </c>
      <c r="J21" s="201">
        <f t="shared" si="2"/>
        <v>117.07</v>
      </c>
      <c r="K21" s="199">
        <f t="shared" ref="K21:K28" si="16">ROUND(K20*(1+$G67),2)</f>
        <v>0.72</v>
      </c>
      <c r="L21" s="190"/>
      <c r="N21" s="244"/>
    </row>
    <row r="22" spans="2:16">
      <c r="B22" s="210">
        <f t="shared" si="1"/>
        <v>2028</v>
      </c>
      <c r="C22" s="211"/>
      <c r="D22" s="199">
        <f t="shared" si="14"/>
        <v>151.41</v>
      </c>
      <c r="E22" s="199">
        <f t="shared" si="14"/>
        <v>49.17</v>
      </c>
      <c r="F22" s="201">
        <f t="shared" si="0"/>
        <v>55.575874451389808</v>
      </c>
      <c r="G22" s="199">
        <f t="shared" si="14"/>
        <v>0.86</v>
      </c>
      <c r="H22" s="199">
        <f t="shared" ref="H22" si="17">ROUND(H21*(1+$G68),2)</f>
        <v>-23.25</v>
      </c>
      <c r="I22" s="201">
        <f t="shared" si="5"/>
        <v>33.185874451389807</v>
      </c>
      <c r="J22" s="201">
        <f t="shared" si="2"/>
        <v>119.77</v>
      </c>
      <c r="K22" s="199">
        <f t="shared" si="16"/>
        <v>0.74</v>
      </c>
      <c r="L22" s="190"/>
      <c r="N22" s="244"/>
    </row>
    <row r="23" spans="2:16">
      <c r="B23" s="210">
        <f t="shared" si="1"/>
        <v>2029</v>
      </c>
      <c r="C23" s="211"/>
      <c r="D23" s="199">
        <f t="shared" si="14"/>
        <v>154.88999999999999</v>
      </c>
      <c r="E23" s="199">
        <f t="shared" si="14"/>
        <v>50.3</v>
      </c>
      <c r="F23" s="201">
        <f t="shared" si="0"/>
        <v>56.853194130425145</v>
      </c>
      <c r="G23" s="199">
        <f t="shared" si="14"/>
        <v>0.88</v>
      </c>
      <c r="H23" s="199">
        <f t="shared" ref="H23" si="18">ROUND(H22*(1+$G69),2)</f>
        <v>-23.78</v>
      </c>
      <c r="I23" s="201">
        <f t="shared" si="5"/>
        <v>33.953194130425146</v>
      </c>
      <c r="J23" s="201">
        <f t="shared" si="2"/>
        <v>122.54</v>
      </c>
      <c r="K23" s="199">
        <f t="shared" si="16"/>
        <v>0.76</v>
      </c>
      <c r="L23" s="190"/>
      <c r="N23" s="244"/>
    </row>
    <row r="24" spans="2:16">
      <c r="B24" s="210">
        <f t="shared" si="1"/>
        <v>2030</v>
      </c>
      <c r="C24" s="204"/>
      <c r="D24" s="205">
        <f t="shared" si="14"/>
        <v>158.44999999999999</v>
      </c>
      <c r="E24" s="205">
        <f t="shared" si="14"/>
        <v>51.46</v>
      </c>
      <c r="F24" s="206">
        <f t="shared" si="0"/>
        <v>58.160992153211865</v>
      </c>
      <c r="G24" s="205">
        <f t="shared" si="14"/>
        <v>0.9</v>
      </c>
      <c r="H24" s="205">
        <f t="shared" ref="H24" si="19">ROUND(H23*(1+$G70),2)</f>
        <v>-24.33</v>
      </c>
      <c r="I24" s="206">
        <f t="shared" si="5"/>
        <v>34.730992153211865</v>
      </c>
      <c r="J24" s="206">
        <f t="shared" si="2"/>
        <v>125.35</v>
      </c>
      <c r="K24" s="205">
        <f t="shared" si="16"/>
        <v>0.78</v>
      </c>
      <c r="L24" s="190"/>
      <c r="N24" s="244"/>
    </row>
    <row r="25" spans="2:16">
      <c r="B25" s="210">
        <f t="shared" si="1"/>
        <v>2031</v>
      </c>
      <c r="C25" s="211"/>
      <c r="D25" s="199">
        <f t="shared" si="14"/>
        <v>162.09</v>
      </c>
      <c r="E25" s="199">
        <f t="shared" si="14"/>
        <v>52.64</v>
      </c>
      <c r="F25" s="201">
        <f t="shared" si="0"/>
        <v>59.496497761227118</v>
      </c>
      <c r="G25" s="199">
        <f t="shared" si="14"/>
        <v>0.92</v>
      </c>
      <c r="H25" s="199">
        <f t="shared" ref="H25" si="20">ROUND(H24*(1+$G71),2)</f>
        <v>-24.89</v>
      </c>
      <c r="I25" s="201">
        <f t="shared" si="5"/>
        <v>35.52649776122712</v>
      </c>
      <c r="J25" s="201">
        <f t="shared" si="2"/>
        <v>128.22</v>
      </c>
      <c r="K25" s="199">
        <f t="shared" si="16"/>
        <v>0.8</v>
      </c>
      <c r="L25" s="190"/>
      <c r="N25" s="244"/>
    </row>
    <row r="26" spans="2:16">
      <c r="B26" s="210">
        <f t="shared" si="1"/>
        <v>2032</v>
      </c>
      <c r="C26" s="211"/>
      <c r="D26" s="199">
        <f t="shared" si="14"/>
        <v>165.66</v>
      </c>
      <c r="E26" s="199">
        <f t="shared" si="14"/>
        <v>53.8</v>
      </c>
      <c r="F26" s="201">
        <f t="shared" si="0"/>
        <v>60.807066542536681</v>
      </c>
      <c r="G26" s="199">
        <f t="shared" si="14"/>
        <v>0.94</v>
      </c>
      <c r="H26" s="199">
        <f t="shared" ref="H26" si="21">ROUND(H25*(1+$G72),2)</f>
        <v>-25.44</v>
      </c>
      <c r="I26" s="201">
        <f t="shared" si="5"/>
        <v>36.307066542536674</v>
      </c>
      <c r="J26" s="201">
        <f t="shared" si="2"/>
        <v>131.04</v>
      </c>
      <c r="K26" s="199">
        <f t="shared" si="16"/>
        <v>0.82</v>
      </c>
      <c r="L26" s="190"/>
      <c r="N26" s="244"/>
    </row>
    <row r="27" spans="2:16">
      <c r="B27" s="210">
        <f t="shared" si="1"/>
        <v>2033</v>
      </c>
      <c r="C27" s="211"/>
      <c r="D27" s="199">
        <f t="shared" si="14"/>
        <v>169.3</v>
      </c>
      <c r="E27" s="199">
        <f t="shared" si="14"/>
        <v>54.98</v>
      </c>
      <c r="F27" s="201">
        <f t="shared" si="0"/>
        <v>62.142572150551935</v>
      </c>
      <c r="G27" s="199">
        <f t="shared" si="14"/>
        <v>0.96</v>
      </c>
      <c r="H27" s="199">
        <f t="shared" ref="H27" si="22">ROUND(H26*(1+$G73),2)</f>
        <v>-26</v>
      </c>
      <c r="I27" s="201">
        <f t="shared" si="5"/>
        <v>37.102572150551936</v>
      </c>
      <c r="J27" s="201">
        <f t="shared" si="2"/>
        <v>133.91</v>
      </c>
      <c r="K27" s="199">
        <f t="shared" si="16"/>
        <v>0.84</v>
      </c>
      <c r="L27" s="190"/>
      <c r="N27" s="244"/>
    </row>
    <row r="28" spans="2:16">
      <c r="B28" s="210">
        <f t="shared" si="1"/>
        <v>2034</v>
      </c>
      <c r="C28" s="211"/>
      <c r="D28" s="199">
        <f t="shared" si="14"/>
        <v>173.19</v>
      </c>
      <c r="E28" s="199">
        <f t="shared" si="14"/>
        <v>56.24</v>
      </c>
      <c r="F28" s="201">
        <f t="shared" si="0"/>
        <v>63.569512789821346</v>
      </c>
      <c r="G28" s="199">
        <f t="shared" si="14"/>
        <v>0.98</v>
      </c>
      <c r="H28" s="199">
        <f t="shared" ref="H28" si="23">ROUND(H27*(1+$G74),2)</f>
        <v>-26.6</v>
      </c>
      <c r="I28" s="201">
        <f t="shared" si="5"/>
        <v>37.949512789821341</v>
      </c>
      <c r="J28" s="201">
        <f t="shared" si="2"/>
        <v>136.96</v>
      </c>
      <c r="K28" s="199">
        <f t="shared" si="16"/>
        <v>0.86</v>
      </c>
      <c r="L28" s="190"/>
      <c r="N28" s="244"/>
    </row>
    <row r="29" spans="2:16">
      <c r="B29" s="210">
        <f t="shared" si="1"/>
        <v>2035</v>
      </c>
      <c r="C29" s="211"/>
      <c r="D29" s="199">
        <f>ROUND(D28*(1+$K66),2)</f>
        <v>177.17</v>
      </c>
      <c r="E29" s="199">
        <f>ROUND(E28*(1+$K66),2)</f>
        <v>57.53</v>
      </c>
      <c r="F29" s="201">
        <f t="shared" si="0"/>
        <v>65.02970253136499</v>
      </c>
      <c r="G29" s="199">
        <f>ROUND(G28*(1+$K66),2)</f>
        <v>1</v>
      </c>
      <c r="H29" s="199">
        <f>ROUND(H28*(1+$K66),2)</f>
        <v>-27.21</v>
      </c>
      <c r="I29" s="201">
        <f t="shared" si="5"/>
        <v>38.819702531364989</v>
      </c>
      <c r="J29" s="201">
        <f t="shared" si="2"/>
        <v>140.1</v>
      </c>
      <c r="K29" s="199">
        <f>ROUND(K28*(1+$K66),2)</f>
        <v>0.88</v>
      </c>
      <c r="L29" s="190"/>
      <c r="N29" s="244"/>
    </row>
    <row r="30" spans="2:16">
      <c r="B30" s="210">
        <f t="shared" si="1"/>
        <v>2036</v>
      </c>
      <c r="C30" s="211"/>
      <c r="D30" s="199">
        <f t="shared" ref="D30:G36" si="24">ROUND(D29*(1+$K67),2)</f>
        <v>181.24</v>
      </c>
      <c r="E30" s="199">
        <f t="shared" si="24"/>
        <v>58.85</v>
      </c>
      <c r="F30" s="201">
        <f t="shared" si="0"/>
        <v>66.523141375182874</v>
      </c>
      <c r="G30" s="199">
        <f t="shared" si="24"/>
        <v>1.02</v>
      </c>
      <c r="H30" s="199">
        <f t="shared" ref="H30" si="25">ROUND(H29*(1+$K67),2)</f>
        <v>-27.84</v>
      </c>
      <c r="I30" s="201">
        <f t="shared" si="5"/>
        <v>39.703141375182874</v>
      </c>
      <c r="J30" s="201">
        <f t="shared" si="2"/>
        <v>143.29</v>
      </c>
      <c r="K30" s="199">
        <f t="shared" ref="K30:K36" si="26">ROUND(K29*(1+$K67),2)</f>
        <v>0.9</v>
      </c>
      <c r="L30" s="190"/>
      <c r="N30" s="244"/>
    </row>
    <row r="31" spans="2:16">
      <c r="B31" s="210">
        <f t="shared" si="1"/>
        <v>2037</v>
      </c>
      <c r="C31" s="211"/>
      <c r="D31" s="199">
        <f t="shared" si="24"/>
        <v>185.23</v>
      </c>
      <c r="E31" s="199">
        <f t="shared" si="24"/>
        <v>60.14</v>
      </c>
      <c r="F31" s="201">
        <f t="shared" si="0"/>
        <v>67.986101875249375</v>
      </c>
      <c r="G31" s="199">
        <f t="shared" si="24"/>
        <v>1.04</v>
      </c>
      <c r="H31" s="199">
        <f t="shared" ref="H31" si="27">ROUND(H30*(1+$K68),2)</f>
        <v>-28.45</v>
      </c>
      <c r="I31" s="201">
        <f t="shared" si="5"/>
        <v>40.576101875249371</v>
      </c>
      <c r="J31" s="201">
        <f t="shared" si="2"/>
        <v>146.44</v>
      </c>
      <c r="K31" s="199">
        <f t="shared" si="26"/>
        <v>0.92</v>
      </c>
      <c r="L31" s="190"/>
      <c r="N31" s="244"/>
    </row>
    <row r="32" spans="2:16">
      <c r="B32" s="210">
        <f t="shared" si="1"/>
        <v>2038</v>
      </c>
      <c r="C32" s="211"/>
      <c r="D32" s="199">
        <f t="shared" si="24"/>
        <v>189.31</v>
      </c>
      <c r="E32" s="199">
        <f t="shared" si="24"/>
        <v>61.46</v>
      </c>
      <c r="F32" s="201">
        <f t="shared" si="0"/>
        <v>69.482311477590116</v>
      </c>
      <c r="G32" s="199">
        <f t="shared" si="24"/>
        <v>1.06</v>
      </c>
      <c r="H32" s="199">
        <f t="shared" ref="H32" si="28">ROUND(H31*(1+$K69),2)</f>
        <v>-29.08</v>
      </c>
      <c r="I32" s="201">
        <f t="shared" si="5"/>
        <v>41.46231147759012</v>
      </c>
      <c r="J32" s="201">
        <f t="shared" si="2"/>
        <v>149.63999999999999</v>
      </c>
      <c r="K32" s="199">
        <f t="shared" si="26"/>
        <v>0.94</v>
      </c>
      <c r="L32" s="190"/>
      <c r="N32" s="244"/>
    </row>
    <row r="33" spans="2:14">
      <c r="B33" s="210">
        <f t="shared" si="1"/>
        <v>2039</v>
      </c>
      <c r="C33" s="211"/>
      <c r="D33" s="199">
        <f t="shared" si="24"/>
        <v>193.47</v>
      </c>
      <c r="E33" s="199">
        <f t="shared" si="24"/>
        <v>62.81</v>
      </c>
      <c r="F33" s="201">
        <f t="shared" si="0"/>
        <v>71.008999423682226</v>
      </c>
      <c r="G33" s="199">
        <f t="shared" si="24"/>
        <v>1.08</v>
      </c>
      <c r="H33" s="199">
        <f t="shared" ref="H33" si="29">ROUND(H32*(1+$K70),2)</f>
        <v>-29.72</v>
      </c>
      <c r="I33" s="201">
        <f t="shared" si="5"/>
        <v>42.368999423682226</v>
      </c>
      <c r="J33" s="201">
        <f t="shared" si="2"/>
        <v>152.91</v>
      </c>
      <c r="K33" s="199">
        <f t="shared" si="26"/>
        <v>0.96</v>
      </c>
      <c r="L33" s="190"/>
      <c r="N33" s="244"/>
    </row>
    <row r="34" spans="2:14">
      <c r="B34" s="210">
        <f t="shared" si="1"/>
        <v>2040</v>
      </c>
      <c r="C34" s="211"/>
      <c r="D34" s="199">
        <f t="shared" si="24"/>
        <v>197.73</v>
      </c>
      <c r="E34" s="199">
        <f t="shared" si="24"/>
        <v>64.19</v>
      </c>
      <c r="F34" s="201">
        <f t="shared" si="0"/>
        <v>72.571707230571434</v>
      </c>
      <c r="G34" s="199">
        <f t="shared" si="24"/>
        <v>1.1000000000000001</v>
      </c>
      <c r="H34" s="199">
        <f t="shared" ref="H34" si="30">ROUND(H33*(1+$K71),2)</f>
        <v>-30.37</v>
      </c>
      <c r="I34" s="201">
        <f t="shared" si="5"/>
        <v>43.301707230571431</v>
      </c>
      <c r="J34" s="201">
        <f t="shared" si="2"/>
        <v>156.28</v>
      </c>
      <c r="K34" s="199">
        <f t="shared" si="26"/>
        <v>0.98</v>
      </c>
      <c r="L34" s="190"/>
      <c r="N34" s="244"/>
    </row>
    <row r="35" spans="2:14">
      <c r="B35" s="210">
        <f t="shared" si="1"/>
        <v>2041</v>
      </c>
      <c r="C35" s="211"/>
      <c r="D35" s="199">
        <f t="shared" si="24"/>
        <v>202.08</v>
      </c>
      <c r="E35" s="199">
        <f t="shared" si="24"/>
        <v>65.599999999999994</v>
      </c>
      <c r="F35" s="201">
        <f t="shared" si="0"/>
        <v>74.167664139734896</v>
      </c>
      <c r="G35" s="199">
        <f t="shared" si="24"/>
        <v>1.1200000000000001</v>
      </c>
      <c r="H35" s="199">
        <f t="shared" ref="H35" si="31">ROUND(H34*(1+$K72),2)</f>
        <v>-31.04</v>
      </c>
      <c r="I35" s="201">
        <f t="shared" si="5"/>
        <v>44.247664139734894</v>
      </c>
      <c r="J35" s="201">
        <f t="shared" si="2"/>
        <v>159.69999999999999</v>
      </c>
      <c r="K35" s="199">
        <f t="shared" si="26"/>
        <v>1</v>
      </c>
      <c r="L35" s="190"/>
      <c r="N35" s="244"/>
    </row>
    <row r="36" spans="2:14">
      <c r="B36" s="210">
        <f t="shared" si="1"/>
        <v>2042</v>
      </c>
      <c r="C36" s="211"/>
      <c r="D36" s="199">
        <f t="shared" si="24"/>
        <v>206.53</v>
      </c>
      <c r="E36" s="199">
        <f t="shared" si="24"/>
        <v>67.040000000000006</v>
      </c>
      <c r="F36" s="201">
        <f t="shared" si="0"/>
        <v>75.799640909695441</v>
      </c>
      <c r="G36" s="199">
        <f t="shared" si="24"/>
        <v>1.1399999999999999</v>
      </c>
      <c r="H36" s="199">
        <f t="shared" ref="H36" si="32">ROUND(H35*(1+$K73),2)</f>
        <v>-31.72</v>
      </c>
      <c r="I36" s="201">
        <f t="shared" si="5"/>
        <v>45.219640909695443</v>
      </c>
      <c r="J36" s="201">
        <f t="shared" si="2"/>
        <v>163.19999999999999</v>
      </c>
      <c r="K36" s="199">
        <f t="shared" si="26"/>
        <v>1.02</v>
      </c>
      <c r="L36" s="190"/>
      <c r="N36" s="244"/>
    </row>
    <row r="37" spans="2:14">
      <c r="B37" s="210"/>
      <c r="C37" s="203"/>
      <c r="D37" s="199"/>
      <c r="E37" s="199"/>
      <c r="F37" s="200"/>
      <c r="G37" s="199"/>
      <c r="H37" s="199"/>
      <c r="I37" s="201"/>
      <c r="J37" s="201"/>
      <c r="K37" s="213"/>
    </row>
    <row r="38" spans="2:14">
      <c r="B38" s="197"/>
      <c r="C38" s="203"/>
      <c r="D38" s="199"/>
      <c r="E38" s="199"/>
      <c r="F38" s="200"/>
      <c r="G38" s="199"/>
      <c r="H38" s="199"/>
      <c r="I38" s="201"/>
      <c r="J38" s="201"/>
      <c r="K38" s="213"/>
    </row>
    <row r="39" spans="2:14">
      <c r="B39" s="197"/>
      <c r="C39" s="203"/>
      <c r="D39" s="199"/>
      <c r="E39" s="199"/>
      <c r="F39" s="200"/>
      <c r="G39" s="199"/>
      <c r="H39" s="199"/>
      <c r="I39" s="201"/>
      <c r="J39" s="201"/>
      <c r="K39" s="213"/>
    </row>
    <row r="40" spans="2:14">
      <c r="B40" s="197"/>
      <c r="C40" s="203"/>
      <c r="D40" s="199"/>
      <c r="E40" s="199"/>
      <c r="F40" s="200"/>
      <c r="G40" s="199"/>
      <c r="H40" s="199"/>
      <c r="I40" s="201"/>
      <c r="J40" s="201"/>
      <c r="K40" s="213"/>
    </row>
    <row r="42" spans="2:14" ht="14.25">
      <c r="B42" s="214" t="s">
        <v>31</v>
      </c>
      <c r="C42" s="215"/>
      <c r="D42" s="215"/>
      <c r="E42" s="215"/>
      <c r="F42" s="215"/>
      <c r="G42" s="215"/>
      <c r="H42" s="215"/>
    </row>
    <row r="44" spans="2:14">
      <c r="B44" s="188" t="s">
        <v>114</v>
      </c>
      <c r="C44" s="216" t="s">
        <v>115</v>
      </c>
      <c r="D44" s="217" t="str">
        <f>'Table 3 200 MW (Wyo) 2033'!E68</f>
        <v xml:space="preserve">Plant Costs  - 2017 IRP - Table 6.1 &amp; 6.2 </v>
      </c>
    </row>
    <row r="45" spans="2:14">
      <c r="C45" s="216" t="str">
        <f>C7</f>
        <v>(a)</v>
      </c>
      <c r="D45" s="188" t="s">
        <v>116</v>
      </c>
    </row>
    <row r="46" spans="2:14">
      <c r="C46" s="216" t="str">
        <f>D7</f>
        <v>(b)</v>
      </c>
      <c r="D46" s="201" t="str">
        <f>"= "&amp;C7&amp;" x "&amp;C62</f>
        <v>= (a) x 0.0706748586244695</v>
      </c>
    </row>
    <row r="47" spans="2:14">
      <c r="C47" s="216" t="str">
        <f>F7</f>
        <v>(d)</v>
      </c>
      <c r="D47" s="201" t="str">
        <f>"= ("&amp;$D$7&amp;" + "&amp;$E$7&amp;") /  (8.76 x "&amp;TEXT(C63,"0.0%")&amp;")"</f>
        <v>= ((b) + (c)) /  (8.76 x 41.2%)</v>
      </c>
    </row>
    <row r="48" spans="2:14">
      <c r="C48" s="216" t="str">
        <f>I7</f>
        <v>(g)</v>
      </c>
      <c r="D48" s="201" t="str">
        <f>"= "&amp;$F$7&amp;" + "&amp;$H$7</f>
        <v>= (d) + (f)</v>
      </c>
    </row>
    <row r="49" spans="2:23">
      <c r="C49" s="216" t="str">
        <f>K7</f>
        <v>(h)</v>
      </c>
      <c r="D49" s="104" t="str">
        <f>D44</f>
        <v xml:space="preserve">Plant Costs  - 2017 IRP - Table 6.1 &amp; 6.2 </v>
      </c>
    </row>
    <row r="50" spans="2:23">
      <c r="C50" s="216"/>
      <c r="D50" s="201"/>
    </row>
    <row r="51" spans="2:23" ht="13.5" thickBot="1"/>
    <row r="52" spans="2:23" ht="13.5" thickBot="1">
      <c r="C52" s="58" t="str">
        <f>B2&amp;" - "&amp;B3</f>
        <v>2017 IRP Wyoming Wind Resource - 41% Capacity Factor</v>
      </c>
      <c r="D52" s="218"/>
      <c r="E52" s="218"/>
      <c r="F52" s="218"/>
      <c r="G52" s="218"/>
      <c r="H52" s="218"/>
      <c r="I52" s="219"/>
      <c r="J52" s="219"/>
      <c r="K52" s="220"/>
    </row>
    <row r="53" spans="2:23" ht="13.5" thickBot="1">
      <c r="C53" s="221" t="s">
        <v>117</v>
      </c>
      <c r="D53" s="222" t="s">
        <v>118</v>
      </c>
      <c r="E53" s="222"/>
      <c r="F53" s="222"/>
      <c r="G53" s="222"/>
      <c r="H53" s="223"/>
      <c r="I53" s="219"/>
      <c r="J53" s="219"/>
      <c r="K53" s="220"/>
    </row>
    <row r="55" spans="2:23">
      <c r="B55" s="104" t="s">
        <v>105</v>
      </c>
      <c r="C55" s="263">
        <v>1637</v>
      </c>
      <c r="D55" s="188" t="s">
        <v>116</v>
      </c>
      <c r="H55" s="188" t="s">
        <v>9</v>
      </c>
      <c r="J55" s="251" t="s">
        <v>153</v>
      </c>
    </row>
    <row r="56" spans="2:23">
      <c r="B56" s="104" t="s">
        <v>105</v>
      </c>
      <c r="C56" s="225">
        <v>37.565582271006477</v>
      </c>
      <c r="D56" s="188" t="s">
        <v>119</v>
      </c>
      <c r="H56" s="188" t="s">
        <v>9</v>
      </c>
    </row>
    <row r="57" spans="2:23">
      <c r="B57" s="104" t="s">
        <v>105</v>
      </c>
      <c r="C57" s="230">
        <v>0.57299999999999995</v>
      </c>
      <c r="D57" s="188" t="s">
        <v>124</v>
      </c>
      <c r="H57" s="188" t="s">
        <v>121</v>
      </c>
    </row>
    <row r="58" spans="2:23">
      <c r="B58" s="104" t="s">
        <v>105</v>
      </c>
      <c r="C58" s="225">
        <v>0.65</v>
      </c>
      <c r="D58" s="188" t="s">
        <v>120</v>
      </c>
      <c r="H58" s="188" t="s">
        <v>121</v>
      </c>
      <c r="K58" s="190"/>
      <c r="L58" s="226"/>
      <c r="M58" s="69"/>
      <c r="N58" s="245"/>
      <c r="O58" s="69"/>
      <c r="P58" s="69"/>
      <c r="Q58" s="190"/>
      <c r="R58" s="190"/>
      <c r="S58" s="190"/>
      <c r="T58" s="190"/>
      <c r="U58" s="190"/>
      <c r="V58" s="190"/>
      <c r="W58" s="190"/>
    </row>
    <row r="59" spans="2:23">
      <c r="B59" s="104" t="s">
        <v>105</v>
      </c>
      <c r="C59" s="271">
        <v>-17.762272248602351</v>
      </c>
      <c r="D59" s="188" t="s">
        <v>122</v>
      </c>
      <c r="H59" s="188" t="s">
        <v>121</v>
      </c>
      <c r="J59" s="188" t="s">
        <v>154</v>
      </c>
      <c r="K59" s="228"/>
      <c r="L59" s="228"/>
      <c r="M59" s="229"/>
      <c r="O59" s="227"/>
      <c r="P59" s="190"/>
      <c r="Q59" s="190"/>
      <c r="R59" s="190"/>
      <c r="S59" s="190"/>
      <c r="T59" s="190"/>
      <c r="U59" s="190"/>
      <c r="V59" s="190"/>
      <c r="W59" s="190"/>
    </row>
    <row r="60" spans="2:23">
      <c r="K60" s="228"/>
      <c r="L60" s="228"/>
      <c r="M60" s="228"/>
      <c r="N60" s="246"/>
      <c r="O60" s="227"/>
      <c r="P60" s="190"/>
      <c r="Q60" s="190"/>
      <c r="R60" s="190"/>
      <c r="S60" s="190"/>
      <c r="T60" s="190"/>
      <c r="U60" s="190"/>
      <c r="V60" s="190"/>
      <c r="W60" s="190"/>
    </row>
    <row r="61" spans="2:23">
      <c r="C61" s="232"/>
      <c r="K61" s="228"/>
      <c r="L61" s="228"/>
      <c r="M61" s="228"/>
      <c r="N61" s="246"/>
      <c r="O61" s="228"/>
      <c r="R61" s="190"/>
      <c r="S61" s="190"/>
      <c r="T61" s="190"/>
      <c r="U61" s="190"/>
      <c r="V61" s="190"/>
      <c r="W61" s="190"/>
    </row>
    <row r="62" spans="2:23">
      <c r="C62" s="233">
        <v>7.0674858624469455E-2</v>
      </c>
      <c r="D62" s="188" t="s">
        <v>54</v>
      </c>
      <c r="K62" s="234"/>
      <c r="L62" s="235"/>
      <c r="M62" s="235"/>
      <c r="O62" s="236"/>
    </row>
    <row r="63" spans="2:23">
      <c r="C63" s="264">
        <v>0.41199999999999998</v>
      </c>
      <c r="D63" s="188" t="s">
        <v>55</v>
      </c>
      <c r="J63" s="251" t="s">
        <v>153</v>
      </c>
    </row>
    <row r="64" spans="2:23" ht="13.5" thickBot="1">
      <c r="D64" s="231"/>
    </row>
    <row r="65" spans="3:14" ht="13.5" thickBot="1">
      <c r="C65" s="54" t="str">
        <f>"Company Official Inflation Forecast Dated "&amp;TEXT('Table 4'!$G$5,"mmmm dd, yyyy")</f>
        <v>Company Official Inflation Forecast Dated December 29, 2017</v>
      </c>
      <c r="D65" s="218"/>
      <c r="E65" s="218"/>
      <c r="F65" s="218"/>
      <c r="G65" s="218"/>
      <c r="H65" s="218"/>
      <c r="I65" s="218"/>
      <c r="J65" s="218"/>
      <c r="K65" s="220"/>
    </row>
    <row r="66" spans="3:14">
      <c r="C66" s="129">
        <v>2017</v>
      </c>
      <c r="D66" s="57">
        <v>0.02</v>
      </c>
      <c r="E66" s="104"/>
      <c r="F66" s="129">
        <f>C74+1</f>
        <v>2026</v>
      </c>
      <c r="G66" s="57">
        <v>2.3E-2</v>
      </c>
      <c r="H66" s="104"/>
      <c r="I66" s="129">
        <f>F74+1</f>
        <v>2035</v>
      </c>
      <c r="J66" s="129"/>
      <c r="K66" s="57">
        <v>2.3E-2</v>
      </c>
    </row>
    <row r="67" spans="3:14">
      <c r="C67" s="129">
        <f t="shared" ref="C67:C74" si="33">C66+1</f>
        <v>2018</v>
      </c>
      <c r="D67" s="57">
        <v>1.9E-2</v>
      </c>
      <c r="E67" s="104"/>
      <c r="F67" s="129">
        <f t="shared" ref="F67:F74" si="34">F66+1</f>
        <v>2027</v>
      </c>
      <c r="G67" s="57">
        <v>2.3E-2</v>
      </c>
      <c r="H67" s="104"/>
      <c r="I67" s="129">
        <f t="shared" ref="I67:I74" si="35">I66+1</f>
        <v>2036</v>
      </c>
      <c r="J67" s="129"/>
      <c r="K67" s="57">
        <v>2.3E-2</v>
      </c>
    </row>
    <row r="68" spans="3:14">
      <c r="C68" s="129">
        <f t="shared" si="33"/>
        <v>2019</v>
      </c>
      <c r="D68" s="57">
        <v>2.1999999999999999E-2</v>
      </c>
      <c r="E68" s="104"/>
      <c r="F68" s="129">
        <f t="shared" si="34"/>
        <v>2028</v>
      </c>
      <c r="G68" s="57">
        <v>2.3E-2</v>
      </c>
      <c r="H68" s="104"/>
      <c r="I68" s="129">
        <f t="shared" si="35"/>
        <v>2037</v>
      </c>
      <c r="J68" s="129"/>
      <c r="K68" s="57">
        <v>2.1999999999999999E-2</v>
      </c>
    </row>
    <row r="69" spans="3:14">
      <c r="C69" s="129">
        <f t="shared" si="33"/>
        <v>2020</v>
      </c>
      <c r="D69" s="57">
        <v>2.5999999999999999E-2</v>
      </c>
      <c r="E69" s="104"/>
      <c r="F69" s="129">
        <f t="shared" si="34"/>
        <v>2029</v>
      </c>
      <c r="G69" s="57">
        <v>2.3E-2</v>
      </c>
      <c r="H69" s="104"/>
      <c r="I69" s="129">
        <f t="shared" si="35"/>
        <v>2038</v>
      </c>
      <c r="J69" s="129"/>
      <c r="K69" s="57">
        <v>2.1999999999999999E-2</v>
      </c>
    </row>
    <row r="70" spans="3:14">
      <c r="C70" s="129">
        <f t="shared" si="33"/>
        <v>2021</v>
      </c>
      <c r="D70" s="57">
        <v>2.4E-2</v>
      </c>
      <c r="E70" s="104"/>
      <c r="F70" s="129">
        <f t="shared" si="34"/>
        <v>2030</v>
      </c>
      <c r="G70" s="57">
        <v>2.3E-2</v>
      </c>
      <c r="H70" s="104"/>
      <c r="I70" s="129">
        <f t="shared" si="35"/>
        <v>2039</v>
      </c>
      <c r="J70" s="129"/>
      <c r="K70" s="57">
        <v>2.1999999999999999E-2</v>
      </c>
    </row>
    <row r="71" spans="3:14">
      <c r="C71" s="129">
        <f t="shared" si="33"/>
        <v>2022</v>
      </c>
      <c r="D71" s="57">
        <v>2.3E-2</v>
      </c>
      <c r="E71" s="104"/>
      <c r="F71" s="129">
        <f t="shared" si="34"/>
        <v>2031</v>
      </c>
      <c r="G71" s="57">
        <v>2.3E-2</v>
      </c>
      <c r="H71" s="104"/>
      <c r="I71" s="129">
        <f t="shared" si="35"/>
        <v>2040</v>
      </c>
      <c r="J71" s="129"/>
      <c r="K71" s="57">
        <v>2.1999999999999999E-2</v>
      </c>
    </row>
    <row r="72" spans="3:14" s="190" customFormat="1">
      <c r="C72" s="129">
        <f t="shared" si="33"/>
        <v>2023</v>
      </c>
      <c r="D72" s="57">
        <v>2.3E-2</v>
      </c>
      <c r="E72" s="106"/>
      <c r="F72" s="129">
        <f t="shared" si="34"/>
        <v>2032</v>
      </c>
      <c r="G72" s="57">
        <v>2.1999999999999999E-2</v>
      </c>
      <c r="H72" s="106"/>
      <c r="I72" s="129">
        <f t="shared" si="35"/>
        <v>2041</v>
      </c>
      <c r="J72" s="129"/>
      <c r="K72" s="57">
        <v>2.1999999999999999E-2</v>
      </c>
      <c r="N72" s="246"/>
    </row>
    <row r="73" spans="3:14" s="190" customFormat="1">
      <c r="C73" s="129">
        <f t="shared" si="33"/>
        <v>2024</v>
      </c>
      <c r="D73" s="57">
        <v>2.3E-2</v>
      </c>
      <c r="E73" s="106"/>
      <c r="F73" s="129">
        <f t="shared" si="34"/>
        <v>2033</v>
      </c>
      <c r="G73" s="57">
        <v>2.1999999999999999E-2</v>
      </c>
      <c r="H73" s="106"/>
      <c r="I73" s="129">
        <f t="shared" si="35"/>
        <v>2042</v>
      </c>
      <c r="J73" s="129"/>
      <c r="K73" s="57">
        <v>2.1999999999999999E-2</v>
      </c>
      <c r="N73" s="246"/>
    </row>
    <row r="74" spans="3:14" s="190" customFormat="1">
      <c r="C74" s="129">
        <f t="shared" si="33"/>
        <v>2025</v>
      </c>
      <c r="D74" s="57">
        <v>2.3E-2</v>
      </c>
      <c r="E74" s="106"/>
      <c r="F74" s="129">
        <f t="shared" si="34"/>
        <v>2034</v>
      </c>
      <c r="G74" s="57">
        <v>2.3E-2</v>
      </c>
      <c r="H74" s="106"/>
      <c r="I74" s="129">
        <f t="shared" si="35"/>
        <v>2043</v>
      </c>
      <c r="J74" s="129"/>
      <c r="K74" s="57">
        <v>2.3E-2</v>
      </c>
      <c r="N74" s="246"/>
    </row>
    <row r="75" spans="3:14" s="190" customFormat="1">
      <c r="N75" s="246"/>
    </row>
    <row r="76" spans="3:14" s="190" customFormat="1">
      <c r="N76" s="246"/>
    </row>
    <row r="93" spans="3:4">
      <c r="C93" s="227"/>
      <c r="D93" s="231"/>
    </row>
    <row r="94" spans="3:4">
      <c r="C94" s="227"/>
      <c r="D94" s="231"/>
    </row>
    <row r="95" spans="3:4">
      <c r="C95" s="227"/>
      <c r="D95" s="231"/>
    </row>
    <row r="96" spans="3:4">
      <c r="C96" s="227"/>
      <c r="D96" s="231"/>
    </row>
    <row r="97" spans="3:4">
      <c r="C97" s="227"/>
      <c r="D97" s="231"/>
    </row>
    <row r="98" spans="3:4">
      <c r="C98" s="227"/>
      <c r="D98" s="231"/>
    </row>
    <row r="99" spans="3:4">
      <c r="C99" s="227"/>
      <c r="D99" s="231"/>
    </row>
    <row r="100" spans="3:4">
      <c r="C100" s="227"/>
      <c r="D100" s="231"/>
    </row>
    <row r="101" spans="3:4">
      <c r="C101" s="227"/>
      <c r="D101" s="231"/>
    </row>
    <row r="102" spans="3:4">
      <c r="C102" s="227"/>
      <c r="D102" s="231"/>
    </row>
  </sheetData>
  <printOptions horizontalCentered="1"/>
  <pageMargins left="0.8" right="0.3" top="0.4" bottom="0.4" header="0.5" footer="0.2"/>
  <pageSetup scale="54" orientation="landscape" r:id="rId1"/>
  <headerFooter alignWithMargins="0"/>
  <rowBreaks count="1" manualBreakCount="1">
    <brk id="51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02"/>
  <sheetViews>
    <sheetView view="pageBreakPreview" zoomScale="60" zoomScaleNormal="100" workbookViewId="0">
      <selection activeCell="Q45" sqref="Q45"/>
    </sheetView>
  </sheetViews>
  <sheetFormatPr defaultColWidth="9.33203125" defaultRowHeight="12.75"/>
  <cols>
    <col min="1" max="1" width="1.5" style="188" customWidth="1"/>
    <col min="2" max="2" width="10.83203125" style="188" customWidth="1"/>
    <col min="3" max="3" width="14.1640625" style="188" customWidth="1"/>
    <col min="4" max="4" width="12.33203125" style="188" customWidth="1"/>
    <col min="5" max="5" width="9.1640625" style="188" customWidth="1"/>
    <col min="6" max="6" width="9.83203125" style="188" bestFit="1" customWidth="1"/>
    <col min="7" max="7" width="9.83203125" style="188" customWidth="1"/>
    <col min="8" max="8" width="10.5" style="188" customWidth="1"/>
    <col min="9" max="10" width="12.5" style="188" customWidth="1"/>
    <col min="11" max="11" width="11.6640625" style="188" customWidth="1"/>
    <col min="12" max="15" width="9.33203125" style="188"/>
    <col min="16" max="16" width="0" style="188" hidden="1" customWidth="1"/>
    <col min="17" max="16384" width="9.33203125" style="188"/>
  </cols>
  <sheetData>
    <row r="1" spans="2:18" ht="15.75">
      <c r="B1" s="186" t="s">
        <v>85</v>
      </c>
      <c r="C1" s="187"/>
      <c r="D1" s="187"/>
      <c r="E1" s="187"/>
      <c r="F1" s="187"/>
      <c r="G1" s="187"/>
      <c r="H1" s="187"/>
      <c r="I1" s="187"/>
      <c r="J1" s="187"/>
    </row>
    <row r="2" spans="2:18" ht="15.75">
      <c r="B2" s="186" t="s">
        <v>158</v>
      </c>
      <c r="C2" s="187"/>
      <c r="D2" s="187"/>
      <c r="E2" s="187"/>
      <c r="F2" s="187"/>
      <c r="G2" s="187"/>
      <c r="H2" s="187"/>
      <c r="I2" s="187"/>
      <c r="J2" s="187"/>
    </row>
    <row r="3" spans="2:18" ht="15.75">
      <c r="B3" s="186" t="str">
        <f>TEXT($C$63,"0%")&amp;" Capacity Factor"</f>
        <v>43% Capacity Factor</v>
      </c>
      <c r="C3" s="187"/>
      <c r="D3" s="187"/>
      <c r="E3" s="187"/>
      <c r="F3" s="187"/>
      <c r="G3" s="187"/>
      <c r="H3" s="187"/>
      <c r="I3" s="187"/>
      <c r="J3" s="187"/>
    </row>
    <row r="4" spans="2:18">
      <c r="B4" s="189"/>
      <c r="C4" s="189"/>
      <c r="D4" s="189"/>
      <c r="E4" s="189"/>
      <c r="F4" s="189"/>
      <c r="G4" s="189"/>
      <c r="H4" s="189"/>
      <c r="I4" s="190"/>
      <c r="J4" s="190"/>
      <c r="K4" s="190"/>
    </row>
    <row r="5" spans="2:18" ht="51.75" customHeight="1">
      <c r="B5" s="191" t="s">
        <v>0</v>
      </c>
      <c r="C5" s="192" t="s">
        <v>10</v>
      </c>
      <c r="D5" s="192" t="s">
        <v>11</v>
      </c>
      <c r="E5" s="192" t="s">
        <v>12</v>
      </c>
      <c r="F5" s="192" t="s">
        <v>111</v>
      </c>
      <c r="G5" s="19" t="s">
        <v>13</v>
      </c>
      <c r="H5" s="192" t="s">
        <v>112</v>
      </c>
      <c r="I5" s="192" t="s">
        <v>138</v>
      </c>
      <c r="J5" s="19" t="s">
        <v>73</v>
      </c>
      <c r="K5" s="192" t="s">
        <v>113</v>
      </c>
      <c r="P5" s="192" t="s">
        <v>112</v>
      </c>
    </row>
    <row r="6" spans="2:18" ht="24" customHeight="1">
      <c r="B6" s="193"/>
      <c r="C6" s="194" t="s">
        <v>8</v>
      </c>
      <c r="D6" s="195" t="s">
        <v>9</v>
      </c>
      <c r="E6" s="195" t="s">
        <v>9</v>
      </c>
      <c r="F6" s="194" t="s">
        <v>39</v>
      </c>
      <c r="G6" s="22" t="s">
        <v>39</v>
      </c>
      <c r="H6" s="194" t="s">
        <v>39</v>
      </c>
      <c r="I6" s="194" t="s">
        <v>39</v>
      </c>
      <c r="J6" s="23" t="s">
        <v>9</v>
      </c>
      <c r="K6" s="194" t="s">
        <v>39</v>
      </c>
    </row>
    <row r="7" spans="2:18">
      <c r="C7" s="196" t="s">
        <v>1</v>
      </c>
      <c r="D7" s="196" t="s">
        <v>2</v>
      </c>
      <c r="E7" s="196" t="s">
        <v>3</v>
      </c>
      <c r="F7" s="196" t="s">
        <v>4</v>
      </c>
      <c r="G7" s="196" t="s">
        <v>5</v>
      </c>
      <c r="H7" s="196" t="s">
        <v>7</v>
      </c>
      <c r="I7" s="196" t="s">
        <v>28</v>
      </c>
      <c r="J7" s="196" t="s">
        <v>29</v>
      </c>
      <c r="K7" s="196" t="s">
        <v>30</v>
      </c>
    </row>
    <row r="8" spans="2:18" ht="6" customHeight="1">
      <c r="K8" s="190"/>
    </row>
    <row r="9" spans="2:18" ht="15.75">
      <c r="B9" s="60" t="str">
        <f>C52</f>
        <v>2017 IRP Wyoming DJ Wind Resource - 43% Capacity Factor</v>
      </c>
      <c r="C9" s="190"/>
      <c r="E9" s="190"/>
      <c r="F9" s="190"/>
      <c r="G9" s="190"/>
      <c r="H9" s="190"/>
      <c r="I9" s="190"/>
      <c r="J9" s="190"/>
      <c r="K9" s="190"/>
    </row>
    <row r="10" spans="2:18">
      <c r="B10" s="197">
        <v>2016</v>
      </c>
      <c r="C10" s="198">
        <f>C55</f>
        <v>1737.2476650701883</v>
      </c>
      <c r="D10" s="199">
        <f>C10*$C$62</f>
        <v>122.77973312452522</v>
      </c>
      <c r="E10" s="199">
        <f>C56</f>
        <v>37.565582271006477</v>
      </c>
      <c r="F10" s="200">
        <f t="shared" ref="F10:F36" si="0">(D10+E10)/(8.76*$C$63)</f>
        <v>42.568045926391555</v>
      </c>
      <c r="G10" s="200">
        <f>C58</f>
        <v>0.65</v>
      </c>
      <c r="H10" s="247">
        <f>C59</f>
        <v>0</v>
      </c>
      <c r="I10" s="201">
        <f t="shared" ref="I10:I36" si="1">F10+H10+G10</f>
        <v>43.218045926391554</v>
      </c>
      <c r="J10" s="201">
        <f>ROUND(I10*$C$63*8.76,2)</f>
        <v>162.79</v>
      </c>
      <c r="K10" s="199">
        <f>$C$57</f>
        <v>0.57299999999999995</v>
      </c>
      <c r="N10" s="202"/>
      <c r="P10" s="240">
        <f>$C$59</f>
        <v>0</v>
      </c>
    </row>
    <row r="11" spans="2:18">
      <c r="B11" s="197">
        <f t="shared" ref="B11:B36" si="2">B10+1</f>
        <v>2017</v>
      </c>
      <c r="C11" s="203"/>
      <c r="D11" s="199">
        <f>ROUND(D10*(1+$D66),2)</f>
        <v>125.24</v>
      </c>
      <c r="E11" s="199">
        <f>ROUND(E10*(1+$D66),2)</f>
        <v>38.32</v>
      </c>
      <c r="F11" s="200">
        <f t="shared" si="0"/>
        <v>43.421471806307743</v>
      </c>
      <c r="G11" s="199">
        <f>ROUND(G10*(1+$D66),2)</f>
        <v>0.66</v>
      </c>
      <c r="H11" s="199">
        <f>ROUND(H10*(1+$D66),2)</f>
        <v>0</v>
      </c>
      <c r="I11" s="201">
        <f t="shared" si="1"/>
        <v>44.081471806307739</v>
      </c>
      <c r="J11" s="201">
        <f t="shared" ref="J11:J36" si="3">ROUND(I11*$C$63*8.76,2)</f>
        <v>166.05</v>
      </c>
      <c r="K11" s="199">
        <f>ROUND(K10*(1+$D66),2)</f>
        <v>0.57999999999999996</v>
      </c>
      <c r="N11" s="202"/>
      <c r="P11" s="240">
        <f>ROUND(P10*(1+$D66),2)</f>
        <v>0</v>
      </c>
    </row>
    <row r="12" spans="2:18">
      <c r="B12" s="210">
        <f t="shared" si="2"/>
        <v>2018</v>
      </c>
      <c r="C12" s="211"/>
      <c r="D12" s="199">
        <f t="shared" ref="D12:E19" si="4">ROUND(D11*(1+$D67),2)</f>
        <v>127.62</v>
      </c>
      <c r="E12" s="199">
        <f t="shared" si="4"/>
        <v>39.049999999999997</v>
      </c>
      <c r="F12" s="201">
        <f t="shared" si="0"/>
        <v>44.24710629712223</v>
      </c>
      <c r="G12" s="199">
        <f t="shared" ref="G12:G19" si="5">ROUND(G11*(1+$D67),2)</f>
        <v>0.67</v>
      </c>
      <c r="H12" s="212">
        <f t="shared" ref="H12" si="6">ROUND(H11*(1+$D67),2)</f>
        <v>0</v>
      </c>
      <c r="I12" s="201">
        <f t="shared" si="1"/>
        <v>44.917106297122231</v>
      </c>
      <c r="J12" s="201">
        <f t="shared" si="3"/>
        <v>169.19</v>
      </c>
      <c r="K12" s="199">
        <f t="shared" ref="K12:K19" si="7">ROUND(K11*(1+$D67),2)</f>
        <v>0.59</v>
      </c>
      <c r="L12" s="190"/>
      <c r="N12" s="202"/>
      <c r="P12" s="240">
        <f t="shared" ref="P12:P19" si="8">ROUND(P11*(1+$D67),2)</f>
        <v>0</v>
      </c>
    </row>
    <row r="13" spans="2:18">
      <c r="B13" s="210">
        <f t="shared" si="2"/>
        <v>2019</v>
      </c>
      <c r="C13" s="211"/>
      <c r="D13" s="199">
        <f t="shared" si="4"/>
        <v>130.43</v>
      </c>
      <c r="E13" s="199">
        <f t="shared" si="4"/>
        <v>39.909999999999997</v>
      </c>
      <c r="F13" s="201">
        <f t="shared" si="0"/>
        <v>45.22140809174897</v>
      </c>
      <c r="G13" s="199">
        <f t="shared" si="5"/>
        <v>0.68</v>
      </c>
      <c r="H13" s="212">
        <f t="shared" ref="H13" si="9">ROUND(H12*(1+$D68),2)</f>
        <v>0</v>
      </c>
      <c r="I13" s="201">
        <f t="shared" si="1"/>
        <v>45.901408091748969</v>
      </c>
      <c r="J13" s="201">
        <f t="shared" si="3"/>
        <v>172.9</v>
      </c>
      <c r="K13" s="199">
        <f t="shared" si="7"/>
        <v>0.6</v>
      </c>
      <c r="L13" s="190"/>
      <c r="N13" s="202"/>
      <c r="P13" s="240">
        <f t="shared" si="8"/>
        <v>0</v>
      </c>
    </row>
    <row r="14" spans="2:18">
      <c r="B14" s="210">
        <f t="shared" si="2"/>
        <v>2020</v>
      </c>
      <c r="C14" s="211"/>
      <c r="D14" s="199">
        <f t="shared" si="4"/>
        <v>133.82</v>
      </c>
      <c r="E14" s="199">
        <f t="shared" si="4"/>
        <v>40.950000000000003</v>
      </c>
      <c r="F14" s="201">
        <f t="shared" si="0"/>
        <v>46.397472655835188</v>
      </c>
      <c r="G14" s="199">
        <f t="shared" si="5"/>
        <v>0.7</v>
      </c>
      <c r="H14" s="212">
        <f t="shared" ref="H14" si="10">ROUND(H13*(1+$D69),2)</f>
        <v>0</v>
      </c>
      <c r="I14" s="201">
        <f t="shared" si="1"/>
        <v>47.09747265583519</v>
      </c>
      <c r="J14" s="201">
        <f t="shared" si="3"/>
        <v>177.41</v>
      </c>
      <c r="K14" s="199">
        <f t="shared" si="7"/>
        <v>0.62</v>
      </c>
      <c r="L14" s="190"/>
      <c r="N14" s="202"/>
      <c r="O14" s="207"/>
      <c r="P14" s="240">
        <f t="shared" si="8"/>
        <v>0</v>
      </c>
      <c r="Q14" s="208"/>
      <c r="R14" s="209"/>
    </row>
    <row r="15" spans="2:18">
      <c r="B15" s="210">
        <f t="shared" si="2"/>
        <v>2021</v>
      </c>
      <c r="C15" s="211"/>
      <c r="D15" s="199">
        <f t="shared" si="4"/>
        <v>137.03</v>
      </c>
      <c r="E15" s="199">
        <f t="shared" si="4"/>
        <v>41.93</v>
      </c>
      <c r="F15" s="201">
        <f t="shared" si="0"/>
        <v>47.509822661144739</v>
      </c>
      <c r="G15" s="199">
        <f t="shared" si="5"/>
        <v>0.72</v>
      </c>
      <c r="H15" s="212">
        <f t="shared" ref="H15" si="11">ROUND(H14*(1+$D70),2)</f>
        <v>0</v>
      </c>
      <c r="I15" s="201">
        <f t="shared" si="1"/>
        <v>48.229822661144738</v>
      </c>
      <c r="J15" s="201">
        <f t="shared" si="3"/>
        <v>181.67</v>
      </c>
      <c r="K15" s="199">
        <f t="shared" si="7"/>
        <v>0.63</v>
      </c>
      <c r="L15" s="190"/>
      <c r="N15" s="208"/>
      <c r="O15" s="208"/>
      <c r="P15" s="240">
        <f t="shared" si="8"/>
        <v>0</v>
      </c>
      <c r="Q15" s="208"/>
      <c r="R15" s="209"/>
    </row>
    <row r="16" spans="2:18">
      <c r="B16" s="210">
        <f t="shared" si="2"/>
        <v>2022</v>
      </c>
      <c r="C16" s="211"/>
      <c r="D16" s="199">
        <f t="shared" si="4"/>
        <v>140.18</v>
      </c>
      <c r="E16" s="199">
        <f t="shared" si="4"/>
        <v>42.89</v>
      </c>
      <c r="F16" s="201">
        <f t="shared" si="0"/>
        <v>48.600934480195392</v>
      </c>
      <c r="G16" s="199">
        <f t="shared" si="5"/>
        <v>0.74</v>
      </c>
      <c r="H16" s="212">
        <f t="shared" ref="H16" si="12">ROUND(H15*(1+$D71),2)</f>
        <v>0</v>
      </c>
      <c r="I16" s="201">
        <f t="shared" si="1"/>
        <v>49.340934480195394</v>
      </c>
      <c r="J16" s="201">
        <f t="shared" si="3"/>
        <v>185.86</v>
      </c>
      <c r="K16" s="199">
        <f t="shared" si="7"/>
        <v>0.64</v>
      </c>
      <c r="L16" s="190"/>
      <c r="N16" s="202"/>
      <c r="P16" s="240">
        <f t="shared" si="8"/>
        <v>0</v>
      </c>
    </row>
    <row r="17" spans="2:17">
      <c r="B17" s="210">
        <f t="shared" si="2"/>
        <v>2023</v>
      </c>
      <c r="C17" s="211"/>
      <c r="D17" s="199">
        <f t="shared" si="4"/>
        <v>143.4</v>
      </c>
      <c r="E17" s="199">
        <f t="shared" si="4"/>
        <v>43.88</v>
      </c>
      <c r="F17" s="201">
        <f t="shared" si="0"/>
        <v>49.71859403206966</v>
      </c>
      <c r="G17" s="199">
        <f t="shared" si="5"/>
        <v>0.76</v>
      </c>
      <c r="H17" s="212">
        <f t="shared" ref="H17" si="13">ROUND(H16*(1+$D72),2)</f>
        <v>0</v>
      </c>
      <c r="I17" s="201">
        <f t="shared" si="1"/>
        <v>50.478594032069658</v>
      </c>
      <c r="J17" s="201">
        <f t="shared" si="3"/>
        <v>190.14</v>
      </c>
      <c r="K17" s="199">
        <f t="shared" si="7"/>
        <v>0.65</v>
      </c>
      <c r="L17" s="190"/>
      <c r="N17" s="202"/>
      <c r="O17" s="207"/>
      <c r="P17" s="240">
        <f t="shared" si="8"/>
        <v>0</v>
      </c>
    </row>
    <row r="18" spans="2:17">
      <c r="B18" s="210">
        <f t="shared" si="2"/>
        <v>2024</v>
      </c>
      <c r="C18" s="211"/>
      <c r="D18" s="199">
        <f t="shared" si="4"/>
        <v>146.69999999999999</v>
      </c>
      <c r="E18" s="199">
        <f t="shared" si="4"/>
        <v>44.89</v>
      </c>
      <c r="F18" s="201">
        <f t="shared" si="0"/>
        <v>50.862801316767545</v>
      </c>
      <c r="G18" s="199">
        <f t="shared" si="5"/>
        <v>0.78</v>
      </c>
      <c r="H18" s="212">
        <f t="shared" ref="H18" si="14">ROUND(H17*(1+$D73),2)</f>
        <v>0</v>
      </c>
      <c r="I18" s="201">
        <f t="shared" si="1"/>
        <v>51.642801316767546</v>
      </c>
      <c r="J18" s="201">
        <f t="shared" si="3"/>
        <v>194.53</v>
      </c>
      <c r="K18" s="199">
        <f t="shared" si="7"/>
        <v>0.66</v>
      </c>
      <c r="L18" s="190"/>
      <c r="P18" s="240">
        <f t="shared" si="8"/>
        <v>0</v>
      </c>
    </row>
    <row r="19" spans="2:17">
      <c r="B19" s="210">
        <f t="shared" si="2"/>
        <v>2025</v>
      </c>
      <c r="C19" s="211"/>
      <c r="D19" s="199">
        <f t="shared" si="4"/>
        <v>150.07</v>
      </c>
      <c r="E19" s="199">
        <f t="shared" si="4"/>
        <v>45.92</v>
      </c>
      <c r="F19" s="201">
        <f t="shared" si="0"/>
        <v>52.030901561006694</v>
      </c>
      <c r="G19" s="199">
        <f t="shared" si="5"/>
        <v>0.8</v>
      </c>
      <c r="H19" s="212">
        <f t="shared" ref="H19" si="15">ROUND(H18*(1+$D74),2)</f>
        <v>0</v>
      </c>
      <c r="I19" s="201">
        <f t="shared" si="1"/>
        <v>52.830901561006691</v>
      </c>
      <c r="J19" s="201">
        <f t="shared" si="3"/>
        <v>199</v>
      </c>
      <c r="K19" s="199">
        <f t="shared" si="7"/>
        <v>0.68</v>
      </c>
      <c r="L19" s="190"/>
      <c r="P19" s="240">
        <f t="shared" si="8"/>
        <v>0</v>
      </c>
    </row>
    <row r="20" spans="2:17">
      <c r="B20" s="210">
        <f t="shared" si="2"/>
        <v>2026</v>
      </c>
      <c r="C20" s="211"/>
      <c r="D20" s="199">
        <f t="shared" ref="D20:D28" si="16">ROUND(D19*(1+$G66),2)</f>
        <v>153.52000000000001</v>
      </c>
      <c r="E20" s="199">
        <f t="shared" ref="E20:E28" si="17">ROUND(E19*(1+$G66),2)</f>
        <v>46.98</v>
      </c>
      <c r="F20" s="201">
        <f t="shared" si="0"/>
        <v>53.22820431135181</v>
      </c>
      <c r="G20" s="199">
        <f t="shared" ref="G20:G28" si="18">ROUND(G19*(1+$G66),2)</f>
        <v>0.82</v>
      </c>
      <c r="H20" s="212">
        <f t="shared" ref="H20:H28" si="19">ROUND(H19*(1+$G66),2)</f>
        <v>0</v>
      </c>
      <c r="I20" s="201">
        <f t="shared" si="1"/>
        <v>54.04820431135181</v>
      </c>
      <c r="J20" s="201">
        <f t="shared" si="3"/>
        <v>203.59</v>
      </c>
      <c r="K20" s="199">
        <f t="shared" ref="K20:K28" si="20">ROUND(K19*(1+$G66),2)</f>
        <v>0.7</v>
      </c>
      <c r="L20" s="190"/>
      <c r="P20" s="240">
        <f t="shared" ref="P20:P28" si="21">ROUND(P19*(1+$G66),2)</f>
        <v>0</v>
      </c>
      <c r="Q20" s="241"/>
    </row>
    <row r="21" spans="2:17">
      <c r="B21" s="210">
        <f t="shared" si="2"/>
        <v>2027</v>
      </c>
      <c r="C21" s="211"/>
      <c r="D21" s="199">
        <f t="shared" si="16"/>
        <v>157.05000000000001</v>
      </c>
      <c r="E21" s="199">
        <f t="shared" si="17"/>
        <v>48.06</v>
      </c>
      <c r="F21" s="201">
        <f t="shared" si="0"/>
        <v>54.452054794520549</v>
      </c>
      <c r="G21" s="199">
        <f t="shared" si="18"/>
        <v>0.84</v>
      </c>
      <c r="H21" s="212">
        <f t="shared" si="19"/>
        <v>0</v>
      </c>
      <c r="I21" s="201">
        <f t="shared" si="1"/>
        <v>55.292054794520553</v>
      </c>
      <c r="J21" s="201">
        <f t="shared" si="3"/>
        <v>208.27</v>
      </c>
      <c r="K21" s="199">
        <f t="shared" si="20"/>
        <v>0.72</v>
      </c>
      <c r="L21" s="190"/>
      <c r="P21" s="240">
        <f t="shared" si="21"/>
        <v>0</v>
      </c>
    </row>
    <row r="22" spans="2:17">
      <c r="B22" s="210">
        <f t="shared" si="2"/>
        <v>2028</v>
      </c>
      <c r="C22" s="211"/>
      <c r="D22" s="199">
        <f t="shared" si="16"/>
        <v>160.66</v>
      </c>
      <c r="E22" s="199">
        <f t="shared" si="17"/>
        <v>49.17</v>
      </c>
      <c r="F22" s="201">
        <f t="shared" si="0"/>
        <v>55.705107783795263</v>
      </c>
      <c r="G22" s="199">
        <f t="shared" si="18"/>
        <v>0.86</v>
      </c>
      <c r="H22" s="212">
        <f t="shared" si="19"/>
        <v>0</v>
      </c>
      <c r="I22" s="201">
        <f t="shared" si="1"/>
        <v>56.565107783795263</v>
      </c>
      <c r="J22" s="201">
        <f t="shared" si="3"/>
        <v>213.07</v>
      </c>
      <c r="K22" s="199">
        <f t="shared" si="20"/>
        <v>0.74</v>
      </c>
      <c r="L22" s="190"/>
      <c r="P22" s="240">
        <f t="shared" si="21"/>
        <v>0</v>
      </c>
    </row>
    <row r="23" spans="2:17">
      <c r="B23" s="210">
        <f t="shared" si="2"/>
        <v>2029</v>
      </c>
      <c r="C23" s="211"/>
      <c r="D23" s="199">
        <f t="shared" si="16"/>
        <v>164.36</v>
      </c>
      <c r="E23" s="199">
        <f t="shared" si="17"/>
        <v>50.3</v>
      </c>
      <c r="F23" s="201">
        <f t="shared" si="0"/>
        <v>56.987363279175966</v>
      </c>
      <c r="G23" s="199">
        <f t="shared" si="18"/>
        <v>0.88</v>
      </c>
      <c r="H23" s="212">
        <f t="shared" si="19"/>
        <v>0</v>
      </c>
      <c r="I23" s="201">
        <f t="shared" si="1"/>
        <v>57.867363279175969</v>
      </c>
      <c r="J23" s="201">
        <f t="shared" si="3"/>
        <v>217.97</v>
      </c>
      <c r="K23" s="199">
        <f t="shared" si="20"/>
        <v>0.76</v>
      </c>
      <c r="L23" s="190"/>
      <c r="P23" s="240">
        <f t="shared" si="21"/>
        <v>0</v>
      </c>
    </row>
    <row r="24" spans="2:17">
      <c r="B24" s="210">
        <f t="shared" si="2"/>
        <v>2030</v>
      </c>
      <c r="C24" s="204"/>
      <c r="D24" s="205">
        <f t="shared" si="16"/>
        <v>168.14</v>
      </c>
      <c r="E24" s="205">
        <f t="shared" si="17"/>
        <v>51.46</v>
      </c>
      <c r="F24" s="206">
        <f t="shared" si="0"/>
        <v>58.298821280662629</v>
      </c>
      <c r="G24" s="205">
        <f t="shared" si="18"/>
        <v>0.9</v>
      </c>
      <c r="H24" s="205">
        <f t="shared" si="19"/>
        <v>0</v>
      </c>
      <c r="I24" s="206">
        <f t="shared" si="1"/>
        <v>59.198821280662628</v>
      </c>
      <c r="J24" s="206">
        <f t="shared" si="3"/>
        <v>222.99</v>
      </c>
      <c r="K24" s="205">
        <f t="shared" si="20"/>
        <v>0.78</v>
      </c>
      <c r="L24" s="190"/>
      <c r="P24" s="240">
        <f t="shared" si="21"/>
        <v>0</v>
      </c>
    </row>
    <row r="25" spans="2:17">
      <c r="B25" s="210">
        <f t="shared" si="2"/>
        <v>2031</v>
      </c>
      <c r="C25" s="211"/>
      <c r="D25" s="199">
        <f t="shared" si="16"/>
        <v>172.01</v>
      </c>
      <c r="E25" s="199">
        <f t="shared" si="17"/>
        <v>52.64</v>
      </c>
      <c r="F25" s="201">
        <f t="shared" si="0"/>
        <v>59.639481788255281</v>
      </c>
      <c r="G25" s="199">
        <f t="shared" si="18"/>
        <v>0.92</v>
      </c>
      <c r="H25" s="212">
        <f t="shared" si="19"/>
        <v>0</v>
      </c>
      <c r="I25" s="201">
        <f t="shared" si="1"/>
        <v>60.559481788255283</v>
      </c>
      <c r="J25" s="201">
        <f t="shared" si="3"/>
        <v>228.12</v>
      </c>
      <c r="K25" s="199">
        <f t="shared" si="20"/>
        <v>0.8</v>
      </c>
      <c r="L25" s="190"/>
      <c r="P25" s="240">
        <f t="shared" si="21"/>
        <v>0</v>
      </c>
    </row>
    <row r="26" spans="2:17">
      <c r="B26" s="210">
        <f t="shared" si="2"/>
        <v>2032</v>
      </c>
      <c r="C26" s="211"/>
      <c r="D26" s="199">
        <f t="shared" si="16"/>
        <v>175.79</v>
      </c>
      <c r="E26" s="199">
        <f t="shared" si="17"/>
        <v>53.8</v>
      </c>
      <c r="F26" s="201">
        <f t="shared" si="0"/>
        <v>60.950939789741952</v>
      </c>
      <c r="G26" s="199">
        <f t="shared" si="18"/>
        <v>0.94</v>
      </c>
      <c r="H26" s="212">
        <f t="shared" si="19"/>
        <v>0</v>
      </c>
      <c r="I26" s="201">
        <f t="shared" si="1"/>
        <v>61.89093978974195</v>
      </c>
      <c r="J26" s="201">
        <f t="shared" si="3"/>
        <v>233.13</v>
      </c>
      <c r="K26" s="199">
        <f t="shared" si="20"/>
        <v>0.82</v>
      </c>
      <c r="L26" s="190"/>
      <c r="P26" s="240">
        <f t="shared" si="21"/>
        <v>0</v>
      </c>
    </row>
    <row r="27" spans="2:17">
      <c r="B27" s="210">
        <f t="shared" si="2"/>
        <v>2033</v>
      </c>
      <c r="C27" s="211"/>
      <c r="D27" s="199">
        <f t="shared" si="16"/>
        <v>179.66</v>
      </c>
      <c r="E27" s="199">
        <f t="shared" si="17"/>
        <v>54.98</v>
      </c>
      <c r="F27" s="201">
        <f t="shared" si="0"/>
        <v>62.291600297334604</v>
      </c>
      <c r="G27" s="199">
        <f t="shared" si="18"/>
        <v>0.96</v>
      </c>
      <c r="H27" s="212">
        <f t="shared" si="19"/>
        <v>0</v>
      </c>
      <c r="I27" s="201">
        <f t="shared" si="1"/>
        <v>63.251600297334605</v>
      </c>
      <c r="J27" s="201">
        <f t="shared" si="3"/>
        <v>238.26</v>
      </c>
      <c r="K27" s="199">
        <f t="shared" si="20"/>
        <v>0.84</v>
      </c>
      <c r="L27" s="190"/>
      <c r="P27" s="240">
        <f t="shared" si="21"/>
        <v>0</v>
      </c>
    </row>
    <row r="28" spans="2:17">
      <c r="B28" s="210">
        <f t="shared" si="2"/>
        <v>2034</v>
      </c>
      <c r="C28" s="211"/>
      <c r="D28" s="199">
        <f t="shared" si="16"/>
        <v>183.79</v>
      </c>
      <c r="E28" s="199">
        <f t="shared" si="17"/>
        <v>56.24</v>
      </c>
      <c r="F28" s="201">
        <f t="shared" si="0"/>
        <v>63.72252309652756</v>
      </c>
      <c r="G28" s="199">
        <f t="shared" si="18"/>
        <v>0.98</v>
      </c>
      <c r="H28" s="212">
        <f t="shared" si="19"/>
        <v>0</v>
      </c>
      <c r="I28" s="201">
        <f t="shared" si="1"/>
        <v>64.702523096527557</v>
      </c>
      <c r="J28" s="201">
        <f t="shared" si="3"/>
        <v>243.72</v>
      </c>
      <c r="K28" s="199">
        <f t="shared" si="20"/>
        <v>0.86</v>
      </c>
      <c r="L28" s="190"/>
      <c r="P28" s="240">
        <f t="shared" si="21"/>
        <v>0</v>
      </c>
    </row>
    <row r="29" spans="2:17">
      <c r="B29" s="210">
        <f t="shared" si="2"/>
        <v>2035</v>
      </c>
      <c r="C29" s="211"/>
      <c r="D29" s="199">
        <f t="shared" ref="D29:E36" si="22">ROUND(D28*(1+$K66),2)</f>
        <v>188.02</v>
      </c>
      <c r="E29" s="199">
        <f t="shared" si="22"/>
        <v>57.53</v>
      </c>
      <c r="F29" s="201">
        <f t="shared" si="0"/>
        <v>65.187957948391215</v>
      </c>
      <c r="G29" s="199">
        <f>ROUND(G28*(1+$K66),2)</f>
        <v>1</v>
      </c>
      <c r="H29" s="212">
        <f>ROUND(H28*(1+$K66),2)</f>
        <v>0</v>
      </c>
      <c r="I29" s="201">
        <f t="shared" si="1"/>
        <v>66.187957948391215</v>
      </c>
      <c r="J29" s="201">
        <f t="shared" si="3"/>
        <v>249.32</v>
      </c>
      <c r="K29" s="199">
        <f>ROUND(K28*(1+$K66),2)</f>
        <v>0.88</v>
      </c>
      <c r="L29" s="190"/>
      <c r="P29" s="240">
        <f>ROUND(P28*(1+$K66),2)</f>
        <v>0</v>
      </c>
    </row>
    <row r="30" spans="2:17">
      <c r="B30" s="210">
        <f t="shared" si="2"/>
        <v>2036</v>
      </c>
      <c r="C30" s="211"/>
      <c r="D30" s="199">
        <f t="shared" si="22"/>
        <v>192.34</v>
      </c>
      <c r="E30" s="199">
        <f t="shared" si="22"/>
        <v>58.85</v>
      </c>
      <c r="F30" s="201">
        <f t="shared" si="0"/>
        <v>66.685250079643197</v>
      </c>
      <c r="G30" s="199">
        <f t="shared" ref="G30:G36" si="23">ROUND(G29*(1+$K67),2)</f>
        <v>1.02</v>
      </c>
      <c r="H30" s="212">
        <f t="shared" ref="H30" si="24">ROUND(H29*(1+$K67),2)</f>
        <v>0</v>
      </c>
      <c r="I30" s="201">
        <f t="shared" si="1"/>
        <v>67.705250079643193</v>
      </c>
      <c r="J30" s="201">
        <f t="shared" si="3"/>
        <v>255.03</v>
      </c>
      <c r="K30" s="199">
        <f t="shared" ref="K30:K36" si="25">ROUND(K29*(1+$K67),2)</f>
        <v>0.9</v>
      </c>
      <c r="L30" s="190"/>
      <c r="P30" s="240">
        <f t="shared" ref="P30:P36" si="26">ROUND(P29*(1+$K67),2)</f>
        <v>0</v>
      </c>
    </row>
    <row r="31" spans="2:17">
      <c r="B31" s="210">
        <f t="shared" si="2"/>
        <v>2037</v>
      </c>
      <c r="C31" s="211"/>
      <c r="D31" s="199">
        <f t="shared" si="22"/>
        <v>196.57</v>
      </c>
      <c r="E31" s="199">
        <f t="shared" si="22"/>
        <v>60.14</v>
      </c>
      <c r="F31" s="201">
        <f t="shared" si="0"/>
        <v>68.150684931506845</v>
      </c>
      <c r="G31" s="199">
        <f t="shared" si="23"/>
        <v>1.04</v>
      </c>
      <c r="H31" s="212">
        <f t="shared" ref="H31" si="27">ROUND(H30*(1+$K68),2)</f>
        <v>0</v>
      </c>
      <c r="I31" s="201">
        <f t="shared" si="1"/>
        <v>69.190684931506851</v>
      </c>
      <c r="J31" s="201">
        <f t="shared" si="3"/>
        <v>260.63</v>
      </c>
      <c r="K31" s="199">
        <f t="shared" si="25"/>
        <v>0.92</v>
      </c>
      <c r="L31" s="190"/>
      <c r="P31" s="240">
        <f t="shared" si="26"/>
        <v>0</v>
      </c>
    </row>
    <row r="32" spans="2:17">
      <c r="B32" s="210">
        <f t="shared" si="2"/>
        <v>2038</v>
      </c>
      <c r="C32" s="211"/>
      <c r="D32" s="199">
        <f t="shared" si="22"/>
        <v>200.89</v>
      </c>
      <c r="E32" s="199">
        <f t="shared" si="22"/>
        <v>61.46</v>
      </c>
      <c r="F32" s="201">
        <f t="shared" si="0"/>
        <v>69.647977062758827</v>
      </c>
      <c r="G32" s="199">
        <f t="shared" si="23"/>
        <v>1.06</v>
      </c>
      <c r="H32" s="212">
        <f t="shared" ref="H32" si="28">ROUND(H31*(1+$K69),2)</f>
        <v>0</v>
      </c>
      <c r="I32" s="201">
        <f t="shared" si="1"/>
        <v>70.707977062758829</v>
      </c>
      <c r="J32" s="201">
        <f t="shared" si="3"/>
        <v>266.33999999999997</v>
      </c>
      <c r="K32" s="199">
        <f t="shared" si="25"/>
        <v>0.94</v>
      </c>
      <c r="L32" s="190"/>
      <c r="P32" s="240">
        <f t="shared" si="26"/>
        <v>0</v>
      </c>
    </row>
    <row r="33" spans="2:16">
      <c r="B33" s="210">
        <f t="shared" si="2"/>
        <v>2039</v>
      </c>
      <c r="C33" s="211"/>
      <c r="D33" s="199">
        <f t="shared" si="22"/>
        <v>205.31</v>
      </c>
      <c r="E33" s="199">
        <f t="shared" si="22"/>
        <v>62.81</v>
      </c>
      <c r="F33" s="201">
        <f t="shared" si="0"/>
        <v>71.179781246681543</v>
      </c>
      <c r="G33" s="199">
        <f t="shared" si="23"/>
        <v>1.08</v>
      </c>
      <c r="H33" s="212">
        <f t="shared" ref="H33" si="29">ROUND(H32*(1+$K70),2)</f>
        <v>0</v>
      </c>
      <c r="I33" s="201">
        <f t="shared" si="1"/>
        <v>72.259781246681541</v>
      </c>
      <c r="J33" s="201">
        <f t="shared" si="3"/>
        <v>272.19</v>
      </c>
      <c r="K33" s="199">
        <f t="shared" si="25"/>
        <v>0.96</v>
      </c>
      <c r="L33" s="190"/>
      <c r="P33" s="240">
        <f t="shared" si="26"/>
        <v>0</v>
      </c>
    </row>
    <row r="34" spans="2:16">
      <c r="B34" s="210">
        <f t="shared" si="2"/>
        <v>2040</v>
      </c>
      <c r="C34" s="211"/>
      <c r="D34" s="199">
        <f t="shared" si="22"/>
        <v>209.83</v>
      </c>
      <c r="E34" s="199">
        <f t="shared" si="22"/>
        <v>64.19</v>
      </c>
      <c r="F34" s="201">
        <f t="shared" si="0"/>
        <v>72.746097483274923</v>
      </c>
      <c r="G34" s="199">
        <f t="shared" si="23"/>
        <v>1.1000000000000001</v>
      </c>
      <c r="H34" s="212">
        <f t="shared" ref="H34" si="30">ROUND(H33*(1+$K71),2)</f>
        <v>0</v>
      </c>
      <c r="I34" s="201">
        <f t="shared" si="1"/>
        <v>73.846097483274917</v>
      </c>
      <c r="J34" s="201">
        <f t="shared" si="3"/>
        <v>278.16000000000003</v>
      </c>
      <c r="K34" s="199">
        <f t="shared" si="25"/>
        <v>0.98</v>
      </c>
      <c r="L34" s="190"/>
      <c r="P34" s="240">
        <f t="shared" si="26"/>
        <v>0</v>
      </c>
    </row>
    <row r="35" spans="2:16">
      <c r="B35" s="210">
        <f t="shared" si="2"/>
        <v>2041</v>
      </c>
      <c r="C35" s="211"/>
      <c r="D35" s="199">
        <f t="shared" si="22"/>
        <v>214.45</v>
      </c>
      <c r="E35" s="199">
        <f t="shared" si="22"/>
        <v>65.599999999999994</v>
      </c>
      <c r="F35" s="201">
        <f t="shared" si="0"/>
        <v>74.346925772539009</v>
      </c>
      <c r="G35" s="199">
        <f t="shared" si="23"/>
        <v>1.1200000000000001</v>
      </c>
      <c r="H35" s="212">
        <f t="shared" ref="H35" si="31">ROUND(H34*(1+$K72),2)</f>
        <v>0</v>
      </c>
      <c r="I35" s="201">
        <f t="shared" si="1"/>
        <v>75.466925772539014</v>
      </c>
      <c r="J35" s="201">
        <f t="shared" si="3"/>
        <v>284.27</v>
      </c>
      <c r="K35" s="199">
        <f t="shared" si="25"/>
        <v>1</v>
      </c>
      <c r="L35" s="190"/>
      <c r="P35" s="240">
        <f t="shared" si="26"/>
        <v>0</v>
      </c>
    </row>
    <row r="36" spans="2:16">
      <c r="B36" s="210">
        <f t="shared" si="2"/>
        <v>2042</v>
      </c>
      <c r="C36" s="211"/>
      <c r="D36" s="199">
        <f t="shared" si="22"/>
        <v>219.17</v>
      </c>
      <c r="E36" s="199">
        <f t="shared" si="22"/>
        <v>67.040000000000006</v>
      </c>
      <c r="F36" s="201">
        <f t="shared" si="0"/>
        <v>75.982266114473816</v>
      </c>
      <c r="G36" s="199">
        <f t="shared" si="23"/>
        <v>1.1399999999999999</v>
      </c>
      <c r="H36" s="212">
        <f t="shared" ref="H36" si="32">ROUND(H35*(1+$K73),2)</f>
        <v>0</v>
      </c>
      <c r="I36" s="201">
        <f t="shared" si="1"/>
        <v>77.122266114473817</v>
      </c>
      <c r="J36" s="201">
        <f t="shared" si="3"/>
        <v>290.5</v>
      </c>
      <c r="K36" s="199">
        <f t="shared" si="25"/>
        <v>1.02</v>
      </c>
      <c r="L36" s="190"/>
      <c r="P36" s="240">
        <f t="shared" si="26"/>
        <v>0</v>
      </c>
    </row>
    <row r="37" spans="2:16">
      <c r="B37" s="210"/>
      <c r="C37" s="203"/>
      <c r="D37" s="199"/>
      <c r="E37" s="199"/>
      <c r="F37" s="200"/>
      <c r="G37" s="199"/>
      <c r="H37" s="199"/>
      <c r="I37" s="201"/>
      <c r="J37" s="201"/>
      <c r="K37" s="213"/>
    </row>
    <row r="38" spans="2:16" hidden="1">
      <c r="B38" s="197"/>
      <c r="C38" s="203"/>
      <c r="D38" s="199"/>
      <c r="E38" s="199"/>
      <c r="F38" s="200"/>
      <c r="G38" s="199"/>
      <c r="H38" s="199"/>
      <c r="I38" s="201"/>
      <c r="J38" s="201"/>
      <c r="K38" s="213"/>
    </row>
    <row r="39" spans="2:16" hidden="1">
      <c r="B39" s="197"/>
      <c r="C39" s="203"/>
      <c r="D39" s="199"/>
      <c r="E39" s="199"/>
      <c r="F39" s="200"/>
      <c r="G39" s="199"/>
      <c r="H39" s="199"/>
      <c r="I39" s="201"/>
      <c r="J39" s="201"/>
      <c r="K39" s="213"/>
    </row>
    <row r="40" spans="2:16" hidden="1">
      <c r="B40" s="197"/>
      <c r="C40" s="203"/>
      <c r="D40" s="199"/>
      <c r="E40" s="199"/>
      <c r="F40" s="200"/>
      <c r="G40" s="199"/>
      <c r="H40" s="199"/>
      <c r="I40" s="201"/>
      <c r="J40" s="201"/>
      <c r="K40" s="213"/>
    </row>
    <row r="42" spans="2:16" ht="14.25">
      <c r="B42" s="214" t="s">
        <v>31</v>
      </c>
      <c r="C42" s="215"/>
      <c r="D42" s="215"/>
      <c r="E42" s="215"/>
      <c r="F42" s="215"/>
      <c r="G42" s="215"/>
      <c r="H42" s="215"/>
    </row>
    <row r="44" spans="2:16">
      <c r="B44" s="188" t="s">
        <v>114</v>
      </c>
      <c r="C44" s="216" t="s">
        <v>115</v>
      </c>
      <c r="D44" s="217" t="str">
        <f>'Table 3 200 MW (Wyo) 2033'!E68</f>
        <v xml:space="preserve">Plant Costs  - 2017 IRP - Table 6.1 &amp; 6.2 </v>
      </c>
    </row>
    <row r="45" spans="2:16">
      <c r="C45" s="216" t="str">
        <f>C7</f>
        <v>(a)</v>
      </c>
      <c r="D45" s="188" t="s">
        <v>116</v>
      </c>
    </row>
    <row r="46" spans="2:16">
      <c r="C46" s="216" t="str">
        <f>D7</f>
        <v>(b)</v>
      </c>
      <c r="D46" s="201" t="str">
        <f>"= "&amp;C7&amp;" x "&amp;C62</f>
        <v>= (a) x 0.0706748586244695</v>
      </c>
    </row>
    <row r="47" spans="2:16">
      <c r="C47" s="216" t="str">
        <f>F7</f>
        <v>(d)</v>
      </c>
      <c r="D47" s="201" t="str">
        <f>"= ("&amp;$D$7&amp;" + "&amp;$E$7&amp;") /  (8.76 x "&amp;TEXT(C63,"0.0%")&amp;")"</f>
        <v>= ((b) + (c)) /  (8.76 x 43.0%)</v>
      </c>
    </row>
    <row r="48" spans="2:16">
      <c r="C48" s="216" t="str">
        <f>I7</f>
        <v>(g)</v>
      </c>
      <c r="D48" s="201" t="str">
        <f>"= "&amp;$F$7&amp;" + "&amp;$H$7</f>
        <v>= (d) + (f)</v>
      </c>
    </row>
    <row r="49" spans="2:24">
      <c r="C49" s="216" t="str">
        <f>K7</f>
        <v>(i)</v>
      </c>
      <c r="D49" s="104" t="str">
        <f>D44</f>
        <v xml:space="preserve">Plant Costs  - 2017 IRP - Table 6.1 &amp; 6.2 </v>
      </c>
    </row>
    <row r="50" spans="2:24">
      <c r="C50" s="216"/>
      <c r="D50" s="201"/>
    </row>
    <row r="51" spans="2:24" ht="13.5" thickBot="1"/>
    <row r="52" spans="2:24" ht="13.5" thickBot="1">
      <c r="C52" s="58" t="str">
        <f>B2&amp;" - "&amp;B3</f>
        <v>2017 IRP Wyoming DJ Wind Resource - 43% Capacity Factor</v>
      </c>
      <c r="D52" s="218"/>
      <c r="E52" s="218"/>
      <c r="F52" s="218"/>
      <c r="G52" s="218"/>
      <c r="H52" s="218"/>
      <c r="I52" s="219"/>
      <c r="J52" s="219"/>
      <c r="K52" s="220"/>
    </row>
    <row r="53" spans="2:24" ht="13.5" thickBot="1">
      <c r="C53" s="221" t="s">
        <v>117</v>
      </c>
      <c r="D53" s="222" t="s">
        <v>118</v>
      </c>
      <c r="E53" s="222"/>
      <c r="F53" s="222"/>
      <c r="G53" s="222"/>
      <c r="H53" s="223"/>
      <c r="I53" s="219"/>
      <c r="J53" s="219"/>
      <c r="K53" s="220"/>
    </row>
    <row r="55" spans="2:24">
      <c r="B55" s="104" t="s">
        <v>105</v>
      </c>
      <c r="C55" s="224">
        <v>1737.2476650701883</v>
      </c>
      <c r="D55" s="188" t="s">
        <v>116</v>
      </c>
      <c r="H55" s="188" t="s">
        <v>9</v>
      </c>
    </row>
    <row r="56" spans="2:24">
      <c r="B56" s="104" t="s">
        <v>105</v>
      </c>
      <c r="C56" s="225">
        <v>37.565582271006477</v>
      </c>
      <c r="D56" s="188" t="s">
        <v>119</v>
      </c>
      <c r="H56" s="188" t="s">
        <v>9</v>
      </c>
    </row>
    <row r="57" spans="2:24">
      <c r="B57" s="104" t="s">
        <v>105</v>
      </c>
      <c r="C57" s="230">
        <v>0.57299999999999995</v>
      </c>
      <c r="D57" s="188" t="s">
        <v>124</v>
      </c>
      <c r="H57" s="188" t="s">
        <v>121</v>
      </c>
    </row>
    <row r="58" spans="2:24">
      <c r="B58" s="104" t="s">
        <v>105</v>
      </c>
      <c r="C58" s="225">
        <v>0.65</v>
      </c>
      <c r="D58" s="188" t="s">
        <v>120</v>
      </c>
      <c r="H58" s="188" t="s">
        <v>121</v>
      </c>
      <c r="K58" s="190"/>
      <c r="L58" s="226"/>
      <c r="M58" s="69"/>
      <c r="N58" s="227"/>
      <c r="O58" s="69"/>
      <c r="P58" s="227"/>
      <c r="Q58" s="69"/>
      <c r="R58" s="190"/>
      <c r="S58" s="190"/>
      <c r="T58" s="190"/>
      <c r="U58" s="190"/>
      <c r="V58" s="190"/>
      <c r="W58" s="190"/>
      <c r="X58" s="190"/>
    </row>
    <row r="59" spans="2:24">
      <c r="B59" s="104" t="s">
        <v>105</v>
      </c>
      <c r="C59" s="238"/>
      <c r="D59" s="188" t="s">
        <v>122</v>
      </c>
      <c r="H59" s="188" t="s">
        <v>121</v>
      </c>
      <c r="K59" s="228"/>
      <c r="L59" s="228"/>
      <c r="M59" s="229"/>
      <c r="N59" s="230"/>
      <c r="O59" s="227"/>
      <c r="P59" s="231"/>
      <c r="Q59" s="190"/>
      <c r="R59" s="190"/>
      <c r="S59" s="190"/>
      <c r="T59" s="190"/>
      <c r="U59" s="190"/>
      <c r="V59" s="190"/>
      <c r="W59" s="190"/>
      <c r="X59" s="190"/>
    </row>
    <row r="60" spans="2:24">
      <c r="K60" s="228"/>
      <c r="L60" s="228"/>
      <c r="M60" s="228"/>
      <c r="N60" s="190"/>
      <c r="O60" s="227"/>
      <c r="P60" s="231"/>
      <c r="Q60" s="190"/>
      <c r="R60" s="190"/>
      <c r="S60" s="190"/>
      <c r="T60" s="190"/>
      <c r="U60" s="190"/>
      <c r="V60" s="190"/>
      <c r="W60" s="190"/>
      <c r="X60" s="190"/>
    </row>
    <row r="61" spans="2:24">
      <c r="C61" s="232"/>
      <c r="K61" s="228"/>
      <c r="L61" s="228"/>
      <c r="M61" s="228"/>
      <c r="N61" s="190"/>
      <c r="O61" s="228"/>
      <c r="P61" s="231"/>
      <c r="S61" s="190"/>
      <c r="T61" s="190"/>
      <c r="U61" s="190"/>
      <c r="V61" s="190"/>
      <c r="W61" s="190"/>
      <c r="X61" s="190"/>
    </row>
    <row r="62" spans="2:24">
      <c r="C62" s="233">
        <v>7.0674858624469455E-2</v>
      </c>
      <c r="D62" s="188" t="s">
        <v>54</v>
      </c>
      <c r="K62" s="234"/>
      <c r="L62" s="235"/>
      <c r="M62" s="235"/>
      <c r="O62" s="236"/>
    </row>
    <row r="63" spans="2:24">
      <c r="C63" s="237">
        <v>0.43</v>
      </c>
      <c r="D63" s="188" t="s">
        <v>55</v>
      </c>
    </row>
    <row r="64" spans="2:24" ht="13.5" thickBot="1">
      <c r="D64" s="231"/>
    </row>
    <row r="65" spans="3:11" ht="13.5" thickBot="1">
      <c r="C65" s="54" t="str">
        <f>"Company Official Inflation Forecast Dated "&amp;TEXT('Table 4'!$G$5,"mmmm dd, yyyy")</f>
        <v>Company Official Inflation Forecast Dated December 29, 2017</v>
      </c>
      <c r="D65" s="218"/>
      <c r="E65" s="218"/>
      <c r="F65" s="218"/>
      <c r="G65" s="218"/>
      <c r="H65" s="218"/>
      <c r="I65" s="218"/>
      <c r="J65" s="218"/>
      <c r="K65" s="220"/>
    </row>
    <row r="66" spans="3:11">
      <c r="C66" s="129">
        <v>2017</v>
      </c>
      <c r="D66" s="57">
        <v>0.02</v>
      </c>
      <c r="E66" s="104"/>
      <c r="F66" s="129">
        <f>C74+1</f>
        <v>2026</v>
      </c>
      <c r="G66" s="57">
        <v>2.3E-2</v>
      </c>
      <c r="H66" s="104"/>
      <c r="I66" s="129">
        <f>F74+1</f>
        <v>2035</v>
      </c>
      <c r="J66" s="129"/>
      <c r="K66" s="57">
        <v>2.3E-2</v>
      </c>
    </row>
    <row r="67" spans="3:11">
      <c r="C67" s="129">
        <f t="shared" ref="C67:C74" si="33">C66+1</f>
        <v>2018</v>
      </c>
      <c r="D67" s="57">
        <v>1.9E-2</v>
      </c>
      <c r="E67" s="104"/>
      <c r="F67" s="129">
        <f t="shared" ref="F67:F74" si="34">F66+1</f>
        <v>2027</v>
      </c>
      <c r="G67" s="57">
        <v>2.3E-2</v>
      </c>
      <c r="H67" s="104"/>
      <c r="I67" s="129">
        <f t="shared" ref="I67:I74" si="35">I66+1</f>
        <v>2036</v>
      </c>
      <c r="J67" s="129"/>
      <c r="K67" s="57">
        <v>2.3E-2</v>
      </c>
    </row>
    <row r="68" spans="3:11">
      <c r="C68" s="129">
        <f t="shared" si="33"/>
        <v>2019</v>
      </c>
      <c r="D68" s="57">
        <v>2.1999999999999999E-2</v>
      </c>
      <c r="E68" s="104"/>
      <c r="F68" s="129">
        <f t="shared" si="34"/>
        <v>2028</v>
      </c>
      <c r="G68" s="57">
        <v>2.3E-2</v>
      </c>
      <c r="H68" s="104"/>
      <c r="I68" s="129">
        <f t="shared" si="35"/>
        <v>2037</v>
      </c>
      <c r="J68" s="129"/>
      <c r="K68" s="57">
        <v>2.1999999999999999E-2</v>
      </c>
    </row>
    <row r="69" spans="3:11">
      <c r="C69" s="129">
        <f t="shared" si="33"/>
        <v>2020</v>
      </c>
      <c r="D69" s="57">
        <v>2.5999999999999999E-2</v>
      </c>
      <c r="E69" s="104"/>
      <c r="F69" s="129">
        <f t="shared" si="34"/>
        <v>2029</v>
      </c>
      <c r="G69" s="57">
        <v>2.3E-2</v>
      </c>
      <c r="H69" s="104"/>
      <c r="I69" s="129">
        <f t="shared" si="35"/>
        <v>2038</v>
      </c>
      <c r="J69" s="129"/>
      <c r="K69" s="57">
        <v>2.1999999999999999E-2</v>
      </c>
    </row>
    <row r="70" spans="3:11">
      <c r="C70" s="129">
        <f t="shared" si="33"/>
        <v>2021</v>
      </c>
      <c r="D70" s="57">
        <v>2.4E-2</v>
      </c>
      <c r="E70" s="104"/>
      <c r="F70" s="129">
        <f t="shared" si="34"/>
        <v>2030</v>
      </c>
      <c r="G70" s="57">
        <v>2.3E-2</v>
      </c>
      <c r="H70" s="104"/>
      <c r="I70" s="129">
        <f t="shared" si="35"/>
        <v>2039</v>
      </c>
      <c r="J70" s="129"/>
      <c r="K70" s="57">
        <v>2.1999999999999999E-2</v>
      </c>
    </row>
    <row r="71" spans="3:11">
      <c r="C71" s="129">
        <f t="shared" si="33"/>
        <v>2022</v>
      </c>
      <c r="D71" s="57">
        <v>2.3E-2</v>
      </c>
      <c r="E71" s="104"/>
      <c r="F71" s="129">
        <f t="shared" si="34"/>
        <v>2031</v>
      </c>
      <c r="G71" s="57">
        <v>2.3E-2</v>
      </c>
      <c r="H71" s="104"/>
      <c r="I71" s="129">
        <f t="shared" si="35"/>
        <v>2040</v>
      </c>
      <c r="J71" s="129"/>
      <c r="K71" s="57">
        <v>2.1999999999999999E-2</v>
      </c>
    </row>
    <row r="72" spans="3:11" s="190" customFormat="1">
      <c r="C72" s="129">
        <f t="shared" si="33"/>
        <v>2023</v>
      </c>
      <c r="D72" s="57">
        <v>2.3E-2</v>
      </c>
      <c r="E72" s="106"/>
      <c r="F72" s="129">
        <f t="shared" si="34"/>
        <v>2032</v>
      </c>
      <c r="G72" s="57">
        <v>2.1999999999999999E-2</v>
      </c>
      <c r="H72" s="106"/>
      <c r="I72" s="129">
        <f t="shared" si="35"/>
        <v>2041</v>
      </c>
      <c r="J72" s="129"/>
      <c r="K72" s="57">
        <v>2.1999999999999999E-2</v>
      </c>
    </row>
    <row r="73" spans="3:11" s="190" customFormat="1">
      <c r="C73" s="129">
        <f t="shared" si="33"/>
        <v>2024</v>
      </c>
      <c r="D73" s="57">
        <v>2.3E-2</v>
      </c>
      <c r="E73" s="106"/>
      <c r="F73" s="129">
        <f t="shared" si="34"/>
        <v>2033</v>
      </c>
      <c r="G73" s="57">
        <v>2.1999999999999999E-2</v>
      </c>
      <c r="H73" s="106"/>
      <c r="I73" s="129">
        <f t="shared" si="35"/>
        <v>2042</v>
      </c>
      <c r="J73" s="129"/>
      <c r="K73" s="57">
        <v>2.1999999999999999E-2</v>
      </c>
    </row>
    <row r="74" spans="3:11" s="190" customFormat="1">
      <c r="C74" s="129">
        <f t="shared" si="33"/>
        <v>2025</v>
      </c>
      <c r="D74" s="57">
        <v>2.3E-2</v>
      </c>
      <c r="E74" s="106"/>
      <c r="F74" s="129">
        <f t="shared" si="34"/>
        <v>2034</v>
      </c>
      <c r="G74" s="57">
        <v>2.3E-2</v>
      </c>
      <c r="H74" s="106"/>
      <c r="I74" s="129">
        <f t="shared" si="35"/>
        <v>2043</v>
      </c>
      <c r="J74" s="129"/>
      <c r="K74" s="57">
        <v>2.3E-2</v>
      </c>
    </row>
    <row r="75" spans="3:11" s="190" customFormat="1"/>
    <row r="76" spans="3:11" s="190" customFormat="1"/>
    <row r="93" spans="3:4">
      <c r="C93" s="227"/>
      <c r="D93" s="231"/>
    </row>
    <row r="94" spans="3:4">
      <c r="C94" s="227"/>
      <c r="D94" s="231"/>
    </row>
    <row r="95" spans="3:4">
      <c r="C95" s="227"/>
      <c r="D95" s="231"/>
    </row>
    <row r="96" spans="3:4">
      <c r="C96" s="227"/>
      <c r="D96" s="231"/>
    </row>
    <row r="97" spans="3:4">
      <c r="C97" s="227"/>
      <c r="D97" s="231"/>
    </row>
    <row r="98" spans="3:4">
      <c r="C98" s="227"/>
      <c r="D98" s="231"/>
    </row>
    <row r="99" spans="3:4">
      <c r="C99" s="227"/>
      <c r="D99" s="231"/>
    </row>
    <row r="100" spans="3:4">
      <c r="C100" s="227"/>
      <c r="D100" s="231"/>
    </row>
    <row r="101" spans="3:4">
      <c r="C101" s="227"/>
      <c r="D101" s="231"/>
    </row>
    <row r="102" spans="3:4">
      <c r="C102" s="227"/>
      <c r="D102" s="231"/>
    </row>
  </sheetData>
  <printOptions horizontalCentered="1"/>
  <pageMargins left="0.8" right="0.3" top="0.4" bottom="0.4" header="0.5" footer="0.2"/>
  <pageSetup scale="75" orientation="landscape" r:id="rId1"/>
  <headerFooter alignWithMargins="0"/>
  <rowBreaks count="1" manualBreakCount="1">
    <brk id="5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47</vt:i4>
      </vt:variant>
    </vt:vector>
  </HeadingPairs>
  <TitlesOfParts>
    <vt:vector size="63" baseType="lpstr">
      <vt:lpstr>Appendix B.3</vt:lpstr>
      <vt:lpstr>Table 1</vt:lpstr>
      <vt:lpstr>Table 2</vt:lpstr>
      <vt:lpstr>Table 3 UT Solar 2035</vt:lpstr>
      <vt:lpstr>Table 3 TransCost D2 </vt:lpstr>
      <vt:lpstr>Table 4</vt:lpstr>
      <vt:lpstr>Table 5</vt:lpstr>
      <vt:lpstr>Table 3 WY Wind 2021</vt:lpstr>
      <vt:lpstr>Table 3 DJ Wind 2031</vt:lpstr>
      <vt:lpstr>Table 3 Yakima Solar 2028</vt:lpstr>
      <vt:lpstr>Table 3 30 MW Geoth 2029</vt:lpstr>
      <vt:lpstr>Table 3 200 MW (UT N) 2029)</vt:lpstr>
      <vt:lpstr>Table 3 436MW (West M) 2030</vt:lpstr>
      <vt:lpstr>Table 3 477 MW (Wyo) 2033</vt:lpstr>
      <vt:lpstr>Table 3 200 MW (Wyo) 2033</vt:lpstr>
      <vt:lpstr>Table 3 ID Wind 2036</vt:lpstr>
      <vt:lpstr>_200_SCCT_UtahN</vt:lpstr>
      <vt:lpstr>_200_SCCT_WYNE</vt:lpstr>
      <vt:lpstr>'Table 3 TransCost D2 '!_30_Geo_West</vt:lpstr>
      <vt:lpstr>_30_Geo_West</vt:lpstr>
      <vt:lpstr>'Table 3 TransCost D2 '!_436_CCCT_WestMain</vt:lpstr>
      <vt:lpstr>_436_CCCT_WestMain</vt:lpstr>
      <vt:lpstr>_477_CCCT_WYNE</vt:lpstr>
      <vt:lpstr>_774_Wind_IDGoshen</vt:lpstr>
      <vt:lpstr>_85_Wind_DJ_2031</vt:lpstr>
      <vt:lpstr>_UtahS_Solar_2031</vt:lpstr>
      <vt:lpstr>_UtahS_Solar_2032</vt:lpstr>
      <vt:lpstr>_UtahS_Solar_2033</vt:lpstr>
      <vt:lpstr>_UtahS_Solar_2034</vt:lpstr>
      <vt:lpstr>_UtahS_Solar_2035</vt:lpstr>
      <vt:lpstr>_UtahS_Solar_2036</vt:lpstr>
      <vt:lpstr>_Yakima_Solar_2028</vt:lpstr>
      <vt:lpstr>_Yakima_Solar_2029</vt:lpstr>
      <vt:lpstr>_Yakima_Solar_2031</vt:lpstr>
      <vt:lpstr>_Yakima_Solar_2032</vt:lpstr>
      <vt:lpstr>_Yakima_Solar_2033</vt:lpstr>
      <vt:lpstr>_Yakima_Solar_2034</vt:lpstr>
      <vt:lpstr>Discount_Rate</vt:lpstr>
      <vt:lpstr>'Appendix B.3'!Print_Area</vt:lpstr>
      <vt:lpstr>'Table 1'!Print_Area</vt:lpstr>
      <vt:lpstr>'Table 2'!Print_Area</vt:lpstr>
      <vt:lpstr>'Table 3 200 MW (UT N) 2029)'!Print_Area</vt:lpstr>
      <vt:lpstr>'Table 3 200 MW (Wyo) 2033'!Print_Area</vt:lpstr>
      <vt:lpstr>'Table 3 30 MW Geoth 2029'!Print_Area</vt:lpstr>
      <vt:lpstr>'Table 3 436MW (West M) 2030'!Print_Area</vt:lpstr>
      <vt:lpstr>'Table 3 477 MW (Wyo) 2033'!Print_Area</vt:lpstr>
      <vt:lpstr>'Table 3 DJ Wind 2031'!Print_Area</vt:lpstr>
      <vt:lpstr>'Table 3 ID Wind 2036'!Print_Area</vt:lpstr>
      <vt:lpstr>'Table 3 TransCost D2 '!Print_Area</vt:lpstr>
      <vt:lpstr>'Table 3 UT Solar 2035'!Print_Area</vt:lpstr>
      <vt:lpstr>'Table 3 WY Wind 2021'!Print_Area</vt:lpstr>
      <vt:lpstr>'Table 3 Yakima Solar 2028'!Print_Area</vt:lpstr>
      <vt:lpstr>'Table 4'!Print_Area</vt:lpstr>
      <vt:lpstr>'Table 5'!Print_Area</vt:lpstr>
      <vt:lpstr>'Table 2'!Print_Titles</vt:lpstr>
      <vt:lpstr>'Table 3 200 MW (UT N) 2029)'!Print_Titles</vt:lpstr>
      <vt:lpstr>'Table 3 200 MW (Wyo) 2033'!Print_Titles</vt:lpstr>
      <vt:lpstr>'Table 3 436MW (West M) 2030'!Print_Titles</vt:lpstr>
      <vt:lpstr>'Table 3 477 MW (Wyo) 2033'!Print_Titles</vt:lpstr>
      <vt:lpstr>'Table 3 TransCost D2 '!Study_Cap_Adj</vt:lpstr>
      <vt:lpstr>Study_Cap_Adj</vt:lpstr>
      <vt:lpstr>Study_CF</vt:lpstr>
      <vt:lpstr>Study_MW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2018-02-22T23:00:46Z</dcterms:created>
  <dcterms:modified xsi:type="dcterms:W3CDTF">2018-02-22T23:00:50Z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