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defaultThemeVersion="124226"/>
  <bookViews>
    <workbookView xWindow="0" yWindow="0" windowWidth="19200" windowHeight="11595"/>
  </bookViews>
  <sheets>
    <sheet name="Summary" sheetId="13" r:id="rId1"/>
    <sheet name="Incremental" sheetId="6" r:id="rId2"/>
    <sheet name="Total" sheetId="5" r:id="rId3"/>
    <sheet name="Energy" sheetId="12" r:id="rId4"/>
    <sheet name="Capacity" sheetId="10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Order1" hidden="1">255</definedName>
    <definedName name="_Order2" hidden="1">0</definedName>
    <definedName name="Discount_Rate">Total!$B$41</definedName>
    <definedName name="_xlnm.Print_Area" localSheetId="4">Capacity!$A$1:$H$38</definedName>
    <definedName name="_xlnm.Print_Area" localSheetId="3">Energy!$A$1:$I$37</definedName>
    <definedName name="_xlnm.Print_Area" localSheetId="1">Incremental!$A$1:$I$37</definedName>
    <definedName name="_xlnm.Print_Area" localSheetId="2">Total!$A$1:$I$37</definedName>
    <definedName name="Study_CF">#REF!</definedName>
    <definedName name="Study_MW">#REF!</definedName>
    <definedName name="Study_Name">#REF!</definedName>
  </definedNames>
  <calcPr calcId="152511"/>
</workbook>
</file>

<file path=xl/calcChain.xml><?xml version="1.0" encoding="utf-8"?>
<calcChain xmlns="http://schemas.openxmlformats.org/spreadsheetml/2006/main">
  <c r="G2" i="13" l="1"/>
  <c r="C2" i="13"/>
  <c r="I9" i="13" l="1"/>
  <c r="J9" i="13" l="1"/>
  <c r="J4" i="13" l="1"/>
  <c r="I4" i="13"/>
  <c r="J8" i="13" l="1"/>
  <c r="I8" i="13" l="1"/>
  <c r="G8" i="6" l="1"/>
  <c r="F8" i="6"/>
  <c r="E8" i="6"/>
  <c r="D8" i="6"/>
  <c r="C8" i="6"/>
  <c r="D8" i="5"/>
  <c r="E8" i="5"/>
  <c r="F8" i="5"/>
  <c r="G8" i="5"/>
  <c r="H8" i="5"/>
  <c r="B29" i="5"/>
  <c r="H13" i="12" l="1"/>
  <c r="H14" i="12"/>
  <c r="H15" i="12"/>
  <c r="H17" i="12"/>
  <c r="H16" i="12"/>
  <c r="H18" i="12"/>
  <c r="H12" i="12"/>
  <c r="H11" i="12"/>
  <c r="H19" i="12"/>
  <c r="H10" i="12"/>
  <c r="H25" i="12" l="1"/>
  <c r="H21" i="12"/>
  <c r="H22" i="12"/>
  <c r="H24" i="12"/>
  <c r="H26" i="12"/>
  <c r="H20" i="12" l="1"/>
  <c r="H27" i="12"/>
  <c r="H23" i="12"/>
  <c r="H31" i="12" l="1"/>
  <c r="H30" i="12"/>
  <c r="H32" i="12"/>
  <c r="G7" i="6" l="1"/>
  <c r="H7" i="5"/>
  <c r="B32" i="5" l="1"/>
  <c r="B31" i="5"/>
  <c r="B25" i="5"/>
  <c r="B26" i="5" s="1"/>
  <c r="B27" i="5" s="1"/>
  <c r="E7" i="6" l="1"/>
  <c r="F7" i="5"/>
  <c r="B39" i="12" l="1"/>
  <c r="G7" i="5" l="1"/>
  <c r="D8" i="10" l="1"/>
  <c r="F7" i="6" l="1"/>
  <c r="C8" i="13" s="1"/>
  <c r="G43" i="12" l="1"/>
  <c r="D7" i="6" l="1"/>
  <c r="C6" i="13" s="1"/>
  <c r="C7" i="6"/>
  <c r="C5" i="13" s="1"/>
  <c r="B44" i="10" l="1"/>
  <c r="G8" i="10"/>
  <c r="B4" i="10"/>
  <c r="B29" i="10" l="1"/>
  <c r="B11" i="10"/>
  <c r="F11" i="10" l="1"/>
  <c r="B12" i="10"/>
  <c r="F10" i="10"/>
  <c r="B13" i="10" l="1"/>
  <c r="F13" i="10" l="1"/>
  <c r="F12" i="10"/>
  <c r="B14" i="10"/>
  <c r="F14" i="10" l="1"/>
  <c r="B15" i="10"/>
  <c r="B16" i="10" l="1"/>
  <c r="F16" i="10" l="1"/>
  <c r="B17" i="10"/>
  <c r="F15" i="10"/>
  <c r="B18" i="10" l="1"/>
  <c r="F18" i="10" l="1"/>
  <c r="B19" i="10"/>
  <c r="F17" i="10"/>
  <c r="F19" i="10" l="1"/>
  <c r="B20" i="10"/>
  <c r="F20" i="10" l="1"/>
  <c r="B21" i="10"/>
  <c r="F21" i="10" l="1"/>
  <c r="B22" i="10"/>
  <c r="F22" i="10" l="1"/>
  <c r="B23" i="10"/>
  <c r="F23" i="10" l="1"/>
  <c r="B24" i="10"/>
  <c r="B25" i="10" s="1"/>
  <c r="B26" i="10" l="1"/>
  <c r="B31" i="10"/>
  <c r="B30" i="10"/>
  <c r="B27" i="10" l="1"/>
  <c r="F27" i="10" s="1"/>
  <c r="B32" i="10"/>
  <c r="F25" i="10"/>
  <c r="C31" i="10"/>
  <c r="F24" i="10"/>
  <c r="C30" i="10"/>
  <c r="F31" i="10" l="1"/>
  <c r="F26" i="10"/>
  <c r="C32" i="10"/>
  <c r="F30" i="10"/>
  <c r="F32" i="10" l="1"/>
  <c r="D43" i="12"/>
  <c r="E43" i="12"/>
  <c r="B43" i="12"/>
  <c r="C7" i="12" l="1"/>
  <c r="C43" i="12" s="1"/>
  <c r="C8" i="5" l="1"/>
  <c r="E7" i="5"/>
  <c r="C7" i="5"/>
  <c r="B1" i="12" l="1"/>
  <c r="B3" i="12"/>
  <c r="B10" i="12"/>
  <c r="B34" i="12"/>
  <c r="B40" i="12"/>
  <c r="C10" i="5" l="1"/>
  <c r="B29" i="12"/>
  <c r="B11" i="12"/>
  <c r="C11" i="5" l="1"/>
  <c r="B12" i="12"/>
  <c r="C12" i="5" l="1"/>
  <c r="B13" i="12"/>
  <c r="C13" i="5" l="1"/>
  <c r="B14" i="12"/>
  <c r="B15" i="12" l="1"/>
  <c r="C14" i="5" l="1"/>
  <c r="B16" i="12"/>
  <c r="C15" i="5" l="1"/>
  <c r="B17" i="12"/>
  <c r="C17" i="5" l="1"/>
  <c r="C16" i="5"/>
  <c r="B18" i="12"/>
  <c r="B19" i="12" l="1"/>
  <c r="C18" i="5" l="1"/>
  <c r="B20" i="12"/>
  <c r="B36" i="5"/>
  <c r="C20" i="5" l="1"/>
  <c r="C19" i="5"/>
  <c r="B36" i="12"/>
  <c r="B21" i="12"/>
  <c r="C21" i="5" l="1"/>
  <c r="B22" i="12"/>
  <c r="B23" i="12" l="1"/>
  <c r="C22" i="5" l="1"/>
  <c r="B24" i="12"/>
  <c r="C30" i="12" l="1"/>
  <c r="B25" i="12"/>
  <c r="C23" i="5"/>
  <c r="B30" i="12"/>
  <c r="B26" i="12" l="1"/>
  <c r="B31" i="12"/>
  <c r="C24" i="5"/>
  <c r="B27" i="12" l="1"/>
  <c r="C26" i="5"/>
  <c r="B32" i="12"/>
  <c r="C25" i="5"/>
  <c r="C31" i="5" s="1"/>
  <c r="C31" i="12"/>
  <c r="C30" i="5"/>
  <c r="D4" i="13" s="1"/>
  <c r="H4" i="13" s="1"/>
  <c r="B36" i="6"/>
  <c r="B34" i="6"/>
  <c r="C32" i="5" l="1"/>
  <c r="C32" i="12"/>
  <c r="C27" i="5"/>
  <c r="D7" i="5"/>
  <c r="B41" i="6" l="1"/>
  <c r="B29" i="6" l="1"/>
  <c r="B10" i="6" l="1"/>
  <c r="B11" i="5"/>
  <c r="B3" i="6"/>
  <c r="B1" i="6"/>
  <c r="B11" i="6" l="1"/>
  <c r="B12" i="5"/>
  <c r="B13" i="5" l="1"/>
  <c r="B12" i="6"/>
  <c r="B13" i="6" l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30" i="6"/>
  <c r="B14" i="5"/>
  <c r="B4" i="12"/>
  <c r="B4" i="6"/>
  <c r="B4" i="5"/>
  <c r="B26" i="6" l="1"/>
  <c r="B31" i="6"/>
  <c r="B15" i="5"/>
  <c r="B27" i="6" l="1"/>
  <c r="B32" i="6"/>
  <c r="B16" i="5"/>
  <c r="B17" i="5" l="1"/>
  <c r="B18" i="5" l="1"/>
  <c r="B19" i="5" l="1"/>
  <c r="B20" i="5" l="1"/>
  <c r="B21" i="5" l="1"/>
  <c r="B22" i="5" l="1"/>
  <c r="B23" i="5" l="1"/>
  <c r="B24" i="5" l="1"/>
  <c r="B30" i="5" s="1"/>
  <c r="B35" i="5" l="1"/>
  <c r="B35" i="6" l="1"/>
  <c r="B35" i="12"/>
  <c r="F8" i="10" l="1"/>
  <c r="G11" i="10" l="1"/>
  <c r="H11" i="5" s="1"/>
  <c r="G10" i="10"/>
  <c r="H10" i="5" s="1"/>
  <c r="G13" i="10" l="1"/>
  <c r="H13" i="5" s="1"/>
  <c r="G12" i="10" l="1"/>
  <c r="H12" i="5" s="1"/>
  <c r="G14" i="10"/>
  <c r="H14" i="5" s="1"/>
  <c r="G25" i="10" l="1"/>
  <c r="H25" i="5" s="1"/>
  <c r="G26" i="10"/>
  <c r="H26" i="5" s="1"/>
  <c r="G27" i="10"/>
  <c r="H27" i="5" s="1"/>
  <c r="G24" i="10"/>
  <c r="H24" i="5" s="1"/>
  <c r="G16" i="10"/>
  <c r="H16" i="5" s="1"/>
  <c r="G22" i="10"/>
  <c r="H22" i="5" s="1"/>
  <c r="G19" i="10"/>
  <c r="H19" i="5" s="1"/>
  <c r="G21" i="10"/>
  <c r="H21" i="5" s="1"/>
  <c r="G23" i="10"/>
  <c r="H23" i="5" s="1"/>
  <c r="G18" i="10"/>
  <c r="H18" i="5" s="1"/>
  <c r="G20" i="10"/>
  <c r="H20" i="5" s="1"/>
  <c r="G17" i="10"/>
  <c r="H17" i="5" s="1"/>
  <c r="G15" i="10" l="1"/>
  <c r="H15" i="5" s="1"/>
  <c r="D31" i="10"/>
  <c r="D32" i="10"/>
  <c r="D30" i="10"/>
  <c r="H31" i="5" l="1"/>
  <c r="H32" i="5"/>
  <c r="H30" i="5"/>
  <c r="D10" i="13" s="1"/>
  <c r="G30" i="10"/>
  <c r="G32" i="10"/>
  <c r="G31" i="10"/>
  <c r="D27" i="5" l="1"/>
  <c r="C27" i="6" s="1"/>
  <c r="D26" i="5"/>
  <c r="C26" i="6" s="1"/>
  <c r="D22" i="5"/>
  <c r="C22" i="6" s="1"/>
  <c r="D23" i="5"/>
  <c r="C23" i="6" s="1"/>
  <c r="D25" i="5"/>
  <c r="C25" i="6" s="1"/>
  <c r="D24" i="5" l="1"/>
  <c r="C24" i="6" s="1"/>
  <c r="D21" i="5"/>
  <c r="C21" i="6" s="1"/>
  <c r="D20" i="5" l="1"/>
  <c r="C20" i="6" s="1"/>
  <c r="D13" i="5" l="1"/>
  <c r="C13" i="6" s="1"/>
  <c r="D14" i="5" l="1"/>
  <c r="C14" i="6" s="1"/>
  <c r="D19" i="5"/>
  <c r="C19" i="6" s="1"/>
  <c r="D17" i="5"/>
  <c r="C17" i="6" s="1"/>
  <c r="D15" i="5"/>
  <c r="C15" i="6" s="1"/>
  <c r="D16" i="5"/>
  <c r="C16" i="6" s="1"/>
  <c r="D18" i="5"/>
  <c r="C18" i="6" s="1"/>
  <c r="D11" i="5" l="1"/>
  <c r="D31" i="12"/>
  <c r="D10" i="5"/>
  <c r="D30" i="12"/>
  <c r="D12" i="5"/>
  <c r="D32" i="12"/>
  <c r="C12" i="6" l="1"/>
  <c r="D32" i="5"/>
  <c r="C32" i="6" s="1"/>
  <c r="C10" i="6"/>
  <c r="D30" i="5"/>
  <c r="C30" i="6" s="1"/>
  <c r="C11" i="6"/>
  <c r="D31" i="5"/>
  <c r="C31" i="6" s="1"/>
  <c r="E5" i="13" l="1"/>
  <c r="H5" i="13" s="1"/>
  <c r="J5" i="13"/>
  <c r="I5" i="13"/>
  <c r="E10" i="5"/>
  <c r="F10" i="5" l="1"/>
  <c r="E13" i="5"/>
  <c r="D13" i="6" s="1"/>
  <c r="F13" i="5"/>
  <c r="E11" i="5"/>
  <c r="D10" i="6"/>
  <c r="D11" i="6" l="1"/>
  <c r="E10" i="6"/>
  <c r="E14" i="5"/>
  <c r="D14" i="6" s="1"/>
  <c r="F14" i="5"/>
  <c r="F11" i="5"/>
  <c r="E13" i="6"/>
  <c r="E12" i="5"/>
  <c r="D12" i="6" l="1"/>
  <c r="F15" i="5"/>
  <c r="E15" i="5"/>
  <c r="D15" i="6" s="1"/>
  <c r="E14" i="6"/>
  <c r="E11" i="6"/>
  <c r="F12" i="5"/>
  <c r="E12" i="6" l="1"/>
  <c r="E15" i="6"/>
  <c r="E16" i="5"/>
  <c r="E17" i="5" l="1"/>
  <c r="D17" i="6" s="1"/>
  <c r="F16" i="5"/>
  <c r="D16" i="6"/>
  <c r="E16" i="6" l="1"/>
  <c r="F17" i="5"/>
  <c r="E18" i="5"/>
  <c r="E17" i="6" l="1"/>
  <c r="F18" i="5"/>
  <c r="E19" i="5"/>
  <c r="D19" i="6" s="1"/>
  <c r="F19" i="5"/>
  <c r="D18" i="6"/>
  <c r="E18" i="6" l="1"/>
  <c r="F20" i="5"/>
  <c r="E20" i="5"/>
  <c r="E19" i="6"/>
  <c r="F21" i="5" l="1"/>
  <c r="E21" i="5"/>
  <c r="D21" i="6" s="1"/>
  <c r="D20" i="6"/>
  <c r="E20" i="6"/>
  <c r="E21" i="6" l="1"/>
  <c r="E22" i="5"/>
  <c r="D22" i="6" s="1"/>
  <c r="F22" i="5"/>
  <c r="E23" i="5" l="1"/>
  <c r="D23" i="6" s="1"/>
  <c r="F23" i="5"/>
  <c r="E22" i="6"/>
  <c r="E23" i="6" l="1"/>
  <c r="E24" i="5" l="1"/>
  <c r="E30" i="12"/>
  <c r="E25" i="5"/>
  <c r="E31" i="12"/>
  <c r="F27" i="5"/>
  <c r="E27" i="5"/>
  <c r="D27" i="6" s="1"/>
  <c r="D24" i="6" l="1"/>
  <c r="E30" i="5"/>
  <c r="D30" i="6" s="1"/>
  <c r="D25" i="6"/>
  <c r="E31" i="5"/>
  <c r="D31" i="6" s="1"/>
  <c r="F24" i="5"/>
  <c r="F30" i="12"/>
  <c r="E27" i="6"/>
  <c r="F25" i="5"/>
  <c r="F31" i="12"/>
  <c r="E25" i="6" l="1"/>
  <c r="F31" i="5"/>
  <c r="E6" i="13"/>
  <c r="H6" i="13" s="1"/>
  <c r="E26" i="5"/>
  <c r="E32" i="12"/>
  <c r="E24" i="6"/>
  <c r="F30" i="5"/>
  <c r="I6" i="13" l="1"/>
  <c r="J6" i="13"/>
  <c r="E30" i="6"/>
  <c r="D26" i="6"/>
  <c r="E32" i="5"/>
  <c r="D32" i="6" s="1"/>
  <c r="E31" i="6"/>
  <c r="F26" i="5"/>
  <c r="F32" i="12"/>
  <c r="E26" i="6" l="1"/>
  <c r="F32" i="5"/>
  <c r="E7" i="13"/>
  <c r="H7" i="13" s="1"/>
  <c r="I7" i="13" l="1"/>
  <c r="J7" i="13"/>
  <c r="E32" i="6"/>
  <c r="G24" i="12" l="1"/>
  <c r="G24" i="5" s="1"/>
  <c r="G23" i="12"/>
  <c r="G23" i="5" s="1"/>
  <c r="G20" i="12"/>
  <c r="G20" i="5" s="1"/>
  <c r="G22" i="12"/>
  <c r="G22" i="5" s="1"/>
  <c r="G25" i="12"/>
  <c r="G25" i="5" s="1"/>
  <c r="G21" i="12"/>
  <c r="G21" i="5" s="1"/>
  <c r="G27" i="12"/>
  <c r="G27" i="5" s="1"/>
  <c r="G26" i="12"/>
  <c r="G26" i="5" s="1"/>
  <c r="G26" i="6" l="1"/>
  <c r="F26" i="6"/>
  <c r="H26" i="6" s="1"/>
  <c r="G22" i="6"/>
  <c r="F22" i="6"/>
  <c r="H22" i="6" s="1"/>
  <c r="G27" i="6"/>
  <c r="F27" i="6"/>
  <c r="H27" i="6" s="1"/>
  <c r="G20" i="6"/>
  <c r="F20" i="6"/>
  <c r="H20" i="6" s="1"/>
  <c r="G21" i="6"/>
  <c r="F21" i="6"/>
  <c r="H21" i="6" s="1"/>
  <c r="G23" i="6"/>
  <c r="F23" i="6"/>
  <c r="H23" i="6" s="1"/>
  <c r="G25" i="6"/>
  <c r="F25" i="6"/>
  <c r="H25" i="6" s="1"/>
  <c r="G24" i="6"/>
  <c r="F24" i="6"/>
  <c r="H24" i="6" s="1"/>
  <c r="G12" i="12" l="1"/>
  <c r="G17" i="12"/>
  <c r="G17" i="5" s="1"/>
  <c r="G14" i="12"/>
  <c r="G14" i="5" s="1"/>
  <c r="G11" i="12"/>
  <c r="G18" i="12"/>
  <c r="G18" i="5" s="1"/>
  <c r="G16" i="12"/>
  <c r="G16" i="5" s="1"/>
  <c r="G10" i="12"/>
  <c r="G13" i="12"/>
  <c r="G13" i="5" s="1"/>
  <c r="G19" i="12"/>
  <c r="G19" i="5" s="1"/>
  <c r="G15" i="12"/>
  <c r="G15" i="5" s="1"/>
  <c r="G13" i="6" l="1"/>
  <c r="F13" i="6"/>
  <c r="H13" i="6" s="1"/>
  <c r="G31" i="12"/>
  <c r="G11" i="5"/>
  <c r="G30" i="12"/>
  <c r="G10" i="5"/>
  <c r="G14" i="6"/>
  <c r="F14" i="6"/>
  <c r="G15" i="6"/>
  <c r="F15" i="6"/>
  <c r="G16" i="6"/>
  <c r="F16" i="6"/>
  <c r="G17" i="6"/>
  <c r="F17" i="6"/>
  <c r="G19" i="6"/>
  <c r="F19" i="6"/>
  <c r="G18" i="6"/>
  <c r="F18" i="6"/>
  <c r="G32" i="12"/>
  <c r="G12" i="5"/>
  <c r="G12" i="6" l="1"/>
  <c r="G32" i="5"/>
  <c r="F12" i="6"/>
  <c r="H12" i="6" s="1"/>
  <c r="H19" i="6"/>
  <c r="H16" i="6"/>
  <c r="H14" i="6"/>
  <c r="G11" i="6"/>
  <c r="G31" i="5"/>
  <c r="F11" i="6"/>
  <c r="H18" i="6"/>
  <c r="H17" i="6"/>
  <c r="H15" i="6"/>
  <c r="G10" i="6"/>
  <c r="G30" i="5"/>
  <c r="F10" i="6"/>
  <c r="H10" i="6" s="1"/>
  <c r="G31" i="6" l="1"/>
  <c r="F31" i="6"/>
  <c r="H31" i="6" s="1"/>
  <c r="J31" i="6" s="1"/>
  <c r="G30" i="6"/>
  <c r="E10" i="13" s="1"/>
  <c r="D9" i="13"/>
  <c r="F30" i="6"/>
  <c r="G32" i="6"/>
  <c r="F32" i="6"/>
  <c r="H11" i="6"/>
  <c r="H32" i="6" l="1"/>
  <c r="J32" i="6" s="1"/>
  <c r="E8" i="13"/>
  <c r="H8" i="13" s="1"/>
  <c r="H9" i="13" s="1"/>
  <c r="H30" i="6"/>
  <c r="J30" i="6" l="1"/>
  <c r="E9" i="13"/>
</calcChain>
</file>

<file path=xl/sharedStrings.xml><?xml version="1.0" encoding="utf-8"?>
<sst xmlns="http://schemas.openxmlformats.org/spreadsheetml/2006/main" count="55" uniqueCount="45">
  <si>
    <t>Year</t>
  </si>
  <si>
    <t>Utah Quarterly Compliance Filing</t>
  </si>
  <si>
    <t>$/kW-Year</t>
  </si>
  <si>
    <t xml:space="preserve">(1)   Capacity costs are allocated assuming an 85% capacity factor. </t>
  </si>
  <si>
    <t>Appendix C</t>
  </si>
  <si>
    <t>Total</t>
  </si>
  <si>
    <t>GRID Calculated Energy Avoided Cost Prices $/MWH (1)</t>
  </si>
  <si>
    <t>As Filed</t>
  </si>
  <si>
    <t>$/MWH  (1)</t>
  </si>
  <si>
    <t>Capacity Avoided Cost Prices</t>
  </si>
  <si>
    <t xml:space="preserve">(4)   Capacity costs are allocated assuming an 85% capacity factor. </t>
  </si>
  <si>
    <t>Total Avoided Cost Prices $/MWH (1) (4)</t>
  </si>
  <si>
    <t>OFPC Date</t>
  </si>
  <si>
    <t>Discount Rate - 2015 IRP Page 141</t>
  </si>
  <si>
    <t>Impact</t>
  </si>
  <si>
    <t>(1)   Studies are sequential.  The order of the studies would affect the price impact.</t>
  </si>
  <si>
    <t>(4)  15-Year Nominal Levelized Payment (2018-2032)</t>
  </si>
  <si>
    <t>Discount Rate - 2017 IRP</t>
  </si>
  <si>
    <t xml:space="preserve">(3)  No Capacity costs-All of the 2017 IRP Thermal resources are deferred due to the size of the Queue  </t>
  </si>
  <si>
    <t>Queue</t>
  </si>
  <si>
    <t>2017.Q3</t>
  </si>
  <si>
    <t>2017.Q3 As Filed</t>
  </si>
  <si>
    <t>2017.Q4</t>
  </si>
  <si>
    <t>Chck</t>
  </si>
  <si>
    <t>2017.Q4 Routine</t>
  </si>
  <si>
    <t>2017.Q4 Non-Routine</t>
  </si>
  <si>
    <t>Trapped Energy</t>
  </si>
  <si>
    <t>Routine</t>
  </si>
  <si>
    <t>Non-Routine</t>
  </si>
  <si>
    <t>Baseload</t>
  </si>
  <si>
    <t>Wind</t>
  </si>
  <si>
    <t>Tracking Solar</t>
  </si>
  <si>
    <t>Routine GRID Update</t>
  </si>
  <si>
    <t>Official Forward Price Curve</t>
  </si>
  <si>
    <t>Qualifying Facility Queue</t>
  </si>
  <si>
    <t>Commission Ordered Adjustments</t>
  </si>
  <si>
    <t>Trapped Energy Value</t>
  </si>
  <si>
    <t xml:space="preserve">     estimated values</t>
  </si>
  <si>
    <t>Baseload Avoided Cost Impact of Changing Assumptions $/MWH (1)</t>
  </si>
  <si>
    <t>OFPC</t>
  </si>
  <si>
    <t>Generic</t>
  </si>
  <si>
    <t>Commission Ordered</t>
  </si>
  <si>
    <t>(2)   (3)   Discount Rate - 2017 IRP</t>
  </si>
  <si>
    <t>(3)   Discount Rate - 2017 IRP</t>
  </si>
  <si>
    <t>2017.Q3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</si>
</sst>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_(* #,##0_);[Red]_(* \(#,##0\);_(* &quot;-&quot;_);_(@_)"/>
    <numFmt numFmtId="166" formatCode="_(&quot;$&quot;\ #,##0.00_);[Red]_(&quot;$&quot;\ \(#,##0.00\);_(\ &quot;-&quot;?_);_(@_)"/>
    <numFmt numFmtId="167" formatCode="0.000%"/>
    <numFmt numFmtId="168" formatCode="_(* #,##0.000_);[Red]_(* \(#,##0.000\);_(* &quot;-&quot;_);_(@_)"/>
    <numFmt numFmtId="169" formatCode="&quot;$&quot;###0;[Red]\(&quot;$&quot;###0\)"/>
    <numFmt numFmtId="170" formatCode="0.0"/>
    <numFmt numFmtId="171" formatCode="0.0%"/>
    <numFmt numFmtId="172" formatCode="\'\ \(\2\)\'"/>
    <numFmt numFmtId="173" formatCode="_(&quot;$&quot;\ #,##0.000_);[Red]_(&quot;$&quot;\ \(#,##0.000\);_(\ &quot;-&quot;?_);_(@_)"/>
    <numFmt numFmtId="174" formatCode="&quot;$&quot;#,##0.000_);\(&quot;$&quot;#,##0.000\)"/>
    <numFmt numFmtId="175" formatCode="#,##0.0000_);[Red]\(#,##0.0000\)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color indexed="18"/>
      <name val="Helv"/>
    </font>
    <font>
      <sz val="10"/>
      <color indexed="12"/>
      <name val="Arial"/>
      <family val="2"/>
    </font>
    <font>
      <sz val="10"/>
      <name val="Times New Roman"/>
      <family val="1"/>
    </font>
    <font>
      <sz val="8"/>
      <name val="Helv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165" fontId="0" fillId="0" borderId="0"/>
    <xf numFmtId="0" fontId="5" fillId="0" borderId="0" applyNumberFormat="0" applyFill="0" applyBorder="0" applyAlignment="0">
      <protection locked="0"/>
    </xf>
    <xf numFmtId="0" fontId="1" fillId="0" borderId="0"/>
    <xf numFmtId="9" fontId="1" fillId="0" borderId="0" applyFont="0" applyFill="0" applyBorder="0" applyAlignment="0" applyProtection="0"/>
    <xf numFmtId="165" fontId="1" fillId="0" borderId="0"/>
    <xf numFmtId="165" fontId="7" fillId="0" borderId="0"/>
    <xf numFmtId="165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8" fillId="0" borderId="0" applyFont="0" applyFill="0" applyBorder="0" applyProtection="0">
      <alignment horizontal="right"/>
    </xf>
    <xf numFmtId="170" fontId="9" fillId="0" borderId="0" applyNumberFormat="0" applyFill="0" applyBorder="0" applyAlignment="0" applyProtection="0"/>
    <xf numFmtId="0" fontId="2" fillId="0" borderId="6" applyNumberFormat="0" applyBorder="0" applyAlignment="0"/>
    <xf numFmtId="171" fontId="1" fillId="0" borderId="0"/>
    <xf numFmtId="12" fontId="3" fillId="3" borderId="7">
      <alignment horizontal="left"/>
    </xf>
    <xf numFmtId="37" fontId="2" fillId="4" borderId="0" applyNumberFormat="0" applyBorder="0" applyAlignment="0" applyProtection="0"/>
    <xf numFmtId="37" fontId="2" fillId="0" borderId="0"/>
    <xf numFmtId="3" fontId="10" fillId="5" borderId="8" applyProtection="0"/>
    <xf numFmtId="43" fontId="11" fillId="0" borderId="0" applyFont="0" applyFill="0" applyBorder="0" applyAlignment="0" applyProtection="0"/>
  </cellStyleXfs>
  <cellXfs count="100">
    <xf numFmtId="165" fontId="0" fillId="0" borderId="0" xfId="0"/>
    <xf numFmtId="165" fontId="4" fillId="0" borderId="0" xfId="0" applyFont="1"/>
    <xf numFmtId="165" fontId="3" fillId="0" borderId="1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165" fontId="4" fillId="0" borderId="0" xfId="0" applyFont="1" applyFill="1"/>
    <xf numFmtId="1" fontId="1" fillId="0" borderId="0" xfId="2" applyNumberFormat="1" applyFill="1" applyAlignment="1" applyProtection="1">
      <alignment horizontal="center"/>
      <protection locked="0"/>
    </xf>
    <xf numFmtId="165" fontId="3" fillId="0" borderId="0" xfId="0" applyFont="1" applyAlignment="1">
      <alignment horizontal="centerContinuous"/>
    </xf>
    <xf numFmtId="165" fontId="3" fillId="0" borderId="4" xfId="0" applyFont="1" applyBorder="1" applyAlignment="1">
      <alignment horizontal="center"/>
    </xf>
    <xf numFmtId="165" fontId="4" fillId="0" borderId="0" xfId="0" quotePrefix="1" applyFont="1"/>
    <xf numFmtId="165" fontId="4" fillId="0" borderId="0" xfId="0" applyFont="1" applyAlignment="1">
      <alignment horizontal="center"/>
    </xf>
    <xf numFmtId="164" fontId="4" fillId="0" borderId="0" xfId="0" applyNumberFormat="1" applyFont="1"/>
    <xf numFmtId="165" fontId="3" fillId="0" borderId="5" xfId="0" applyFont="1" applyFill="1" applyBorder="1" applyAlignment="1">
      <alignment horizontal="center"/>
    </xf>
    <xf numFmtId="165" fontId="3" fillId="0" borderId="1" xfId="0" applyFont="1" applyFill="1" applyBorder="1" applyAlignment="1">
      <alignment horizontal="center"/>
    </xf>
    <xf numFmtId="165" fontId="4" fillId="0" borderId="0" xfId="0" applyFont="1" applyFill="1" applyAlignment="1"/>
    <xf numFmtId="165" fontId="3" fillId="0" borderId="3" xfId="0" applyFont="1" applyFill="1" applyBorder="1"/>
    <xf numFmtId="165" fontId="3" fillId="0" borderId="4" xfId="0" applyFont="1" applyFill="1" applyBorder="1" applyAlignment="1">
      <alignment horizontal="center"/>
    </xf>
    <xf numFmtId="165" fontId="3" fillId="0" borderId="0" xfId="0" applyFont="1" applyFill="1" applyBorder="1" applyAlignment="1">
      <alignment horizontal="centerContinuous"/>
    </xf>
    <xf numFmtId="165" fontId="3" fillId="0" borderId="0" xfId="0" applyFont="1" applyFill="1" applyBorder="1" applyAlignment="1">
      <alignment horizontal="center"/>
    </xf>
    <xf numFmtId="165" fontId="4" fillId="0" borderId="0" xfId="0" applyFont="1" applyFill="1" applyBorder="1"/>
    <xf numFmtId="168" fontId="4" fillId="0" borderId="0" xfId="0" applyNumberFormat="1" applyFont="1"/>
    <xf numFmtId="167" fontId="4" fillId="0" borderId="0" xfId="0" applyNumberFormat="1" applyFont="1"/>
    <xf numFmtId="165" fontId="4" fillId="0" borderId="0" xfId="0" applyFont="1" applyAlignment="1"/>
    <xf numFmtId="14" fontId="6" fillId="2" borderId="2" xfId="0" applyNumberFormat="1" applyFont="1" applyFill="1" applyBorder="1" applyAlignment="1">
      <alignment horizontal="center"/>
    </xf>
    <xf numFmtId="165" fontId="3" fillId="0" borderId="0" xfId="4" applyFont="1" applyAlignment="1">
      <alignment horizontal="centerContinuous"/>
    </xf>
    <xf numFmtId="165" fontId="4" fillId="0" borderId="0" xfId="4" applyFont="1" applyAlignment="1">
      <alignment horizontal="centerContinuous"/>
    </xf>
    <xf numFmtId="165" fontId="4" fillId="0" borderId="0" xfId="4" applyFont="1"/>
    <xf numFmtId="165" fontId="3" fillId="0" borderId="3" xfId="4" applyFont="1" applyBorder="1"/>
    <xf numFmtId="165" fontId="3" fillId="0" borderId="3" xfId="4" applyFont="1" applyBorder="1" applyAlignment="1">
      <alignment horizontal="centerContinuous"/>
    </xf>
    <xf numFmtId="165" fontId="3" fillId="0" borderId="4" xfId="4" applyFont="1" applyBorder="1" applyAlignment="1">
      <alignment horizontal="center"/>
    </xf>
    <xf numFmtId="165" fontId="3" fillId="0" borderId="2" xfId="4" applyFont="1" applyBorder="1" applyAlignment="1">
      <alignment horizontal="center"/>
    </xf>
    <xf numFmtId="0" fontId="3" fillId="0" borderId="0" xfId="4" applyNumberFormat="1" applyFont="1" applyAlignment="1">
      <alignment horizontal="center"/>
    </xf>
    <xf numFmtId="166" fontId="4" fillId="0" borderId="0" xfId="4" applyNumberFormat="1" applyFont="1" applyFill="1" applyBorder="1" applyAlignment="1">
      <alignment horizontal="center"/>
    </xf>
    <xf numFmtId="7" fontId="4" fillId="0" borderId="0" xfId="4" applyNumberFormat="1" applyFont="1" applyFill="1" applyBorder="1" applyAlignment="1">
      <alignment horizontal="center"/>
    </xf>
    <xf numFmtId="165" fontId="4" fillId="0" borderId="0" xfId="4" applyFont="1" applyFill="1"/>
    <xf numFmtId="165" fontId="4" fillId="0" borderId="0" xfId="4" quotePrefix="1" applyFont="1"/>
    <xf numFmtId="7" fontId="4" fillId="0" borderId="2" xfId="4" applyNumberFormat="1" applyFont="1" applyFill="1" applyBorder="1" applyAlignment="1">
      <alignment horizontal="center"/>
    </xf>
    <xf numFmtId="167" fontId="4" fillId="0" borderId="0" xfId="4" applyNumberFormat="1" applyFont="1" applyAlignment="1">
      <alignment horizontal="center"/>
    </xf>
    <xf numFmtId="167" fontId="4" fillId="0" borderId="0" xfId="3" applyNumberFormat="1" applyFont="1"/>
    <xf numFmtId="167" fontId="4" fillId="0" borderId="0" xfId="4" applyNumberFormat="1" applyFont="1"/>
    <xf numFmtId="8" fontId="4" fillId="0" borderId="0" xfId="4" applyNumberFormat="1" applyFont="1"/>
    <xf numFmtId="165" fontId="3" fillId="0" borderId="1" xfId="4" applyFont="1" applyBorder="1" applyAlignment="1">
      <alignment horizontal="center"/>
    </xf>
    <xf numFmtId="165" fontId="3" fillId="0" borderId="5" xfId="4" applyFont="1" applyBorder="1" applyAlignment="1">
      <alignment horizontal="center"/>
    </xf>
    <xf numFmtId="165" fontId="3" fillId="0" borderId="5" xfId="4" applyFont="1" applyBorder="1" applyAlignment="1">
      <alignment horizontal="centerContinuous"/>
    </xf>
    <xf numFmtId="165" fontId="3" fillId="0" borderId="3" xfId="0" applyFont="1" applyBorder="1"/>
    <xf numFmtId="165" fontId="3" fillId="0" borderId="5" xfId="0" applyFont="1" applyBorder="1" applyAlignment="1">
      <alignment horizontal="center"/>
    </xf>
    <xf numFmtId="8" fontId="4" fillId="0" borderId="0" xfId="17" applyNumberFormat="1" applyFont="1"/>
    <xf numFmtId="165" fontId="3" fillId="0" borderId="1" xfId="4" quotePrefix="1" applyFont="1" applyBorder="1" applyAlignment="1">
      <alignment horizontal="center"/>
    </xf>
    <xf numFmtId="165" fontId="3" fillId="0" borderId="5" xfId="4" quotePrefix="1" applyFont="1" applyBorder="1" applyAlignment="1">
      <alignment horizontal="center"/>
    </xf>
    <xf numFmtId="165" fontId="3" fillId="0" borderId="0" xfId="4" quotePrefix="1" applyFont="1" applyAlignment="1">
      <alignment horizontal="centerContinuous"/>
    </xf>
    <xf numFmtId="166" fontId="4" fillId="0" borderId="0" xfId="0" applyNumberFormat="1" applyFont="1"/>
    <xf numFmtId="165" fontId="3" fillId="0" borderId="2" xfId="4" applyFont="1" applyBorder="1" applyAlignment="1">
      <alignment horizontal="center" wrapText="1"/>
    </xf>
    <xf numFmtId="166" fontId="4" fillId="0" borderId="0" xfId="0" quotePrefix="1" applyNumberFormat="1" applyFont="1" applyAlignment="1">
      <alignment horizontal="center"/>
    </xf>
    <xf numFmtId="43" fontId="4" fillId="0" borderId="0" xfId="17" applyFont="1"/>
    <xf numFmtId="0" fontId="4" fillId="0" borderId="2" xfId="4" applyNumberFormat="1" applyFont="1" applyBorder="1" applyAlignment="1">
      <alignment horizontal="center"/>
    </xf>
    <xf numFmtId="165" fontId="4" fillId="0" borderId="0" xfId="4" applyFont="1" applyAlignment="1"/>
    <xf numFmtId="165" fontId="0" fillId="0" borderId="0" xfId="0" applyAlignment="1"/>
    <xf numFmtId="165" fontId="3" fillId="0" borderId="0" xfId="4" applyFont="1" applyBorder="1" applyAlignment="1">
      <alignment horizontal="centerContinuous"/>
    </xf>
    <xf numFmtId="172" fontId="3" fillId="0" borderId="1" xfId="0" applyNumberFormat="1" applyFont="1" applyFill="1" applyBorder="1" applyAlignment="1">
      <alignment horizontal="center"/>
    </xf>
    <xf numFmtId="165" fontId="0" fillId="0" borderId="0" xfId="0" applyAlignment="1">
      <alignment horizontal="right"/>
    </xf>
    <xf numFmtId="43" fontId="0" fillId="0" borderId="0" xfId="17" applyFont="1"/>
    <xf numFmtId="165" fontId="3" fillId="0" borderId="1" xfId="0" quotePrefix="1" applyFont="1" applyFill="1" applyBorder="1" applyAlignment="1">
      <alignment horizontal="center"/>
    </xf>
    <xf numFmtId="165" fontId="3" fillId="0" borderId="0" xfId="0" applyFont="1" applyBorder="1" applyAlignment="1">
      <alignment horizontal="center"/>
    </xf>
    <xf numFmtId="165" fontId="4" fillId="0" borderId="0" xfId="0" applyFont="1" applyBorder="1"/>
    <xf numFmtId="166" fontId="4" fillId="0" borderId="0" xfId="0" applyNumberFormat="1" applyFont="1" applyBorder="1" applyAlignment="1">
      <alignment horizontal="center"/>
    </xf>
    <xf numFmtId="8" fontId="4" fillId="0" borderId="0" xfId="0" applyNumberFormat="1" applyFont="1" applyBorder="1"/>
    <xf numFmtId="173" fontId="4" fillId="0" borderId="0" xfId="0" applyNumberFormat="1" applyFont="1"/>
    <xf numFmtId="174" fontId="4" fillId="0" borderId="0" xfId="4" applyNumberFormat="1" applyFont="1" applyFill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6" fontId="4" fillId="0" borderId="2" xfId="0" applyNumberFormat="1" applyFont="1" applyFill="1" applyBorder="1" applyAlignment="1">
      <alignment horizontal="center"/>
    </xf>
    <xf numFmtId="166" fontId="4" fillId="0" borderId="0" xfId="0" applyNumberFormat="1" applyFont="1" applyFill="1" applyAlignment="1">
      <alignment horizontal="center"/>
    </xf>
    <xf numFmtId="43" fontId="0" fillId="0" borderId="0" xfId="17" applyNumberFormat="1" applyFont="1"/>
    <xf numFmtId="8" fontId="4" fillId="0" borderId="0" xfId="4" applyNumberFormat="1" applyFont="1" applyFill="1" applyBorder="1" applyAlignment="1">
      <alignment horizontal="center"/>
    </xf>
    <xf numFmtId="8" fontId="4" fillId="0" borderId="2" xfId="4" applyNumberFormat="1" applyFont="1" applyFill="1" applyBorder="1" applyAlignment="1">
      <alignment horizontal="center"/>
    </xf>
    <xf numFmtId="8" fontId="4" fillId="0" borderId="0" xfId="0" applyNumberFormat="1" applyFont="1" applyFill="1" applyBorder="1" applyAlignment="1">
      <alignment horizontal="center"/>
    </xf>
    <xf numFmtId="8" fontId="4" fillId="0" borderId="0" xfId="0" applyNumberFormat="1" applyFont="1"/>
    <xf numFmtId="8" fontId="4" fillId="0" borderId="2" xfId="0" applyNumberFormat="1" applyFont="1" applyFill="1" applyBorder="1" applyAlignment="1">
      <alignment horizontal="center"/>
    </xf>
    <xf numFmtId="175" fontId="4" fillId="0" borderId="0" xfId="0" applyNumberFormat="1" applyFont="1"/>
    <xf numFmtId="43" fontId="0" fillId="0" borderId="9" xfId="17" applyNumberFormat="1" applyFont="1" applyBorder="1"/>
    <xf numFmtId="165" fontId="12" fillId="0" borderId="0" xfId="0" applyFont="1"/>
    <xf numFmtId="0" fontId="4" fillId="0" borderId="0" xfId="4" applyNumberFormat="1" applyFont="1" applyBorder="1" applyAlignment="1">
      <alignment horizontal="center"/>
    </xf>
    <xf numFmtId="165" fontId="13" fillId="0" borderId="0" xfId="0" applyFont="1"/>
    <xf numFmtId="165" fontId="0" fillId="7" borderId="3" xfId="0" applyFill="1" applyBorder="1"/>
    <xf numFmtId="165" fontId="13" fillId="7" borderId="10" xfId="0" applyFont="1" applyFill="1" applyBorder="1" applyAlignment="1">
      <alignment horizontal="center"/>
    </xf>
    <xf numFmtId="165" fontId="13" fillId="7" borderId="11" xfId="0" applyFont="1" applyFill="1" applyBorder="1" applyAlignment="1">
      <alignment horizontal="center"/>
    </xf>
    <xf numFmtId="165" fontId="13" fillId="7" borderId="12" xfId="0" applyFont="1" applyFill="1" applyBorder="1"/>
    <xf numFmtId="165" fontId="0" fillId="7" borderId="9" xfId="0" applyFill="1" applyBorder="1"/>
    <xf numFmtId="165" fontId="0" fillId="7" borderId="14" xfId="0" applyFill="1" applyBorder="1"/>
    <xf numFmtId="8" fontId="14" fillId="6" borderId="4" xfId="0" applyNumberFormat="1" applyFont="1" applyFill="1" applyBorder="1" applyAlignment="1">
      <alignment horizontal="left"/>
    </xf>
    <xf numFmtId="39" fontId="0" fillId="7" borderId="3" xfId="0" applyNumberFormat="1" applyFill="1" applyBorder="1" applyAlignment="1">
      <alignment horizontal="center"/>
    </xf>
    <xf numFmtId="39" fontId="0" fillId="7" borderId="10" xfId="0" applyNumberFormat="1" applyFill="1" applyBorder="1" applyAlignment="1">
      <alignment horizontal="center"/>
    </xf>
    <xf numFmtId="39" fontId="0" fillId="7" borderId="11" xfId="0" applyNumberFormat="1" applyFill="1" applyBorder="1" applyAlignment="1">
      <alignment horizontal="center"/>
    </xf>
    <xf numFmtId="39" fontId="0" fillId="7" borderId="12" xfId="0" applyNumberFormat="1" applyFill="1" applyBorder="1" applyAlignment="1">
      <alignment horizontal="center"/>
    </xf>
    <xf numFmtId="39" fontId="14" fillId="6" borderId="0" xfId="0" applyNumberFormat="1" applyFont="1" applyFill="1" applyBorder="1" applyAlignment="1">
      <alignment horizontal="center"/>
    </xf>
    <xf numFmtId="39" fontId="14" fillId="6" borderId="13" xfId="0" applyNumberFormat="1" applyFont="1" applyFill="1" applyBorder="1" applyAlignment="1">
      <alignment horizontal="center"/>
    </xf>
    <xf numFmtId="39" fontId="0" fillId="7" borderId="0" xfId="0" applyNumberFormat="1" applyFill="1" applyBorder="1" applyAlignment="1">
      <alignment horizontal="center"/>
    </xf>
    <xf numFmtId="39" fontId="0" fillId="7" borderId="13" xfId="0" applyNumberFormat="1" applyFill="1" applyBorder="1" applyAlignment="1">
      <alignment horizontal="center"/>
    </xf>
    <xf numFmtId="39" fontId="0" fillId="7" borderId="4" xfId="0" applyNumberFormat="1" applyFill="1" applyBorder="1" applyAlignment="1">
      <alignment horizontal="center"/>
    </xf>
    <xf numFmtId="39" fontId="0" fillId="7" borderId="9" xfId="0" applyNumberFormat="1" applyFill="1" applyBorder="1" applyAlignment="1">
      <alignment horizontal="center"/>
    </xf>
    <xf numFmtId="39" fontId="0" fillId="7" borderId="14" xfId="0" applyNumberFormat="1" applyFill="1" applyBorder="1" applyAlignment="1">
      <alignment horizontal="center"/>
    </xf>
    <xf numFmtId="9" fontId="0" fillId="0" borderId="0" xfId="3" applyFont="1"/>
  </cellXfs>
  <cellStyles count="18">
    <cellStyle name="Comma" xfId="17" builtinId="3"/>
    <cellStyle name="Comma 2" xfId="7"/>
    <cellStyle name="Currency 2" xfId="8"/>
    <cellStyle name="Currency No Comma" xfId="9"/>
    <cellStyle name="Input" xfId="1" builtinId="20" customBuiltin="1"/>
    <cellStyle name="MCP" xfId="10"/>
    <cellStyle name="noninput" xfId="11"/>
    <cellStyle name="Normal" xfId="0" builtinId="0" customBuiltin="1"/>
    <cellStyle name="Normal 2" xfId="4"/>
    <cellStyle name="Normal 2 2" xfId="6"/>
    <cellStyle name="Normal 3" xfId="12"/>
    <cellStyle name="Normal 5" xfId="5"/>
    <cellStyle name="Normal_T-INF-10-15-04-TEMPLATE" xfId="2"/>
    <cellStyle name="Password" xfId="13"/>
    <cellStyle name="Percent" xfId="3" builtinId="5"/>
    <cellStyle name="Unprot" xfId="14"/>
    <cellStyle name="Unprot$" xfId="15"/>
    <cellStyle name="Unprotect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191%20-%20UT%20Compliance%20Filing%20-%20UT%20-%202017%20Dec\Sent%20Out%20to%20Regulation\4_Appendix%20B.3%20-%20UT%202017.Q3%20-%20AC%20Study%20NON-CONF%20Win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191%20-%20UT%20Compliance%20Filing%20-%20UT%20-%202017%20Dec\Sent%20Out%20to%20Regulation\4_Appendix%20B.2%20-%20UT%202017.Q3%20-%20AC%20Study%20NON-CONF%20Sola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T\2003%20Dockets\UT%2003-035-14%20Application%20IRP-Based%20Avoided%20Cost\03-035-14%20Quarterly%20Compliance%20Filings\2017%20(17-035-37)\2017%20Q4%20(2-22-18)\Working%20Docs\4_Appendix%20B.2%20-%20UT%202017.Q4%20-%20AC%20Study%20NON-CONF%20Win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T\2003%20Dockets\UT%2003-035-14%20Application%20IRP-Based%20Avoided%20Cost\03-035-14%20Quarterly%20Compliance%20Filings\2017%20(17-035-37)\2017%20Q4%20(2-22-18)\Working%20Docs\4_Appendix%20B.3%20-%20UT%202017.Q4%20-%20AC%20Study%20NON-CONF%20Sola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T\2003%20Dockets\UT%2003-035-14%20Application%20IRP-Based%20Avoided%20Cost\03-035-14%20Quarterly%20Compliance%20Filings\2017%20(17-035-37)\2017%20Q4%20(2-22-18)\Working%20Docs\4_Appendix%20B.5%20-%20UT%202017.Q4%20-%20AC%20Study%20NON-CONF%20Wind_NonRoutin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T\2003%20Dockets\UT%2003-035-14%20Application%20IRP-Based%20Avoided%20Cost\03-035-14%20Quarterly%20Compliance%20Filings\2017%20(17-035-37)\2017%20Q4%20(2-22-18)\Working%20Docs\4_Appendix%20B.6%20-%20UT%202017.Q4%20-%20AC%20Study%20NON-CONF%20Solar_NonRoutin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T\2003%20Dockets\UT%2003-035-14%20Application%20IRP-Based%20Avoided%20Cost\03-035-14%20Quarterly%20Compliance%20Filings\2017%20(17-035-37)\2017%20Q4%20(2-22-18)\Working%20Docs\4_Appendix%20B.1%20-%20UT%202017.Q4%20-%20AC%20Study%20NON-CONF%20Therma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T\2003%20Dockets\UT%2003-035-14%20Application%20IRP-Based%20Avoided%20Cost\03-035-14%20Quarterly%20Compliance%20Filings\2017%20(17-035-37)\2017%20Q4%20(2-22-18)\Working%20Docs\4_Appendix%20B.4%20-%20UT%202017.Q4%20-%20AC%20Study%20NON-CONF%20Thermal_NonRouti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3"/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 refreshError="1"/>
      <sheetData sheetId="1">
        <row r="43">
          <cell r="G43">
            <v>23.0410097378812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2"/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/>
      <sheetData sheetId="1">
        <row r="13">
          <cell r="G13">
            <v>20.455461523846051</v>
          </cell>
        </row>
        <row r="43">
          <cell r="G43">
            <v>20.874414411264297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2"/>
      <sheetName val="Table 1"/>
      <sheetName val="Table 2"/>
      <sheetName val="Table 3 WY Wind 2021"/>
      <sheetName val="Table 3 DJ Wind 2031"/>
      <sheetName val="Table 3 TransCost D2 "/>
      <sheetName val="Table 4"/>
      <sheetName val="Table 5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>
        <row r="25">
          <cell r="C25">
            <v>28.317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3"/>
      <sheetName val="Table 1"/>
      <sheetName val="Table 2"/>
      <sheetName val="Table 3 UT Solar 2035"/>
      <sheetName val="Table 3 TransCost D2 "/>
      <sheetName val="Table 4"/>
      <sheetName val="Table 5"/>
      <sheetName val="Table 3 WY Wind 2021"/>
      <sheetName val="Table 3 DJ Wind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>
        <row r="25">
          <cell r="C25">
            <v>19.72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5"/>
      <sheetName val="Table 1"/>
      <sheetName val="Table 2"/>
      <sheetName val="Table 3 TransCost D2 "/>
      <sheetName val="Table 3 WY Wind 2021"/>
      <sheetName val="Table 3 DJ Wind 2031"/>
      <sheetName val="Table 4"/>
      <sheetName val="Table 5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>
        <row r="25">
          <cell r="C25">
            <v>27.42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Table 1"/>
      <sheetName val="Table 4"/>
      <sheetName val="Table 5"/>
      <sheetName val="Table 3 TransCost D2 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/>
      <sheetData sheetId="1">
        <row r="40">
          <cell r="G40">
            <v>8.9770645241829765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3 TransCost D2 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 refreshError="1"/>
      <sheetData sheetId="1">
        <row r="13">
          <cell r="B13">
            <v>2018</v>
          </cell>
          <cell r="E13">
            <v>19.377099803641613</v>
          </cell>
        </row>
        <row r="14">
          <cell r="B14">
            <v>2019</v>
          </cell>
          <cell r="E14">
            <v>19.0360484141789</v>
          </cell>
        </row>
        <row r="15">
          <cell r="B15">
            <v>2020</v>
          </cell>
          <cell r="E15">
            <v>16.158892978998441</v>
          </cell>
        </row>
        <row r="16">
          <cell r="B16">
            <v>2021</v>
          </cell>
          <cell r="E16">
            <v>17.956914986286222</v>
          </cell>
        </row>
        <row r="17">
          <cell r="B17">
            <v>2022</v>
          </cell>
          <cell r="E17">
            <v>19.773833958692858</v>
          </cell>
        </row>
        <row r="18">
          <cell r="B18">
            <v>2023</v>
          </cell>
          <cell r="E18">
            <v>20.017215140398964</v>
          </cell>
        </row>
        <row r="19">
          <cell r="B19">
            <v>2024</v>
          </cell>
          <cell r="E19">
            <v>22.389368523755614</v>
          </cell>
        </row>
        <row r="20">
          <cell r="B20">
            <v>2025</v>
          </cell>
          <cell r="E20">
            <v>25.489860483672597</v>
          </cell>
        </row>
        <row r="21">
          <cell r="B21">
            <v>2026</v>
          </cell>
          <cell r="E21">
            <v>25.696584595204072</v>
          </cell>
        </row>
        <row r="22">
          <cell r="B22">
            <v>2027</v>
          </cell>
          <cell r="E22">
            <v>26.611859374009423</v>
          </cell>
        </row>
        <row r="23">
          <cell r="B23">
            <v>2028</v>
          </cell>
          <cell r="E23">
            <v>29.553824798112419</v>
          </cell>
        </row>
        <row r="24">
          <cell r="B24">
            <v>2029</v>
          </cell>
          <cell r="E24">
            <v>32.508635489325002</v>
          </cell>
        </row>
        <row r="25">
          <cell r="B25">
            <v>2030</v>
          </cell>
          <cell r="E25">
            <v>35.740782708733668</v>
          </cell>
        </row>
        <row r="26">
          <cell r="B26">
            <v>2031</v>
          </cell>
          <cell r="E26">
            <v>37.461325922649237</v>
          </cell>
        </row>
        <row r="27">
          <cell r="B27">
            <v>2032</v>
          </cell>
          <cell r="E27">
            <v>39.215930815619281</v>
          </cell>
        </row>
        <row r="28">
          <cell r="B28">
            <v>2033</v>
          </cell>
          <cell r="E28">
            <v>43.943221953485825</v>
          </cell>
        </row>
        <row r="29">
          <cell r="B29">
            <v>2034</v>
          </cell>
          <cell r="E29">
            <v>46.101487651934733</v>
          </cell>
        </row>
        <row r="30">
          <cell r="B30">
            <v>2035</v>
          </cell>
          <cell r="E30">
            <v>49.535743602204477</v>
          </cell>
        </row>
        <row r="31">
          <cell r="B31">
            <v>2036</v>
          </cell>
          <cell r="E31">
            <v>53.273779734585951</v>
          </cell>
        </row>
        <row r="32">
          <cell r="B32">
            <v>2037</v>
          </cell>
          <cell r="E32">
            <v>54.463658584088826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4"/>
      <sheetName val="Table 1"/>
      <sheetName val="Table 2"/>
      <sheetName val="Table 4"/>
      <sheetName val="Table 5"/>
      <sheetName val="Table 3 TransCost D2 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 refreshError="1"/>
      <sheetData sheetId="1">
        <row r="13">
          <cell r="B13">
            <v>2018</v>
          </cell>
          <cell r="E13">
            <v>19.377099803641613</v>
          </cell>
        </row>
        <row r="14">
          <cell r="B14">
            <v>2019</v>
          </cell>
          <cell r="E14">
            <v>19.0360484141789</v>
          </cell>
        </row>
        <row r="15">
          <cell r="B15">
            <v>2020</v>
          </cell>
          <cell r="E15">
            <v>15.307389236431815</v>
          </cell>
        </row>
        <row r="16">
          <cell r="B16">
            <v>2021</v>
          </cell>
          <cell r="E16">
            <v>13.313189526334478</v>
          </cell>
        </row>
        <row r="17">
          <cell r="B17">
            <v>2022</v>
          </cell>
          <cell r="E17">
            <v>14.654243288614994</v>
          </cell>
        </row>
        <row r="18">
          <cell r="B18">
            <v>2023</v>
          </cell>
          <cell r="E18">
            <v>14.278020055467543</v>
          </cell>
        </row>
        <row r="19">
          <cell r="B19">
            <v>2024</v>
          </cell>
          <cell r="E19">
            <v>16.559084015277705</v>
          </cell>
        </row>
        <row r="20">
          <cell r="B20">
            <v>2025</v>
          </cell>
          <cell r="E20">
            <v>19.813001946118224</v>
          </cell>
        </row>
        <row r="21">
          <cell r="B21">
            <v>2026</v>
          </cell>
          <cell r="E21">
            <v>19.318712273238468</v>
          </cell>
        </row>
        <row r="22">
          <cell r="B22">
            <v>2027</v>
          </cell>
          <cell r="E22">
            <v>19.651034315441112</v>
          </cell>
        </row>
        <row r="23">
          <cell r="B23">
            <v>2028</v>
          </cell>
          <cell r="E23">
            <v>23.889468771995524</v>
          </cell>
        </row>
        <row r="24">
          <cell r="B24">
            <v>2029</v>
          </cell>
          <cell r="E24">
            <v>26.345993686477897</v>
          </cell>
        </row>
        <row r="25">
          <cell r="B25">
            <v>2030</v>
          </cell>
          <cell r="E25">
            <v>29.714970007014795</v>
          </cell>
        </row>
        <row r="26">
          <cell r="B26">
            <v>2031</v>
          </cell>
          <cell r="E26">
            <v>31.170183536791004</v>
          </cell>
        </row>
        <row r="27">
          <cell r="B27">
            <v>2032</v>
          </cell>
          <cell r="E27">
            <v>32.991244145698118</v>
          </cell>
        </row>
        <row r="28">
          <cell r="B28">
            <v>2033</v>
          </cell>
          <cell r="E28">
            <v>38.661406238804197</v>
          </cell>
        </row>
        <row r="29">
          <cell r="B29">
            <v>2034</v>
          </cell>
          <cell r="E29">
            <v>41.611748598700864</v>
          </cell>
        </row>
        <row r="30">
          <cell r="B30">
            <v>2035</v>
          </cell>
          <cell r="E30">
            <v>48.798581381683391</v>
          </cell>
        </row>
        <row r="31">
          <cell r="B31">
            <v>2036</v>
          </cell>
          <cell r="E31">
            <v>52.748800528676817</v>
          </cell>
        </row>
        <row r="32">
          <cell r="B32">
            <v>2037</v>
          </cell>
          <cell r="E32">
            <v>53.926039244357248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2"/>
  </sheetPr>
  <dimension ref="C2:J12"/>
  <sheetViews>
    <sheetView tabSelected="1" zoomScale="80" zoomScaleNormal="80" workbookViewId="0">
      <selection activeCell="I4" sqref="I4"/>
    </sheetView>
  </sheetViews>
  <sheetFormatPr defaultRowHeight="12.75" x14ac:dyDescent="0.2"/>
  <cols>
    <col min="3" max="3" width="22" customWidth="1"/>
    <col min="5" max="5" width="7.7109375" customWidth="1"/>
    <col min="6" max="6" width="25.42578125" customWidth="1"/>
    <col min="7" max="7" width="32.5703125" customWidth="1"/>
    <col min="10" max="10" width="15.42578125" customWidth="1"/>
  </cols>
  <sheetData>
    <row r="2" spans="3:10" ht="15" x14ac:dyDescent="0.25">
      <c r="C2" s="78" t="str">
        <f>Incremental!B30&amp;", "&amp;LEFT(Incremental!B29,LEN(Incremental!B29)-4)</f>
        <v>2018 - 2032, Nominal Levelized Payment at 6.57% Discount Rate</v>
      </c>
      <c r="G2" s="80" t="str">
        <f>$C$2</f>
        <v>2018 - 2032, Nominal Levelized Payment at 6.57% Discount Rate</v>
      </c>
    </row>
    <row r="3" spans="3:10" ht="15" x14ac:dyDescent="0.25">
      <c r="G3" s="81"/>
      <c r="H3" s="82" t="s">
        <v>29</v>
      </c>
      <c r="I3" s="82" t="s">
        <v>30</v>
      </c>
      <c r="J3" s="83" t="s">
        <v>31</v>
      </c>
    </row>
    <row r="4" spans="3:10" ht="15" x14ac:dyDescent="0.25">
      <c r="C4" t="s">
        <v>21</v>
      </c>
      <c r="D4" s="59">
        <f>Total!$C$30</f>
        <v>24.67</v>
      </c>
      <c r="E4" s="59"/>
      <c r="G4" s="84" t="s">
        <v>20</v>
      </c>
      <c r="H4" s="88">
        <f>D4</f>
        <v>24.67</v>
      </c>
      <c r="I4" s="89">
        <f>'[1]Table 1'!$G$43</f>
        <v>23.0410097378812</v>
      </c>
      <c r="J4" s="90">
        <f>'[2]Table 1'!$G$43</f>
        <v>20.874414411264297</v>
      </c>
    </row>
    <row r="5" spans="3:10" ht="15" x14ac:dyDescent="0.25">
      <c r="C5" s="58" t="str">
        <f>Incremental!C7</f>
        <v>OFPC</v>
      </c>
      <c r="D5" s="59"/>
      <c r="E5" s="70">
        <f>Incremental!$C$30</f>
        <v>-0.755</v>
      </c>
      <c r="G5" s="84" t="s">
        <v>33</v>
      </c>
      <c r="H5" s="91">
        <f>H4+E5</f>
        <v>23.915000000000003</v>
      </c>
      <c r="I5" s="92">
        <f t="shared" ref="I5:J7" si="0">I4*$H5/$H4</f>
        <v>22.335863310961855</v>
      </c>
      <c r="J5" s="93">
        <f t="shared" si="0"/>
        <v>20.235574408001042</v>
      </c>
    </row>
    <row r="6" spans="3:10" ht="15" x14ac:dyDescent="0.25">
      <c r="C6" s="58" t="str">
        <f>Incremental!D7</f>
        <v>Generic</v>
      </c>
      <c r="D6" s="59"/>
      <c r="E6" s="70">
        <f>Incremental!$D$30</f>
        <v>-0.16700000000000001</v>
      </c>
      <c r="G6" s="84" t="s">
        <v>32</v>
      </c>
      <c r="H6" s="91">
        <f>H5+E6</f>
        <v>23.748000000000001</v>
      </c>
      <c r="I6" s="92">
        <f t="shared" si="0"/>
        <v>22.179890525139957</v>
      </c>
      <c r="J6" s="93">
        <f t="shared" si="0"/>
        <v>20.094268076153408</v>
      </c>
    </row>
    <row r="7" spans="3:10" ht="15" x14ac:dyDescent="0.25">
      <c r="C7" s="58" t="s">
        <v>19</v>
      </c>
      <c r="D7" s="59"/>
      <c r="E7" s="70">
        <f>Incremental!$E$30</f>
        <v>-0.22</v>
      </c>
      <c r="G7" s="84" t="s">
        <v>34</v>
      </c>
      <c r="H7" s="91">
        <f>H6+E7</f>
        <v>23.528000000000002</v>
      </c>
      <c r="I7" s="92">
        <f t="shared" si="0"/>
        <v>21.974417394117101</v>
      </c>
      <c r="J7" s="93">
        <f t="shared" si="0"/>
        <v>19.908116022222394</v>
      </c>
    </row>
    <row r="8" spans="3:10" ht="15" x14ac:dyDescent="0.25">
      <c r="C8" s="58" t="str">
        <f>Incremental!F7</f>
        <v>Commission Ordered</v>
      </c>
      <c r="D8" s="59"/>
      <c r="E8" s="77">
        <f>Incremental!$F$30</f>
        <v>0.44800000000000001</v>
      </c>
      <c r="G8" s="84" t="s">
        <v>35</v>
      </c>
      <c r="H8" s="91">
        <f>H7+E8</f>
        <v>23.976000000000003</v>
      </c>
      <c r="I8" s="94">
        <f>'[3]Appendix B.2'!$C$25</f>
        <v>28.317</v>
      </c>
      <c r="J8" s="95">
        <f>'[4]Appendix B.3'!$C$25</f>
        <v>19.72</v>
      </c>
    </row>
    <row r="9" spans="3:10" ht="15" x14ac:dyDescent="0.25">
      <c r="C9" t="s">
        <v>24</v>
      </c>
      <c r="D9" s="59">
        <f>Total!$G$30</f>
        <v>23.975999999999999</v>
      </c>
      <c r="E9" s="70">
        <f>Incremental!H30</f>
        <v>-4.9320000000000004</v>
      </c>
      <c r="G9" s="84" t="s">
        <v>36</v>
      </c>
      <c r="H9" s="96">
        <f>H8+E10</f>
        <v>19.738000000000003</v>
      </c>
      <c r="I9" s="97">
        <f>'[5]Appendix B.5'!$C$25</f>
        <v>27.42</v>
      </c>
      <c r="J9" s="98">
        <f>'[6]Table 1'!$G$40</f>
        <v>8.9770645241829765</v>
      </c>
    </row>
    <row r="10" spans="3:10" ht="15" x14ac:dyDescent="0.25">
      <c r="C10" t="s">
        <v>25</v>
      </c>
      <c r="D10" s="59">
        <f>Total!H30</f>
        <v>19.738</v>
      </c>
      <c r="E10" s="70">
        <f>Incremental!G30</f>
        <v>-4.2380000000000004</v>
      </c>
      <c r="G10" s="87" t="s">
        <v>37</v>
      </c>
      <c r="H10" s="85"/>
      <c r="I10" s="85"/>
      <c r="J10" s="86"/>
    </row>
    <row r="12" spans="3:10" x14ac:dyDescent="0.2">
      <c r="H12" s="99"/>
      <c r="I12" s="99"/>
      <c r="J12" s="9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2"/>
    <pageSetUpPr fitToPage="1"/>
  </sheetPr>
  <dimension ref="B1:K41"/>
  <sheetViews>
    <sheetView showGridLines="0" zoomScale="70" zoomScaleNormal="70" workbookViewId="0">
      <pane xSplit="2" ySplit="9" topLeftCell="C20" activePane="bottomRight" state="frozen"/>
      <selection activeCell="E37" sqref="E37"/>
      <selection pane="topRight" activeCell="E37" sqref="E37"/>
      <selection pane="bottomLeft" activeCell="E37" sqref="E37"/>
      <selection pane="bottomRight" activeCell="G27" sqref="G27"/>
    </sheetView>
  </sheetViews>
  <sheetFormatPr defaultColWidth="9.140625" defaultRowHeight="15" x14ac:dyDescent="0.2"/>
  <cols>
    <col min="1" max="1" width="1.85546875" style="1" customWidth="1"/>
    <col min="2" max="2" width="13.7109375" style="1" customWidth="1"/>
    <col min="3" max="5" width="15.7109375" style="1" customWidth="1"/>
    <col min="6" max="6" width="26.28515625" style="1" customWidth="1"/>
    <col min="7" max="7" width="21.140625" style="1" customWidth="1"/>
    <col min="8" max="8" width="15.7109375" style="1" customWidth="1"/>
    <col min="9" max="9" width="2.28515625" style="1" customWidth="1"/>
    <col min="10" max="10" width="9.140625" style="1"/>
    <col min="11" max="11" width="10.85546875" style="1" bestFit="1" customWidth="1"/>
    <col min="12" max="16384" width="9.140625" style="1"/>
  </cols>
  <sheetData>
    <row r="1" spans="2:11" ht="15.75" x14ac:dyDescent="0.25">
      <c r="B1" s="6" t="str">
        <f>Total!B1</f>
        <v>Appendix C</v>
      </c>
      <c r="C1" s="6"/>
      <c r="D1" s="6"/>
      <c r="E1" s="6"/>
      <c r="F1" s="6"/>
      <c r="G1" s="6"/>
      <c r="H1" s="6"/>
    </row>
    <row r="2" spans="2:11" ht="8.25" customHeight="1" x14ac:dyDescent="0.25">
      <c r="B2" s="6"/>
      <c r="C2" s="6"/>
      <c r="D2" s="6"/>
      <c r="E2" s="6"/>
      <c r="F2" s="6"/>
      <c r="G2" s="6"/>
      <c r="H2" s="6"/>
    </row>
    <row r="3" spans="2:11" ht="15.75" x14ac:dyDescent="0.25">
      <c r="B3" s="6" t="str">
        <f>Total!B3</f>
        <v>Utah Quarterly Compliance Filing</v>
      </c>
      <c r="C3" s="6"/>
      <c r="D3" s="6"/>
      <c r="E3" s="6"/>
      <c r="F3" s="6"/>
      <c r="G3" s="6"/>
      <c r="H3" s="6"/>
    </row>
    <row r="4" spans="2:11" ht="15.75" x14ac:dyDescent="0.25">
      <c r="B4" s="6" t="str">
        <f>Capacity!$B$4</f>
        <v>Step Study between 2017.Q4 and 2017.Q3 Compliance Filing</v>
      </c>
      <c r="C4" s="6"/>
      <c r="D4" s="6"/>
      <c r="E4" s="6"/>
      <c r="F4" s="6"/>
      <c r="G4" s="6"/>
      <c r="H4" s="6"/>
    </row>
    <row r="5" spans="2:11" ht="15.75" x14ac:dyDescent="0.25">
      <c r="B5" s="6" t="s">
        <v>38</v>
      </c>
      <c r="C5" s="6"/>
      <c r="D5" s="6"/>
      <c r="E5" s="6"/>
      <c r="F5" s="6"/>
      <c r="G5" s="6"/>
      <c r="H5" s="6"/>
    </row>
    <row r="6" spans="2:11" x14ac:dyDescent="0.2">
      <c r="C6" s="9"/>
      <c r="D6" s="9"/>
      <c r="E6" s="9"/>
      <c r="F6" s="9"/>
      <c r="G6" s="9"/>
      <c r="H6" s="9"/>
    </row>
    <row r="7" spans="2:11" s="4" customFormat="1" ht="15.75" x14ac:dyDescent="0.25">
      <c r="B7" s="14"/>
      <c r="C7" s="11" t="str">
        <f>Energy!D7</f>
        <v>OFPC</v>
      </c>
      <c r="D7" s="11" t="str">
        <f>Energy!E7</f>
        <v>Generic</v>
      </c>
      <c r="E7" s="11" t="str">
        <f>Energy!F7</f>
        <v>Queue</v>
      </c>
      <c r="F7" s="11" t="str">
        <f>Energy!G7</f>
        <v>Commission Ordered</v>
      </c>
      <c r="G7" s="11" t="str">
        <f>Energy!H7</f>
        <v>Trapped Energy</v>
      </c>
      <c r="H7" s="11" t="s">
        <v>5</v>
      </c>
      <c r="I7" s="1"/>
    </row>
    <row r="8" spans="2:11" s="4" customFormat="1" ht="15.75" x14ac:dyDescent="0.25">
      <c r="B8" s="15" t="s">
        <v>0</v>
      </c>
      <c r="C8" s="57" t="str">
        <f>Energy!D8</f>
        <v>Routine</v>
      </c>
      <c r="D8" s="12" t="str">
        <f>Energy!E8</f>
        <v>Routine</v>
      </c>
      <c r="E8" s="12" t="str">
        <f>Energy!F8</f>
        <v>Routine</v>
      </c>
      <c r="F8" s="12" t="str">
        <f>Energy!G8</f>
        <v>Routine</v>
      </c>
      <c r="G8" s="12" t="str">
        <f>Energy!H8</f>
        <v>Non-Routine</v>
      </c>
      <c r="H8" s="12" t="s">
        <v>14</v>
      </c>
      <c r="I8" s="1"/>
    </row>
    <row r="9" spans="2:11" ht="4.5" customHeight="1" x14ac:dyDescent="0.2"/>
    <row r="10" spans="2:11" ht="15.75" x14ac:dyDescent="0.25">
      <c r="B10" s="3">
        <f>Total!B10</f>
        <v>2018</v>
      </c>
      <c r="C10" s="67">
        <f>ROUND(Total!D10-Total!C10,3)</f>
        <v>-1.1299999999999999</v>
      </c>
      <c r="D10" s="67">
        <f>ROUND(Total!E10-Total!D10,3)</f>
        <v>-0.17499999999999999</v>
      </c>
      <c r="E10" s="67">
        <f>ROUND(Total!F10-Total!E10,3)</f>
        <v>1E-3</v>
      </c>
      <c r="F10" s="67">
        <f>ROUND(Total!G10-Total!F10,3)</f>
        <v>-5.0000000000000001E-3</v>
      </c>
      <c r="G10" s="67">
        <f>ROUND(Total!H10-Total!G10,3)</f>
        <v>0</v>
      </c>
      <c r="H10" s="67">
        <f>SUM(C10:G10)</f>
        <v>-1.3089999999999999</v>
      </c>
      <c r="I10" s="65"/>
      <c r="K10" s="19"/>
    </row>
    <row r="11" spans="2:11" ht="15.75" x14ac:dyDescent="0.25">
      <c r="B11" s="3">
        <f t="shared" ref="B11:B27" si="0">B10+1</f>
        <v>2019</v>
      </c>
      <c r="C11" s="67">
        <f>ROUND(Total!D11-Total!C11,3)</f>
        <v>0.11799999999999999</v>
      </c>
      <c r="D11" s="67">
        <f>ROUND(Total!E11-Total!D11,3)</f>
        <v>0</v>
      </c>
      <c r="E11" s="67">
        <f>ROUND(Total!F11-Total!E11,3)</f>
        <v>4.5999999999999999E-2</v>
      </c>
      <c r="F11" s="67">
        <f>ROUND(Total!G11-Total!F11,3)</f>
        <v>3.5999999999999997E-2</v>
      </c>
      <c r="G11" s="67">
        <f>ROUND(Total!H11-Total!G11,3)</f>
        <v>0</v>
      </c>
      <c r="H11" s="67">
        <f t="shared" ref="H11:H27" si="1">SUM(C11:G11)</f>
        <v>0.19999999999999998</v>
      </c>
      <c r="I11" s="65"/>
      <c r="K11" s="19"/>
    </row>
    <row r="12" spans="2:11" ht="15.75" x14ac:dyDescent="0.25">
      <c r="B12" s="3">
        <f t="shared" si="0"/>
        <v>2020</v>
      </c>
      <c r="C12" s="67">
        <f>ROUND(Total!D12-Total!C12,3)</f>
        <v>-1.0900000000000001</v>
      </c>
      <c r="D12" s="67">
        <f>ROUND(Total!E12-Total!D12,3)</f>
        <v>0</v>
      </c>
      <c r="E12" s="67">
        <f>ROUND(Total!F12-Total!E12,3)</f>
        <v>0.32900000000000001</v>
      </c>
      <c r="F12" s="67">
        <f>ROUND(Total!G12-Total!F12,3)</f>
        <v>-1.2E-2</v>
      </c>
      <c r="G12" s="67">
        <f>ROUND(Total!H12-Total!G12,3)</f>
        <v>-0.85199999999999998</v>
      </c>
      <c r="H12" s="67">
        <f t="shared" si="1"/>
        <v>-1.625</v>
      </c>
      <c r="I12" s="65"/>
      <c r="K12" s="19"/>
    </row>
    <row r="13" spans="2:11" ht="15.75" x14ac:dyDescent="0.25">
      <c r="B13" s="3">
        <f t="shared" si="0"/>
        <v>2021</v>
      </c>
      <c r="C13" s="67">
        <f>ROUND(Total!D13-Total!C13,3)</f>
        <v>-2.883</v>
      </c>
      <c r="D13" s="67">
        <f>ROUND(Total!E13-Total!D13,3)</f>
        <v>-0.45200000000000001</v>
      </c>
      <c r="E13" s="67">
        <f>ROUND(Total!F13-Total!E13,3)</f>
        <v>-0.20399999999999999</v>
      </c>
      <c r="F13" s="67">
        <f>ROUND(Total!G13-Total!F13,3)</f>
        <v>2.633</v>
      </c>
      <c r="G13" s="67">
        <f>ROUND(Total!H13-Total!G13,3)</f>
        <v>-4.6440000000000001</v>
      </c>
      <c r="H13" s="67">
        <f t="shared" si="1"/>
        <v>-5.5500000000000007</v>
      </c>
      <c r="I13" s="65"/>
      <c r="K13" s="19"/>
    </row>
    <row r="14" spans="2:11" ht="15.75" x14ac:dyDescent="0.25">
      <c r="B14" s="3">
        <f t="shared" si="0"/>
        <v>2022</v>
      </c>
      <c r="C14" s="67">
        <f>ROUND(Total!D14-Total!C14,3)</f>
        <v>0.09</v>
      </c>
      <c r="D14" s="67">
        <f>ROUND(Total!E14-Total!D14,3)</f>
        <v>0.04</v>
      </c>
      <c r="E14" s="67">
        <f>ROUND(Total!F14-Total!E14,3)</f>
        <v>-0.38300000000000001</v>
      </c>
      <c r="F14" s="67">
        <f>ROUND(Total!G14-Total!F14,3)</f>
        <v>0.11799999999999999</v>
      </c>
      <c r="G14" s="67">
        <f>ROUND(Total!H14-Total!G14,3)</f>
        <v>-5.12</v>
      </c>
      <c r="H14" s="67">
        <f t="shared" si="1"/>
        <v>-5.2549999999999999</v>
      </c>
      <c r="I14" s="65"/>
      <c r="K14" s="19"/>
    </row>
    <row r="15" spans="2:11" ht="15.75" x14ac:dyDescent="0.25">
      <c r="B15" s="3">
        <f t="shared" si="0"/>
        <v>2023</v>
      </c>
      <c r="C15" s="67">
        <f>ROUND(Total!D15-Total!C15,3)</f>
        <v>-1.1359999999999999</v>
      </c>
      <c r="D15" s="67">
        <f>ROUND(Total!E15-Total!D15,3)</f>
        <v>-0.54</v>
      </c>
      <c r="E15" s="67">
        <f>ROUND(Total!F15-Total!E15,3)</f>
        <v>-0.26500000000000001</v>
      </c>
      <c r="F15" s="67">
        <f>ROUND(Total!G15-Total!F15,3)</f>
        <v>1.22</v>
      </c>
      <c r="G15" s="67">
        <f>ROUND(Total!H15-Total!G15,3)</f>
        <v>-5.7389999999999999</v>
      </c>
      <c r="H15" s="67">
        <f t="shared" si="1"/>
        <v>-6.46</v>
      </c>
      <c r="I15" s="65"/>
      <c r="K15" s="19"/>
    </row>
    <row r="16" spans="2:11" ht="15.75" x14ac:dyDescent="0.25">
      <c r="B16" s="3">
        <f t="shared" si="0"/>
        <v>2024</v>
      </c>
      <c r="C16" s="67">
        <f>ROUND(Total!D16-Total!C16,3)</f>
        <v>-1.4319999999999999</v>
      </c>
      <c r="D16" s="67">
        <f>ROUND(Total!E16-Total!D16,3)</f>
        <v>-6.4000000000000001E-2</v>
      </c>
      <c r="E16" s="67">
        <f>ROUND(Total!F16-Total!E16,3)</f>
        <v>-0.20200000000000001</v>
      </c>
      <c r="F16" s="67">
        <f>ROUND(Total!G16-Total!F16,3)</f>
        <v>-0.16800000000000001</v>
      </c>
      <c r="G16" s="67">
        <f>ROUND(Total!H16-Total!G16,3)</f>
        <v>-5.83</v>
      </c>
      <c r="H16" s="67">
        <f t="shared" si="1"/>
        <v>-7.6959999999999997</v>
      </c>
      <c r="I16" s="65"/>
      <c r="K16" s="19"/>
    </row>
    <row r="17" spans="2:11" ht="15.75" x14ac:dyDescent="0.25">
      <c r="B17" s="3">
        <f t="shared" si="0"/>
        <v>2025</v>
      </c>
      <c r="C17" s="67">
        <f>ROUND(Total!D17-Total!C17,3)</f>
        <v>-1.43</v>
      </c>
      <c r="D17" s="67">
        <f>ROUND(Total!E17-Total!D17,3)</f>
        <v>3.3000000000000002E-2</v>
      </c>
      <c r="E17" s="67">
        <f>ROUND(Total!F17-Total!E17,3)</f>
        <v>-0.41499999999999998</v>
      </c>
      <c r="F17" s="67">
        <f>ROUND(Total!G17-Total!F17,3)</f>
        <v>-0.34</v>
      </c>
      <c r="G17" s="67">
        <f>ROUND(Total!H17-Total!G17,3)</f>
        <v>-5.6769999999999996</v>
      </c>
      <c r="H17" s="67">
        <f t="shared" si="1"/>
        <v>-7.8289999999999997</v>
      </c>
      <c r="I17" s="65"/>
      <c r="K17" s="19"/>
    </row>
    <row r="18" spans="2:11" ht="15.75" x14ac:dyDescent="0.25">
      <c r="B18" s="3">
        <f t="shared" si="0"/>
        <v>2026</v>
      </c>
      <c r="C18" s="67">
        <f>ROUND(Total!D18-Total!C18,3)</f>
        <v>-0.89600000000000002</v>
      </c>
      <c r="D18" s="67">
        <f>ROUND(Total!E18-Total!D18,3)</f>
        <v>1.6E-2</v>
      </c>
      <c r="E18" s="67">
        <f>ROUND(Total!F18-Total!E18,3)</f>
        <v>-0.441</v>
      </c>
      <c r="F18" s="67">
        <f>ROUND(Total!G18-Total!F18,3)</f>
        <v>-0.373</v>
      </c>
      <c r="G18" s="67">
        <f>ROUND(Total!H18-Total!G18,3)</f>
        <v>-6.3780000000000001</v>
      </c>
      <c r="H18" s="67">
        <f t="shared" si="1"/>
        <v>-8.0719999999999992</v>
      </c>
      <c r="I18" s="65"/>
      <c r="K18" s="19"/>
    </row>
    <row r="19" spans="2:11" ht="15.75" x14ac:dyDescent="0.25">
      <c r="B19" s="3">
        <f t="shared" si="0"/>
        <v>2027</v>
      </c>
      <c r="C19" s="67">
        <f>ROUND(Total!D19-Total!C19,3)</f>
        <v>-0.88600000000000001</v>
      </c>
      <c r="D19" s="67">
        <f>ROUND(Total!E19-Total!D19,3)</f>
        <v>-2.3E-2</v>
      </c>
      <c r="E19" s="67">
        <f>ROUND(Total!F19-Total!E19,3)</f>
        <v>-0.41599999999999998</v>
      </c>
      <c r="F19" s="67">
        <f>ROUND(Total!G19-Total!F19,3)</f>
        <v>-0.46200000000000002</v>
      </c>
      <c r="G19" s="67">
        <f>ROUND(Total!H19-Total!G19,3)</f>
        <v>-6.9610000000000003</v>
      </c>
      <c r="H19" s="67">
        <f t="shared" si="1"/>
        <v>-8.7480000000000011</v>
      </c>
      <c r="I19" s="65"/>
      <c r="K19" s="19"/>
    </row>
    <row r="20" spans="2:11" ht="15.75" x14ac:dyDescent="0.25">
      <c r="B20" s="3">
        <f t="shared" si="0"/>
        <v>2028</v>
      </c>
      <c r="C20" s="67">
        <f>ROUND(Total!D20-Total!C20,3)</f>
        <v>-0.44500000000000001</v>
      </c>
      <c r="D20" s="67">
        <f>ROUND(Total!E20-Total!D20,3)</f>
        <v>-0.182</v>
      </c>
      <c r="E20" s="67">
        <f>ROUND(Total!F20-Total!E20,3)</f>
        <v>-0.39100000000000001</v>
      </c>
      <c r="F20" s="67">
        <f>ROUND(Total!G20-Total!F20,3)</f>
        <v>0.16200000000000001</v>
      </c>
      <c r="G20" s="67">
        <f>ROUND(Total!H20-Total!G20,3)</f>
        <v>-5.665</v>
      </c>
      <c r="H20" s="67">
        <f t="shared" si="1"/>
        <v>-6.5209999999999999</v>
      </c>
      <c r="I20" s="65"/>
      <c r="K20" s="19"/>
    </row>
    <row r="21" spans="2:11" ht="15.75" x14ac:dyDescent="0.25">
      <c r="B21" s="3">
        <f t="shared" si="0"/>
        <v>2029</v>
      </c>
      <c r="C21" s="67">
        <f>ROUND(Total!D21-Total!C21,3)</f>
        <v>-0.16500000000000001</v>
      </c>
      <c r="D21" s="67">
        <f>ROUND(Total!E21-Total!D21,3)</f>
        <v>-0.56100000000000005</v>
      </c>
      <c r="E21" s="67">
        <f>ROUND(Total!F21-Total!E21,3)</f>
        <v>-0.184</v>
      </c>
      <c r="F21" s="67">
        <f>ROUND(Total!G21-Total!F21,3)</f>
        <v>0.88600000000000001</v>
      </c>
      <c r="G21" s="67">
        <f>ROUND(Total!H21-Total!G21,3)</f>
        <v>-6.1630000000000003</v>
      </c>
      <c r="H21" s="67">
        <f t="shared" si="1"/>
        <v>-6.1870000000000003</v>
      </c>
      <c r="I21" s="65"/>
      <c r="K21" s="19"/>
    </row>
    <row r="22" spans="2:11" ht="15.75" x14ac:dyDescent="0.25">
      <c r="B22" s="3">
        <f t="shared" si="0"/>
        <v>2030</v>
      </c>
      <c r="C22" s="67">
        <f>ROUND(Total!D22-Total!C22,3)</f>
        <v>0.377</v>
      </c>
      <c r="D22" s="67">
        <f>ROUND(Total!E22-Total!D22,3)</f>
        <v>-0.32800000000000001</v>
      </c>
      <c r="E22" s="67">
        <f>ROUND(Total!F22-Total!E22,3)</f>
        <v>-0.30399999999999999</v>
      </c>
      <c r="F22" s="67">
        <f>ROUND(Total!G22-Total!F22,3)</f>
        <v>1.002</v>
      </c>
      <c r="G22" s="67">
        <f>ROUND(Total!H22-Total!G22,3)</f>
        <v>-6.0259999999999998</v>
      </c>
      <c r="H22" s="67">
        <f t="shared" si="1"/>
        <v>-5.2789999999999999</v>
      </c>
      <c r="I22" s="65"/>
      <c r="K22" s="19"/>
    </row>
    <row r="23" spans="2:11" ht="15.75" x14ac:dyDescent="0.25">
      <c r="B23" s="3">
        <f t="shared" si="0"/>
        <v>2031</v>
      </c>
      <c r="C23" s="67">
        <f>ROUND(Total!D23-Total!C23,3)</f>
        <v>0.67800000000000005</v>
      </c>
      <c r="D23" s="67">
        <f>ROUND(Total!E23-Total!D23,3)</f>
        <v>-0.154</v>
      </c>
      <c r="E23" s="67">
        <f>ROUND(Total!F23-Total!E23,3)</f>
        <v>-0.89600000000000002</v>
      </c>
      <c r="F23" s="67">
        <f>ROUND(Total!G23-Total!F23,3)</f>
        <v>1.407</v>
      </c>
      <c r="G23" s="67">
        <f>ROUND(Total!H23-Total!G23,3)</f>
        <v>-6.2910000000000004</v>
      </c>
      <c r="H23" s="67">
        <f t="shared" si="1"/>
        <v>-5.2560000000000002</v>
      </c>
      <c r="I23" s="65"/>
      <c r="K23" s="19"/>
    </row>
    <row r="24" spans="2:11" ht="15.75" x14ac:dyDescent="0.25">
      <c r="B24" s="3">
        <f t="shared" si="0"/>
        <v>2032</v>
      </c>
      <c r="C24" s="67">
        <f>ROUND(Total!D24-Total!C24,3)</f>
        <v>0.94299999999999995</v>
      </c>
      <c r="D24" s="67">
        <f>ROUND(Total!E24-Total!D24,3)</f>
        <v>-0.34499999999999997</v>
      </c>
      <c r="E24" s="67">
        <f>ROUND(Total!F24-Total!E24,3)</f>
        <v>-0.32200000000000001</v>
      </c>
      <c r="F24" s="67">
        <f>ROUND(Total!G24-Total!F24,3)</f>
        <v>1.24</v>
      </c>
      <c r="G24" s="67">
        <f>ROUND(Total!H24-Total!G24,3)</f>
        <v>-6.2249999999999996</v>
      </c>
      <c r="H24" s="67">
        <f t="shared" si="1"/>
        <v>-4.7089999999999996</v>
      </c>
      <c r="I24" s="65"/>
      <c r="K24" s="19"/>
    </row>
    <row r="25" spans="2:11" ht="15.75" x14ac:dyDescent="0.25">
      <c r="B25" s="3">
        <f t="shared" si="0"/>
        <v>2033</v>
      </c>
      <c r="C25" s="67">
        <f>ROUND(Total!D25-Total!C25,3)</f>
        <v>1.9730000000000001</v>
      </c>
      <c r="D25" s="67">
        <f>ROUND(Total!E25-Total!D25,3)</f>
        <v>-0.32100000000000001</v>
      </c>
      <c r="E25" s="67">
        <f>ROUND(Total!F25-Total!E25,3)</f>
        <v>0.745</v>
      </c>
      <c r="F25" s="67">
        <f>ROUND(Total!G25-Total!F25,3)</f>
        <v>0.95299999999999996</v>
      </c>
      <c r="G25" s="67">
        <f>ROUND(Total!H25-Total!G25,3)</f>
        <v>-5.282</v>
      </c>
      <c r="H25" s="67">
        <f t="shared" si="1"/>
        <v>-1.9319999999999999</v>
      </c>
      <c r="I25" s="65"/>
      <c r="K25" s="19"/>
    </row>
    <row r="26" spans="2:11" ht="15.75" x14ac:dyDescent="0.25">
      <c r="B26" s="3">
        <f t="shared" si="0"/>
        <v>2034</v>
      </c>
      <c r="C26" s="67">
        <f>ROUND(Total!D26-Total!C26,3)</f>
        <v>2.4060000000000001</v>
      </c>
      <c r="D26" s="67">
        <f>ROUND(Total!E26-Total!D26,3)</f>
        <v>-0.30399999999999999</v>
      </c>
      <c r="E26" s="67">
        <f>ROUND(Total!F26-Total!E26,3)</f>
        <v>0.88100000000000001</v>
      </c>
      <c r="F26" s="67">
        <f>ROUND(Total!G26-Total!F26,3)</f>
        <v>1.202</v>
      </c>
      <c r="G26" s="67">
        <f>ROUND(Total!H26-Total!G26,3)</f>
        <v>-4.4889999999999999</v>
      </c>
      <c r="H26" s="67">
        <f t="shared" si="1"/>
        <v>-0.30399999999999938</v>
      </c>
      <c r="I26" s="65"/>
      <c r="K26" s="19"/>
    </row>
    <row r="27" spans="2:11" ht="15.75" x14ac:dyDescent="0.25">
      <c r="B27" s="3">
        <f t="shared" si="0"/>
        <v>2035</v>
      </c>
      <c r="C27" s="67">
        <f>ROUND(Total!D27-Total!C27,3)</f>
        <v>2.6789999999999998</v>
      </c>
      <c r="D27" s="67">
        <f>ROUND(Total!E27-Total!D27,3)</f>
        <v>-0.39300000000000002</v>
      </c>
      <c r="E27" s="67">
        <f>ROUND(Total!F27-Total!E27,3)</f>
        <v>0.57999999999999996</v>
      </c>
      <c r="F27" s="67">
        <f>ROUND(Total!G27-Total!F27,3)</f>
        <v>1.6539999999999999</v>
      </c>
      <c r="G27" s="67">
        <f>ROUND(Total!H27-Total!G27,3)</f>
        <v>-0.73699999999999999</v>
      </c>
      <c r="H27" s="67">
        <f t="shared" si="1"/>
        <v>3.7829999999999995</v>
      </c>
      <c r="I27" s="65"/>
      <c r="K27" s="19"/>
    </row>
    <row r="28" spans="2:11" x14ac:dyDescent="0.2">
      <c r="C28" s="49"/>
      <c r="D28" s="49"/>
      <c r="E28" s="49"/>
      <c r="F28" s="49"/>
      <c r="G28" s="49"/>
      <c r="H28" s="49"/>
      <c r="I28" s="65"/>
    </row>
    <row r="29" spans="2:11" x14ac:dyDescent="0.2">
      <c r="B29" s="13" t="str">
        <f>Total!B29</f>
        <v>Nominal Levelized Payment at 6.57% Discount Rate (3)</v>
      </c>
      <c r="C29" s="69"/>
      <c r="D29" s="69"/>
      <c r="E29" s="69"/>
      <c r="F29" s="69"/>
      <c r="G29" s="69"/>
      <c r="H29" s="69"/>
      <c r="I29" s="65"/>
      <c r="J29" s="1" t="s">
        <v>23</v>
      </c>
    </row>
    <row r="30" spans="2:11" x14ac:dyDescent="0.2">
      <c r="B30" s="8" t="str">
        <f>B10&amp;" - "&amp;B24</f>
        <v>2018 - 2032</v>
      </c>
      <c r="C30" s="68">
        <f>ROUND(Total!D30-Total!C30,3)</f>
        <v>-0.755</v>
      </c>
      <c r="D30" s="68">
        <f>ROUND(Total!E30-Total!D30,3)</f>
        <v>-0.16700000000000001</v>
      </c>
      <c r="E30" s="68">
        <f>ROUND(Total!F30-Total!E30,3)</f>
        <v>-0.22</v>
      </c>
      <c r="F30" s="68">
        <f>ROUND(Total!G30-Total!F30,3)</f>
        <v>0.44800000000000001</v>
      </c>
      <c r="G30" s="68">
        <f>ROUND(Total!H30-Total!G30,3)</f>
        <v>-4.2380000000000004</v>
      </c>
      <c r="H30" s="68">
        <f t="shared" ref="H30:H32" si="2">SUM(C30:G30)</f>
        <v>-4.9320000000000004</v>
      </c>
      <c r="I30" s="65"/>
      <c r="J30" s="76">
        <f>SUM(C30:G30)-H30</f>
        <v>0</v>
      </c>
    </row>
    <row r="31" spans="2:11" x14ac:dyDescent="0.2">
      <c r="B31" s="8" t="str">
        <f>B11&amp;" - "&amp;B25</f>
        <v>2019 - 2033</v>
      </c>
      <c r="C31" s="68">
        <f>ROUND(Total!D31-Total!C31,3)</f>
        <v>-0.60199999999999998</v>
      </c>
      <c r="D31" s="68">
        <f>ROUND(Total!E31-Total!D31,3)</f>
        <v>-0.17299999999999999</v>
      </c>
      <c r="E31" s="68">
        <f>ROUND(Total!F31-Total!E31,3)</f>
        <v>-0.20399999999999999</v>
      </c>
      <c r="F31" s="68">
        <f>ROUND(Total!G31-Total!F31,3)</f>
        <v>0.51800000000000002</v>
      </c>
      <c r="G31" s="68">
        <f>ROUND(Total!H31-Total!G31,3)</f>
        <v>-4.734</v>
      </c>
      <c r="H31" s="68">
        <f t="shared" si="2"/>
        <v>-5.1950000000000003</v>
      </c>
      <c r="I31" s="65"/>
      <c r="J31" s="76">
        <f t="shared" ref="J31:J32" si="3">SUM(C31:G31)-H31</f>
        <v>0</v>
      </c>
    </row>
    <row r="32" spans="2:11" x14ac:dyDescent="0.2">
      <c r="B32" s="8" t="str">
        <f>B12&amp;" - "&amp;B26</f>
        <v>2020 - 2034</v>
      </c>
      <c r="C32" s="68">
        <f>ROUND(Total!D32-Total!C32,3)</f>
        <v>-0.55200000000000005</v>
      </c>
      <c r="D32" s="68">
        <f>ROUND(Total!E32-Total!D32,3)</f>
        <v>-0.19700000000000001</v>
      </c>
      <c r="E32" s="68">
        <f>ROUND(Total!F32-Total!E32,3)</f>
        <v>-0.185</v>
      </c>
      <c r="F32" s="68">
        <f>ROUND(Total!G32-Total!F32,3)</f>
        <v>0.59699999999999998</v>
      </c>
      <c r="G32" s="68">
        <f>ROUND(Total!H32-Total!G32,3)</f>
        <v>-5.23</v>
      </c>
      <c r="H32" s="68">
        <f t="shared" si="2"/>
        <v>-5.5670000000000002</v>
      </c>
      <c r="I32" s="65"/>
      <c r="J32" s="76">
        <f t="shared" si="3"/>
        <v>0</v>
      </c>
    </row>
    <row r="33" spans="2:8" x14ac:dyDescent="0.2">
      <c r="C33" s="49"/>
      <c r="D33" s="49"/>
      <c r="E33" s="49"/>
      <c r="F33" s="49"/>
      <c r="G33" s="49"/>
      <c r="H33" s="51"/>
    </row>
    <row r="34" spans="2:8" x14ac:dyDescent="0.2">
      <c r="B34" s="1" t="str">
        <f>Total!B34</f>
        <v>(1)   Studies are sequential.  The order of the studies would affect the price impact.</v>
      </c>
      <c r="C34" s="49"/>
      <c r="D34" s="49"/>
      <c r="E34" s="49"/>
      <c r="F34" s="49"/>
      <c r="G34" s="49"/>
      <c r="H34" s="49"/>
    </row>
    <row r="35" spans="2:8" x14ac:dyDescent="0.2">
      <c r="B35" s="1" t="str">
        <f>Total!B35</f>
        <v>(2)   Official Forward Price Curve Dated December 2017</v>
      </c>
    </row>
    <row r="36" spans="2:8" x14ac:dyDescent="0.2">
      <c r="B36" s="1" t="str">
        <f>Total!B36</f>
        <v>(3)   Discount Rate - 2017 IRP</v>
      </c>
      <c r="C36" s="8"/>
    </row>
    <row r="40" spans="2:8" hidden="1" x14ac:dyDescent="0.2">
      <c r="B40" s="21" t="s">
        <v>13</v>
      </c>
    </row>
    <row r="41" spans="2:8" hidden="1" x14ac:dyDescent="0.2">
      <c r="B41" s="37">
        <f>Discount_Rate</f>
        <v>6.5699999999999995E-2</v>
      </c>
    </row>
  </sheetData>
  <phoneticPr fontId="2" type="noConversion"/>
  <printOptions horizontalCentered="1"/>
  <pageMargins left="0.25" right="0.25" top="0.75" bottom="0.75" header="0.3" footer="0.2"/>
  <pageSetup scale="91" orientation="landscape" r:id="rId1"/>
  <headerFooter alignWithMargins="0">
    <oddFooter>&amp;L&amp;8NPC Group - &amp;F   ( &amp;A )&amp;C&amp;8Page &amp;P of &amp;N&amp;R&amp;8&amp;D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2"/>
    <pageSetUpPr fitToPage="1"/>
  </sheetPr>
  <dimension ref="B1:Q44"/>
  <sheetViews>
    <sheetView zoomScale="70" zoomScaleNormal="70" workbookViewId="0">
      <pane xSplit="2" ySplit="9" topLeftCell="C26" activePane="bottomRight" state="frozen"/>
      <selection activeCell="E37" sqref="E37"/>
      <selection pane="topRight" activeCell="E37" sqref="E37"/>
      <selection pane="bottomLeft" activeCell="E37" sqref="E37"/>
      <selection pane="bottomRight" activeCell="H27" sqref="H27"/>
    </sheetView>
  </sheetViews>
  <sheetFormatPr defaultColWidth="9.140625" defaultRowHeight="15" x14ac:dyDescent="0.2"/>
  <cols>
    <col min="1" max="1" width="1.85546875" style="1" customWidth="1"/>
    <col min="2" max="2" width="13.7109375" style="1" customWidth="1"/>
    <col min="3" max="6" width="17.7109375" style="1" customWidth="1"/>
    <col min="7" max="7" width="26.28515625" style="1" customWidth="1"/>
    <col min="8" max="8" width="21.140625" style="1" customWidth="1"/>
    <col min="9" max="9" width="2.42578125" style="1" customWidth="1"/>
    <col min="10" max="10" width="9.140625" style="1"/>
    <col min="11" max="11" width="10.28515625" style="1" bestFit="1" customWidth="1"/>
    <col min="12" max="15" width="9.140625" style="1"/>
    <col min="16" max="16" width="10.28515625" style="1" customWidth="1"/>
    <col min="17" max="16384" width="9.140625" style="1"/>
  </cols>
  <sheetData>
    <row r="1" spans="2:17" ht="15.75" x14ac:dyDescent="0.25">
      <c r="B1" s="6" t="s">
        <v>4</v>
      </c>
      <c r="C1" s="6"/>
      <c r="D1" s="6"/>
      <c r="E1" s="6"/>
      <c r="F1" s="6"/>
      <c r="G1" s="6"/>
      <c r="H1" s="6"/>
    </row>
    <row r="2" spans="2:17" ht="8.25" customHeight="1" x14ac:dyDescent="0.25">
      <c r="B2" s="6"/>
      <c r="C2" s="6"/>
      <c r="D2" s="6"/>
      <c r="E2" s="6"/>
      <c r="F2" s="6"/>
      <c r="G2" s="6"/>
      <c r="H2" s="6"/>
    </row>
    <row r="3" spans="2:17" ht="15.75" x14ac:dyDescent="0.25">
      <c r="B3" s="6" t="s">
        <v>1</v>
      </c>
      <c r="C3" s="6"/>
      <c r="D3" s="6"/>
      <c r="E3" s="6"/>
      <c r="F3" s="6"/>
      <c r="G3" s="6"/>
      <c r="H3" s="6"/>
    </row>
    <row r="4" spans="2:17" ht="15.75" x14ac:dyDescent="0.25">
      <c r="B4" s="6" t="str">
        <f>Capacity!$B$4</f>
        <v>Step Study between 2017.Q4 and 2017.Q3 Compliance Filing</v>
      </c>
      <c r="C4" s="6"/>
      <c r="D4" s="6"/>
      <c r="E4" s="6"/>
      <c r="F4" s="6"/>
      <c r="G4" s="6"/>
      <c r="H4" s="6"/>
    </row>
    <row r="5" spans="2:17" ht="15.75" x14ac:dyDescent="0.25">
      <c r="B5" s="6" t="s">
        <v>11</v>
      </c>
      <c r="C5" s="6"/>
      <c r="D5" s="6"/>
      <c r="E5" s="6"/>
      <c r="F5" s="6"/>
      <c r="G5" s="6"/>
      <c r="H5" s="6"/>
    </row>
    <row r="6" spans="2:17" s="18" customFormat="1" ht="15.75" x14ac:dyDescent="0.25">
      <c r="B6" s="16"/>
      <c r="C6" s="16"/>
      <c r="D6" s="16"/>
      <c r="E6" s="17"/>
      <c r="F6" s="17"/>
      <c r="G6" s="16"/>
      <c r="H6" s="16"/>
    </row>
    <row r="7" spans="2:17" ht="15.75" x14ac:dyDescent="0.25">
      <c r="B7" s="43"/>
      <c r="C7" s="44" t="str">
        <f>Energy!C7</f>
        <v>2017.Q3</v>
      </c>
      <c r="D7" s="44" t="str">
        <f>Energy!D7</f>
        <v>OFPC</v>
      </c>
      <c r="E7" s="44" t="str">
        <f>Energy!E7</f>
        <v>Generic</v>
      </c>
      <c r="F7" s="44" t="str">
        <f>Energy!F7</f>
        <v>Queue</v>
      </c>
      <c r="G7" s="44" t="str">
        <f>Energy!G7</f>
        <v>Commission Ordered</v>
      </c>
      <c r="H7" s="44" t="str">
        <f>Energy!H7</f>
        <v>Trapped Energy</v>
      </c>
    </row>
    <row r="8" spans="2:17" ht="15.75" x14ac:dyDescent="0.25">
      <c r="B8" s="7" t="s">
        <v>0</v>
      </c>
      <c r="C8" s="2" t="str">
        <f>Energy!C8</f>
        <v>As Filed</v>
      </c>
      <c r="D8" s="2" t="str">
        <f>Energy!D8</f>
        <v>Routine</v>
      </c>
      <c r="E8" s="2" t="str">
        <f>Energy!E8</f>
        <v>Routine</v>
      </c>
      <c r="F8" s="2" t="str">
        <f>Energy!F8</f>
        <v>Routine</v>
      </c>
      <c r="G8" s="2" t="str">
        <f>Energy!G8</f>
        <v>Routine</v>
      </c>
      <c r="H8" s="2" t="str">
        <f>Energy!H8</f>
        <v>Non-Routine</v>
      </c>
    </row>
    <row r="9" spans="2:17" ht="4.5" customHeight="1" x14ac:dyDescent="0.2"/>
    <row r="10" spans="2:17" ht="15.75" x14ac:dyDescent="0.25">
      <c r="B10" s="3">
        <v>2018</v>
      </c>
      <c r="C10" s="73">
        <f>ROUND(Capacity!$F10+Energy!C10,3)</f>
        <v>20.686</v>
      </c>
      <c r="D10" s="73">
        <f>ROUND(Capacity!$G10+Energy!D10,3)</f>
        <v>19.556000000000001</v>
      </c>
      <c r="E10" s="73">
        <f>ROUND(Capacity!$G10+Energy!E10,3)</f>
        <v>19.381</v>
      </c>
      <c r="F10" s="73">
        <f>ROUND(Capacity!$G10+Energy!F10,3)</f>
        <v>19.382000000000001</v>
      </c>
      <c r="G10" s="73">
        <f>ROUND(Capacity!$G10+Energy!G10,3)</f>
        <v>19.376999999999999</v>
      </c>
      <c r="H10" s="73">
        <f>ROUND(Capacity!$G10+Energy!H10,3)</f>
        <v>19.376999999999999</v>
      </c>
      <c r="J10" s="45"/>
      <c r="K10" s="52"/>
      <c r="L10" s="45"/>
      <c r="M10" s="45"/>
      <c r="N10" s="45"/>
      <c r="O10" s="45"/>
      <c r="P10" s="45"/>
    </row>
    <row r="11" spans="2:17" ht="15.75" x14ac:dyDescent="0.25">
      <c r="B11" s="3">
        <f t="shared" ref="B11:B27" si="0">B10+1</f>
        <v>2019</v>
      </c>
      <c r="C11" s="73">
        <f>ROUND(Capacity!$F11+Energy!C11,3)</f>
        <v>18.835999999999999</v>
      </c>
      <c r="D11" s="73">
        <f>ROUND(Capacity!$G11+Energy!D11,3)</f>
        <v>18.954000000000001</v>
      </c>
      <c r="E11" s="73">
        <f>ROUND(Capacity!$G11+Energy!E11,3)</f>
        <v>18.954000000000001</v>
      </c>
      <c r="F11" s="73">
        <f>ROUND(Capacity!$G11+Energy!F11,3)</f>
        <v>19</v>
      </c>
      <c r="G11" s="73">
        <f>ROUND(Capacity!$G11+Energy!G11,3)</f>
        <v>19.036000000000001</v>
      </c>
      <c r="H11" s="73">
        <f>ROUND(Capacity!$G11+Energy!H11,3)</f>
        <v>19.036000000000001</v>
      </c>
      <c r="J11" s="45"/>
      <c r="K11" s="52"/>
      <c r="L11" s="45"/>
      <c r="M11" s="45"/>
      <c r="N11" s="45"/>
      <c r="O11" s="45"/>
      <c r="P11" s="45"/>
    </row>
    <row r="12" spans="2:17" ht="15.75" x14ac:dyDescent="0.25">
      <c r="B12" s="3">
        <f t="shared" si="0"/>
        <v>2020</v>
      </c>
      <c r="C12" s="73">
        <f>ROUND(Capacity!$F12+Energy!C12,3)</f>
        <v>16.931999999999999</v>
      </c>
      <c r="D12" s="73">
        <f>ROUND(Capacity!$G12+Energy!D12,3)</f>
        <v>15.842000000000001</v>
      </c>
      <c r="E12" s="73">
        <f>ROUND(Capacity!$G12+Energy!E12,3)</f>
        <v>15.842000000000001</v>
      </c>
      <c r="F12" s="73">
        <f>ROUND(Capacity!$G12+Energy!F12,3)</f>
        <v>16.170999999999999</v>
      </c>
      <c r="G12" s="73">
        <f>ROUND(Capacity!$G12+Energy!G12,3)</f>
        <v>16.158999999999999</v>
      </c>
      <c r="H12" s="73">
        <f>ROUND(Capacity!$G12+Energy!H12,3)</f>
        <v>15.307</v>
      </c>
      <c r="J12" s="45"/>
      <c r="K12" s="52"/>
      <c r="L12" s="45"/>
      <c r="M12" s="45"/>
      <c r="N12" s="45"/>
      <c r="O12" s="45"/>
      <c r="P12" s="45"/>
    </row>
    <row r="13" spans="2:17" ht="15.75" x14ac:dyDescent="0.25">
      <c r="B13" s="3">
        <f t="shared" si="0"/>
        <v>2021</v>
      </c>
      <c r="C13" s="73">
        <f>ROUND(Capacity!$F13+Energy!C13,3)</f>
        <v>18.863</v>
      </c>
      <c r="D13" s="73">
        <f>ROUND(Capacity!$G13+Energy!D13,3)</f>
        <v>15.98</v>
      </c>
      <c r="E13" s="73">
        <f>ROUND(Capacity!$G13+Energy!E13,3)</f>
        <v>15.528</v>
      </c>
      <c r="F13" s="73">
        <f>ROUND(Capacity!$G13+Energy!F13,3)</f>
        <v>15.324</v>
      </c>
      <c r="G13" s="73">
        <f>ROUND(Capacity!$G13+Energy!G13,3)</f>
        <v>17.957000000000001</v>
      </c>
      <c r="H13" s="73">
        <f>ROUND(Capacity!$G13+Energy!H13,3)</f>
        <v>13.313000000000001</v>
      </c>
      <c r="J13" s="45"/>
      <c r="K13" s="52"/>
      <c r="L13" s="45"/>
      <c r="M13" s="45"/>
      <c r="N13" s="45"/>
      <c r="O13" s="45"/>
      <c r="P13" s="45"/>
      <c r="Q13" s="5"/>
    </row>
    <row r="14" spans="2:17" ht="15.75" x14ac:dyDescent="0.25">
      <c r="B14" s="3">
        <f t="shared" si="0"/>
        <v>2022</v>
      </c>
      <c r="C14" s="73">
        <f>ROUND(Capacity!$F14+Energy!C14,3)</f>
        <v>19.908999999999999</v>
      </c>
      <c r="D14" s="73">
        <f>ROUND(Capacity!$G14+Energy!D14,3)</f>
        <v>19.998999999999999</v>
      </c>
      <c r="E14" s="73">
        <f>ROUND(Capacity!$G14+Energy!E14,3)</f>
        <v>20.039000000000001</v>
      </c>
      <c r="F14" s="73">
        <f>ROUND(Capacity!$G14+Energy!F14,3)</f>
        <v>19.655999999999999</v>
      </c>
      <c r="G14" s="73">
        <f>ROUND(Capacity!$G14+Energy!G14,3)</f>
        <v>19.774000000000001</v>
      </c>
      <c r="H14" s="73">
        <f>ROUND(Capacity!$G14+Energy!H14,3)</f>
        <v>14.654</v>
      </c>
      <c r="J14" s="45"/>
      <c r="K14" s="52"/>
      <c r="L14" s="45"/>
      <c r="M14" s="45"/>
      <c r="N14" s="45"/>
      <c r="O14" s="45"/>
      <c r="P14" s="45"/>
    </row>
    <row r="15" spans="2:17" ht="15.75" x14ac:dyDescent="0.25">
      <c r="B15" s="3">
        <f t="shared" si="0"/>
        <v>2023</v>
      </c>
      <c r="C15" s="73">
        <f>ROUND(Capacity!$F15+Energy!C15,3)</f>
        <v>20.738</v>
      </c>
      <c r="D15" s="73">
        <f>ROUND(Capacity!$G15+Energy!D15,3)</f>
        <v>19.602</v>
      </c>
      <c r="E15" s="73">
        <f>ROUND(Capacity!$G15+Energy!E15,3)</f>
        <v>19.062000000000001</v>
      </c>
      <c r="F15" s="73">
        <f>ROUND(Capacity!$G15+Energy!F15,3)</f>
        <v>18.797000000000001</v>
      </c>
      <c r="G15" s="73">
        <f>ROUND(Capacity!$G15+Energy!G15,3)</f>
        <v>20.016999999999999</v>
      </c>
      <c r="H15" s="73">
        <f>ROUND(Capacity!$G15+Energy!H15,3)</f>
        <v>14.278</v>
      </c>
      <c r="J15" s="45"/>
      <c r="K15" s="52"/>
      <c r="L15" s="45"/>
      <c r="M15" s="45"/>
      <c r="N15" s="45"/>
      <c r="O15" s="45"/>
      <c r="P15" s="45"/>
    </row>
    <row r="16" spans="2:17" ht="15.75" x14ac:dyDescent="0.25">
      <c r="B16" s="3">
        <f t="shared" si="0"/>
        <v>2024</v>
      </c>
      <c r="C16" s="73">
        <f>ROUND(Capacity!$F16+Energy!C16,3)</f>
        <v>24.254999999999999</v>
      </c>
      <c r="D16" s="73">
        <f>ROUND(Capacity!$G16+Energy!D16,3)</f>
        <v>22.823</v>
      </c>
      <c r="E16" s="73">
        <f>ROUND(Capacity!$G16+Energy!E16,3)</f>
        <v>22.759</v>
      </c>
      <c r="F16" s="73">
        <f>ROUND(Capacity!$G16+Energy!F16,3)</f>
        <v>22.556999999999999</v>
      </c>
      <c r="G16" s="73">
        <f>ROUND(Capacity!$G16+Energy!G16,3)</f>
        <v>22.388999999999999</v>
      </c>
      <c r="H16" s="73">
        <f>ROUND(Capacity!$G16+Energy!H16,3)</f>
        <v>16.559000000000001</v>
      </c>
      <c r="J16" s="45"/>
      <c r="K16" s="52"/>
      <c r="L16" s="45"/>
      <c r="M16" s="45"/>
      <c r="N16" s="45"/>
      <c r="O16" s="45"/>
      <c r="P16" s="45"/>
    </row>
    <row r="17" spans="2:16" ht="15.75" x14ac:dyDescent="0.25">
      <c r="B17" s="3">
        <f t="shared" si="0"/>
        <v>2025</v>
      </c>
      <c r="C17" s="73">
        <f>ROUND(Capacity!$F17+Energy!C17,3)</f>
        <v>27.641999999999999</v>
      </c>
      <c r="D17" s="73">
        <f>ROUND(Capacity!$G17+Energy!D17,3)</f>
        <v>26.212</v>
      </c>
      <c r="E17" s="73">
        <f>ROUND(Capacity!$G17+Energy!E17,3)</f>
        <v>26.245000000000001</v>
      </c>
      <c r="F17" s="73">
        <f>ROUND(Capacity!$G17+Energy!F17,3)</f>
        <v>25.83</v>
      </c>
      <c r="G17" s="73">
        <f>ROUND(Capacity!$G17+Energy!G17,3)</f>
        <v>25.49</v>
      </c>
      <c r="H17" s="73">
        <f>ROUND(Capacity!$G17+Energy!H17,3)</f>
        <v>19.812999999999999</v>
      </c>
      <c r="J17" s="45"/>
      <c r="K17" s="52"/>
      <c r="L17" s="45"/>
      <c r="M17" s="45"/>
      <c r="N17" s="45"/>
      <c r="O17" s="45"/>
      <c r="P17" s="45"/>
    </row>
    <row r="18" spans="2:16" ht="15.75" x14ac:dyDescent="0.25">
      <c r="B18" s="3">
        <f t="shared" si="0"/>
        <v>2026</v>
      </c>
      <c r="C18" s="73">
        <f>ROUND(Capacity!$F18+Energy!C18,3)</f>
        <v>27.390999999999998</v>
      </c>
      <c r="D18" s="73">
        <f>ROUND(Capacity!$G18+Energy!D18,3)</f>
        <v>26.495000000000001</v>
      </c>
      <c r="E18" s="73">
        <f>ROUND(Capacity!$G18+Energy!E18,3)</f>
        <v>26.510999999999999</v>
      </c>
      <c r="F18" s="73">
        <f>ROUND(Capacity!$G18+Energy!F18,3)</f>
        <v>26.07</v>
      </c>
      <c r="G18" s="73">
        <f>ROUND(Capacity!$G18+Energy!G18,3)</f>
        <v>25.696999999999999</v>
      </c>
      <c r="H18" s="73">
        <f>ROUND(Capacity!$G18+Energy!H18,3)</f>
        <v>19.318999999999999</v>
      </c>
      <c r="J18" s="45"/>
      <c r="K18" s="52"/>
      <c r="L18" s="45"/>
      <c r="M18" s="45"/>
      <c r="N18" s="45"/>
      <c r="O18" s="45"/>
      <c r="P18" s="45"/>
    </row>
    <row r="19" spans="2:16" ht="15.75" x14ac:dyDescent="0.25">
      <c r="B19" s="3">
        <f t="shared" si="0"/>
        <v>2027</v>
      </c>
      <c r="C19" s="73">
        <f>ROUND(Capacity!$F19+Energy!C19,3)</f>
        <v>28.399000000000001</v>
      </c>
      <c r="D19" s="73">
        <f>ROUND(Capacity!$G19+Energy!D19,3)</f>
        <v>27.513000000000002</v>
      </c>
      <c r="E19" s="73">
        <f>ROUND(Capacity!$G19+Energy!E19,3)</f>
        <v>27.49</v>
      </c>
      <c r="F19" s="73">
        <f>ROUND(Capacity!$G19+Energy!F19,3)</f>
        <v>27.074000000000002</v>
      </c>
      <c r="G19" s="73">
        <f>ROUND(Capacity!$G19+Energy!G19,3)</f>
        <v>26.611999999999998</v>
      </c>
      <c r="H19" s="73">
        <f>ROUND(Capacity!$G19+Energy!H19,3)</f>
        <v>19.651</v>
      </c>
      <c r="J19" s="45"/>
      <c r="K19" s="52"/>
      <c r="L19" s="45"/>
      <c r="M19" s="45"/>
      <c r="N19" s="45"/>
      <c r="O19" s="45"/>
      <c r="P19" s="45"/>
    </row>
    <row r="20" spans="2:16" ht="15.75" x14ac:dyDescent="0.25">
      <c r="B20" s="3">
        <f t="shared" si="0"/>
        <v>2028</v>
      </c>
      <c r="C20" s="73">
        <f>ROUND(Capacity!$F20+Energy!C20,3)</f>
        <v>30.41</v>
      </c>
      <c r="D20" s="73">
        <f>ROUND(Capacity!$G20+Energy!D20,3)</f>
        <v>29.965</v>
      </c>
      <c r="E20" s="73">
        <f>ROUND(Capacity!$G20+Energy!E20,3)</f>
        <v>29.783000000000001</v>
      </c>
      <c r="F20" s="73">
        <f>ROUND(Capacity!$G20+Energy!F20,3)</f>
        <v>29.391999999999999</v>
      </c>
      <c r="G20" s="73">
        <f>ROUND(Capacity!$G20+Energy!G20,3)</f>
        <v>29.553999999999998</v>
      </c>
      <c r="H20" s="73">
        <f>ROUND(Capacity!$G20+Energy!H20,3)</f>
        <v>23.888999999999999</v>
      </c>
      <c r="J20" s="45"/>
      <c r="K20" s="52"/>
      <c r="L20" s="45"/>
      <c r="M20" s="45"/>
      <c r="N20" s="45"/>
      <c r="O20" s="45"/>
      <c r="P20" s="45"/>
    </row>
    <row r="21" spans="2:16" ht="15.75" x14ac:dyDescent="0.25">
      <c r="B21" s="3">
        <f t="shared" si="0"/>
        <v>2029</v>
      </c>
      <c r="C21" s="73">
        <f>ROUND(Capacity!$F21+Energy!C21,3)</f>
        <v>32.533000000000001</v>
      </c>
      <c r="D21" s="73">
        <f>ROUND(Capacity!$G21+Energy!D21,3)</f>
        <v>32.368000000000002</v>
      </c>
      <c r="E21" s="73">
        <f>ROUND(Capacity!$G21+Energy!E21,3)</f>
        <v>31.806999999999999</v>
      </c>
      <c r="F21" s="73">
        <f>ROUND(Capacity!$G21+Energy!F21,3)</f>
        <v>31.623000000000001</v>
      </c>
      <c r="G21" s="73">
        <f>ROUND(Capacity!$G21+Energy!G21,3)</f>
        <v>32.509</v>
      </c>
      <c r="H21" s="73">
        <f>ROUND(Capacity!$G21+Energy!H21,3)</f>
        <v>26.346</v>
      </c>
      <c r="J21" s="45"/>
      <c r="K21" s="52"/>
      <c r="L21" s="45"/>
      <c r="M21" s="45"/>
      <c r="N21" s="45"/>
      <c r="O21" s="45"/>
      <c r="P21" s="45"/>
    </row>
    <row r="22" spans="2:16" ht="15.75" x14ac:dyDescent="0.25">
      <c r="B22" s="3">
        <f t="shared" si="0"/>
        <v>2030</v>
      </c>
      <c r="C22" s="73">
        <f>ROUND(Capacity!$F22+Energy!C22,3)</f>
        <v>34.994</v>
      </c>
      <c r="D22" s="73">
        <f>ROUND(Capacity!$G22+Energy!D22,3)</f>
        <v>35.371000000000002</v>
      </c>
      <c r="E22" s="73">
        <f>ROUND(Capacity!$G22+Energy!E22,3)</f>
        <v>35.042999999999999</v>
      </c>
      <c r="F22" s="73">
        <f>ROUND(Capacity!$G22+Energy!F22,3)</f>
        <v>34.738999999999997</v>
      </c>
      <c r="G22" s="73">
        <f>ROUND(Capacity!$G22+Energy!G22,3)</f>
        <v>35.741</v>
      </c>
      <c r="H22" s="73">
        <f>ROUND(Capacity!$G22+Energy!H22,3)</f>
        <v>29.715</v>
      </c>
      <c r="J22" s="45"/>
      <c r="K22" s="52"/>
      <c r="L22" s="45"/>
      <c r="M22" s="45"/>
      <c r="N22" s="45"/>
      <c r="O22" s="45"/>
      <c r="P22" s="45"/>
    </row>
    <row r="23" spans="2:16" ht="15.75" x14ac:dyDescent="0.25">
      <c r="B23" s="3">
        <f t="shared" si="0"/>
        <v>2031</v>
      </c>
      <c r="C23" s="73">
        <f>ROUND(Capacity!$F23+Energy!C23,3)</f>
        <v>36.426000000000002</v>
      </c>
      <c r="D23" s="73">
        <f>ROUND(Capacity!$G23+Energy!D23,3)</f>
        <v>37.103999999999999</v>
      </c>
      <c r="E23" s="73">
        <f>ROUND(Capacity!$G23+Energy!E23,3)</f>
        <v>36.950000000000003</v>
      </c>
      <c r="F23" s="73">
        <f>ROUND(Capacity!$G23+Energy!F23,3)</f>
        <v>36.054000000000002</v>
      </c>
      <c r="G23" s="73">
        <f>ROUND(Capacity!$G23+Energy!G23,3)</f>
        <v>37.460999999999999</v>
      </c>
      <c r="H23" s="73">
        <f>ROUND(Capacity!$G23+Energy!H23,3)</f>
        <v>31.17</v>
      </c>
      <c r="J23" s="45"/>
      <c r="K23" s="52"/>
      <c r="L23" s="45"/>
      <c r="M23" s="45"/>
      <c r="N23" s="45"/>
      <c r="O23" s="45"/>
      <c r="P23" s="45"/>
    </row>
    <row r="24" spans="2:16" ht="15.75" x14ac:dyDescent="0.25">
      <c r="B24" s="3">
        <f t="shared" si="0"/>
        <v>2032</v>
      </c>
      <c r="C24" s="73">
        <f>ROUND(Capacity!$F24+Energy!C24,3)</f>
        <v>37.700000000000003</v>
      </c>
      <c r="D24" s="73">
        <f>ROUND(Capacity!$G24+Energy!D24,3)</f>
        <v>38.643000000000001</v>
      </c>
      <c r="E24" s="73">
        <f>ROUND(Capacity!$G24+Energy!E24,3)</f>
        <v>38.298000000000002</v>
      </c>
      <c r="F24" s="73">
        <f>ROUND(Capacity!$G24+Energy!F24,3)</f>
        <v>37.975999999999999</v>
      </c>
      <c r="G24" s="73">
        <f>ROUND(Capacity!$G24+Energy!G24,3)</f>
        <v>39.216000000000001</v>
      </c>
      <c r="H24" s="73">
        <f>ROUND(Capacity!$G24+Energy!H24,3)</f>
        <v>32.991</v>
      </c>
      <c r="J24" s="45"/>
      <c r="K24" s="52"/>
      <c r="L24" s="45"/>
      <c r="M24" s="45"/>
      <c r="N24" s="45"/>
      <c r="O24" s="45"/>
      <c r="P24" s="45"/>
    </row>
    <row r="25" spans="2:16" ht="15.75" x14ac:dyDescent="0.25">
      <c r="B25" s="3">
        <f t="shared" si="0"/>
        <v>2033</v>
      </c>
      <c r="C25" s="73">
        <f>ROUND(Capacity!$F25+Energy!C25,3)</f>
        <v>40.593000000000004</v>
      </c>
      <c r="D25" s="73">
        <f>ROUND(Capacity!$G25+Energy!D25,3)</f>
        <v>42.566000000000003</v>
      </c>
      <c r="E25" s="73">
        <f>ROUND(Capacity!$G25+Energy!E25,3)</f>
        <v>42.244999999999997</v>
      </c>
      <c r="F25" s="73">
        <f>ROUND(Capacity!$G25+Energy!F25,3)</f>
        <v>42.99</v>
      </c>
      <c r="G25" s="73">
        <f>ROUND(Capacity!$G25+Energy!G25,3)</f>
        <v>43.942999999999998</v>
      </c>
      <c r="H25" s="73">
        <f>ROUND(Capacity!$G25+Energy!H25,3)</f>
        <v>38.661000000000001</v>
      </c>
      <c r="J25" s="45"/>
      <c r="K25" s="52"/>
      <c r="L25" s="45"/>
      <c r="M25" s="45"/>
      <c r="N25" s="45"/>
      <c r="O25" s="45"/>
      <c r="P25" s="45"/>
    </row>
    <row r="26" spans="2:16" ht="15.75" x14ac:dyDescent="0.25">
      <c r="B26" s="3">
        <f t="shared" si="0"/>
        <v>2034</v>
      </c>
      <c r="C26" s="73">
        <f>ROUND(Capacity!$F26+Energy!C26,3)</f>
        <v>41.915999999999997</v>
      </c>
      <c r="D26" s="73">
        <f>ROUND(Capacity!$G26+Energy!D26,3)</f>
        <v>44.322000000000003</v>
      </c>
      <c r="E26" s="73">
        <f>ROUND(Capacity!$G26+Energy!E26,3)</f>
        <v>44.018000000000001</v>
      </c>
      <c r="F26" s="73">
        <f>ROUND(Capacity!$G26+Energy!F26,3)</f>
        <v>44.899000000000001</v>
      </c>
      <c r="G26" s="73">
        <f>ROUND(Capacity!$G26+Energy!G26,3)</f>
        <v>46.100999999999999</v>
      </c>
      <c r="H26" s="73">
        <f>ROUND(Capacity!$G26+Energy!H26,3)</f>
        <v>41.612000000000002</v>
      </c>
      <c r="J26" s="45"/>
      <c r="K26" s="52"/>
      <c r="L26" s="45"/>
      <c r="M26" s="45"/>
      <c r="N26" s="45"/>
      <c r="O26" s="45"/>
      <c r="P26" s="45"/>
    </row>
    <row r="27" spans="2:16" ht="15.75" x14ac:dyDescent="0.25">
      <c r="B27" s="3">
        <f t="shared" si="0"/>
        <v>2035</v>
      </c>
      <c r="C27" s="73">
        <f>ROUND(Capacity!$F27+Energy!C27,3)</f>
        <v>45.015999999999998</v>
      </c>
      <c r="D27" s="73">
        <f>ROUND(Capacity!$G27+Energy!D27,3)</f>
        <v>47.695</v>
      </c>
      <c r="E27" s="73">
        <f>ROUND(Capacity!$G27+Energy!E27,3)</f>
        <v>47.302</v>
      </c>
      <c r="F27" s="73">
        <f>ROUND(Capacity!$G27+Energy!F27,3)</f>
        <v>47.881999999999998</v>
      </c>
      <c r="G27" s="73">
        <f>ROUND(Capacity!$G27+Energy!G27,3)</f>
        <v>49.536000000000001</v>
      </c>
      <c r="H27" s="73">
        <f>ROUND(Capacity!$G27+Energy!H27,3)</f>
        <v>48.798999999999999</v>
      </c>
      <c r="J27" s="45"/>
      <c r="K27" s="52"/>
      <c r="L27" s="45"/>
      <c r="M27" s="45"/>
      <c r="N27" s="45"/>
      <c r="O27" s="45"/>
      <c r="P27" s="45"/>
    </row>
    <row r="28" spans="2:16" x14ac:dyDescent="0.2">
      <c r="C28" s="74"/>
      <c r="D28" s="74"/>
      <c r="E28" s="74"/>
      <c r="F28" s="74"/>
      <c r="G28" s="74"/>
      <c r="H28" s="74"/>
      <c r="J28" s="45"/>
      <c r="K28" s="45"/>
    </row>
    <row r="29" spans="2:16" x14ac:dyDescent="0.2">
      <c r="B29" s="4" t="str">
        <f>"Nominal Levelized Payment at "&amp;TEXT(Discount_Rate,"0.00%")&amp;" Discount Rate (3)"</f>
        <v>Nominal Levelized Payment at 6.57% Discount Rate (3)</v>
      </c>
      <c r="C29" s="74"/>
      <c r="D29" s="74"/>
      <c r="E29" s="74"/>
      <c r="F29" s="74"/>
      <c r="G29" s="74"/>
      <c r="H29" s="74"/>
      <c r="J29" s="45"/>
      <c r="K29" s="45"/>
    </row>
    <row r="30" spans="2:16" x14ac:dyDescent="0.2">
      <c r="B30" s="8" t="str">
        <f>B10&amp;" - "&amp;B24</f>
        <v>2018 - 2032</v>
      </c>
      <c r="C30" s="75">
        <f>ROUND(PMT(Discount_Rate,COUNT(C10:C24),-NPV(Discount_Rate,C10:C24)),2)</f>
        <v>24.67</v>
      </c>
      <c r="D30" s="75">
        <f t="shared" ref="D30:G32" si="1">ROUND(PMT(Discount_Rate,COUNT(D10:D24),-NPV(Discount_Rate,D10:D24)),3)</f>
        <v>23.914999999999999</v>
      </c>
      <c r="E30" s="75">
        <f t="shared" si="1"/>
        <v>23.748000000000001</v>
      </c>
      <c r="F30" s="75">
        <f t="shared" si="1"/>
        <v>23.527999999999999</v>
      </c>
      <c r="G30" s="75">
        <f t="shared" si="1"/>
        <v>23.975999999999999</v>
      </c>
      <c r="H30" s="75">
        <f t="shared" ref="H30" si="2">ROUND(PMT(Discount_Rate,COUNT(H10:H24),-NPV(Discount_Rate,H10:H24)),3)</f>
        <v>19.738</v>
      </c>
      <c r="J30" s="45"/>
      <c r="K30" s="52"/>
    </row>
    <row r="31" spans="2:16" x14ac:dyDescent="0.2">
      <c r="B31" s="8" t="str">
        <f>B11&amp;" - "&amp;B25</f>
        <v>2019 - 2033</v>
      </c>
      <c r="C31" s="75">
        <f>ROUND(PMT(Discount_Rate,COUNT(C11:C25),-NPV(Discount_Rate,C11:C25)),2)</f>
        <v>25.75</v>
      </c>
      <c r="D31" s="75">
        <f t="shared" si="1"/>
        <v>25.148</v>
      </c>
      <c r="E31" s="75">
        <f t="shared" si="1"/>
        <v>24.975000000000001</v>
      </c>
      <c r="F31" s="75">
        <f t="shared" si="1"/>
        <v>24.771000000000001</v>
      </c>
      <c r="G31" s="75">
        <f t="shared" si="1"/>
        <v>25.289000000000001</v>
      </c>
      <c r="H31" s="75">
        <f t="shared" ref="H31" si="3">ROUND(PMT(Discount_Rate,COUNT(H11:H25),-NPV(Discount_Rate,H11:H25)),3)</f>
        <v>20.555</v>
      </c>
      <c r="J31" s="45"/>
      <c r="K31" s="52"/>
    </row>
    <row r="32" spans="2:16" x14ac:dyDescent="0.2">
      <c r="B32" s="8" t="str">
        <f>B12&amp;" - "&amp;B26</f>
        <v>2020 - 2034</v>
      </c>
      <c r="C32" s="75">
        <f>ROUND(PMT(Discount_Rate,COUNT(C12:C26),-NPV(Discount_Rate,C12:C26)),2)</f>
        <v>27.15</v>
      </c>
      <c r="D32" s="75">
        <f t="shared" si="1"/>
        <v>26.597999999999999</v>
      </c>
      <c r="E32" s="75">
        <f t="shared" si="1"/>
        <v>26.401</v>
      </c>
      <c r="F32" s="75">
        <f t="shared" si="1"/>
        <v>26.216000000000001</v>
      </c>
      <c r="G32" s="75">
        <f t="shared" si="1"/>
        <v>26.812999999999999</v>
      </c>
      <c r="H32" s="75">
        <f t="shared" ref="H32" si="4">ROUND(PMT(Discount_Rate,COUNT(H12:H26),-NPV(Discount_Rate,H12:H26)),3)</f>
        <v>21.582999999999998</v>
      </c>
      <c r="J32" s="45"/>
      <c r="K32" s="52"/>
    </row>
    <row r="33" spans="2:11" x14ac:dyDescent="0.2">
      <c r="D33" s="10"/>
      <c r="E33" s="10"/>
      <c r="F33" s="10"/>
      <c r="G33" s="10"/>
      <c r="H33" s="10"/>
      <c r="J33" s="45"/>
      <c r="K33" s="45"/>
    </row>
    <row r="34" spans="2:11" x14ac:dyDescent="0.2">
      <c r="B34" s="8" t="s">
        <v>15</v>
      </c>
      <c r="J34" s="45"/>
      <c r="K34" s="45"/>
    </row>
    <row r="35" spans="2:11" x14ac:dyDescent="0.2">
      <c r="B35" s="1" t="str">
        <f>"(2)   Official Forward Price Curve Dated "&amp;TEXT(B44,"MMMM YYYY")</f>
        <v>(2)   Official Forward Price Curve Dated December 2017</v>
      </c>
      <c r="J35" s="45"/>
      <c r="K35" s="45"/>
    </row>
    <row r="36" spans="2:11" x14ac:dyDescent="0.2">
      <c r="B36" s="1" t="str">
        <f>"(3)   "&amp;B40</f>
        <v>(3)   Discount Rate - 2017 IRP</v>
      </c>
    </row>
    <row r="37" spans="2:11" x14ac:dyDescent="0.2">
      <c r="B37" s="1" t="s">
        <v>10</v>
      </c>
    </row>
    <row r="39" spans="2:11" x14ac:dyDescent="0.2">
      <c r="B39" s="21"/>
    </row>
    <row r="40" spans="2:11" x14ac:dyDescent="0.2">
      <c r="B40" s="21" t="s">
        <v>17</v>
      </c>
      <c r="D40" s="19"/>
      <c r="G40" s="19"/>
      <c r="H40" s="19"/>
    </row>
    <row r="41" spans="2:11" x14ac:dyDescent="0.2">
      <c r="B41" s="20">
        <v>6.5699999999999995E-2</v>
      </c>
      <c r="D41" s="19"/>
      <c r="G41" s="19"/>
      <c r="H41" s="19"/>
    </row>
    <row r="42" spans="2:11" x14ac:dyDescent="0.2">
      <c r="D42" s="19"/>
      <c r="E42" s="19"/>
      <c r="F42" s="19"/>
      <c r="G42" s="19"/>
      <c r="H42" s="19"/>
    </row>
    <row r="43" spans="2:11" x14ac:dyDescent="0.2">
      <c r="B43" s="1" t="s">
        <v>12</v>
      </c>
    </row>
    <row r="44" spans="2:11" x14ac:dyDescent="0.2">
      <c r="B44" s="22">
        <v>43098</v>
      </c>
    </row>
  </sheetData>
  <phoneticPr fontId="2" type="noConversion"/>
  <printOptions horizontalCentered="1"/>
  <pageMargins left="0.25" right="0.25" top="0.75" bottom="0.75" header="0.3" footer="0.2"/>
  <pageSetup scale="91" orientation="landscape" r:id="rId1"/>
  <headerFooter alignWithMargins="0">
    <oddFooter>&amp;L&amp;8NPC Group - &amp;F   ( &amp;A )&amp;C&amp;8Page &amp;P of &amp;N&amp;R&amp;8&amp;D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2"/>
    <pageSetUpPr fitToPage="1"/>
  </sheetPr>
  <dimension ref="B1:K44"/>
  <sheetViews>
    <sheetView zoomScale="70" zoomScaleNormal="70" workbookViewId="0">
      <pane xSplit="2" ySplit="8" topLeftCell="C9" activePane="bottomRight" state="frozen"/>
      <selection activeCell="E37" sqref="E37"/>
      <selection pane="topRight" activeCell="E37" sqref="E37"/>
      <selection pane="bottomLeft" activeCell="E37" sqref="E37"/>
      <selection pane="bottomRight" activeCell="C17" sqref="C17"/>
    </sheetView>
  </sheetViews>
  <sheetFormatPr defaultColWidth="9.140625" defaultRowHeight="15" x14ac:dyDescent="0.2"/>
  <cols>
    <col min="1" max="1" width="1.85546875" style="25" customWidth="1"/>
    <col min="2" max="2" width="13.7109375" style="25" customWidth="1"/>
    <col min="3" max="6" width="17.7109375" style="25" customWidth="1"/>
    <col min="7" max="7" width="26.28515625" style="25" customWidth="1"/>
    <col min="8" max="8" width="21.140625" style="25" customWidth="1"/>
    <col min="9" max="9" width="2.28515625" style="25" customWidth="1"/>
    <col min="10" max="10" width="10" style="25" bestFit="1" customWidth="1"/>
    <col min="11" max="16384" width="9.140625" style="25"/>
  </cols>
  <sheetData>
    <row r="1" spans="2:11" ht="15.75" x14ac:dyDescent="0.25">
      <c r="B1" s="23" t="str">
        <f>Total!B1</f>
        <v>Appendix C</v>
      </c>
      <c r="C1" s="23"/>
      <c r="D1" s="23"/>
      <c r="E1" s="23"/>
      <c r="F1" s="23"/>
      <c r="G1" s="23"/>
      <c r="H1" s="23"/>
    </row>
    <row r="2" spans="2:11" ht="8.25" customHeight="1" x14ac:dyDescent="0.25">
      <c r="B2" s="23"/>
      <c r="C2" s="23"/>
      <c r="D2" s="23"/>
      <c r="E2" s="23"/>
      <c r="F2" s="23"/>
      <c r="G2" s="23"/>
      <c r="H2" s="23"/>
    </row>
    <row r="3" spans="2:11" ht="15.75" x14ac:dyDescent="0.25">
      <c r="B3" s="23" t="str">
        <f>Total!B3</f>
        <v>Utah Quarterly Compliance Filing</v>
      </c>
      <c r="C3" s="23"/>
      <c r="D3" s="23"/>
      <c r="E3" s="23"/>
      <c r="F3" s="23"/>
      <c r="G3" s="23"/>
      <c r="H3" s="23"/>
    </row>
    <row r="4" spans="2:11" ht="15.75" x14ac:dyDescent="0.25">
      <c r="B4" s="23" t="str">
        <f>Capacity!$B$4</f>
        <v>Step Study between 2017.Q4 and 2017.Q3 Compliance Filing</v>
      </c>
      <c r="C4" s="23"/>
      <c r="D4" s="23"/>
      <c r="E4" s="23"/>
      <c r="F4" s="23"/>
      <c r="G4" s="23"/>
      <c r="H4" s="23"/>
    </row>
    <row r="5" spans="2:11" ht="15.75" x14ac:dyDescent="0.25">
      <c r="B5" s="23" t="s">
        <v>6</v>
      </c>
      <c r="C5" s="23"/>
      <c r="D5" s="23"/>
      <c r="E5" s="23"/>
      <c r="F5" s="23"/>
      <c r="G5" s="23"/>
      <c r="H5" s="23"/>
    </row>
    <row r="6" spans="2:11" ht="15.75" x14ac:dyDescent="0.25">
      <c r="B6" s="23"/>
      <c r="C6" s="48"/>
      <c r="D6" s="48"/>
      <c r="E6" s="48"/>
      <c r="F6" s="48"/>
      <c r="G6" s="48"/>
      <c r="H6" s="48"/>
    </row>
    <row r="7" spans="2:11" ht="15.75" x14ac:dyDescent="0.25">
      <c r="B7" s="26"/>
      <c r="C7" s="41" t="str">
        <f>Capacity!K7</f>
        <v>2017.Q3</v>
      </c>
      <c r="D7" s="47" t="s">
        <v>39</v>
      </c>
      <c r="E7" s="47" t="s">
        <v>40</v>
      </c>
      <c r="F7" s="47" t="s">
        <v>19</v>
      </c>
      <c r="G7" s="47" t="s">
        <v>41</v>
      </c>
      <c r="H7" s="47" t="s">
        <v>26</v>
      </c>
      <c r="J7" s="61"/>
      <c r="K7" s="62"/>
    </row>
    <row r="8" spans="2:11" ht="15.75" x14ac:dyDescent="0.25">
      <c r="B8" s="28" t="s">
        <v>0</v>
      </c>
      <c r="C8" s="40" t="s">
        <v>7</v>
      </c>
      <c r="D8" s="40" t="s">
        <v>27</v>
      </c>
      <c r="E8" s="60" t="s">
        <v>27</v>
      </c>
      <c r="F8" s="60" t="s">
        <v>27</v>
      </c>
      <c r="G8" s="46" t="s">
        <v>27</v>
      </c>
      <c r="H8" s="46" t="s">
        <v>28</v>
      </c>
      <c r="J8" s="61"/>
      <c r="K8" s="62"/>
    </row>
    <row r="9" spans="2:11" ht="4.5" customHeight="1" x14ac:dyDescent="0.2">
      <c r="J9" s="62"/>
      <c r="K9" s="62"/>
    </row>
    <row r="10" spans="2:11" ht="15.75" x14ac:dyDescent="0.25">
      <c r="B10" s="30">
        <f>Total!B10</f>
        <v>2018</v>
      </c>
      <c r="C10" s="71">
        <v>20.686</v>
      </c>
      <c r="D10" s="71">
        <v>19.556000000000001</v>
      </c>
      <c r="E10" s="71">
        <v>19.381</v>
      </c>
      <c r="F10" s="71">
        <v>19.382000000000001</v>
      </c>
      <c r="G10" s="71">
        <f>INDEX('[7]Table 1'!$E$13:$E$32,MATCH($B10,'[7]Table 1'!$B$13:$B$32,0),1)</f>
        <v>19.377099803641613</v>
      </c>
      <c r="H10" s="71">
        <f>INDEX('[8]Table 1'!$E$13:$E$32,MATCH($B10,'[8]Table 1'!$B$13:$B$32,0),1)</f>
        <v>19.377099803641613</v>
      </c>
      <c r="J10" s="63"/>
      <c r="K10" s="64"/>
    </row>
    <row r="11" spans="2:11" ht="15.75" x14ac:dyDescent="0.25">
      <c r="B11" s="30">
        <f t="shared" ref="B11:B27" si="0">B10+1</f>
        <v>2019</v>
      </c>
      <c r="C11" s="71">
        <v>18.835999999999999</v>
      </c>
      <c r="D11" s="71">
        <v>18.953999999999997</v>
      </c>
      <c r="E11" s="71">
        <v>18.953999999999997</v>
      </c>
      <c r="F11" s="71">
        <v>18.999999999999996</v>
      </c>
      <c r="G11" s="71">
        <f>INDEX('[7]Table 1'!$E$13:$E$32,MATCH($B11,'[7]Table 1'!$B$13:$B$32,0),1)</f>
        <v>19.0360484141789</v>
      </c>
      <c r="H11" s="71">
        <f>INDEX('[8]Table 1'!$E$13:$E$32,MATCH($B11,'[8]Table 1'!$B$13:$B$32,0),1)</f>
        <v>19.0360484141789</v>
      </c>
      <c r="J11" s="63"/>
      <c r="K11" s="64"/>
    </row>
    <row r="12" spans="2:11" ht="15.75" x14ac:dyDescent="0.25">
      <c r="B12" s="30">
        <f t="shared" si="0"/>
        <v>2020</v>
      </c>
      <c r="C12" s="71">
        <v>16.931999999999999</v>
      </c>
      <c r="D12" s="71">
        <v>15.841999999999999</v>
      </c>
      <c r="E12" s="71">
        <v>15.841999999999999</v>
      </c>
      <c r="F12" s="71">
        <v>16.170999999999999</v>
      </c>
      <c r="G12" s="71">
        <f>INDEX('[7]Table 1'!$E$13:$E$32,MATCH($B12,'[7]Table 1'!$B$13:$B$32,0),1)</f>
        <v>16.158892978998441</v>
      </c>
      <c r="H12" s="71">
        <f>INDEX('[8]Table 1'!$E$13:$E$32,MATCH($B12,'[8]Table 1'!$B$13:$B$32,0),1)</f>
        <v>15.307389236431815</v>
      </c>
      <c r="J12" s="63"/>
      <c r="K12" s="64"/>
    </row>
    <row r="13" spans="2:11" ht="15.75" x14ac:dyDescent="0.25">
      <c r="B13" s="30">
        <f t="shared" si="0"/>
        <v>2021</v>
      </c>
      <c r="C13" s="71">
        <v>18.863</v>
      </c>
      <c r="D13" s="71">
        <v>15.98</v>
      </c>
      <c r="E13" s="71">
        <v>15.528</v>
      </c>
      <c r="F13" s="71">
        <v>15.324</v>
      </c>
      <c r="G13" s="71">
        <f>INDEX('[7]Table 1'!$E$13:$E$32,MATCH($B13,'[7]Table 1'!$B$13:$B$32,0),1)</f>
        <v>17.956914986286222</v>
      </c>
      <c r="H13" s="71">
        <f>INDEX('[8]Table 1'!$E$13:$E$32,MATCH($B13,'[8]Table 1'!$B$13:$B$32,0),1)</f>
        <v>13.313189526334478</v>
      </c>
      <c r="J13" s="63"/>
      <c r="K13" s="64"/>
    </row>
    <row r="14" spans="2:11" ht="15.75" x14ac:dyDescent="0.25">
      <c r="B14" s="30">
        <f t="shared" si="0"/>
        <v>2022</v>
      </c>
      <c r="C14" s="71">
        <v>19.908999999999999</v>
      </c>
      <c r="D14" s="71">
        <v>19.998999999999999</v>
      </c>
      <c r="E14" s="71">
        <v>20.038999999999998</v>
      </c>
      <c r="F14" s="71">
        <v>19.655999999999999</v>
      </c>
      <c r="G14" s="71">
        <f>INDEX('[7]Table 1'!$E$13:$E$32,MATCH($B14,'[7]Table 1'!$B$13:$B$32,0),1)</f>
        <v>19.773833958692858</v>
      </c>
      <c r="H14" s="71">
        <f>INDEX('[8]Table 1'!$E$13:$E$32,MATCH($B14,'[8]Table 1'!$B$13:$B$32,0),1)</f>
        <v>14.654243288614994</v>
      </c>
      <c r="J14" s="63"/>
      <c r="K14" s="64"/>
    </row>
    <row r="15" spans="2:11" ht="15.75" x14ac:dyDescent="0.25">
      <c r="B15" s="30">
        <f t="shared" si="0"/>
        <v>2023</v>
      </c>
      <c r="C15" s="71">
        <v>20.738</v>
      </c>
      <c r="D15" s="71">
        <v>19.602</v>
      </c>
      <c r="E15" s="71">
        <v>19.062000000000001</v>
      </c>
      <c r="F15" s="71">
        <v>18.797000000000001</v>
      </c>
      <c r="G15" s="71">
        <f>INDEX('[7]Table 1'!$E$13:$E$32,MATCH($B15,'[7]Table 1'!$B$13:$B$32,0),1)</f>
        <v>20.017215140398964</v>
      </c>
      <c r="H15" s="71">
        <f>INDEX('[8]Table 1'!$E$13:$E$32,MATCH($B15,'[8]Table 1'!$B$13:$B$32,0),1)</f>
        <v>14.278020055467543</v>
      </c>
      <c r="J15" s="63"/>
      <c r="K15" s="64"/>
    </row>
    <row r="16" spans="2:11" ht="15.75" x14ac:dyDescent="0.25">
      <c r="B16" s="30">
        <f t="shared" si="0"/>
        <v>2024</v>
      </c>
      <c r="C16" s="71">
        <v>24.254999999999999</v>
      </c>
      <c r="D16" s="71">
        <v>22.823</v>
      </c>
      <c r="E16" s="71">
        <v>22.759</v>
      </c>
      <c r="F16" s="71">
        <v>22.556999999999999</v>
      </c>
      <c r="G16" s="71">
        <f>INDEX('[7]Table 1'!$E$13:$E$32,MATCH($B16,'[7]Table 1'!$B$13:$B$32,0),1)</f>
        <v>22.389368523755614</v>
      </c>
      <c r="H16" s="71">
        <f>INDEX('[8]Table 1'!$E$13:$E$32,MATCH($B16,'[8]Table 1'!$B$13:$B$32,0),1)</f>
        <v>16.559084015277705</v>
      </c>
      <c r="J16" s="63"/>
      <c r="K16" s="64"/>
    </row>
    <row r="17" spans="2:11" ht="15.75" x14ac:dyDescent="0.25">
      <c r="B17" s="30">
        <f t="shared" si="0"/>
        <v>2025</v>
      </c>
      <c r="C17" s="71">
        <v>27.641999999999999</v>
      </c>
      <c r="D17" s="71">
        <v>26.212</v>
      </c>
      <c r="E17" s="71">
        <v>26.245000000000001</v>
      </c>
      <c r="F17" s="71">
        <v>25.830000000000002</v>
      </c>
      <c r="G17" s="71">
        <f>INDEX('[7]Table 1'!$E$13:$E$32,MATCH($B17,'[7]Table 1'!$B$13:$B$32,0),1)</f>
        <v>25.489860483672597</v>
      </c>
      <c r="H17" s="71">
        <f>INDEX('[8]Table 1'!$E$13:$E$32,MATCH($B17,'[8]Table 1'!$B$13:$B$32,0),1)</f>
        <v>19.813001946118224</v>
      </c>
      <c r="J17" s="63"/>
      <c r="K17" s="64"/>
    </row>
    <row r="18" spans="2:11" ht="15.75" x14ac:dyDescent="0.25">
      <c r="B18" s="30">
        <f t="shared" si="0"/>
        <v>2026</v>
      </c>
      <c r="C18" s="71">
        <v>27.390999999999998</v>
      </c>
      <c r="D18" s="71">
        <v>26.494999999999997</v>
      </c>
      <c r="E18" s="71">
        <v>26.510999999999996</v>
      </c>
      <c r="F18" s="71">
        <v>26.069999999999997</v>
      </c>
      <c r="G18" s="71">
        <f>INDEX('[7]Table 1'!$E$13:$E$32,MATCH($B18,'[7]Table 1'!$B$13:$B$32,0),1)</f>
        <v>25.696584595204072</v>
      </c>
      <c r="H18" s="71">
        <f>INDEX('[8]Table 1'!$E$13:$E$32,MATCH($B18,'[8]Table 1'!$B$13:$B$32,0),1)</f>
        <v>19.318712273238468</v>
      </c>
      <c r="J18" s="63"/>
      <c r="K18" s="64"/>
    </row>
    <row r="19" spans="2:11" ht="15.75" x14ac:dyDescent="0.25">
      <c r="B19" s="30">
        <f t="shared" si="0"/>
        <v>2027</v>
      </c>
      <c r="C19" s="71">
        <v>28.399000000000001</v>
      </c>
      <c r="D19" s="71">
        <v>27.513000000000002</v>
      </c>
      <c r="E19" s="71">
        <v>27.490000000000002</v>
      </c>
      <c r="F19" s="71">
        <v>27.074000000000002</v>
      </c>
      <c r="G19" s="71">
        <f>INDEX('[7]Table 1'!$E$13:$E$32,MATCH($B19,'[7]Table 1'!$B$13:$B$32,0),1)</f>
        <v>26.611859374009423</v>
      </c>
      <c r="H19" s="71">
        <f>INDEX('[8]Table 1'!$E$13:$E$32,MATCH($B19,'[8]Table 1'!$B$13:$B$32,0),1)</f>
        <v>19.651034315441112</v>
      </c>
      <c r="J19" s="63"/>
      <c r="K19" s="64"/>
    </row>
    <row r="20" spans="2:11" ht="15.75" x14ac:dyDescent="0.25">
      <c r="B20" s="30">
        <f t="shared" si="0"/>
        <v>2028</v>
      </c>
      <c r="C20" s="71">
        <v>30.41</v>
      </c>
      <c r="D20" s="71">
        <v>29.965</v>
      </c>
      <c r="E20" s="71">
        <v>29.783000000000001</v>
      </c>
      <c r="F20" s="71">
        <v>29.392000000000003</v>
      </c>
      <c r="G20" s="71">
        <f>INDEX('[7]Table 1'!$E$13:$E$32,MATCH($B20,'[7]Table 1'!$B$13:$B$32,0),1)</f>
        <v>29.553824798112419</v>
      </c>
      <c r="H20" s="71">
        <f>INDEX('[8]Table 1'!$E$13:$E$32,MATCH($B20,'[8]Table 1'!$B$13:$B$32,0),1)</f>
        <v>23.889468771995524</v>
      </c>
      <c r="J20" s="63"/>
      <c r="K20" s="64"/>
    </row>
    <row r="21" spans="2:11" ht="15.75" x14ac:dyDescent="0.25">
      <c r="B21" s="30">
        <f t="shared" si="0"/>
        <v>2029</v>
      </c>
      <c r="C21" s="71">
        <v>32.533000000000001</v>
      </c>
      <c r="D21" s="71">
        <v>32.368000000000002</v>
      </c>
      <c r="E21" s="71">
        <v>31.807000000000002</v>
      </c>
      <c r="F21" s="71">
        <v>31.623000000000001</v>
      </c>
      <c r="G21" s="71">
        <f>INDEX('[7]Table 1'!$E$13:$E$32,MATCH($B21,'[7]Table 1'!$B$13:$B$32,0),1)</f>
        <v>32.508635489325002</v>
      </c>
      <c r="H21" s="71">
        <f>INDEX('[8]Table 1'!$E$13:$E$32,MATCH($B21,'[8]Table 1'!$B$13:$B$32,0),1)</f>
        <v>26.345993686477897</v>
      </c>
      <c r="J21" s="63"/>
      <c r="K21" s="64"/>
    </row>
    <row r="22" spans="2:11" ht="15.75" x14ac:dyDescent="0.25">
      <c r="B22" s="30">
        <f t="shared" si="0"/>
        <v>2030</v>
      </c>
      <c r="C22" s="71">
        <v>34.994</v>
      </c>
      <c r="D22" s="71">
        <v>35.371000000000002</v>
      </c>
      <c r="E22" s="71">
        <v>35.042999999999999</v>
      </c>
      <c r="F22" s="71">
        <v>34.738999999999997</v>
      </c>
      <c r="G22" s="71">
        <f>INDEX('[7]Table 1'!$E$13:$E$32,MATCH($B22,'[7]Table 1'!$B$13:$B$32,0),1)</f>
        <v>35.740782708733668</v>
      </c>
      <c r="H22" s="71">
        <f>INDEX('[8]Table 1'!$E$13:$E$32,MATCH($B22,'[8]Table 1'!$B$13:$B$32,0),1)</f>
        <v>29.714970007014795</v>
      </c>
      <c r="J22" s="63"/>
      <c r="K22" s="64"/>
    </row>
    <row r="23" spans="2:11" ht="15.75" x14ac:dyDescent="0.25">
      <c r="B23" s="30">
        <f t="shared" si="0"/>
        <v>2031</v>
      </c>
      <c r="C23" s="71">
        <v>36.426000000000002</v>
      </c>
      <c r="D23" s="71">
        <v>37.103999999999999</v>
      </c>
      <c r="E23" s="71">
        <v>36.949999999999996</v>
      </c>
      <c r="F23" s="71">
        <v>36.053999999999995</v>
      </c>
      <c r="G23" s="71">
        <f>INDEX('[7]Table 1'!$E$13:$E$32,MATCH($B23,'[7]Table 1'!$B$13:$B$32,0),1)</f>
        <v>37.461325922649237</v>
      </c>
      <c r="H23" s="71">
        <f>INDEX('[8]Table 1'!$E$13:$E$32,MATCH($B23,'[8]Table 1'!$B$13:$B$32,0),1)</f>
        <v>31.170183536791004</v>
      </c>
      <c r="J23" s="63"/>
      <c r="K23" s="64"/>
    </row>
    <row r="24" spans="2:11" ht="15.75" x14ac:dyDescent="0.25">
      <c r="B24" s="30">
        <f t="shared" si="0"/>
        <v>2032</v>
      </c>
      <c r="C24" s="71">
        <v>37.700000000000003</v>
      </c>
      <c r="D24" s="71">
        <v>38.643000000000001</v>
      </c>
      <c r="E24" s="71">
        <v>38.298000000000002</v>
      </c>
      <c r="F24" s="71">
        <v>37.975999999999999</v>
      </c>
      <c r="G24" s="71">
        <f>INDEX('[7]Table 1'!$E$13:$E$32,MATCH($B24,'[7]Table 1'!$B$13:$B$32,0),1)</f>
        <v>39.215930815619281</v>
      </c>
      <c r="H24" s="71">
        <f>INDEX('[8]Table 1'!$E$13:$E$32,MATCH($B24,'[8]Table 1'!$B$13:$B$32,0),1)</f>
        <v>32.991244145698118</v>
      </c>
      <c r="J24" s="63"/>
      <c r="K24" s="64"/>
    </row>
    <row r="25" spans="2:11" ht="15.75" x14ac:dyDescent="0.25">
      <c r="B25" s="30">
        <f t="shared" si="0"/>
        <v>2033</v>
      </c>
      <c r="C25" s="71">
        <v>40.593000000000004</v>
      </c>
      <c r="D25" s="71">
        <v>42.566000000000003</v>
      </c>
      <c r="E25" s="71">
        <v>42.245000000000005</v>
      </c>
      <c r="F25" s="71">
        <v>42.99</v>
      </c>
      <c r="G25" s="71">
        <f>INDEX('[7]Table 1'!$E$13:$E$32,MATCH($B25,'[7]Table 1'!$B$13:$B$32,0),1)</f>
        <v>43.943221953485825</v>
      </c>
      <c r="H25" s="71">
        <f>INDEX('[8]Table 1'!$E$13:$E$32,MATCH($B25,'[8]Table 1'!$B$13:$B$32,0),1)</f>
        <v>38.661406238804197</v>
      </c>
      <c r="J25" s="63"/>
      <c r="K25" s="64"/>
    </row>
    <row r="26" spans="2:11" ht="15.75" x14ac:dyDescent="0.25">
      <c r="B26" s="30">
        <f t="shared" si="0"/>
        <v>2034</v>
      </c>
      <c r="C26" s="71">
        <v>41.915999999999997</v>
      </c>
      <c r="D26" s="71">
        <v>44.321999999999996</v>
      </c>
      <c r="E26" s="71">
        <v>44.017999999999994</v>
      </c>
      <c r="F26" s="71">
        <v>44.898999999999994</v>
      </c>
      <c r="G26" s="71">
        <f>INDEX('[7]Table 1'!$E$13:$E$32,MATCH($B26,'[7]Table 1'!$B$13:$B$32,0),1)</f>
        <v>46.101487651934733</v>
      </c>
      <c r="H26" s="71">
        <f>INDEX('[8]Table 1'!$E$13:$E$32,MATCH($B26,'[8]Table 1'!$B$13:$B$32,0),1)</f>
        <v>41.611748598700864</v>
      </c>
      <c r="J26" s="63"/>
      <c r="K26" s="64"/>
    </row>
    <row r="27" spans="2:11" ht="15.75" x14ac:dyDescent="0.25">
      <c r="B27" s="30">
        <f t="shared" si="0"/>
        <v>2035</v>
      </c>
      <c r="C27" s="71">
        <v>45.015999999999998</v>
      </c>
      <c r="D27" s="71">
        <v>47.695</v>
      </c>
      <c r="E27" s="71">
        <v>47.302</v>
      </c>
      <c r="F27" s="71">
        <v>47.881999999999998</v>
      </c>
      <c r="G27" s="71">
        <f>INDEX('[7]Table 1'!$E$13:$E$32,MATCH($B27,'[7]Table 1'!$B$13:$B$32,0),1)</f>
        <v>49.535743602204477</v>
      </c>
      <c r="H27" s="71">
        <f>INDEX('[8]Table 1'!$E$13:$E$32,MATCH($B27,'[8]Table 1'!$B$13:$B$32,0),1)</f>
        <v>48.798581381683391</v>
      </c>
      <c r="J27" s="63"/>
      <c r="K27" s="64"/>
    </row>
    <row r="28" spans="2:11" x14ac:dyDescent="0.2">
      <c r="C28" s="39"/>
      <c r="D28" s="39"/>
      <c r="E28" s="39"/>
      <c r="F28" s="39"/>
      <c r="G28" s="39"/>
      <c r="H28" s="39"/>
      <c r="J28" s="63"/>
      <c r="K28" s="64"/>
    </row>
    <row r="29" spans="2:11" x14ac:dyDescent="0.2">
      <c r="B29" s="33" t="str">
        <f>"Nominal Levelized Payment at "&amp;TEXT($B$40,"0.00%")&amp;" Discount Rate (3) (4)"</f>
        <v>Nominal Levelized Payment at 6.57% Discount Rate (3) (4)</v>
      </c>
      <c r="C29" s="39"/>
      <c r="D29" s="39"/>
      <c r="E29" s="39"/>
      <c r="F29" s="39"/>
      <c r="G29" s="39"/>
      <c r="H29" s="39"/>
      <c r="J29" s="63"/>
      <c r="K29" s="64"/>
    </row>
    <row r="30" spans="2:11" x14ac:dyDescent="0.2">
      <c r="B30" s="34" t="str">
        <f>B10&amp;" - "&amp;B24</f>
        <v>2018 - 2032</v>
      </c>
      <c r="C30" s="72">
        <f t="shared" ref="C30:G32" si="1">ROUND(PMT($B$40,COUNT(C10:C24),-NPV($B$40,C10:C24)),3)</f>
        <v>24.667999999999999</v>
      </c>
      <c r="D30" s="72">
        <f t="shared" si="1"/>
        <v>23.914999999999999</v>
      </c>
      <c r="E30" s="72">
        <f t="shared" si="1"/>
        <v>23.748000000000001</v>
      </c>
      <c r="F30" s="72">
        <f t="shared" si="1"/>
        <v>23.527999999999999</v>
      </c>
      <c r="G30" s="72">
        <f t="shared" si="1"/>
        <v>23.975999999999999</v>
      </c>
      <c r="H30" s="72">
        <f t="shared" ref="H30" si="2">ROUND(PMT($B$40,COUNT(H10:H24),-NPV($B$40,H10:H24)),3)</f>
        <v>19.738</v>
      </c>
      <c r="J30" s="63"/>
      <c r="K30" s="64"/>
    </row>
    <row r="31" spans="2:11" x14ac:dyDescent="0.2">
      <c r="B31" s="34" t="str">
        <f>B11&amp;" - "&amp;B25</f>
        <v>2019 - 2033</v>
      </c>
      <c r="C31" s="72">
        <f t="shared" si="1"/>
        <v>25.748000000000001</v>
      </c>
      <c r="D31" s="72">
        <f t="shared" si="1"/>
        <v>25.148</v>
      </c>
      <c r="E31" s="72">
        <f t="shared" si="1"/>
        <v>24.975000000000001</v>
      </c>
      <c r="F31" s="72">
        <f t="shared" si="1"/>
        <v>24.771000000000001</v>
      </c>
      <c r="G31" s="72">
        <f t="shared" si="1"/>
        <v>25.289000000000001</v>
      </c>
      <c r="H31" s="72">
        <f t="shared" ref="H31" si="3">ROUND(PMT($B$40,COUNT(H11:H25),-NPV($B$40,H11:H25)),3)</f>
        <v>20.555</v>
      </c>
      <c r="J31" s="63"/>
      <c r="K31" s="64"/>
    </row>
    <row r="32" spans="2:11" x14ac:dyDescent="0.2">
      <c r="B32" s="34" t="str">
        <f>B12&amp;" - "&amp;B26</f>
        <v>2020 - 2034</v>
      </c>
      <c r="C32" s="72">
        <f t="shared" si="1"/>
        <v>27.152000000000001</v>
      </c>
      <c r="D32" s="72">
        <f t="shared" si="1"/>
        <v>26.597999999999999</v>
      </c>
      <c r="E32" s="72">
        <f t="shared" si="1"/>
        <v>26.401</v>
      </c>
      <c r="F32" s="72">
        <f t="shared" si="1"/>
        <v>26.216000000000001</v>
      </c>
      <c r="G32" s="72">
        <f t="shared" si="1"/>
        <v>26.812999999999999</v>
      </c>
      <c r="H32" s="72">
        <f t="shared" ref="H32" si="4">ROUND(PMT($B$40,COUNT(H12:H26),-NPV($B$40,H12:H26)),3)</f>
        <v>21.582999999999998</v>
      </c>
      <c r="J32" s="63"/>
      <c r="K32" s="64"/>
    </row>
    <row r="33" spans="2:8" x14ac:dyDescent="0.2">
      <c r="B33" s="34"/>
      <c r="C33" s="32"/>
      <c r="D33" s="32"/>
      <c r="E33" s="32"/>
      <c r="F33" s="32"/>
      <c r="G33" s="66"/>
      <c r="H33" s="66"/>
    </row>
    <row r="34" spans="2:8" x14ac:dyDescent="0.2">
      <c r="B34" s="34" t="str">
        <f>Total!B34</f>
        <v>(1)   Studies are sequential.  The order of the studies would affect the price impact.</v>
      </c>
    </row>
    <row r="35" spans="2:8" x14ac:dyDescent="0.2">
      <c r="B35" s="34" t="str">
        <f>Total!B35</f>
        <v>(2)   Official Forward Price Curve Dated December 2017</v>
      </c>
    </row>
    <row r="36" spans="2:8" x14ac:dyDescent="0.2">
      <c r="B36" s="34" t="str">
        <f>Total!B36</f>
        <v>(3)   Discount Rate - 2017 IRP</v>
      </c>
    </row>
    <row r="37" spans="2:8" x14ac:dyDescent="0.2">
      <c r="B37" s="25" t="s">
        <v>16</v>
      </c>
    </row>
    <row r="39" spans="2:8" x14ac:dyDescent="0.2">
      <c r="B39" s="21" t="str">
        <f>Total!B40</f>
        <v>Discount Rate - 2017 IRP</v>
      </c>
    </row>
    <row r="40" spans="2:8" x14ac:dyDescent="0.2">
      <c r="B40" s="38">
        <f>Discount_Rate</f>
        <v>6.5699999999999995E-2</v>
      </c>
    </row>
    <row r="42" spans="2:8" ht="15.75" hidden="1" x14ac:dyDescent="0.25">
      <c r="G42" s="56"/>
      <c r="H42" s="56"/>
    </row>
    <row r="43" spans="2:8" hidden="1" x14ac:dyDescent="0.2">
      <c r="B43" s="53">
        <f t="shared" ref="B43:E43" si="5">IF(OR(B7="not used",B8="not used"),0,1)</f>
        <v>1</v>
      </c>
      <c r="C43" s="53">
        <f t="shared" si="5"/>
        <v>1</v>
      </c>
      <c r="D43" s="53">
        <f>IF(OR(D7="not used",D8="not used"),0,1)</f>
        <v>1</v>
      </c>
      <c r="E43" s="53">
        <f t="shared" si="5"/>
        <v>1</v>
      </c>
      <c r="F43" s="53"/>
      <c r="G43" s="53">
        <f t="shared" ref="G43" si="6">IF(OR(G7="not used",G8="not used"),0,1)</f>
        <v>1</v>
      </c>
      <c r="H43" s="79"/>
    </row>
    <row r="44" spans="2:8" hidden="1" x14ac:dyDescent="0.2"/>
  </sheetData>
  <printOptions horizontalCentered="1"/>
  <pageMargins left="0.25" right="0.25" top="0.75" bottom="0.75" header="0.3" footer="0.2"/>
  <pageSetup scale="91" orientation="landscape" r:id="rId1"/>
  <headerFooter alignWithMargins="0">
    <oddFooter>&amp;L&amp;8NPC Group - &amp;F   ( &amp;A )&amp;C&amp;8Page &amp;P of &amp;N&amp;R&amp;8&amp;D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2"/>
    <pageSetUpPr fitToPage="1"/>
  </sheetPr>
  <dimension ref="B1:K44"/>
  <sheetViews>
    <sheetView zoomScale="70" zoomScaleNormal="70" workbookViewId="0">
      <pane xSplit="2" ySplit="9" topLeftCell="C10" activePane="bottomRight" state="frozen"/>
      <selection activeCell="E37" sqref="E37"/>
      <selection pane="topRight" activeCell="E37" sqref="E37"/>
      <selection pane="bottomLeft" activeCell="E37" sqref="E37"/>
      <selection pane="bottomRight" activeCell="D20" sqref="D20:D21"/>
    </sheetView>
  </sheetViews>
  <sheetFormatPr defaultColWidth="9.140625" defaultRowHeight="15" x14ac:dyDescent="0.2"/>
  <cols>
    <col min="1" max="1" width="1.85546875" style="25" customWidth="1"/>
    <col min="2" max="2" width="13.85546875" style="25" customWidth="1"/>
    <col min="3" max="4" width="19.140625" style="25" customWidth="1"/>
    <col min="5" max="5" width="1.140625" style="25" customWidth="1"/>
    <col min="6" max="7" width="19.140625" style="25" customWidth="1"/>
    <col min="8" max="8" width="1.5703125" style="25" customWidth="1"/>
    <col min="9" max="10" width="2.140625" customWidth="1"/>
    <col min="11" max="11" width="9.140625" style="25" customWidth="1"/>
    <col min="12" max="16384" width="9.140625" style="25"/>
  </cols>
  <sheetData>
    <row r="1" spans="2:11" ht="15.75" x14ac:dyDescent="0.25">
      <c r="B1" s="23" t="s">
        <v>4</v>
      </c>
      <c r="C1" s="23"/>
      <c r="D1" s="23"/>
      <c r="E1" s="24"/>
      <c r="F1" s="23"/>
      <c r="G1" s="23"/>
      <c r="H1" s="54"/>
      <c r="I1" s="55"/>
    </row>
    <row r="2" spans="2:11" ht="8.25" customHeight="1" x14ac:dyDescent="0.25">
      <c r="B2" s="23"/>
      <c r="C2" s="23"/>
      <c r="D2" s="23"/>
      <c r="E2" s="24"/>
      <c r="F2" s="23"/>
      <c r="G2" s="23"/>
      <c r="H2" s="54"/>
      <c r="I2" s="55"/>
    </row>
    <row r="3" spans="2:11" ht="15.75" x14ac:dyDescent="0.25">
      <c r="B3" s="23" t="s">
        <v>1</v>
      </c>
      <c r="C3" s="23"/>
      <c r="D3" s="23"/>
      <c r="E3" s="24"/>
      <c r="F3" s="23"/>
      <c r="G3" s="23"/>
      <c r="H3" s="54"/>
      <c r="I3" s="55"/>
    </row>
    <row r="4" spans="2:11" ht="15.75" x14ac:dyDescent="0.25">
      <c r="B4" s="23" t="str">
        <f>"Step Study between "&amp;K8&amp;" and "&amp;K7&amp;" Compliance Filing"</f>
        <v>Step Study between 2017.Q4 and 2017.Q3 Compliance Filing</v>
      </c>
      <c r="C4" s="23"/>
      <c r="D4" s="23"/>
      <c r="E4" s="24"/>
      <c r="F4" s="23"/>
      <c r="G4" s="23"/>
      <c r="H4" s="54"/>
      <c r="I4" s="55"/>
    </row>
    <row r="5" spans="2:11" ht="15.75" x14ac:dyDescent="0.25">
      <c r="B5" s="23" t="s">
        <v>9</v>
      </c>
      <c r="C5" s="23"/>
      <c r="D5" s="23"/>
      <c r="E5" s="24"/>
      <c r="F5" s="23"/>
      <c r="G5" s="23"/>
      <c r="H5" s="54"/>
      <c r="I5" s="55"/>
    </row>
    <row r="6" spans="2:11" ht="15.75" x14ac:dyDescent="0.25">
      <c r="B6" s="23"/>
      <c r="C6" s="23"/>
      <c r="D6" s="23"/>
      <c r="F6" s="23"/>
      <c r="G6" s="23"/>
      <c r="H6" s="54"/>
      <c r="I6" s="55"/>
    </row>
    <row r="7" spans="2:11" ht="15.75" x14ac:dyDescent="0.25">
      <c r="B7" s="26"/>
      <c r="C7" s="27" t="s">
        <v>2</v>
      </c>
      <c r="D7" s="27"/>
      <c r="F7" s="27" t="s">
        <v>8</v>
      </c>
      <c r="G7" s="42"/>
      <c r="H7" s="54"/>
      <c r="I7" s="55"/>
      <c r="K7" s="29" t="s">
        <v>20</v>
      </c>
    </row>
    <row r="8" spans="2:11" ht="30.75" customHeight="1" x14ac:dyDescent="0.25">
      <c r="B8" s="28" t="s">
        <v>0</v>
      </c>
      <c r="C8" s="50" t="s">
        <v>44</v>
      </c>
      <c r="D8" s="50" t="str">
        <f>K8&amp;" (3)"</f>
        <v>2017.Q4 (3)</v>
      </c>
      <c r="F8" s="29" t="str">
        <f>C8</f>
        <v>2017.Q3 (3)</v>
      </c>
      <c r="G8" s="50" t="str">
        <f>D8</f>
        <v>2017.Q4 (3)</v>
      </c>
      <c r="K8" s="29" t="s">
        <v>22</v>
      </c>
    </row>
    <row r="9" spans="2:11" ht="4.5" customHeight="1" x14ac:dyDescent="0.2"/>
    <row r="10" spans="2:11" ht="15.75" x14ac:dyDescent="0.25">
      <c r="B10" s="30">
        <v>2018</v>
      </c>
      <c r="C10" s="31">
        <v>0</v>
      </c>
      <c r="D10" s="31">
        <v>0</v>
      </c>
      <c r="F10" s="31">
        <f t="shared" ref="F10:F24" si="0">C10*1000/(IF(MOD($B10,4)=0,8784,8760)*0.85)</f>
        <v>0</v>
      </c>
      <c r="G10" s="31">
        <f t="shared" ref="G10:G24" si="1">D10*1000/(IF(MOD($B10,4)=0,8784,8760)*0.85)</f>
        <v>0</v>
      </c>
    </row>
    <row r="11" spans="2:11" ht="15.75" x14ac:dyDescent="0.25">
      <c r="B11" s="30">
        <f t="shared" ref="B11:B27" si="2">B10+1</f>
        <v>2019</v>
      </c>
      <c r="C11" s="31">
        <v>0</v>
      </c>
      <c r="D11" s="31">
        <v>0</v>
      </c>
      <c r="F11" s="31">
        <f t="shared" si="0"/>
        <v>0</v>
      </c>
      <c r="G11" s="31">
        <f t="shared" si="1"/>
        <v>0</v>
      </c>
    </row>
    <row r="12" spans="2:11" ht="15.75" x14ac:dyDescent="0.25">
      <c r="B12" s="30">
        <f t="shared" si="2"/>
        <v>2020</v>
      </c>
      <c r="C12" s="31">
        <v>0</v>
      </c>
      <c r="D12" s="31">
        <v>0</v>
      </c>
      <c r="F12" s="31">
        <f t="shared" si="0"/>
        <v>0</v>
      </c>
      <c r="G12" s="31">
        <f t="shared" si="1"/>
        <v>0</v>
      </c>
    </row>
    <row r="13" spans="2:11" ht="15.75" x14ac:dyDescent="0.25">
      <c r="B13" s="30">
        <f t="shared" si="2"/>
        <v>2021</v>
      </c>
      <c r="C13" s="31">
        <v>0</v>
      </c>
      <c r="D13" s="31">
        <v>0</v>
      </c>
      <c r="F13" s="31">
        <f t="shared" si="0"/>
        <v>0</v>
      </c>
      <c r="G13" s="31">
        <f t="shared" si="1"/>
        <v>0</v>
      </c>
    </row>
    <row r="14" spans="2:11" ht="15.75" x14ac:dyDescent="0.25">
      <c r="B14" s="30">
        <f t="shared" si="2"/>
        <v>2022</v>
      </c>
      <c r="C14" s="31">
        <v>0</v>
      </c>
      <c r="D14" s="31">
        <v>0</v>
      </c>
      <c r="F14" s="31">
        <f t="shared" si="0"/>
        <v>0</v>
      </c>
      <c r="G14" s="31">
        <f t="shared" si="1"/>
        <v>0</v>
      </c>
    </row>
    <row r="15" spans="2:11" ht="15.75" x14ac:dyDescent="0.25">
      <c r="B15" s="30">
        <f t="shared" si="2"/>
        <v>2023</v>
      </c>
      <c r="C15" s="31">
        <v>0</v>
      </c>
      <c r="D15" s="31">
        <v>0</v>
      </c>
      <c r="F15" s="31">
        <f t="shared" si="0"/>
        <v>0</v>
      </c>
      <c r="G15" s="31">
        <f t="shared" si="1"/>
        <v>0</v>
      </c>
    </row>
    <row r="16" spans="2:11" ht="15.75" x14ac:dyDescent="0.25">
      <c r="B16" s="30">
        <f t="shared" si="2"/>
        <v>2024</v>
      </c>
      <c r="C16" s="31">
        <v>0</v>
      </c>
      <c r="D16" s="31">
        <v>0</v>
      </c>
      <c r="F16" s="31">
        <f t="shared" si="0"/>
        <v>0</v>
      </c>
      <c r="G16" s="31">
        <f t="shared" si="1"/>
        <v>0</v>
      </c>
    </row>
    <row r="17" spans="2:7" ht="15.75" x14ac:dyDescent="0.25">
      <c r="B17" s="30">
        <f t="shared" si="2"/>
        <v>2025</v>
      </c>
      <c r="C17" s="31">
        <v>0</v>
      </c>
      <c r="D17" s="31">
        <v>0</v>
      </c>
      <c r="F17" s="31">
        <f t="shared" si="0"/>
        <v>0</v>
      </c>
      <c r="G17" s="31">
        <f t="shared" si="1"/>
        <v>0</v>
      </c>
    </row>
    <row r="18" spans="2:7" ht="15.75" x14ac:dyDescent="0.25">
      <c r="B18" s="30">
        <f t="shared" si="2"/>
        <v>2026</v>
      </c>
      <c r="C18" s="31">
        <v>0</v>
      </c>
      <c r="D18" s="31">
        <v>0</v>
      </c>
      <c r="F18" s="31">
        <f t="shared" si="0"/>
        <v>0</v>
      </c>
      <c r="G18" s="31">
        <f t="shared" si="1"/>
        <v>0</v>
      </c>
    </row>
    <row r="19" spans="2:7" ht="15.75" x14ac:dyDescent="0.25">
      <c r="B19" s="30">
        <f t="shared" si="2"/>
        <v>2027</v>
      </c>
      <c r="C19" s="31">
        <v>0</v>
      </c>
      <c r="D19" s="31">
        <v>0</v>
      </c>
      <c r="F19" s="31">
        <f t="shared" si="0"/>
        <v>0</v>
      </c>
      <c r="G19" s="31">
        <f t="shared" si="1"/>
        <v>0</v>
      </c>
    </row>
    <row r="20" spans="2:7" ht="15.75" x14ac:dyDescent="0.25">
      <c r="B20" s="30">
        <f t="shared" si="2"/>
        <v>2028</v>
      </c>
      <c r="C20" s="31">
        <v>0</v>
      </c>
      <c r="D20" s="31">
        <v>0</v>
      </c>
      <c r="F20" s="31">
        <f t="shared" si="0"/>
        <v>0</v>
      </c>
      <c r="G20" s="31">
        <f t="shared" si="1"/>
        <v>0</v>
      </c>
    </row>
    <row r="21" spans="2:7" ht="15.75" x14ac:dyDescent="0.25">
      <c r="B21" s="30">
        <f t="shared" si="2"/>
        <v>2029</v>
      </c>
      <c r="C21" s="31">
        <v>0</v>
      </c>
      <c r="D21" s="31">
        <v>0</v>
      </c>
      <c r="F21" s="31">
        <f t="shared" si="0"/>
        <v>0</v>
      </c>
      <c r="G21" s="31">
        <f t="shared" si="1"/>
        <v>0</v>
      </c>
    </row>
    <row r="22" spans="2:7" ht="15.75" x14ac:dyDescent="0.25">
      <c r="B22" s="30">
        <f t="shared" si="2"/>
        <v>2030</v>
      </c>
      <c r="C22" s="31">
        <v>0</v>
      </c>
      <c r="D22" s="31">
        <v>0</v>
      </c>
      <c r="F22" s="31">
        <f t="shared" si="0"/>
        <v>0</v>
      </c>
      <c r="G22" s="31">
        <f t="shared" si="1"/>
        <v>0</v>
      </c>
    </row>
    <row r="23" spans="2:7" ht="15.75" x14ac:dyDescent="0.25">
      <c r="B23" s="30">
        <f t="shared" si="2"/>
        <v>2031</v>
      </c>
      <c r="C23" s="31">
        <v>0</v>
      </c>
      <c r="D23" s="31">
        <v>0</v>
      </c>
      <c r="F23" s="31">
        <f t="shared" si="0"/>
        <v>0</v>
      </c>
      <c r="G23" s="31">
        <f t="shared" si="1"/>
        <v>0</v>
      </c>
    </row>
    <row r="24" spans="2:7" ht="15.75" x14ac:dyDescent="0.25">
      <c r="B24" s="30">
        <f t="shared" si="2"/>
        <v>2032</v>
      </c>
      <c r="C24" s="31">
        <v>0</v>
      </c>
      <c r="D24" s="31">
        <v>0</v>
      </c>
      <c r="F24" s="31">
        <f t="shared" si="0"/>
        <v>0</v>
      </c>
      <c r="G24" s="31">
        <f t="shared" si="1"/>
        <v>0</v>
      </c>
    </row>
    <row r="25" spans="2:7" ht="15.75" x14ac:dyDescent="0.25">
      <c r="B25" s="30">
        <f t="shared" si="2"/>
        <v>2033</v>
      </c>
      <c r="C25" s="31">
        <v>0</v>
      </c>
      <c r="D25" s="31">
        <v>0</v>
      </c>
      <c r="F25" s="31">
        <f t="shared" ref="F25:F27" si="3">C25*1000/(IF(MOD($B25,4)=0,8784,8760)*0.85)</f>
        <v>0</v>
      </c>
      <c r="G25" s="31">
        <f t="shared" ref="G25:G27" si="4">D25*1000/(IF(MOD($B25,4)=0,8784,8760)*0.85)</f>
        <v>0</v>
      </c>
    </row>
    <row r="26" spans="2:7" ht="15.75" x14ac:dyDescent="0.25">
      <c r="B26" s="30">
        <f t="shared" si="2"/>
        <v>2034</v>
      </c>
      <c r="C26" s="31">
        <v>0</v>
      </c>
      <c r="D26" s="31">
        <v>0</v>
      </c>
      <c r="F26" s="31">
        <f t="shared" si="3"/>
        <v>0</v>
      </c>
      <c r="G26" s="31">
        <f t="shared" si="4"/>
        <v>0</v>
      </c>
    </row>
    <row r="27" spans="2:7" ht="15.75" x14ac:dyDescent="0.25">
      <c r="B27" s="30">
        <f t="shared" si="2"/>
        <v>2035</v>
      </c>
      <c r="C27" s="31">
        <v>0</v>
      </c>
      <c r="D27" s="31">
        <v>0</v>
      </c>
      <c r="F27" s="31">
        <f t="shared" si="3"/>
        <v>0</v>
      </c>
      <c r="G27" s="31">
        <f t="shared" si="4"/>
        <v>0</v>
      </c>
    </row>
    <row r="28" spans="2:7" ht="15.75" x14ac:dyDescent="0.25">
      <c r="B28" s="30"/>
      <c r="C28" s="32"/>
      <c r="D28" s="32"/>
      <c r="F28" s="32"/>
    </row>
    <row r="29" spans="2:7" x14ac:dyDescent="0.2">
      <c r="B29" s="33" t="str">
        <f>"Nominal Levelized Payment at "&amp;TEXT($B$44,"0.000%")&amp;" Discount Rate (2)"</f>
        <v>Nominal Levelized Payment at 6.570% Discount Rate (2)</v>
      </c>
    </row>
    <row r="30" spans="2:7" x14ac:dyDescent="0.2">
      <c r="B30" s="34" t="str">
        <f>$B$10&amp;" - "&amp;B24</f>
        <v>2018 - 2032</v>
      </c>
      <c r="C30" s="35">
        <f t="shared" ref="C30:D32" si="5">PMT($B$44,COUNT(C10:C24),-NPV($B$44,C10:C24))</f>
        <v>0</v>
      </c>
      <c r="D30" s="35">
        <f t="shared" si="5"/>
        <v>0</v>
      </c>
      <c r="F30" s="35">
        <f t="shared" ref="F30:G32" si="6">PMT($B$44,COUNT(F10:F24),-NPV($B$44,F10:F24))</f>
        <v>0</v>
      </c>
      <c r="G30" s="35">
        <f t="shared" si="6"/>
        <v>0</v>
      </c>
    </row>
    <row r="31" spans="2:7" x14ac:dyDescent="0.2">
      <c r="B31" s="34" t="str">
        <f>$B$11&amp;" - "&amp;B25</f>
        <v>2019 - 2033</v>
      </c>
      <c r="C31" s="35">
        <f t="shared" si="5"/>
        <v>0</v>
      </c>
      <c r="D31" s="35">
        <f t="shared" si="5"/>
        <v>0</v>
      </c>
      <c r="F31" s="35">
        <f t="shared" si="6"/>
        <v>0</v>
      </c>
      <c r="G31" s="35">
        <f t="shared" si="6"/>
        <v>0</v>
      </c>
    </row>
    <row r="32" spans="2:7" x14ac:dyDescent="0.2">
      <c r="B32" s="34" t="str">
        <f>$B$12&amp;" - "&amp;B26</f>
        <v>2020 - 2034</v>
      </c>
      <c r="C32" s="35">
        <f t="shared" si="5"/>
        <v>0</v>
      </c>
      <c r="D32" s="35">
        <f t="shared" si="5"/>
        <v>0</v>
      </c>
      <c r="F32" s="35">
        <f t="shared" si="6"/>
        <v>0</v>
      </c>
      <c r="G32" s="35">
        <f t="shared" si="6"/>
        <v>0</v>
      </c>
    </row>
    <row r="34" spans="2:10" x14ac:dyDescent="0.2">
      <c r="B34" s="25" t="s">
        <v>3</v>
      </c>
    </row>
    <row r="35" spans="2:10" s="1" customFormat="1" x14ac:dyDescent="0.2">
      <c r="B35" s="25" t="s">
        <v>42</v>
      </c>
      <c r="C35" s="25"/>
      <c r="D35" s="25"/>
      <c r="E35" s="25"/>
      <c r="F35" s="25"/>
      <c r="I35"/>
      <c r="J35"/>
    </row>
    <row r="36" spans="2:10" x14ac:dyDescent="0.2">
      <c r="B36" s="25" t="s">
        <v>18</v>
      </c>
    </row>
    <row r="43" spans="2:10" x14ac:dyDescent="0.2">
      <c r="B43" s="54" t="s">
        <v>43</v>
      </c>
    </row>
    <row r="44" spans="2:10" x14ac:dyDescent="0.2">
      <c r="B44" s="36">
        <f>Discount_Rate</f>
        <v>6.5699999999999995E-2</v>
      </c>
    </row>
  </sheetData>
  <printOptions horizontalCentered="1"/>
  <pageMargins left="0.25" right="0.25" top="0.75" bottom="0.75" header="0.3" footer="0.2"/>
  <pageSetup scale="89" orientation="landscape" r:id="rId1"/>
  <headerFooter alignWithMargins="0">
    <oddFooter>&amp;L&amp;8NPC Group - &amp;F   ( &amp;A )&amp;C&amp;8Page &amp;P of &amp;N&amp;R&amp;8&amp;D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Incremental</vt:lpstr>
      <vt:lpstr>Total</vt:lpstr>
      <vt:lpstr>Energy</vt:lpstr>
      <vt:lpstr>Capacity</vt:lpstr>
      <vt:lpstr>Discount_Rate</vt:lpstr>
      <vt:lpstr>Capacity!Print_Area</vt:lpstr>
      <vt:lpstr>Energy!Print_Area</vt:lpstr>
      <vt:lpstr>Incremental!Print_Area</vt:lpstr>
      <vt:lpstr>Total!Print_Area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2018-02-22T23:02:57Z</dcterms:created>
  <dcterms:modified xsi:type="dcterms:W3CDTF">2018-02-22T23:03:00Z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