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Websites\Pscweb\utilities\electric\11 thru 19\17docs\1703561\"/>
    </mc:Choice>
  </mc:AlternateContent>
  <bookViews>
    <workbookView xWindow="0" yWindow="0" windowWidth="19125" windowHeight="11520"/>
  </bookViews>
  <sheets>
    <sheet name="References" sheetId="1" r:id="rId1"/>
    <sheet name="Table 1" sheetId="10" r:id="rId2"/>
    <sheet name="Table 2" sheetId="2" r:id="rId3"/>
    <sheet name="Table 3" sheetId="6" r:id="rId4"/>
    <sheet name="Table 4" sheetId="7" r:id="rId5"/>
    <sheet name="Table 5" sheetId="9" r:id="rId6"/>
    <sheet name="Gadsby 2020" sheetId="12" r:id="rId7"/>
  </sheets>
  <externalReferences>
    <externalReference r:id="rId8"/>
    <externalReference r:id="rId9"/>
    <externalReference r:id="rId10"/>
    <externalReference r:id="rId11"/>
    <externalReference r:id="rId12"/>
    <externalReference r:id="rId13"/>
    <externalReference r:id="rId14"/>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3" i="1" l="1"/>
  <c r="B12" i="1"/>
  <c r="E5" i="6" l="1"/>
  <c r="E4" i="6"/>
  <c r="E3" i="6"/>
  <c r="B13" i="1" l="1"/>
  <c r="B62" i="1"/>
  <c r="B61" i="1"/>
  <c r="B57" i="1"/>
  <c r="B52" i="1"/>
  <c r="B48" i="1"/>
  <c r="B43" i="1"/>
  <c r="B42" i="1"/>
  <c r="B41" i="1"/>
  <c r="B40" i="1"/>
  <c r="B39" i="1"/>
  <c r="B20" i="1"/>
  <c r="B19" i="1"/>
  <c r="B3" i="1"/>
  <c r="B17" i="1"/>
  <c r="B9" i="1"/>
  <c r="B7" i="1"/>
  <c r="B44" i="1" l="1"/>
  <c r="B34" i="1"/>
  <c r="B21" i="1"/>
  <c r="B33" i="1" l="1"/>
  <c r="D5" i="10" l="1"/>
  <c r="E5" i="10"/>
  <c r="E3" i="10"/>
  <c r="F5" i="10"/>
  <c r="D12" i="9"/>
  <c r="E6" i="9"/>
  <c r="D3" i="9"/>
  <c r="E3" i="9" s="1"/>
  <c r="E5" i="9" s="1"/>
  <c r="E4" i="9"/>
  <c r="D7" i="9"/>
  <c r="D9" i="9"/>
  <c r="D6" i="9"/>
  <c r="D5" i="9" l="1"/>
  <c r="D14" i="9"/>
  <c r="E9" i="9"/>
  <c r="E7" i="9"/>
  <c r="D4" i="7"/>
  <c r="E3" i="7"/>
  <c r="D12" i="7"/>
  <c r="D7" i="7"/>
  <c r="E7" i="7" s="1"/>
  <c r="D5" i="7"/>
  <c r="E5" i="7" s="1"/>
  <c r="D10" i="9" l="1"/>
  <c r="D15" i="9" s="1"/>
  <c r="E10" i="9"/>
  <c r="D8" i="7"/>
  <c r="B49" i="1"/>
  <c r="B53" i="1" s="1"/>
  <c r="D13" i="7" l="1"/>
  <c r="B31" i="1"/>
  <c r="B30" i="1" s="1"/>
  <c r="D4" i="6"/>
  <c r="D15" i="6"/>
  <c r="D8" i="6"/>
  <c r="E8" i="6" s="1"/>
  <c r="D10" i="6"/>
  <c r="E10" i="6" s="1"/>
  <c r="D7" i="6"/>
  <c r="D6" i="6"/>
  <c r="D5" i="6"/>
  <c r="D3" i="6"/>
  <c r="D11" i="6" l="1"/>
  <c r="E6" i="6"/>
  <c r="B8" i="1" l="1"/>
  <c r="D16" i="6"/>
  <c r="B6" i="1" s="1"/>
  <c r="F9" i="2" l="1"/>
  <c r="F8" i="2"/>
  <c r="E7" i="2" l="1"/>
  <c r="E6" i="2"/>
  <c r="F14" i="2" l="1"/>
  <c r="E14" i="2"/>
  <c r="F13" i="2"/>
  <c r="E13" i="2"/>
  <c r="E12" i="2"/>
  <c r="F11" i="2"/>
  <c r="F12" i="2"/>
  <c r="E11" i="2"/>
  <c r="F15" i="2" l="1"/>
  <c r="E15" i="2" l="1"/>
  <c r="A13" i="1" l="1"/>
  <c r="A12" i="1" l="1"/>
  <c r="B22" i="1" l="1"/>
  <c r="B23" i="1" s="1"/>
  <c r="B16" i="1" l="1"/>
  <c r="B18" i="1"/>
  <c r="B24" i="1" s="1"/>
  <c r="B10" i="1"/>
  <c r="B11" i="1"/>
  <c r="B36" i="1" l="1"/>
  <c r="B32" i="1"/>
  <c r="B35" i="1" l="1"/>
  <c r="E4" i="7"/>
  <c r="F17" i="2"/>
  <c r="B26" i="1" s="1"/>
  <c r="E17" i="2"/>
  <c r="D4" i="10" l="1"/>
  <c r="E8" i="7"/>
  <c r="E7" i="6"/>
  <c r="B25" i="1"/>
  <c r="E11" i="6" l="1"/>
  <c r="D3" i="10"/>
  <c r="B56" i="1"/>
  <c r="F4" i="10"/>
  <c r="F3" i="10" l="1"/>
  <c r="F6" i="10" s="1"/>
  <c r="B2" i="1" s="1"/>
  <c r="B47" i="1"/>
  <c r="B15" i="1" l="1"/>
  <c r="B14" i="1" l="1"/>
</calcChain>
</file>

<file path=xl/sharedStrings.xml><?xml version="1.0" encoding="utf-8"?>
<sst xmlns="http://schemas.openxmlformats.org/spreadsheetml/2006/main" count="432" uniqueCount="277">
  <si>
    <t>Time Period</t>
  </si>
  <si>
    <t>Utility-Scale resources included</t>
  </si>
  <si>
    <t>None</t>
  </si>
  <si>
    <t>Actual</t>
  </si>
  <si>
    <t>Version</t>
  </si>
  <si>
    <t>No</t>
  </si>
  <si>
    <t>Yes</t>
  </si>
  <si>
    <t>Operating</t>
  </si>
  <si>
    <t>Cap. Contrib.</t>
  </si>
  <si>
    <t>Cap. Contrib. w/ Losses</t>
  </si>
  <si>
    <t>Load</t>
  </si>
  <si>
    <t>Match day of week?</t>
  </si>
  <si>
    <t>Match Weather?</t>
  </si>
  <si>
    <t>Forecast</t>
  </si>
  <si>
    <t>2019 Utah Load</t>
  </si>
  <si>
    <t>2019 System Load</t>
  </si>
  <si>
    <t>2019 IRP Forecast</t>
  </si>
  <si>
    <t>MacNeil Rebuttal Scenarios:</t>
  </si>
  <si>
    <t>Vote Solar Scenarios:</t>
  </si>
  <si>
    <t>2021-40</t>
  </si>
  <si>
    <t>Customer Gen. resources included</t>
  </si>
  <si>
    <t>Operating, Contracted, Projected in 2030</t>
  </si>
  <si>
    <t>Milligan SR</t>
  </si>
  <si>
    <t>Milligan Dir.</t>
  </si>
  <si>
    <t>Forecast UT</t>
  </si>
  <si>
    <t>Forecast System</t>
  </si>
  <si>
    <t>Actual UT</t>
  </si>
  <si>
    <t>Actual System</t>
  </si>
  <si>
    <t>n/a</t>
  </si>
  <si>
    <t>Vote Solar's CG Export Profile based on 2019 actual data is used in all scenarios.</t>
  </si>
  <si>
    <t xml:space="preserve">2019 Utah Load Net of 2019 Utah Solar </t>
  </si>
  <si>
    <t xml:space="preserve">2019 Utah Load Net of Contracted Utah Solar </t>
  </si>
  <si>
    <t>Operating, Contracted</t>
  </si>
  <si>
    <t>UT</t>
  </si>
  <si>
    <t>Plant State</t>
  </si>
  <si>
    <t>Plant Name</t>
  </si>
  <si>
    <t>MacNeil Sur-Surrebuttal Scenario:</t>
  </si>
  <si>
    <t xml:space="preserve">2019 Utah Load Net of 2021 Utah Solar </t>
  </si>
  <si>
    <t>Operating, COD before summer 2021</t>
  </si>
  <si>
    <t>$/kw-yr</t>
  </si>
  <si>
    <t>Capital Cost</t>
  </si>
  <si>
    <t>Carrying Charge</t>
  </si>
  <si>
    <t>Fixed O&amp;M</t>
  </si>
  <si>
    <t>%</t>
  </si>
  <si>
    <t>Row</t>
  </si>
  <si>
    <t>Line Loss Gross up</t>
  </si>
  <si>
    <t>Annual CG Export Energy per kW</t>
  </si>
  <si>
    <t>kWh/kW</t>
  </si>
  <si>
    <t>cents/$</t>
  </si>
  <si>
    <t>Dollars to cents conversion</t>
  </si>
  <si>
    <t>Generation Capacity Credit</t>
  </si>
  <si>
    <t>cents/kWh</t>
  </si>
  <si>
    <t>Inflation (2019 IRP)</t>
  </si>
  <si>
    <t>$/kw</t>
  </si>
  <si>
    <t>Units</t>
  </si>
  <si>
    <t>Description</t>
  </si>
  <si>
    <t>a</t>
  </si>
  <si>
    <t>b</t>
  </si>
  <si>
    <t>c</t>
  </si>
  <si>
    <t>d = a*b+c</t>
  </si>
  <si>
    <t>e</t>
  </si>
  <si>
    <t>g</t>
  </si>
  <si>
    <t>h</t>
  </si>
  <si>
    <t>i =
d*e*f*g / h</t>
  </si>
  <si>
    <t>RMP SSR</t>
  </si>
  <si>
    <t>Commission Adjustment</t>
  </si>
  <si>
    <t>j</t>
  </si>
  <si>
    <t>k</t>
  </si>
  <si>
    <t>l = 1 - k / j</t>
  </si>
  <si>
    <t>m = I * (1 - l)</t>
  </si>
  <si>
    <t>Generation Capacity Credit: October Order</t>
  </si>
  <si>
    <t>Carrying charge originally proposed by parties</t>
  </si>
  <si>
    <t>Commission ordered carrying charge</t>
  </si>
  <si>
    <t>MWh</t>
  </si>
  <si>
    <t>MW</t>
  </si>
  <si>
    <t>d</t>
  </si>
  <si>
    <t>Transmission Capacity Credit</t>
  </si>
  <si>
    <t>f =
a*b*c*d / e</t>
  </si>
  <si>
    <t>i = 1 - h / g</t>
  </si>
  <si>
    <t>Annual Capacity Cost (i)</t>
  </si>
  <si>
    <t>CG Export Capacity Contribution Before Losses (ii)</t>
  </si>
  <si>
    <t>f(iii)</t>
  </si>
  <si>
    <t>h(iii)</t>
  </si>
  <si>
    <t>Transmission Capacity Credit: October Order (iv)</t>
  </si>
  <si>
    <t>c(iii)</t>
  </si>
  <si>
    <t>e(iii)</t>
  </si>
  <si>
    <t>i)  Dr. Yang Sur-rebuttal, line 80
ii)  Dr. Milligan's revised affirmative capacity contribution value for 2021-2040, which did not include line losses.
iii)  Items (c) and (e) were used in Dr. Milligan's sur-rebuttal proposal and were not subject to rehearing.
iv)  The Commission ordered value of 0.91 cents/kWh may reflect independent rounding.</t>
  </si>
  <si>
    <t>VS</t>
  </si>
  <si>
    <t>i)  Dr. Milligan's sur-rebuttal value of $78.61/kw-yr is $88/kw-yr (2026$) less five years of inflation at 2.28% and varies slightly due to rounding.
ii)  Dr. Milligan's sur-rebuttal capacity contribution value for 2021 is already grossed up for line losses.
iii)  Items (f) and (h) were used in Dr. Milligan's sur-rebuttal proposal and were not subject to rehearing.</t>
  </si>
  <si>
    <t>c = a*b</t>
  </si>
  <si>
    <t>Capital Cost (after utilization adj.)</t>
  </si>
  <si>
    <t>a (i)</t>
  </si>
  <si>
    <t>f(i)</t>
  </si>
  <si>
    <t>h(i)</t>
  </si>
  <si>
    <t>Carrying charge originally proposed by VS</t>
  </si>
  <si>
    <t>Annual Capacity Cost</t>
  </si>
  <si>
    <t>Distribution Capacity Credit</t>
  </si>
  <si>
    <t>Distribution Capacity Credit: October Order</t>
  </si>
  <si>
    <t>i)  Items (a), (f), and (h) were used in Dr. Yang's proposal and were not subject to rehearing.
ii)  Dr. Milligan's revised affirmative capacity contribution value for 2021, which did not include line losses.</t>
  </si>
  <si>
    <t>Type</t>
  </si>
  <si>
    <t>Total</t>
  </si>
  <si>
    <t>Credit (cents/kWh)</t>
  </si>
  <si>
    <t>Carrying Charge (%)</t>
  </si>
  <si>
    <t>Capacity Contribution (before losses) (%)</t>
  </si>
  <si>
    <t>Table 5: Distribution Capacity Credit (2021$)</t>
  </si>
  <si>
    <t>Table 4: Transmission Capacity Credit (2021$)</t>
  </si>
  <si>
    <t>Table 3: Generation Capacity Credit (2021$)</t>
  </si>
  <si>
    <t>Table 2: Generation Capacity Contribution Comparison</t>
  </si>
  <si>
    <t>PAC 2019 FERC Form 1</t>
  </si>
  <si>
    <t>I recommend that the Commission approve a capacity credit for CG exports totaling 1.13 cents/kWh</t>
  </si>
  <si>
    <t>The Commission’s avoided generation capacity cost value of 2.31 cents/kWh represents</t>
  </si>
  <si>
    <t xml:space="preserve">a reduction of 16.7% </t>
  </si>
  <si>
    <t>from the value of 2.77/kWh cents included in the sur-rebuttal workpapers of VS witness Dr. Michael Milligan</t>
  </si>
  <si>
    <t>Dr. Milligan’s sur-rebuttal workpapers demonstrate that the 2021 value of 2.77 cents/kWh is actually derived from a capacity contribution of 28.96%</t>
  </si>
  <si>
    <t>The Utah system peak load occurred on July 22 in 2019</t>
  </si>
  <si>
    <t>the Utah system peak load in the Company’s 2021 load forecast occurs on July 14th</t>
  </si>
  <si>
    <t>were compared against the 2021 load forecast for Wednesday, July 14, 2021</t>
  </si>
  <si>
    <t xml:space="preserve">In Dr. Milligan’s sur-rebuttal, the capacity contribution value is based on an export credit profile that has already been grossed up for line losses. </t>
  </si>
  <si>
    <t xml:space="preserve">The scenario “2019 Utah Load Net of Contracted Utah Solar” takes 2019 hourly actual Utah load and subtracts from it 1.8 times the 2019 hourly actual generation from utility-scale solar resources in Utah. </t>
  </si>
  <si>
    <t xml:space="preserve">Multiplying by 1.8 corresponds to the ratio of the contracted solar capacity in Utah in 2019 (855 MW) </t>
  </si>
  <si>
    <t>and the total after executed contracts are included (1,550 MW at the time of rebuttal)</t>
  </si>
  <si>
    <t>Approximately 460 MW of solar resources have come online since 2019 or are expected to be online by April of this year</t>
  </si>
  <si>
    <t xml:space="preserve">This represents approximately 54% more utility-scale solar capacity than was online in 2019 </t>
  </si>
  <si>
    <t>somewhat lower than the 81% increase when all signed contracts at the time of rebuttal were included</t>
  </si>
  <si>
    <t xml:space="preserve">Not all of the roughly 700 MW of contracted solar resources included in the “2019 Utah Load Net of Contracted Utah Solar” scenario </t>
  </si>
  <si>
    <t>Using this level of utility-scale solar penetration results in a capacity contribution of approximately 6.49%</t>
  </si>
  <si>
    <t>or approximately 7.16% when avoided losses are accounted for</t>
  </si>
  <si>
    <t>Generation Capacity Contribution</t>
  </si>
  <si>
    <t>Summary</t>
  </si>
  <si>
    <t>Transmission Capacity Contribution</t>
  </si>
  <si>
    <t xml:space="preserve">The Commission’s avoided transmission capacity cost value of 0.91 cents/kWh </t>
  </si>
  <si>
    <t>from a value of 1.10 cents/kWh</t>
  </si>
  <si>
    <t xml:space="preserve">represents a reduction of approximately 17% </t>
  </si>
  <si>
    <t>In five months of 2019 (mainly in the winter), the VS CG export profile was zero during the Monthly Transmission System Peak</t>
  </si>
  <si>
    <t>the top 10% Utah load hours are entirely in the summer months of June through September</t>
  </si>
  <si>
    <t>with 78% of the top hours occurring in July and August</t>
  </si>
  <si>
    <t>the transmission capacity contribution is approximately 7.72%</t>
  </si>
  <si>
    <t>or 8.46% after grossing up for losses</t>
  </si>
  <si>
    <t>Distribution Capacity Contribution</t>
  </si>
  <si>
    <t xml:space="preserve">The Commission’s avoided transmission capacity cost value of 0.31 cents/kWh </t>
  </si>
  <si>
    <t xml:space="preserve">represents a reduction of 27.5% </t>
  </si>
  <si>
    <t>from a value of 0.425 cents/kWh</t>
  </si>
  <si>
    <t>The “2019 Utah Load” scenario in Table 2 has a capacity contribution of 21.99% prior to accounting for losses</t>
  </si>
  <si>
    <t>When grossed up by the 4.6% distribution loss factor proposed by VS</t>
  </si>
  <si>
    <t>the effective distribution capacity contribution is 23.01%, including losses.</t>
  </si>
  <si>
    <t>Generation Capacity Carrying Charge</t>
  </si>
  <si>
    <t>the Company’s proposed generation capacity credit of 0.62 cents/kWh</t>
  </si>
  <si>
    <t xml:space="preserve">In 2019, the net generation of the Company’s Gadsby combustion turbines equated to a capacity factor of approximately 2% </t>
  </si>
  <si>
    <t>In 2020 the capacity factor of these resources was more than twice as high.</t>
  </si>
  <si>
    <t>U.S. Department of Energy, The Energy Information Administration (EIA)</t>
  </si>
  <si>
    <t>EIA-923 Monthly Generation and Fuel Consumption Time Series File, 2020 November</t>
  </si>
  <si>
    <t>Sources: EIA-923 and EIA-860 Reports</t>
  </si>
  <si>
    <t/>
  </si>
  <si>
    <t>Total Quantity Consumed In Physical Units (Consumed For Electric Generation And Useful Thermal Output)</t>
  </si>
  <si>
    <t>Quantity Consumed In Physical Units For Electric Generation</t>
  </si>
  <si>
    <t>Heat Content Of Fuels (MMBtu Per Unit)</t>
  </si>
  <si>
    <t>Total Fuel Consumed (MMBtu)</t>
  </si>
  <si>
    <t>Quantity Consumed For Electricity (MMBtu)</t>
  </si>
  <si>
    <t>Electricity Net Generation (MWh)</t>
  </si>
  <si>
    <t>Year-To-Date</t>
  </si>
  <si>
    <t>Plant Id</t>
  </si>
  <si>
    <t>Combined Heat And
Power Plant</t>
  </si>
  <si>
    <t>Nuclear Unit Id</t>
  </si>
  <si>
    <t>Operator Name</t>
  </si>
  <si>
    <t>Operator Id</t>
  </si>
  <si>
    <t>Census Region</t>
  </si>
  <si>
    <t>NERC Region</t>
  </si>
  <si>
    <t>Reserved</t>
  </si>
  <si>
    <t>NAICS Code</t>
  </si>
  <si>
    <t>EIA Sector Number</t>
  </si>
  <si>
    <t>Sector Name</t>
  </si>
  <si>
    <t>Reported
Prime Mover</t>
  </si>
  <si>
    <t>Reported
Fuel Type Code</t>
  </si>
  <si>
    <t>AER
Fuel Type Code</t>
  </si>
  <si>
    <t>Physical
Unit Label</t>
  </si>
  <si>
    <t>Quantity
January</t>
  </si>
  <si>
    <t>Quantity
February</t>
  </si>
  <si>
    <t>Quantity
March</t>
  </si>
  <si>
    <t>Quantity
April</t>
  </si>
  <si>
    <t>Quantity
May</t>
  </si>
  <si>
    <t>Quantity
June</t>
  </si>
  <si>
    <t>Quantity
July</t>
  </si>
  <si>
    <t>Quantity
August</t>
  </si>
  <si>
    <t>Quantity
September</t>
  </si>
  <si>
    <t>Quantity
October</t>
  </si>
  <si>
    <t>Quantity
November</t>
  </si>
  <si>
    <t>Quantity
December</t>
  </si>
  <si>
    <t>Elec_Quantity
January</t>
  </si>
  <si>
    <t>Elec_Quantity
February</t>
  </si>
  <si>
    <t>Elec_Quantity
March</t>
  </si>
  <si>
    <t>Elec_Quantity
April</t>
  </si>
  <si>
    <t>Elec_Quantity
May</t>
  </si>
  <si>
    <t>Elec_Quantity
June</t>
  </si>
  <si>
    <t>Elec_Quantity
July</t>
  </si>
  <si>
    <t>Elec_Quantity
August</t>
  </si>
  <si>
    <t>Elec_Quantity
September</t>
  </si>
  <si>
    <t>Elec_Quantity
October</t>
  </si>
  <si>
    <t>Elec_Quantity
November</t>
  </si>
  <si>
    <t>Elec_Quantity
December</t>
  </si>
  <si>
    <t>MMBtuPer_Unit
January</t>
  </si>
  <si>
    <t>MMBtuPer_Unit
February</t>
  </si>
  <si>
    <t>MMBtuPer_Unit
March</t>
  </si>
  <si>
    <t>MMBtuPer_Unit
April</t>
  </si>
  <si>
    <t>MMBtuPer_Unit
May</t>
  </si>
  <si>
    <t>MMBtuPer_Unit
June</t>
  </si>
  <si>
    <t>MMBtuPer_Unit
July</t>
  </si>
  <si>
    <t>MMBtuPer_Unit
August</t>
  </si>
  <si>
    <t>MMBtuPer_Unit
September</t>
  </si>
  <si>
    <t>MMBtuPer_Unit
October</t>
  </si>
  <si>
    <t>MMBtuPer_Unit
November</t>
  </si>
  <si>
    <t>MMBtuPer_Unit
December</t>
  </si>
  <si>
    <t>Tot_MMBtu
January</t>
  </si>
  <si>
    <t>Tot_MMBtu
February</t>
  </si>
  <si>
    <t>Tot_MMBtu
March</t>
  </si>
  <si>
    <t>Tot_MMBtu
April</t>
  </si>
  <si>
    <t>Tot_MMBtu
May</t>
  </si>
  <si>
    <t>Tot_MMBtu
June</t>
  </si>
  <si>
    <t>Tot_MMBtu
July</t>
  </si>
  <si>
    <t>Tot_MMBtu
August</t>
  </si>
  <si>
    <t>Tot_MMBtu
September</t>
  </si>
  <si>
    <t>Tot_MMBtu
October</t>
  </si>
  <si>
    <t>Tot_MMBtu
November</t>
  </si>
  <si>
    <t>Tot_MMBtu
December</t>
  </si>
  <si>
    <t>Elec_MMBtu
January</t>
  </si>
  <si>
    <t>Elec_MMBtu
February</t>
  </si>
  <si>
    <t>Elec_MMBtu
March</t>
  </si>
  <si>
    <t>Elec_MMBtu
April</t>
  </si>
  <si>
    <t>Elec_MMBtu
May</t>
  </si>
  <si>
    <t>Elec_MMBtu
June</t>
  </si>
  <si>
    <t>Elec_MMBtu
July</t>
  </si>
  <si>
    <t>Elec_MMBtu
August</t>
  </si>
  <si>
    <t>Elec_MMBtu
September</t>
  </si>
  <si>
    <t>Elec_MMBtu
October</t>
  </si>
  <si>
    <t>Elec_MMBtu
November</t>
  </si>
  <si>
    <t>Elec_MMBtu
December</t>
  </si>
  <si>
    <t>Netgen
January</t>
  </si>
  <si>
    <t>Netgen
February</t>
  </si>
  <si>
    <t>Netgen
March</t>
  </si>
  <si>
    <t>Netgen
April</t>
  </si>
  <si>
    <t>Netgen
May</t>
  </si>
  <si>
    <t>Netgen
June</t>
  </si>
  <si>
    <t>Netgen
July</t>
  </si>
  <si>
    <t>Netgen
August</t>
  </si>
  <si>
    <t>Netgen
September</t>
  </si>
  <si>
    <t>Netgen
October</t>
  </si>
  <si>
    <t>Netgen
November</t>
  </si>
  <si>
    <t>Netgen
December</t>
  </si>
  <si>
    <t>Total Fuel Consumption
Quantity</t>
  </si>
  <si>
    <t>Electric Fuel Consumption
Quantity</t>
  </si>
  <si>
    <t>Total Fuel Consumption
MMBtu</t>
  </si>
  <si>
    <t>Elec Fuel Consumption
MMBtu</t>
  </si>
  <si>
    <t>Net Generation
(Megawatthours)</t>
  </si>
  <si>
    <t>YEAR</t>
  </si>
  <si>
    <t>N</t>
  </si>
  <si>
    <t>.</t>
  </si>
  <si>
    <t>Gadsby</t>
  </si>
  <si>
    <t>PacifiCorp</t>
  </si>
  <si>
    <t>MTN</t>
  </si>
  <si>
    <t>WECC</t>
  </si>
  <si>
    <t>Electric Utility</t>
  </si>
  <si>
    <t>GT</t>
  </si>
  <si>
    <t>NG</t>
  </si>
  <si>
    <t>mcf</t>
  </si>
  <si>
    <t>ST</t>
  </si>
  <si>
    <t>Gadsby CT 2020 (Through Nov)</t>
  </si>
  <si>
    <t>Transmission Capacity Carrying Charge</t>
  </si>
  <si>
    <t>Gadsby CT 2019:</t>
  </si>
  <si>
    <t>the Company’s proposed transmission capacity credit of 0.31 cents/kWh</t>
  </si>
  <si>
    <t>the Company’s assumed carrying charge for Utah distribution system investments, which is 6.51%</t>
  </si>
  <si>
    <t>Distribution Capacity Carrying Charge</t>
  </si>
  <si>
    <t>the Company’s proposed distribution capacity credit of 0.21 cents/kWh</t>
  </si>
  <si>
    <t>pulled 2/19/2021</t>
  </si>
  <si>
    <t>https://www.eia.gov/electricity/data/eia923/</t>
  </si>
  <si>
    <t>July 17, 2019 had the 10th highest daily average Utah load in July 2019</t>
  </si>
  <si>
    <t xml:space="preserve">Under Dr. Milligan’s revised proposal in his sur-rebuttal testimony, exports on Wednesday, July 17, 2019 </t>
  </si>
  <si>
    <t>The daily average CG exports on July 17, 2019 were 19% higher than on peak load day of July 22, 2019.</t>
  </si>
  <si>
    <t>Table 1: Total CG Export Capacity Credits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</si>
</sst>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409]m/d/yy\ h:mm\ AM/PM;@"/>
    <numFmt numFmtId="165" formatCode="0.0"/>
    <numFmt numFmtId="166" formatCode="0.0%"/>
    <numFmt numFmtId="167" formatCode="0.000"/>
    <numFmt numFmtId="168" formatCode="_(* #,##0.0_);_(* \(#,##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1"/>
      <color theme="1"/>
      <name val="Calibri"/>
      <family val="2"/>
      <scheme val="minor"/>
    </font>
    <font>
      <u/>
      <sz val="11"/>
      <color theme="10"/>
      <name val="Calibri"/>
      <family val="2"/>
      <scheme val="minor"/>
    </font>
    <font>
      <b/>
      <sz val="12"/>
      <color indexed="30"/>
      <name val="Arial"/>
      <family val="2"/>
    </font>
    <font>
      <b/>
      <sz val="10"/>
      <color indexed="8"/>
      <name val="Arial"/>
      <family val="2"/>
    </font>
    <font>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rgb="FFCFEAF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1" fillId="0" borderId="0"/>
    <xf numFmtId="0" fontId="5" fillId="0" borderId="0" applyNumberFormat="0" applyFill="0" applyBorder="0" applyAlignment="0" applyProtection="0"/>
  </cellStyleXfs>
  <cellXfs count="63">
    <xf numFmtId="0" fontId="0" fillId="0" borderId="0" xfId="0"/>
    <xf numFmtId="14" fontId="0" fillId="0" borderId="0" xfId="0" applyNumberFormat="1"/>
    <xf numFmtId="164" fontId="0" fillId="0" borderId="0" xfId="0" applyNumberFormat="1"/>
    <xf numFmtId="37" fontId="0" fillId="0" borderId="0" xfId="0" applyNumberFormat="1"/>
    <xf numFmtId="165" fontId="0" fillId="0" borderId="0" xfId="0" applyNumberFormat="1"/>
    <xf numFmtId="9" fontId="0" fillId="0" borderId="0" xfId="1" applyFont="1"/>
    <xf numFmtId="166" fontId="0" fillId="0" borderId="0" xfId="1" applyNumberFormat="1" applyFont="1"/>
    <xf numFmtId="0" fontId="0" fillId="0" borderId="0" xfId="0" applyAlignment="1">
      <alignment wrapText="1"/>
    </xf>
    <xf numFmtId="0" fontId="0" fillId="0" borderId="0" xfId="0" applyAlignment="1">
      <alignment vertical="center"/>
    </xf>
    <xf numFmtId="0" fontId="2" fillId="0" borderId="0" xfId="0" applyFont="1"/>
    <xf numFmtId="0" fontId="2" fillId="2" borderId="0" xfId="0" applyFont="1" applyFill="1"/>
    <xf numFmtId="0" fontId="2" fillId="2" borderId="0" xfId="0" applyFont="1" applyFill="1" applyAlignment="1">
      <alignment horizontal="center" wrapText="1"/>
    </xf>
    <xf numFmtId="0" fontId="0" fillId="2" borderId="1" xfId="0" applyFill="1" applyBorder="1" applyAlignment="1">
      <alignment horizontal="center" vertical="center"/>
    </xf>
    <xf numFmtId="10" fontId="0" fillId="2" borderId="1" xfId="1" applyNumberFormat="1" applyFont="1" applyFill="1" applyBorder="1" applyAlignment="1">
      <alignment horizontal="center" vertical="center"/>
    </xf>
    <xf numFmtId="0" fontId="0" fillId="2" borderId="1" xfId="0" applyFill="1" applyBorder="1" applyAlignment="1">
      <alignment horizontal="center" vertical="center" wrapText="1"/>
    </xf>
    <xf numFmtId="0" fontId="2" fillId="2" borderId="1" xfId="0" applyFont="1" applyFill="1" applyBorder="1" applyAlignment="1">
      <alignment horizontal="right" vertical="center" wrapText="1"/>
    </xf>
    <xf numFmtId="0" fontId="2" fillId="2" borderId="1" xfId="0" applyFont="1" applyFill="1" applyBorder="1" applyAlignment="1">
      <alignment horizontal="right" vertical="center"/>
    </xf>
    <xf numFmtId="10" fontId="0" fillId="2" borderId="1" xfId="1" applyNumberFormat="1" applyFont="1" applyFill="1" applyBorder="1" applyAlignment="1">
      <alignment horizontal="center" vertical="center" wrapText="1"/>
    </xf>
    <xf numFmtId="2" fontId="0" fillId="0" borderId="0" xfId="0" applyNumberFormat="1"/>
    <xf numFmtId="0" fontId="0" fillId="0" borderId="0" xfId="0" applyAlignment="1">
      <alignment horizontal="right"/>
    </xf>
    <xf numFmtId="10" fontId="0" fillId="0" borderId="0" xfId="1" applyNumberFormat="1" applyFont="1"/>
    <xf numFmtId="10" fontId="0" fillId="0" borderId="0" xfId="0" applyNumberFormat="1"/>
    <xf numFmtId="0" fontId="2" fillId="2" borderId="0" xfId="0" applyFont="1" applyFill="1" applyAlignment="1">
      <alignment horizontal="center"/>
    </xf>
    <xf numFmtId="0" fontId="0" fillId="2" borderId="1" xfId="0" applyFill="1" applyBorder="1" applyAlignment="1">
      <alignment horizontal="right" vertical="center"/>
    </xf>
    <xf numFmtId="8" fontId="0" fillId="2" borderId="1" xfId="0" applyNumberFormat="1" applyFill="1" applyBorder="1" applyAlignment="1">
      <alignment horizontal="center" vertical="center"/>
    </xf>
    <xf numFmtId="10" fontId="0" fillId="2" borderId="1" xfId="0" applyNumberFormat="1" applyFill="1" applyBorder="1" applyAlignment="1">
      <alignment horizontal="center" vertical="center"/>
    </xf>
    <xf numFmtId="2" fontId="0" fillId="2" borderId="1" xfId="0" applyNumberFormat="1" applyFill="1" applyBorder="1" applyAlignment="1">
      <alignment horizontal="center" vertical="center"/>
    </xf>
    <xf numFmtId="0" fontId="0" fillId="2" borderId="1" xfId="0" applyFill="1" applyBorder="1" applyAlignment="1">
      <alignment horizontal="right" vertical="center" wrapText="1"/>
    </xf>
    <xf numFmtId="2" fontId="0" fillId="2" borderId="1" xfId="3" applyNumberFormat="1" applyFont="1" applyFill="1" applyBorder="1" applyAlignment="1">
      <alignment horizontal="center" vertical="center"/>
    </xf>
    <xf numFmtId="166" fontId="0" fillId="2" borderId="1" xfId="1" applyNumberFormat="1" applyFont="1" applyFill="1" applyBorder="1" applyAlignment="1">
      <alignment horizontal="center" vertical="center"/>
    </xf>
    <xf numFmtId="0" fontId="2" fillId="2" borderId="0" xfId="0" applyFont="1" applyFill="1" applyAlignment="1">
      <alignment horizontal="center" vertical="center" wrapText="1"/>
    </xf>
    <xf numFmtId="10" fontId="4" fillId="2" borderId="1" xfId="0" applyNumberFormat="1" applyFont="1" applyFill="1" applyBorder="1" applyAlignment="1">
      <alignment horizontal="center" vertical="center"/>
    </xf>
    <xf numFmtId="8" fontId="4" fillId="2" borderId="1" xfId="0" applyNumberFormat="1" applyFont="1" applyFill="1" applyBorder="1" applyAlignment="1">
      <alignment horizontal="center" vertical="center"/>
    </xf>
    <xf numFmtId="167" fontId="0" fillId="2" borderId="1" xfId="3" applyNumberFormat="1" applyFont="1" applyFill="1" applyBorder="1" applyAlignment="1">
      <alignment horizontal="center" vertical="center"/>
    </xf>
    <xf numFmtId="10" fontId="0" fillId="2" borderId="1" xfId="0" applyNumberFormat="1" applyFill="1" applyBorder="1" applyAlignment="1">
      <alignment horizontal="center" vertical="center" wrapText="1"/>
    </xf>
    <xf numFmtId="43" fontId="0" fillId="0" borderId="0" xfId="3" applyFont="1"/>
    <xf numFmtId="2" fontId="2" fillId="0" borderId="0" xfId="0" applyNumberFormat="1" applyFont="1"/>
    <xf numFmtId="167" fontId="0" fillId="0" borderId="0" xfId="0" applyNumberFormat="1"/>
    <xf numFmtId="1" fontId="0" fillId="0" borderId="0" xfId="0" applyNumberFormat="1"/>
    <xf numFmtId="9" fontId="0" fillId="0" borderId="0" xfId="0" applyNumberFormat="1"/>
    <xf numFmtId="0" fontId="6" fillId="3" borderId="0" xfId="0" applyFont="1" applyFill="1" applyAlignment="1">
      <alignment horizontal="left"/>
    </xf>
    <xf numFmtId="0" fontId="0" fillId="4" borderId="0" xfId="0" applyFill="1"/>
    <xf numFmtId="0" fontId="7" fillId="5" borderId="1" xfId="0" applyFont="1" applyFill="1" applyBorder="1" applyAlignment="1">
      <alignment horizontal="center" wrapText="1"/>
    </xf>
    <xf numFmtId="3" fontId="7" fillId="5" borderId="1" xfId="0" applyNumberFormat="1" applyFont="1" applyFill="1" applyBorder="1" applyAlignment="1">
      <alignment horizontal="center" wrapText="1"/>
    </xf>
    <xf numFmtId="4" fontId="7" fillId="5" borderId="1" xfId="0" applyNumberFormat="1" applyFont="1" applyFill="1" applyBorder="1" applyAlignment="1">
      <alignment horizontal="center" wrapText="1"/>
    </xf>
    <xf numFmtId="0" fontId="8" fillId="0" borderId="1" xfId="0" applyFont="1" applyBorder="1" applyAlignment="1">
      <alignment horizontal="right" wrapText="1"/>
    </xf>
    <xf numFmtId="0" fontId="8" fillId="0" borderId="1" xfId="0" applyFont="1" applyBorder="1" applyAlignment="1">
      <alignment horizontal="left" wrapText="1"/>
    </xf>
    <xf numFmtId="3" fontId="8" fillId="0" borderId="1" xfId="0" applyNumberFormat="1" applyFont="1" applyBorder="1" applyAlignment="1">
      <alignment horizontal="right" wrapText="1"/>
    </xf>
    <xf numFmtId="4" fontId="8" fillId="0" borderId="1" xfId="0" applyNumberFormat="1" applyFont="1" applyBorder="1" applyAlignment="1">
      <alignment horizontal="right" wrapText="1"/>
    </xf>
    <xf numFmtId="168" fontId="0" fillId="0" borderId="0" xfId="3" applyNumberFormat="1" applyFont="1"/>
    <xf numFmtId="9" fontId="0" fillId="0" borderId="0" xfId="1" applyNumberFormat="1" applyFont="1"/>
    <xf numFmtId="0" fontId="5" fillId="0" borderId="0" xfId="5" applyAlignment="1">
      <alignment vertical="center"/>
    </xf>
    <xf numFmtId="0" fontId="2" fillId="4" borderId="0" xfId="0" applyFont="1" applyFill="1"/>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xf numFmtId="0" fontId="0" fillId="0" borderId="3" xfId="0" applyBorder="1" applyAlignment="1"/>
    <xf numFmtId="0" fontId="2" fillId="2" borderId="3" xfId="0" applyFont="1" applyFill="1" applyBorder="1" applyAlignment="1">
      <alignment horizontal="left"/>
    </xf>
    <xf numFmtId="0" fontId="4" fillId="2" borderId="5" xfId="0" applyFont="1" applyFill="1" applyBorder="1" applyAlignment="1">
      <alignment horizontal="left" vertical="center" wrapText="1"/>
    </xf>
    <xf numFmtId="0" fontId="7" fillId="5" borderId="2" xfId="0" applyFont="1" applyFill="1" applyBorder="1" applyAlignment="1">
      <alignment horizontal="center" wrapText="1"/>
    </xf>
    <xf numFmtId="0" fontId="7" fillId="5" borderId="3" xfId="0" applyFont="1" applyFill="1" applyBorder="1" applyAlignment="1">
      <alignment horizontal="center" wrapText="1"/>
    </xf>
    <xf numFmtId="0" fontId="7" fillId="5" borderId="4" xfId="0" applyFont="1" applyFill="1" applyBorder="1" applyAlignment="1">
      <alignment horizontal="center" wrapText="1"/>
    </xf>
  </cellXfs>
  <cellStyles count="6">
    <cellStyle name="Comma" xfId="3" builtinId="3"/>
    <cellStyle name="Hyperlink" xfId="5" builtinId="8"/>
    <cellStyle name="Normal" xfId="0" builtinId="0"/>
    <cellStyle name="Normal 10 3" xfId="2"/>
    <cellStyle name="Normal 17 9"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voided%20Cost%20-%202020\001%20-%20UT%20Export%20Credit%20-%20UT%20-%202020%20Jan\Testimony\Sur-Sur-Rebuttal\Milligan%20SR%20Workpapers%20CONF\CONFIDENTIAL%2017-035-61%20Phase%202%20Vote%20Solar%20Workpapers%20MM%20&#8211;%202%209-15-2020%20Milligan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voided%20Cost%20-%202020\001%20-%20UT%20Export%20Credit%20-%20UT%20-%202020%20Jan\Testimony\Sur-Sur-Rebuttal\17-035-61%20MacNeil%20SSR%20Testimony%20Support%202_2021%2002%2022%20CON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___RECENT%20MAJOR%20FILINGS\_UTAH\UT%2017-035-61%20Export%20Credits\Workpapers%20for%207-15-2020%20filing\MacNeil%20workpapers\17-035-61%20MacNeil%20Rebuttal%20Support_2020%2007%2013%20CONF.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R:\___RECENT%20MAJOR%20FILINGS\_UTAH\UT%2017-035-61%20Export%20Credits\Doc%20Center%20Files\_Phase%20II\03-03-20%20Intervenor%20Direct\Vote%20Solar\Revised%20Affirmative%20Testimony%20of%20Yang\CONFIDENTIAL%2017-035-61%20Phase%202%20Vote%20Solar%20Workpapers%201-SSY%205-8-2020%20Yang%20REVISED.xlsx?E431078B" TargetMode="External"/><Relationship Id="rId1" Type="http://schemas.openxmlformats.org/officeDocument/2006/relationships/externalLinkPath" Target="file:///\\E431078B\CONFIDENTIAL%2017-035-61%20Phase%202%20Vote%20Solar%20Workpapers%201-SSY%205-8-2020%20Yang%20REVISED.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R:\___RECENT%20MAJOR%20FILINGS\_UTAH\UT%2017-035-61%20Export%20Credits\Doc%20Center%20Files\_Phase%20II\03-03-20%20Intervenor%20Direct\Vote%20Solar\Revised%20Affirmative%20Testimony%20of%20Yang\CONFIDENTIAL%2017-035-61%20Phase%202%20Vote%20Solar%20Exhibit%202-SSY%205-8-2020%20Yang.XLSX?E431078B" TargetMode="External"/><Relationship Id="rId1" Type="http://schemas.openxmlformats.org/officeDocument/2006/relationships/externalLinkPath" Target="file:///\\E431078B\CONFIDENTIAL%2017-035-61%20Phase%202%20Vote%20Solar%20Exhibit%202-SSY%205-8-2020%20Yang.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Milligan%20Rev%20Direct%20Workpapers%20CONF/CONFIDENTIAL%2017-035-61%20Phase%202%20Vote%20Solar%20Workpapers%201-MM%20Worksheet%205-8-2020%20Milligan%20REVISED.xlsx?EFCAD8C3" TargetMode="External"/><Relationship Id="rId1" Type="http://schemas.openxmlformats.org/officeDocument/2006/relationships/externalLinkPath" Target="file:///\\EFCAD8C3\CONFIDENTIAL%2017-035-61%20Phase%202%20Vote%20Solar%20Workpapers%201-MM%20Worksheet%205-8-2020%20Milligan%20REVIS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___RECENT%20MAJOR%20FILINGS\_UTAH\UT%2017-035-61%20Export%20Credits\Workpapers%20for%207-15-2020%20filing\MacNeil%20workpapers\17-035-61%20MacNeil%20Rebuttal%20Support_2020%2007%20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___RECENT%20MAJOR%20FILINGS\_UTAH\UT%2017-035-61%20Export%20Credits\Workpapers%20for%207-15-2020%20filing\MacNeil%20workpapers\313012RMPAtt5WorkpAvoidedCostStudySolarF4-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n Parameters"/>
      <sheetName val="Exhibit 1-AL"/>
      <sheetName val="Solar Input"/>
      <sheetName val="Solar Input Leap Year"/>
      <sheetName val="DC-AC and losses"/>
      <sheetName val="Four Corners Price Inputs"/>
      <sheetName val="Mead Price Inputs"/>
      <sheetName val="Mona Price Inputs"/>
      <sheetName val="Avg Price 4C, Mead, Mona"/>
      <sheetName val="Solar hourly value, avg prices"/>
      <sheetName val="NPV Energy"/>
      <sheetName val="Capvalue Calcs"/>
      <sheetName val="Load 2021 + Solar input"/>
      <sheetName val="Load 2022"/>
      <sheetName val="Load 2023"/>
      <sheetName val="Load 2024"/>
      <sheetName val="Load 2025"/>
      <sheetName val="Load 2026"/>
      <sheetName val="Load 2027"/>
      <sheetName val="Load 2028"/>
      <sheetName val="Load 2029"/>
      <sheetName val="Load 2030"/>
      <sheetName val="Load 2031"/>
      <sheetName val="Load 2032"/>
      <sheetName val="Load 2033"/>
      <sheetName val="Load 2034"/>
      <sheetName val="Load 2035"/>
      <sheetName val="Load 2036"/>
      <sheetName val="Load 2037"/>
      <sheetName val="Flags"/>
      <sheetName val="CapValues"/>
      <sheetName val="Capacity Resource Proxy"/>
      <sheetName val="NPV Capacity"/>
    </sheetNames>
    <sheetDataSet>
      <sheetData sheetId="0" refreshError="1"/>
      <sheetData sheetId="1" refreshError="1"/>
      <sheetData sheetId="2" refreshError="1"/>
      <sheetData sheetId="3" refreshError="1"/>
      <sheetData sheetId="4">
        <row r="14">
          <cell r="J14">
            <v>0</v>
          </cell>
        </row>
      </sheetData>
      <sheetData sheetId="5" refreshError="1"/>
      <sheetData sheetId="6" refreshError="1"/>
      <sheetData sheetId="7" refreshError="1"/>
      <sheetData sheetId="8" refreshError="1"/>
      <sheetData sheetId="9" refreshError="1"/>
      <sheetData sheetId="10" refreshError="1"/>
      <sheetData sheetId="11" refreshError="1"/>
      <sheetData sheetId="12">
        <row r="8">
          <cell r="L8" t="str">
            <v>TotalUtahLoad</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
          <cell r="C5">
            <v>28.963801766711832</v>
          </cell>
        </row>
        <row r="26">
          <cell r="C26">
            <v>29.500495636367067</v>
          </cell>
        </row>
      </sheetData>
      <sheetData sheetId="31">
        <row r="16">
          <cell r="B16">
            <v>78.61</v>
          </cell>
        </row>
      </sheetData>
      <sheetData sheetId="32">
        <row r="15">
          <cell r="C15">
            <v>896.26786053426611</v>
          </cell>
        </row>
        <row r="25">
          <cell r="C25">
            <v>1.0908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CONF"/>
      <sheetName val="Solar CODs CONF"/>
      <sheetName val="2019 Cap Contrib CONF"/>
    </sheetNames>
    <sheetDataSet>
      <sheetData sheetId="0">
        <row r="4">
          <cell r="C4" t="e">
            <v>#REF!</v>
          </cell>
        </row>
        <row r="7">
          <cell r="C7">
            <v>44391.583333333336</v>
          </cell>
        </row>
        <row r="12">
          <cell r="A12" t="str">
            <v>Wed</v>
          </cell>
          <cell r="B12">
            <v>43663</v>
          </cell>
        </row>
        <row r="13">
          <cell r="A13" t="str">
            <v>Wed</v>
          </cell>
          <cell r="B13">
            <v>44391</v>
          </cell>
        </row>
        <row r="18">
          <cell r="C18">
            <v>8.4606855940193348E-2</v>
          </cell>
        </row>
        <row r="22">
          <cell r="I22">
            <v>10</v>
          </cell>
          <cell r="J22">
            <v>40.813145609031913</v>
          </cell>
        </row>
        <row r="27">
          <cell r="J27">
            <v>34.311563616453029</v>
          </cell>
        </row>
      </sheetData>
      <sheetData sheetId="1">
        <row r="1">
          <cell r="D1">
            <v>459.65</v>
          </cell>
        </row>
      </sheetData>
      <sheetData sheetId="2">
        <row r="2">
          <cell r="I2">
            <v>1.812408631074206</v>
          </cell>
        </row>
        <row r="6">
          <cell r="U6">
            <v>6.4896082088915202E-2</v>
          </cell>
        </row>
        <row r="7">
          <cell r="U7">
            <v>7.1640664688170666E-2</v>
          </cell>
        </row>
        <row r="14">
          <cell r="U14">
            <v>2.7082581730344155</v>
          </cell>
        </row>
        <row r="15">
          <cell r="U15">
            <v>0</v>
          </cell>
        </row>
        <row r="16">
          <cell r="U16">
            <v>7.2054188771340462</v>
          </cell>
        </row>
        <row r="17">
          <cell r="U17">
            <v>0</v>
          </cell>
        </row>
        <row r="18">
          <cell r="U18">
            <v>70.384185745965581</v>
          </cell>
        </row>
        <row r="19">
          <cell r="U19">
            <v>46.248227100294827</v>
          </cell>
          <cell r="X19">
            <v>0.10273972602739725</v>
          </cell>
        </row>
        <row r="20">
          <cell r="U20">
            <v>47.317599111588336</v>
          </cell>
          <cell r="X20">
            <v>0.40296803652968038</v>
          </cell>
        </row>
        <row r="21">
          <cell r="U21">
            <v>35.198879165166844</v>
          </cell>
          <cell r="X21">
            <v>0.38127853881278539</v>
          </cell>
        </row>
        <row r="22">
          <cell r="U22">
            <v>33.599536784233791</v>
          </cell>
          <cell r="X22">
            <v>0.11301369863013698</v>
          </cell>
        </row>
        <row r="23">
          <cell r="U23">
            <v>0</v>
          </cell>
        </row>
        <row r="24">
          <cell r="U24">
            <v>0</v>
          </cell>
        </row>
        <row r="25">
          <cell r="U25">
            <v>0</v>
          </cell>
        </row>
        <row r="28">
          <cell r="U28">
            <v>7.723566602927516E-2</v>
          </cell>
          <cell r="V28">
            <v>8.460086191438182E-2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Actual load"/>
      <sheetName val="2019 Solar"/>
      <sheetName val="19IRP PrefPort"/>
      <sheetName val="LOLP"/>
      <sheetName val="Hourly OFPC"/>
    </sheetNames>
    <sheetDataSet>
      <sheetData sheetId="0" refreshError="1">
        <row r="1">
          <cell r="B1" t="str">
            <v>Month</v>
          </cell>
        </row>
        <row r="6">
          <cell r="N6">
            <v>0.21992395940993154</v>
          </cell>
          <cell r="O6">
            <v>0.18811839250365803</v>
          </cell>
          <cell r="P6">
            <v>0.11829158678177421</v>
          </cell>
          <cell r="Q6">
            <v>4.1429022655640961E-2</v>
          </cell>
        </row>
        <row r="7">
          <cell r="N7">
            <v>0.24184133522015558</v>
          </cell>
          <cell r="O7">
            <v>0.20703788141614354</v>
          </cell>
          <cell r="P7">
            <v>0.13043204284039472</v>
          </cell>
          <cell r="Q7">
            <v>4.5757766560170651E-2</v>
          </cell>
        </row>
      </sheetData>
      <sheetData sheetId="1" refreshError="1">
        <row r="2">
          <cell r="BE2">
            <v>855.05</v>
          </cell>
        </row>
        <row r="3">
          <cell r="BE3">
            <v>1549.6999999999998</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and Table 3"/>
      <sheetName val="Avoided T Value "/>
      <sheetName val="Avoided D Value "/>
      <sheetName val="Table 2"/>
      <sheetName val="Figure 3"/>
      <sheetName val="Figure 4"/>
    </sheetNames>
    <sheetDataSet>
      <sheetData sheetId="0" refreshError="1"/>
      <sheetData sheetId="1" refreshError="1"/>
      <sheetData sheetId="2" refreshError="1">
        <row r="3">
          <cell r="B3">
            <v>4.6240000000000003E-2</v>
          </cell>
        </row>
        <row r="9">
          <cell r="B9">
            <v>27.49</v>
          </cell>
        </row>
        <row r="11">
          <cell r="B11">
            <v>896.27</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amp;D Capacity Additions"/>
      <sheetName val="Utilization Factor"/>
    </sheetNames>
    <sheetDataSet>
      <sheetData sheetId="0" refreshError="1">
        <row r="26">
          <cell r="G26">
            <v>6.5100000000000005E-2</v>
          </cell>
          <cell r="I26">
            <v>7.9941190969721196</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n Parameters"/>
      <sheetName val="Exhibit 1-AL"/>
      <sheetName val="Solar Input"/>
      <sheetName val="Solar Input Leap Year"/>
      <sheetName val="DC-AC and losses"/>
      <sheetName val="Four Corners Price Inputs"/>
      <sheetName val="Mead Price Inputs"/>
      <sheetName val="Mona Price Inputs"/>
      <sheetName val="Avg Price 4C, Mead, Mona"/>
      <sheetName val="Solar hourly value, avg prices"/>
      <sheetName val="NPV Energy"/>
      <sheetName val="Capvalue Calcs"/>
      <sheetName val="Load 2021 + Solar input"/>
      <sheetName val="Load 2022"/>
      <sheetName val="Load 2023"/>
      <sheetName val="Load 2024"/>
      <sheetName val="Load 2025"/>
      <sheetName val="Load 2026"/>
      <sheetName val="Load 2027"/>
      <sheetName val="Load 2028"/>
      <sheetName val="Load 2029"/>
      <sheetName val="Load 2030"/>
      <sheetName val="Load 2031"/>
      <sheetName val="Load 2032"/>
      <sheetName val="Load 2033"/>
      <sheetName val="Load 2034"/>
      <sheetName val="Load 2035"/>
      <sheetName val="Load 2036"/>
      <sheetName val="Load 2037"/>
      <sheetName val="Flags"/>
      <sheetName val="CapValues"/>
      <sheetName val="Capacity Resource Proxy"/>
      <sheetName val="NPV Capac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5">
          <cell r="C5">
            <v>27.490749482674062</v>
          </cell>
        </row>
        <row r="26">
          <cell r="C26">
            <v>27.647011657863562</v>
          </cell>
        </row>
      </sheetData>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s"/>
      <sheetName val="Exhibit RMP_(DJM-1R)"/>
      <sheetName val="CG Export Profile vs EIM"/>
      <sheetName val="VS AJL Ex1"/>
      <sheetName val="12x24 Energy"/>
      <sheetName val="Tracking Solar"/>
      <sheetName val="Contribution"/>
      <sheetName val="HLH-LLH hours"/>
    </sheetNames>
    <sheetDataSet>
      <sheetData sheetId="0">
        <row r="54">
          <cell r="D54">
            <v>3.7281265017021135E-2</v>
          </cell>
        </row>
        <row r="55">
          <cell r="D55">
            <v>4.1158113794245547E-2</v>
          </cell>
        </row>
      </sheetData>
      <sheetData sheetId="1"/>
      <sheetData sheetId="2"/>
      <sheetData sheetId="3">
        <row r="8">
          <cell r="E8">
            <v>0</v>
          </cell>
        </row>
      </sheetData>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PV wS JB_2024"/>
      <sheetName val="Table 3 PV wS UTN_2024"/>
      <sheetName val="Table 4"/>
      <sheetName val="Table3ACsummary"/>
      <sheetName val="Table 3 TransCost"/>
      <sheetName val="Table 3 PV wS UTS_2024"/>
      <sheetName val="Table 3 PV wS UTS_2030"/>
      <sheetName val="Table 3 PV wS JB_2029"/>
      <sheetName val="Table 3 PV wS SO_2024"/>
      <sheetName val="Table 3 PV wS YK_2024"/>
      <sheetName val="Table 5"/>
      <sheetName val="Table 3 UT CP Wind_2023"/>
      <sheetName val="Table 3 WYAE Wind_2024"/>
      <sheetName val="Table 3 185 MW (NTN) 2026)"/>
      <sheetName val="Table 3 YK Wind wS_2029"/>
      <sheetName val="Table 3 ID Wind_2030"/>
      <sheetName val="Table 3 ID Wind wS_203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4">
          <cell r="C24">
            <v>718.66414277988076</v>
          </cell>
          <cell r="E24">
            <v>38.05330989724176</v>
          </cell>
        </row>
        <row r="74">
          <cell r="C74">
            <v>6.9588491515316389E-2</v>
          </cell>
        </row>
      </sheetData>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nam11.safelinks.protection.outlook.com/?url=https%3A%2F%2Fwww.eia.gov%2Felectricity%2Fdata%2Feia923%2F&amp;data=04%7C01%7CDaniel.MacNeil%40pacificorp.com%7C103373da8a3a4bad6ce808d8d5267b6f%7C7c1f6b10192b4a839d3281ef58325c37%7C0%7C0%7C637493709867139451%7CUnknown%7CTWFpbGZsb3d8eyJWIjoiMC4wLjAwMDAiLCJQIjoiV2luMzIiLCJBTiI6Ik1haWwiLCJXVCI6Mn0%3D%7C1000&amp;sdata=L29WgKZj5nsKXWYiatOFUa3wY11VDPNJeFugjzXinrg%3D&amp;reserve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abSelected="1" topLeftCell="A43" workbookViewId="0">
      <selection activeCell="A12" sqref="A12"/>
    </sheetView>
  </sheetViews>
  <sheetFormatPr defaultRowHeight="15" x14ac:dyDescent="0.25"/>
  <cols>
    <col min="2" max="2" width="20.42578125" bestFit="1" customWidth="1"/>
    <col min="3" max="3" width="50.85546875" customWidth="1"/>
    <col min="8" max="8" width="29" bestFit="1" customWidth="1"/>
    <col min="9" max="9" width="16.28515625" bestFit="1" customWidth="1"/>
    <col min="18" max="18" width="9.7109375" bestFit="1" customWidth="1"/>
    <col min="19" max="19" width="17.28515625" customWidth="1"/>
    <col min="24" max="24" width="9.7109375" bestFit="1" customWidth="1"/>
  </cols>
  <sheetData>
    <row r="1" spans="1:3" x14ac:dyDescent="0.25">
      <c r="A1" s="9" t="s">
        <v>128</v>
      </c>
    </row>
    <row r="2" spans="1:3" ht="30" x14ac:dyDescent="0.25">
      <c r="B2" s="18">
        <f>'Table 1'!F6</f>
        <v>1.1342754181383468</v>
      </c>
      <c r="C2" s="7" t="s">
        <v>109</v>
      </c>
    </row>
    <row r="3" spans="1:3" x14ac:dyDescent="0.25">
      <c r="B3" s="36" t="str">
        <f>'Table 1'!C1</f>
        <v>Table 1: Total CG Export Capacity Credits (2021$)</v>
      </c>
      <c r="C3" s="7"/>
    </row>
    <row r="4" spans="1:3" x14ac:dyDescent="0.25">
      <c r="B4" s="36"/>
      <c r="C4" s="7"/>
    </row>
    <row r="5" spans="1:3" x14ac:dyDescent="0.25">
      <c r="A5" s="9" t="s">
        <v>127</v>
      </c>
      <c r="B5" s="36"/>
      <c r="C5" s="7"/>
    </row>
    <row r="6" spans="1:3" ht="30" x14ac:dyDescent="0.25">
      <c r="B6" s="18">
        <f>'Table 3'!D16</f>
        <v>2.307713175142315</v>
      </c>
      <c r="C6" s="7" t="s">
        <v>110</v>
      </c>
    </row>
    <row r="7" spans="1:3" x14ac:dyDescent="0.25">
      <c r="B7" s="6">
        <f>'Table 3'!D15</f>
        <v>0.16719914802981883</v>
      </c>
      <c r="C7" s="7" t="s">
        <v>111</v>
      </c>
    </row>
    <row r="8" spans="1:3" ht="30" x14ac:dyDescent="0.25">
      <c r="B8" s="35">
        <f>'Table 3'!D11</f>
        <v>2.7710264340903241</v>
      </c>
      <c r="C8" s="7" t="s">
        <v>112</v>
      </c>
    </row>
    <row r="9" spans="1:3" ht="45" x14ac:dyDescent="0.25">
      <c r="B9" s="21">
        <f>[1]CapValues!$C$5/100</f>
        <v>0.28963801766711833</v>
      </c>
      <c r="C9" s="7" t="s">
        <v>113</v>
      </c>
    </row>
    <row r="10" spans="1:3" x14ac:dyDescent="0.25">
      <c r="B10" s="2" t="e">
        <f>'[2]Load CONF'!C4</f>
        <v>#REF!</v>
      </c>
      <c r="C10" s="7" t="s">
        <v>114</v>
      </c>
    </row>
    <row r="11" spans="1:3" ht="30" x14ac:dyDescent="0.25">
      <c r="B11" s="2">
        <f>'[2]Load CONF'!C7</f>
        <v>44391.583333333336</v>
      </c>
      <c r="C11" s="7" t="s">
        <v>115</v>
      </c>
    </row>
    <row r="12" spans="1:3" ht="45" x14ac:dyDescent="0.25">
      <c r="A12" t="str">
        <f>'[2]Load CONF'!A12</f>
        <v>Wed</v>
      </c>
      <c r="B12" s="1">
        <f>'[2]Load CONF'!B12</f>
        <v>43663</v>
      </c>
      <c r="C12" s="7" t="s">
        <v>274</v>
      </c>
    </row>
    <row r="13" spans="1:3" ht="30" x14ac:dyDescent="0.25">
      <c r="A13" t="str">
        <f>'[2]Load CONF'!A13</f>
        <v>Wed</v>
      </c>
      <c r="B13" s="1">
        <f>'[2]Load CONF'!B13</f>
        <v>44391</v>
      </c>
      <c r="C13" s="7" t="s">
        <v>116</v>
      </c>
    </row>
    <row r="14" spans="1:3" ht="30" x14ac:dyDescent="0.25">
      <c r="B14">
        <f>'[2]Load CONF'!$I$22</f>
        <v>10</v>
      </c>
      <c r="C14" s="7" t="s">
        <v>273</v>
      </c>
    </row>
    <row r="15" spans="1:3" ht="30" x14ac:dyDescent="0.25">
      <c r="B15" s="5">
        <f>('[2]Load CONF'!$J$22-'[2]Load CONF'!$J$27)/'[2]Load CONF'!$J$27</f>
        <v>0.1894866134710706</v>
      </c>
      <c r="C15" s="7" t="s">
        <v>275</v>
      </c>
    </row>
    <row r="16" spans="1:3" ht="45" x14ac:dyDescent="0.25">
      <c r="B16" s="21">
        <f>'[2]Load CONF'!$C$18</f>
        <v>8.4606855940193348E-2</v>
      </c>
      <c r="C16" s="7" t="s">
        <v>117</v>
      </c>
    </row>
    <row r="17" spans="1:3" x14ac:dyDescent="0.25">
      <c r="B17" s="9" t="str">
        <f>'Table 2'!C2</f>
        <v>Table 2: Generation Capacity Contribution Comparison</v>
      </c>
    </row>
    <row r="18" spans="1:3" ht="60" x14ac:dyDescent="0.25">
      <c r="B18" s="4">
        <f>'[2]2019 Cap Contrib CONF'!I2</f>
        <v>1.812408631074206</v>
      </c>
      <c r="C18" s="7" t="s">
        <v>118</v>
      </c>
    </row>
    <row r="19" spans="1:3" ht="30" x14ac:dyDescent="0.25">
      <c r="B19" s="38">
        <f>'[3]2019 Solar'!$BE$2</f>
        <v>855.05</v>
      </c>
      <c r="C19" s="7" t="s">
        <v>119</v>
      </c>
    </row>
    <row r="20" spans="1:3" ht="30" x14ac:dyDescent="0.25">
      <c r="B20" s="38">
        <f>'[3]2019 Solar'!$BE$3</f>
        <v>1549.6999999999998</v>
      </c>
      <c r="C20" s="7" t="s">
        <v>120</v>
      </c>
    </row>
    <row r="21" spans="1:3" ht="45" x14ac:dyDescent="0.25">
      <c r="B21" s="38">
        <f>B20-B19</f>
        <v>694.64999999999986</v>
      </c>
      <c r="C21" s="7" t="s">
        <v>124</v>
      </c>
    </row>
    <row r="22" spans="1:3" ht="45" x14ac:dyDescent="0.25">
      <c r="B22" s="3">
        <f>'[2]Solar CODs CONF'!D1</f>
        <v>459.65</v>
      </c>
      <c r="C22" s="7" t="s">
        <v>121</v>
      </c>
    </row>
    <row r="23" spans="1:3" ht="30" x14ac:dyDescent="0.25">
      <c r="B23" s="5">
        <f>B22/B19</f>
        <v>0.53757090228641602</v>
      </c>
      <c r="C23" s="7" t="s">
        <v>122</v>
      </c>
    </row>
    <row r="24" spans="1:3" ht="30" x14ac:dyDescent="0.25">
      <c r="B24" s="5">
        <f>B18-1</f>
        <v>0.81240863107420602</v>
      </c>
      <c r="C24" s="7" t="s">
        <v>123</v>
      </c>
    </row>
    <row r="25" spans="1:3" ht="45" x14ac:dyDescent="0.25">
      <c r="B25" s="21">
        <f>'Table 2'!E17</f>
        <v>6.4896082088915202E-2</v>
      </c>
      <c r="C25" s="7" t="s">
        <v>125</v>
      </c>
    </row>
    <row r="26" spans="1:3" ht="30" x14ac:dyDescent="0.25">
      <c r="B26" s="21">
        <f>'Table 2'!F17</f>
        <v>7.1640664688170666E-2</v>
      </c>
      <c r="C26" s="7" t="s">
        <v>126</v>
      </c>
    </row>
    <row r="28" spans="1:3" x14ac:dyDescent="0.25">
      <c r="A28" s="9" t="s">
        <v>129</v>
      </c>
    </row>
    <row r="29" spans="1:3" ht="30" x14ac:dyDescent="0.25">
      <c r="B29">
        <v>0.91</v>
      </c>
      <c r="C29" s="7" t="s">
        <v>130</v>
      </c>
    </row>
    <row r="30" spans="1:3" x14ac:dyDescent="0.25">
      <c r="B30" s="5">
        <f>1-B29/B31</f>
        <v>0.17394832614450828</v>
      </c>
      <c r="C30" s="7" t="s">
        <v>132</v>
      </c>
    </row>
    <row r="31" spans="1:3" x14ac:dyDescent="0.25">
      <c r="B31" s="18">
        <f>'Table 4'!D8</f>
        <v>1.101625998471367</v>
      </c>
      <c r="C31" s="7" t="s">
        <v>131</v>
      </c>
    </row>
    <row r="32" spans="1:3" ht="45" x14ac:dyDescent="0.25">
      <c r="B32">
        <f>COUNTIF('[2]2019 Cap Contrib CONF'!$U$14:$U$25,0)</f>
        <v>5</v>
      </c>
      <c r="C32" s="7" t="s">
        <v>133</v>
      </c>
    </row>
    <row r="33" spans="1:18" ht="30" x14ac:dyDescent="0.25">
      <c r="B33" s="39">
        <f>SUM('[2]2019 Cap Contrib CONF'!X19:X22)</f>
        <v>1</v>
      </c>
      <c r="C33" s="7" t="s">
        <v>134</v>
      </c>
    </row>
    <row r="34" spans="1:18" x14ac:dyDescent="0.25">
      <c r="B34" s="39">
        <f>SUM('[2]2019 Cap Contrib CONF'!X20:X21)</f>
        <v>0.78424657534246578</v>
      </c>
      <c r="C34" s="7" t="s">
        <v>135</v>
      </c>
    </row>
    <row r="35" spans="1:18" ht="30" x14ac:dyDescent="0.25">
      <c r="B35" s="21">
        <f>'[2]2019 Cap Contrib CONF'!U28</f>
        <v>7.723566602927516E-2</v>
      </c>
      <c r="C35" s="7" t="s">
        <v>136</v>
      </c>
    </row>
    <row r="36" spans="1:18" x14ac:dyDescent="0.25">
      <c r="B36" s="21">
        <f>'[2]2019 Cap Contrib CONF'!V28</f>
        <v>8.460086191438182E-2</v>
      </c>
      <c r="C36" s="7" t="s">
        <v>137</v>
      </c>
    </row>
    <row r="38" spans="1:18" x14ac:dyDescent="0.25">
      <c r="A38" s="9" t="s">
        <v>138</v>
      </c>
      <c r="R38" s="1"/>
    </row>
    <row r="39" spans="1:18" ht="30" x14ac:dyDescent="0.25">
      <c r="B39" s="18">
        <f>'Table 5'!D15</f>
        <v>0.30799221825173823</v>
      </c>
      <c r="C39" s="7" t="s">
        <v>139</v>
      </c>
      <c r="R39" s="1"/>
    </row>
    <row r="40" spans="1:18" x14ac:dyDescent="0.25">
      <c r="B40" s="6">
        <f>'Table 5'!D14</f>
        <v>0.2752548656163113</v>
      </c>
      <c r="C40" s="7" t="s">
        <v>140</v>
      </c>
    </row>
    <row r="41" spans="1:18" x14ac:dyDescent="0.25">
      <c r="B41" s="37">
        <f>'Table 5'!$D$10</f>
        <v>0.42496624487675894</v>
      </c>
      <c r="C41" s="7" t="s">
        <v>141</v>
      </c>
    </row>
    <row r="42" spans="1:18" ht="30" x14ac:dyDescent="0.25">
      <c r="B42" s="21">
        <f>'Table 2'!E11</f>
        <v>0.21992395940993154</v>
      </c>
      <c r="C42" s="7" t="s">
        <v>142</v>
      </c>
    </row>
    <row r="43" spans="1:18" ht="30" x14ac:dyDescent="0.25">
      <c r="B43" s="20">
        <f>'[4]Avoided D Value '!$B$3</f>
        <v>4.6240000000000003E-2</v>
      </c>
      <c r="C43" s="7" t="s">
        <v>143</v>
      </c>
    </row>
    <row r="44" spans="1:18" ht="30" x14ac:dyDescent="0.25">
      <c r="B44" s="21">
        <f>B42*(1+B43)</f>
        <v>0.23009324329304678</v>
      </c>
      <c r="C44" s="7" t="s">
        <v>144</v>
      </c>
    </row>
    <row r="46" spans="1:18" x14ac:dyDescent="0.25">
      <c r="A46" s="9" t="s">
        <v>145</v>
      </c>
    </row>
    <row r="47" spans="1:18" ht="30" x14ac:dyDescent="0.25">
      <c r="B47" s="18">
        <f>'Table 3'!E11</f>
        <v>0.62139951309964458</v>
      </c>
      <c r="C47" s="7" t="s">
        <v>146</v>
      </c>
    </row>
    <row r="48" spans="1:18" x14ac:dyDescent="0.25">
      <c r="B48" s="9" t="str">
        <f>'Table 3'!D1</f>
        <v>Table 3: Generation Capacity Credit (2021$)</v>
      </c>
    </row>
    <row r="49" spans="1:6" x14ac:dyDescent="0.25">
      <c r="B49" s="50">
        <f>D50/D51/8760</f>
        <v>1.829337899543379E-2</v>
      </c>
      <c r="C49" t="s">
        <v>147</v>
      </c>
    </row>
    <row r="50" spans="1:6" x14ac:dyDescent="0.25">
      <c r="C50" s="19" t="s">
        <v>266</v>
      </c>
      <c r="D50">
        <v>19230</v>
      </c>
      <c r="E50" t="s">
        <v>73</v>
      </c>
      <c r="F50" t="s">
        <v>108</v>
      </c>
    </row>
    <row r="51" spans="1:6" x14ac:dyDescent="0.25">
      <c r="D51">
        <v>120</v>
      </c>
      <c r="E51" t="s">
        <v>74</v>
      </c>
      <c r="F51" t="s">
        <v>108</v>
      </c>
    </row>
    <row r="52" spans="1:6" x14ac:dyDescent="0.25">
      <c r="B52" s="50">
        <f>SUM('Gadsby 2020'!CB7:CL7)/8784/D51</f>
        <v>4.0690459927140259E-2</v>
      </c>
      <c r="C52" t="s">
        <v>264</v>
      </c>
    </row>
    <row r="53" spans="1:6" x14ac:dyDescent="0.25">
      <c r="B53" s="49">
        <f>B52/B49</f>
        <v>2.2243271698081042</v>
      </c>
      <c r="C53" t="s">
        <v>148</v>
      </c>
    </row>
    <row r="55" spans="1:6" x14ac:dyDescent="0.25">
      <c r="A55" s="9" t="s">
        <v>265</v>
      </c>
    </row>
    <row r="56" spans="1:6" x14ac:dyDescent="0.25">
      <c r="B56" s="18">
        <f>'Table 4'!E8</f>
        <v>0.30775412098797605</v>
      </c>
      <c r="C56" t="s">
        <v>267</v>
      </c>
    </row>
    <row r="57" spans="1:6" x14ac:dyDescent="0.25">
      <c r="B57" s="9" t="str">
        <f>'Table 4'!$D$1</f>
        <v>Table 4: Transmission Capacity Credit (2021$)</v>
      </c>
    </row>
    <row r="60" spans="1:6" x14ac:dyDescent="0.25">
      <c r="A60" s="9" t="s">
        <v>269</v>
      </c>
    </row>
    <row r="61" spans="1:6" x14ac:dyDescent="0.25">
      <c r="B61" s="21">
        <f>[5]Summary!$G$26</f>
        <v>6.5100000000000005E-2</v>
      </c>
      <c r="C61" t="s">
        <v>268</v>
      </c>
    </row>
    <row r="62" spans="1:6" x14ac:dyDescent="0.25">
      <c r="B62" s="18">
        <f>'Table 5'!E10</f>
        <v>0.2051217840507262</v>
      </c>
      <c r="C62" t="s">
        <v>270</v>
      </c>
    </row>
    <row r="63" spans="1:6" x14ac:dyDescent="0.25">
      <c r="B63" s="9" t="str">
        <f>'Table 5'!$D$1</f>
        <v>Table 5: Distribution Capacity Credit (2021$)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6"/>
  <sheetViews>
    <sheetView workbookViewId="0">
      <selection activeCell="C2" sqref="C2"/>
    </sheetView>
  </sheetViews>
  <sheetFormatPr defaultRowHeight="15" x14ac:dyDescent="0.25"/>
  <cols>
    <col min="3" max="3" width="26.7109375" customWidth="1"/>
    <col min="4" max="4" width="14.140625" customWidth="1"/>
    <col min="5" max="5" width="10.140625" customWidth="1"/>
    <col min="6" max="6" width="12.140625" customWidth="1"/>
  </cols>
  <sheetData>
    <row r="1" spans="3:6" x14ac:dyDescent="0.25">
      <c r="C1" s="9" t="s">
        <v>276</v>
      </c>
      <c r="D1" s="9"/>
      <c r="E1" s="9"/>
      <c r="F1" s="9"/>
    </row>
    <row r="2" spans="3:6" ht="60" x14ac:dyDescent="0.25">
      <c r="C2" s="22" t="s">
        <v>99</v>
      </c>
      <c r="D2" s="11" t="s">
        <v>103</v>
      </c>
      <c r="E2" s="11" t="s">
        <v>102</v>
      </c>
      <c r="F2" s="11" t="s">
        <v>101</v>
      </c>
    </row>
    <row r="3" spans="3:6" x14ac:dyDescent="0.25">
      <c r="C3" s="27" t="s">
        <v>50</v>
      </c>
      <c r="D3" s="34">
        <f>'Table 3'!E7</f>
        <v>6.4896082088915202E-2</v>
      </c>
      <c r="E3" s="34">
        <f>'Table 3'!E4</f>
        <v>6.9588491515316389E-2</v>
      </c>
      <c r="F3" s="26">
        <f>'Table 3'!E11</f>
        <v>0.62139951309964458</v>
      </c>
    </row>
    <row r="4" spans="3:6" x14ac:dyDescent="0.25">
      <c r="C4" s="27" t="s">
        <v>76</v>
      </c>
      <c r="D4" s="34">
        <f>'Table 4'!E4</f>
        <v>7.723566602927516E-2</v>
      </c>
      <c r="E4" s="14" t="s">
        <v>28</v>
      </c>
      <c r="F4" s="26">
        <f>'Table 4'!E8</f>
        <v>0.30775412098797605</v>
      </c>
    </row>
    <row r="5" spans="3:6" x14ac:dyDescent="0.25">
      <c r="C5" s="27" t="s">
        <v>96</v>
      </c>
      <c r="D5" s="34">
        <f>'Table 5'!E6</f>
        <v>0.21992395940993154</v>
      </c>
      <c r="E5" s="34">
        <f>'Table 5'!E4</f>
        <v>6.5100000000000005E-2</v>
      </c>
      <c r="F5" s="26">
        <f>'Table 5'!E10</f>
        <v>0.2051217840507262</v>
      </c>
    </row>
    <row r="6" spans="3:6" x14ac:dyDescent="0.25">
      <c r="C6" s="27" t="s">
        <v>100</v>
      </c>
      <c r="D6" s="27"/>
      <c r="E6" s="27"/>
      <c r="F6" s="26">
        <f>SUM(F3:F5)</f>
        <v>1.1342754181383468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8"/>
  <sheetViews>
    <sheetView topLeftCell="A4" workbookViewId="0">
      <selection activeCell="J8" sqref="J8:J9"/>
    </sheetView>
  </sheetViews>
  <sheetFormatPr defaultRowHeight="15" x14ac:dyDescent="0.25"/>
  <cols>
    <col min="3" max="3" width="18" customWidth="1"/>
    <col min="4" max="4" width="8.140625" customWidth="1"/>
    <col min="5" max="5" width="8.42578125" customWidth="1"/>
    <col min="6" max="6" width="9.85546875" customWidth="1"/>
    <col min="7" max="7" width="10.140625" customWidth="1"/>
    <col min="8" max="8" width="11.28515625" customWidth="1"/>
    <col min="9" max="9" width="8.42578125" customWidth="1"/>
    <col min="10" max="10" width="7.28515625" customWidth="1"/>
    <col min="11" max="11" width="10" customWidth="1"/>
  </cols>
  <sheetData>
    <row r="2" spans="3:11" x14ac:dyDescent="0.25">
      <c r="C2" s="9" t="s">
        <v>107</v>
      </c>
    </row>
    <row r="3" spans="3:11" ht="60" x14ac:dyDescent="0.25">
      <c r="C3" s="10" t="s">
        <v>4</v>
      </c>
      <c r="D3" s="11" t="s">
        <v>0</v>
      </c>
      <c r="E3" s="11" t="s">
        <v>8</v>
      </c>
      <c r="F3" s="11" t="s">
        <v>9</v>
      </c>
      <c r="G3" s="11" t="s">
        <v>20</v>
      </c>
      <c r="H3" s="11" t="s">
        <v>1</v>
      </c>
      <c r="I3" s="11" t="s">
        <v>10</v>
      </c>
      <c r="J3" s="11" t="s">
        <v>11</v>
      </c>
      <c r="K3" s="11" t="s">
        <v>12</v>
      </c>
    </row>
    <row r="4" spans="3:11" ht="21" customHeight="1" x14ac:dyDescent="0.25">
      <c r="C4" s="53" t="s">
        <v>29</v>
      </c>
      <c r="D4" s="54"/>
      <c r="E4" s="54"/>
      <c r="F4" s="54"/>
      <c r="G4" s="54"/>
      <c r="H4" s="54"/>
      <c r="I4" s="54"/>
      <c r="J4" s="54"/>
      <c r="K4" s="55"/>
    </row>
    <row r="5" spans="3:11" x14ac:dyDescent="0.25">
      <c r="C5" s="56" t="s">
        <v>18</v>
      </c>
      <c r="D5" s="57"/>
      <c r="E5" s="57"/>
      <c r="F5" s="57"/>
      <c r="G5" s="57"/>
      <c r="H5" s="57"/>
      <c r="I5" s="57"/>
      <c r="J5" s="57"/>
      <c r="K5" s="57"/>
    </row>
    <row r="6" spans="3:11" ht="30" x14ac:dyDescent="0.25">
      <c r="C6" s="16" t="s">
        <v>23</v>
      </c>
      <c r="D6" s="12" t="s">
        <v>19</v>
      </c>
      <c r="E6" s="13">
        <f>[6]CapValues!$C$26/100</f>
        <v>0.27647011657863563</v>
      </c>
      <c r="F6" s="12"/>
      <c r="G6" s="12" t="s">
        <v>13</v>
      </c>
      <c r="H6" s="12" t="s">
        <v>2</v>
      </c>
      <c r="I6" s="14" t="s">
        <v>24</v>
      </c>
      <c r="J6" s="12" t="s">
        <v>5</v>
      </c>
      <c r="K6" s="12" t="s">
        <v>5</v>
      </c>
    </row>
    <row r="7" spans="3:11" ht="30" x14ac:dyDescent="0.25">
      <c r="C7" s="16" t="s">
        <v>23</v>
      </c>
      <c r="D7" s="12">
        <v>2021</v>
      </c>
      <c r="E7" s="13">
        <f>[6]CapValues!$C$5/100</f>
        <v>0.27490749482674059</v>
      </c>
      <c r="F7" s="12"/>
      <c r="G7" s="12" t="s">
        <v>13</v>
      </c>
      <c r="H7" s="12" t="s">
        <v>2</v>
      </c>
      <c r="I7" s="14" t="s">
        <v>24</v>
      </c>
      <c r="J7" s="12" t="s">
        <v>5</v>
      </c>
      <c r="K7" s="12" t="s">
        <v>5</v>
      </c>
    </row>
    <row r="8" spans="3:11" ht="30" x14ac:dyDescent="0.25">
      <c r="C8" s="16" t="s">
        <v>22</v>
      </c>
      <c r="D8" s="12" t="s">
        <v>19</v>
      </c>
      <c r="E8" s="12"/>
      <c r="F8" s="13">
        <f>[1]CapValues!$C26/100</f>
        <v>0.29500495636367069</v>
      </c>
      <c r="G8" s="12" t="s">
        <v>13</v>
      </c>
      <c r="H8" s="12" t="s">
        <v>2</v>
      </c>
      <c r="I8" s="14" t="s">
        <v>24</v>
      </c>
      <c r="J8" s="12" t="s">
        <v>6</v>
      </c>
      <c r="K8" s="12" t="s">
        <v>5</v>
      </c>
    </row>
    <row r="9" spans="3:11" ht="30" x14ac:dyDescent="0.25">
      <c r="C9" s="16" t="s">
        <v>22</v>
      </c>
      <c r="D9" s="12">
        <v>2021</v>
      </c>
      <c r="E9" s="12"/>
      <c r="F9" s="13">
        <f>[1]CapValues!$C$5/100</f>
        <v>0.28963801766711833</v>
      </c>
      <c r="G9" s="12" t="s">
        <v>13</v>
      </c>
      <c r="H9" s="12" t="s">
        <v>2</v>
      </c>
      <c r="I9" s="14" t="s">
        <v>24</v>
      </c>
      <c r="J9" s="12" t="s">
        <v>6</v>
      </c>
      <c r="K9" s="12" t="s">
        <v>5</v>
      </c>
    </row>
    <row r="10" spans="3:11" ht="18" customHeight="1" x14ac:dyDescent="0.25">
      <c r="C10" s="58" t="s">
        <v>17</v>
      </c>
      <c r="D10" s="58"/>
      <c r="E10" s="58"/>
      <c r="F10" s="58"/>
      <c r="G10" s="58"/>
      <c r="H10" s="58"/>
      <c r="I10" s="58"/>
      <c r="J10" s="58"/>
      <c r="K10" s="58"/>
    </row>
    <row r="11" spans="3:11" ht="30" x14ac:dyDescent="0.25">
      <c r="C11" s="15" t="s">
        <v>14</v>
      </c>
      <c r="D11" s="14">
        <v>2019</v>
      </c>
      <c r="E11" s="17">
        <f>'[3]2019 Actual load'!N6</f>
        <v>0.21992395940993154</v>
      </c>
      <c r="F11" s="17">
        <f>'[3]2019 Actual load'!N7</f>
        <v>0.24184133522015558</v>
      </c>
      <c r="G11" s="14" t="s">
        <v>3</v>
      </c>
      <c r="H11" s="14" t="s">
        <v>2</v>
      </c>
      <c r="I11" s="14" t="s">
        <v>26</v>
      </c>
      <c r="J11" s="14" t="s">
        <v>6</v>
      </c>
      <c r="K11" s="14" t="s">
        <v>6</v>
      </c>
    </row>
    <row r="12" spans="3:11" ht="30" x14ac:dyDescent="0.25">
      <c r="C12" s="15" t="s">
        <v>15</v>
      </c>
      <c r="D12" s="14">
        <v>2019</v>
      </c>
      <c r="E12" s="17">
        <f>'[3]2019 Actual load'!O6</f>
        <v>0.18811839250365803</v>
      </c>
      <c r="F12" s="17">
        <f>'[3]2019 Actual load'!O7</f>
        <v>0.20703788141614354</v>
      </c>
      <c r="G12" s="14" t="s">
        <v>3</v>
      </c>
      <c r="H12" s="14" t="s">
        <v>2</v>
      </c>
      <c r="I12" s="14" t="s">
        <v>27</v>
      </c>
      <c r="J12" s="14" t="s">
        <v>6</v>
      </c>
      <c r="K12" s="14" t="s">
        <v>6</v>
      </c>
    </row>
    <row r="13" spans="3:11" ht="30" x14ac:dyDescent="0.25">
      <c r="C13" s="15" t="s">
        <v>30</v>
      </c>
      <c r="D13" s="14">
        <v>2019</v>
      </c>
      <c r="E13" s="17">
        <f>'[3]2019 Actual load'!P6</f>
        <v>0.11829158678177421</v>
      </c>
      <c r="F13" s="17">
        <f>'[3]2019 Actual load'!P7</f>
        <v>0.13043204284039472</v>
      </c>
      <c r="G13" s="14" t="s">
        <v>3</v>
      </c>
      <c r="H13" s="14" t="s">
        <v>7</v>
      </c>
      <c r="I13" s="14" t="s">
        <v>26</v>
      </c>
      <c r="J13" s="14" t="s">
        <v>6</v>
      </c>
      <c r="K13" s="14" t="s">
        <v>6</v>
      </c>
    </row>
    <row r="14" spans="3:11" ht="45" x14ac:dyDescent="0.25">
      <c r="C14" s="15" t="s">
        <v>31</v>
      </c>
      <c r="D14" s="14">
        <v>2019</v>
      </c>
      <c r="E14" s="17">
        <f>'[3]2019 Actual load'!Q6</f>
        <v>4.1429022655640961E-2</v>
      </c>
      <c r="F14" s="17">
        <f>'[3]2019 Actual load'!Q7</f>
        <v>4.5757766560170651E-2</v>
      </c>
      <c r="G14" s="14" t="s">
        <v>3</v>
      </c>
      <c r="H14" s="14" t="s">
        <v>32</v>
      </c>
      <c r="I14" s="14" t="s">
        <v>26</v>
      </c>
      <c r="J14" s="14" t="s">
        <v>6</v>
      </c>
      <c r="K14" s="14" t="s">
        <v>6</v>
      </c>
    </row>
    <row r="15" spans="3:11" ht="60" x14ac:dyDescent="0.25">
      <c r="C15" s="15" t="s">
        <v>16</v>
      </c>
      <c r="D15" s="14">
        <v>2030</v>
      </c>
      <c r="E15" s="17">
        <f>[7]References!D54</f>
        <v>3.7281265017021135E-2</v>
      </c>
      <c r="F15" s="17">
        <f>[7]References!D55</f>
        <v>4.1158113794245547E-2</v>
      </c>
      <c r="G15" s="14" t="s">
        <v>13</v>
      </c>
      <c r="H15" s="14" t="s">
        <v>21</v>
      </c>
      <c r="I15" s="14" t="s">
        <v>25</v>
      </c>
      <c r="J15" s="14" t="s">
        <v>5</v>
      </c>
      <c r="K15" s="14" t="s">
        <v>5</v>
      </c>
    </row>
    <row r="16" spans="3:11" x14ac:dyDescent="0.25">
      <c r="C16" s="58" t="s">
        <v>36</v>
      </c>
      <c r="D16" s="58"/>
      <c r="E16" s="58"/>
      <c r="F16" s="58"/>
      <c r="G16" s="58"/>
      <c r="H16" s="58"/>
      <c r="I16" s="58"/>
      <c r="J16" s="58"/>
      <c r="K16" s="58"/>
    </row>
    <row r="17" spans="3:11" ht="60" x14ac:dyDescent="0.25">
      <c r="C17" s="15" t="s">
        <v>37</v>
      </c>
      <c r="D17" s="14">
        <v>2019</v>
      </c>
      <c r="E17" s="17">
        <f>'[2]2019 Cap Contrib CONF'!U6</f>
        <v>6.4896082088915202E-2</v>
      </c>
      <c r="F17" s="17">
        <f>'[2]2019 Cap Contrib CONF'!U7</f>
        <v>7.1640664688170666E-2</v>
      </c>
      <c r="G17" s="14" t="s">
        <v>3</v>
      </c>
      <c r="H17" s="14" t="s">
        <v>38</v>
      </c>
      <c r="I17" s="14" t="s">
        <v>26</v>
      </c>
      <c r="J17" s="14" t="s">
        <v>6</v>
      </c>
      <c r="K17" s="14" t="s">
        <v>6</v>
      </c>
    </row>
    <row r="18" spans="3:11" x14ac:dyDescent="0.25">
      <c r="C18" s="8"/>
    </row>
  </sheetData>
  <mergeCells count="4">
    <mergeCell ref="C4:K4"/>
    <mergeCell ref="C5:K5"/>
    <mergeCell ref="C10:K10"/>
    <mergeCell ref="C16:K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22"/>
  <sheetViews>
    <sheetView workbookViewId="0">
      <selection activeCell="E4" sqref="E4"/>
    </sheetView>
  </sheetViews>
  <sheetFormatPr defaultRowHeight="15" x14ac:dyDescent="0.25"/>
  <cols>
    <col min="3" max="3" width="11.85546875" customWidth="1"/>
    <col min="4" max="4" width="12.28515625" customWidth="1"/>
    <col min="5" max="5" width="12.42578125" customWidth="1"/>
    <col min="6" max="6" width="13.28515625" customWidth="1"/>
    <col min="7" max="7" width="24.42578125" customWidth="1"/>
  </cols>
  <sheetData>
    <row r="1" spans="3:11" x14ac:dyDescent="0.25">
      <c r="D1" s="9" t="s">
        <v>106</v>
      </c>
    </row>
    <row r="2" spans="3:11" x14ac:dyDescent="0.25">
      <c r="C2" s="22" t="s">
        <v>44</v>
      </c>
      <c r="D2" s="30" t="s">
        <v>87</v>
      </c>
      <c r="E2" s="22" t="s">
        <v>64</v>
      </c>
      <c r="F2" s="22" t="s">
        <v>54</v>
      </c>
      <c r="G2" s="22" t="s">
        <v>55</v>
      </c>
      <c r="K2" t="s">
        <v>52</v>
      </c>
    </row>
    <row r="3" spans="3:11" x14ac:dyDescent="0.25">
      <c r="C3" s="23" t="s">
        <v>56</v>
      </c>
      <c r="D3" s="32" t="str">
        <f>"["&amp;TEXT(E3,"$0.00")&amp;"]"</f>
        <v>[$642.06]</v>
      </c>
      <c r="E3" s="24">
        <f>'[8]Table 3 185 MW (NTN) 2026)'!$C$24/(1+$K$3)^(2026-2021)</f>
        <v>642.05521796220842</v>
      </c>
      <c r="F3" s="12" t="s">
        <v>53</v>
      </c>
      <c r="G3" s="14" t="s">
        <v>40</v>
      </c>
      <c r="K3" s="21">
        <v>2.2800000000000001E-2</v>
      </c>
    </row>
    <row r="4" spans="3:11" x14ac:dyDescent="0.25">
      <c r="C4" s="23" t="s">
        <v>57</v>
      </c>
      <c r="D4" s="31" t="str">
        <f>"["&amp;TEXT(E4,"0.00%")&amp;"]"</f>
        <v>[6.96%]</v>
      </c>
      <c r="E4" s="25">
        <f>'[8]Table 3 185 MW (NTN) 2026)'!$C$74</f>
        <v>6.9588491515316389E-2</v>
      </c>
      <c r="F4" s="12" t="s">
        <v>43</v>
      </c>
      <c r="G4" s="14" t="s">
        <v>41</v>
      </c>
    </row>
    <row r="5" spans="3:11" x14ac:dyDescent="0.25">
      <c r="C5" s="23" t="s">
        <v>58</v>
      </c>
      <c r="D5" s="32" t="str">
        <f>"["&amp;TEXT(E5,"$0.00")&amp;"]"</f>
        <v>[$34.00]</v>
      </c>
      <c r="E5" s="24">
        <f>'[8]Table 3 185 MW (NTN) 2026)'!$E$24/(1+$K$3)^(2026-2021)</f>
        <v>33.996862687137551</v>
      </c>
      <c r="F5" s="12" t="s">
        <v>39</v>
      </c>
      <c r="G5" s="14" t="s">
        <v>42</v>
      </c>
    </row>
    <row r="6" spans="3:11" x14ac:dyDescent="0.25">
      <c r="C6" s="23" t="s">
        <v>59</v>
      </c>
      <c r="D6" s="24">
        <f>'[1]Capacity Resource Proxy'!$B$16</f>
        <v>78.61</v>
      </c>
      <c r="E6" s="24">
        <f>E3*E4+E5</f>
        <v>78.676516774665316</v>
      </c>
      <c r="F6" s="12" t="s">
        <v>39</v>
      </c>
      <c r="G6" s="14" t="s">
        <v>79</v>
      </c>
    </row>
    <row r="7" spans="3:11" ht="45" x14ac:dyDescent="0.25">
      <c r="C7" s="23" t="s">
        <v>60</v>
      </c>
      <c r="D7" s="25">
        <f>[1]CapValues!$C$5/100</f>
        <v>0.28963801766711833</v>
      </c>
      <c r="E7" s="25">
        <f>'Table 2'!E17</f>
        <v>6.4896082088915202E-2</v>
      </c>
      <c r="F7" s="12" t="s">
        <v>43</v>
      </c>
      <c r="G7" s="14" t="s">
        <v>80</v>
      </c>
    </row>
    <row r="8" spans="3:11" x14ac:dyDescent="0.25">
      <c r="C8" s="23" t="s">
        <v>81</v>
      </c>
      <c r="D8" s="25">
        <f>'[1]NPV Capacity'!$C$25</f>
        <v>1.0908</v>
      </c>
      <c r="E8" s="25">
        <f>D8</f>
        <v>1.0908</v>
      </c>
      <c r="F8" s="12" t="s">
        <v>43</v>
      </c>
      <c r="G8" s="14" t="s">
        <v>45</v>
      </c>
    </row>
    <row r="9" spans="3:11" ht="30" x14ac:dyDescent="0.25">
      <c r="C9" s="23" t="s">
        <v>61</v>
      </c>
      <c r="D9" s="12">
        <v>100</v>
      </c>
      <c r="E9" s="12">
        <v>100</v>
      </c>
      <c r="F9" s="12" t="s">
        <v>48</v>
      </c>
      <c r="G9" s="14" t="s">
        <v>49</v>
      </c>
    </row>
    <row r="10" spans="3:11" ht="30" x14ac:dyDescent="0.25">
      <c r="C10" s="23" t="s">
        <v>82</v>
      </c>
      <c r="D10" s="26">
        <f>'[1]NPV Capacity'!$C$15</f>
        <v>896.26786053426611</v>
      </c>
      <c r="E10" s="26">
        <f>D10</f>
        <v>896.26786053426611</v>
      </c>
      <c r="F10" s="12" t="s">
        <v>47</v>
      </c>
      <c r="G10" s="14" t="s">
        <v>46</v>
      </c>
    </row>
    <row r="11" spans="3:11" ht="30" x14ac:dyDescent="0.25">
      <c r="C11" s="27" t="s">
        <v>63</v>
      </c>
      <c r="D11" s="28">
        <f>D6*D7*D8*D9/D10</f>
        <v>2.7710264340903241</v>
      </c>
      <c r="E11" s="28">
        <f>E6*E7*E8*E9/E10</f>
        <v>0.62139951309964458</v>
      </c>
      <c r="F11" s="12" t="s">
        <v>51</v>
      </c>
      <c r="G11" s="14" t="s">
        <v>50</v>
      </c>
    </row>
    <row r="12" spans="3:11" ht="5.25" customHeight="1" x14ac:dyDescent="0.25">
      <c r="C12" s="23"/>
      <c r="D12" s="12"/>
      <c r="E12" s="12"/>
      <c r="F12" s="12"/>
      <c r="G12" s="12"/>
    </row>
    <row r="13" spans="3:11" ht="30" x14ac:dyDescent="0.25">
      <c r="C13" s="23" t="s">
        <v>66</v>
      </c>
      <c r="D13" s="13">
        <v>9.3899999999999997E-2</v>
      </c>
      <c r="E13" s="12" t="s">
        <v>28</v>
      </c>
      <c r="F13" s="12" t="s">
        <v>43</v>
      </c>
      <c r="G13" s="14" t="s">
        <v>71</v>
      </c>
    </row>
    <row r="14" spans="3:11" ht="30" x14ac:dyDescent="0.25">
      <c r="C14" s="23" t="s">
        <v>67</v>
      </c>
      <c r="D14" s="13">
        <v>7.8200000000000006E-2</v>
      </c>
      <c r="E14" s="12" t="s">
        <v>28</v>
      </c>
      <c r="F14" s="12" t="s">
        <v>43</v>
      </c>
      <c r="G14" s="14" t="s">
        <v>72</v>
      </c>
    </row>
    <row r="15" spans="3:11" x14ac:dyDescent="0.25">
      <c r="C15" s="23" t="s">
        <v>68</v>
      </c>
      <c r="D15" s="29">
        <f>1-D14/D13</f>
        <v>0.16719914802981883</v>
      </c>
      <c r="E15" s="12" t="s">
        <v>28</v>
      </c>
      <c r="F15" s="12" t="s">
        <v>43</v>
      </c>
      <c r="G15" s="14" t="s">
        <v>65</v>
      </c>
    </row>
    <row r="16" spans="3:11" ht="30" x14ac:dyDescent="0.25">
      <c r="C16" s="23" t="s">
        <v>69</v>
      </c>
      <c r="D16" s="28">
        <f>D11*(1-D15)</f>
        <v>2.307713175142315</v>
      </c>
      <c r="E16" s="12" t="s">
        <v>28</v>
      </c>
      <c r="F16" s="12" t="s">
        <v>51</v>
      </c>
      <c r="G16" s="14" t="s">
        <v>70</v>
      </c>
    </row>
    <row r="17" spans="3:7" ht="90" customHeight="1" x14ac:dyDescent="0.25">
      <c r="C17" s="59" t="s">
        <v>88</v>
      </c>
      <c r="D17" s="59"/>
      <c r="E17" s="59"/>
      <c r="F17" s="59"/>
      <c r="G17" s="59"/>
    </row>
    <row r="22" spans="3:7" x14ac:dyDescent="0.25">
      <c r="F22" s="7"/>
    </row>
  </sheetData>
  <mergeCells count="1">
    <mergeCell ref="C17:G17"/>
  </mergeCells>
  <pageMargins left="0.7" right="0.7" top="0.75" bottom="0.75" header="0.3" footer="0.3"/>
  <pageSetup orientation="portrait" r:id="rId1"/>
  <ignoredErrors>
    <ignoredError sqref="D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19"/>
  <sheetViews>
    <sheetView workbookViewId="0">
      <selection activeCell="K3" sqref="K2:K3"/>
    </sheetView>
  </sheetViews>
  <sheetFormatPr defaultRowHeight="15" x14ac:dyDescent="0.25"/>
  <cols>
    <col min="3" max="3" width="11.85546875" customWidth="1"/>
    <col min="4" max="4" width="12.28515625" customWidth="1"/>
    <col min="5" max="5" width="12.42578125" customWidth="1"/>
    <col min="6" max="6" width="13.28515625" customWidth="1"/>
    <col min="7" max="7" width="34" customWidth="1"/>
  </cols>
  <sheetData>
    <row r="1" spans="3:11" x14ac:dyDescent="0.25">
      <c r="D1" s="9" t="s">
        <v>105</v>
      </c>
    </row>
    <row r="2" spans="3:11" x14ac:dyDescent="0.25">
      <c r="C2" s="22" t="s">
        <v>44</v>
      </c>
      <c r="D2" s="30" t="s">
        <v>87</v>
      </c>
      <c r="E2" s="22" t="s">
        <v>64</v>
      </c>
      <c r="F2" s="22" t="s">
        <v>54</v>
      </c>
      <c r="G2" s="22" t="s">
        <v>55</v>
      </c>
    </row>
    <row r="3" spans="3:11" x14ac:dyDescent="0.25">
      <c r="C3" s="23" t="s">
        <v>56</v>
      </c>
      <c r="D3" s="24">
        <v>32.74</v>
      </c>
      <c r="E3" s="24">
        <f>D3</f>
        <v>32.74</v>
      </c>
      <c r="F3" s="12" t="s">
        <v>39</v>
      </c>
      <c r="G3" s="14" t="s">
        <v>79</v>
      </c>
      <c r="K3" s="21"/>
    </row>
    <row r="4" spans="3:11" ht="30" x14ac:dyDescent="0.25">
      <c r="C4" s="23" t="s">
        <v>57</v>
      </c>
      <c r="D4" s="13">
        <f>[6]CapValues!$C$26/100</f>
        <v>0.27647011657863563</v>
      </c>
      <c r="E4" s="25">
        <f>'[2]2019 Cap Contrib CONF'!$U$28</f>
        <v>7.723566602927516E-2</v>
      </c>
      <c r="F4" s="12" t="s">
        <v>43</v>
      </c>
      <c r="G4" s="14" t="s">
        <v>80</v>
      </c>
    </row>
    <row r="5" spans="3:11" x14ac:dyDescent="0.25">
      <c r="C5" s="23" t="s">
        <v>84</v>
      </c>
      <c r="D5" s="25">
        <f>'[1]NPV Capacity'!$C$25</f>
        <v>1.0908</v>
      </c>
      <c r="E5" s="25">
        <f>D5</f>
        <v>1.0908</v>
      </c>
      <c r="F5" s="12" t="s">
        <v>43</v>
      </c>
      <c r="G5" s="14" t="s">
        <v>45</v>
      </c>
    </row>
    <row r="6" spans="3:11" x14ac:dyDescent="0.25">
      <c r="C6" s="23" t="s">
        <v>75</v>
      </c>
      <c r="D6" s="12">
        <v>100</v>
      </c>
      <c r="E6" s="12">
        <v>100</v>
      </c>
      <c r="F6" s="12" t="s">
        <v>48</v>
      </c>
      <c r="G6" s="14" t="s">
        <v>49</v>
      </c>
    </row>
    <row r="7" spans="3:11" x14ac:dyDescent="0.25">
      <c r="C7" s="23" t="s">
        <v>85</v>
      </c>
      <c r="D7" s="26">
        <f>'[1]NPV Capacity'!$C$15</f>
        <v>896.26786053426611</v>
      </c>
      <c r="E7" s="26">
        <f>D7</f>
        <v>896.26786053426611</v>
      </c>
      <c r="F7" s="12" t="s">
        <v>47</v>
      </c>
      <c r="G7" s="14" t="s">
        <v>46</v>
      </c>
    </row>
    <row r="8" spans="3:11" ht="30" x14ac:dyDescent="0.25">
      <c r="C8" s="27" t="s">
        <v>77</v>
      </c>
      <c r="D8" s="28">
        <f>D3*D4*D5*D6/D7</f>
        <v>1.101625998471367</v>
      </c>
      <c r="E8" s="28">
        <f>E3*E4*E5*E6/E7</f>
        <v>0.30775412098797605</v>
      </c>
      <c r="F8" s="12" t="s">
        <v>51</v>
      </c>
      <c r="G8" s="14" t="s">
        <v>76</v>
      </c>
    </row>
    <row r="9" spans="3:11" ht="3.75" customHeight="1" x14ac:dyDescent="0.25">
      <c r="C9" s="23"/>
      <c r="D9" s="12"/>
      <c r="E9" s="12"/>
      <c r="F9" s="12"/>
      <c r="G9" s="12"/>
    </row>
    <row r="10" spans="3:11" ht="30" x14ac:dyDescent="0.25">
      <c r="C10" s="23" t="s">
        <v>61</v>
      </c>
      <c r="D10" s="13">
        <v>9.3899999999999997E-2</v>
      </c>
      <c r="E10" s="12" t="s">
        <v>28</v>
      </c>
      <c r="F10" s="12" t="s">
        <v>43</v>
      </c>
      <c r="G10" s="14" t="s">
        <v>71</v>
      </c>
    </row>
    <row r="11" spans="3:11" x14ac:dyDescent="0.25">
      <c r="C11" s="23" t="s">
        <v>62</v>
      </c>
      <c r="D11" s="13">
        <v>7.8200000000000006E-2</v>
      </c>
      <c r="E11" s="12" t="s">
        <v>28</v>
      </c>
      <c r="F11" s="12" t="s">
        <v>43</v>
      </c>
      <c r="G11" s="14" t="s">
        <v>72</v>
      </c>
    </row>
    <row r="12" spans="3:11" ht="17.25" customHeight="1" x14ac:dyDescent="0.25">
      <c r="C12" s="23" t="s">
        <v>78</v>
      </c>
      <c r="D12" s="29">
        <f>1-D11/D10</f>
        <v>0.16719914802981883</v>
      </c>
      <c r="E12" s="12" t="s">
        <v>28</v>
      </c>
      <c r="F12" s="12" t="s">
        <v>43</v>
      </c>
      <c r="G12" s="14" t="s">
        <v>65</v>
      </c>
    </row>
    <row r="13" spans="3:11" ht="30" x14ac:dyDescent="0.25">
      <c r="C13" s="23" t="s">
        <v>69</v>
      </c>
      <c r="D13" s="33">
        <f>D8*(1-D12)</f>
        <v>0.91743507007945591</v>
      </c>
      <c r="E13" s="12" t="s">
        <v>28</v>
      </c>
      <c r="F13" s="12" t="s">
        <v>51</v>
      </c>
      <c r="G13" s="14" t="s">
        <v>83</v>
      </c>
    </row>
    <row r="14" spans="3:11" ht="93.75" customHeight="1" x14ac:dyDescent="0.25">
      <c r="C14" s="59" t="s">
        <v>86</v>
      </c>
      <c r="D14" s="59"/>
      <c r="E14" s="59"/>
      <c r="F14" s="59"/>
      <c r="G14" s="59"/>
    </row>
    <row r="17" spans="6:6" ht="90" customHeight="1" x14ac:dyDescent="0.25"/>
    <row r="19" spans="6:6" x14ac:dyDescent="0.25">
      <c r="F19" s="7"/>
    </row>
  </sheetData>
  <mergeCells count="1">
    <mergeCell ref="C14:G14"/>
  </mergeCells>
  <pageMargins left="0.7" right="0.7" top="0.75" bottom="0.75" header="0.3" footer="0.3"/>
  <pageSetup orientation="portrait" r:id="rId1"/>
  <ignoredErrors>
    <ignoredError sqref="E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21"/>
  <sheetViews>
    <sheetView workbookViewId="0">
      <selection activeCell="D1" sqref="D1"/>
    </sheetView>
  </sheetViews>
  <sheetFormatPr defaultRowHeight="15" x14ac:dyDescent="0.25"/>
  <cols>
    <col min="3" max="3" width="11.85546875" customWidth="1"/>
    <col min="4" max="4" width="12.28515625" customWidth="1"/>
    <col min="5" max="5" width="12.42578125" customWidth="1"/>
    <col min="6" max="6" width="13.28515625" customWidth="1"/>
    <col min="7" max="7" width="24.42578125" customWidth="1"/>
  </cols>
  <sheetData>
    <row r="1" spans="3:11" x14ac:dyDescent="0.25">
      <c r="D1" s="9" t="s">
        <v>104</v>
      </c>
    </row>
    <row r="2" spans="3:11" x14ac:dyDescent="0.25">
      <c r="C2" s="22" t="s">
        <v>44</v>
      </c>
      <c r="D2" s="30" t="s">
        <v>87</v>
      </c>
      <c r="E2" s="22" t="s">
        <v>64</v>
      </c>
      <c r="F2" s="22" t="s">
        <v>54</v>
      </c>
      <c r="G2" s="22" t="s">
        <v>55</v>
      </c>
    </row>
    <row r="3" spans="3:11" ht="30" x14ac:dyDescent="0.25">
      <c r="C3" s="23" t="s">
        <v>91</v>
      </c>
      <c r="D3" s="24">
        <f>ROUND([5]Summary!$I$26,2)/[5]Summary!$G$26</f>
        <v>122.73425499231951</v>
      </c>
      <c r="E3" s="24">
        <f>D3</f>
        <v>122.73425499231951</v>
      </c>
      <c r="F3" s="12" t="s">
        <v>53</v>
      </c>
      <c r="G3" s="14" t="s">
        <v>90</v>
      </c>
      <c r="K3" s="21"/>
    </row>
    <row r="4" spans="3:11" x14ac:dyDescent="0.25">
      <c r="C4" s="23" t="s">
        <v>57</v>
      </c>
      <c r="D4" s="25">
        <v>0.1079</v>
      </c>
      <c r="E4" s="25">
        <f>[5]Summary!$G$26</f>
        <v>6.5100000000000005E-2</v>
      </c>
      <c r="F4" s="12" t="s">
        <v>43</v>
      </c>
      <c r="G4" s="14" t="s">
        <v>41</v>
      </c>
    </row>
    <row r="5" spans="3:11" x14ac:dyDescent="0.25">
      <c r="C5" s="23" t="s">
        <v>89</v>
      </c>
      <c r="D5" s="24">
        <f>D3*D4</f>
        <v>13.243026113671274</v>
      </c>
      <c r="E5" s="24">
        <f>E3*E4</f>
        <v>7.99</v>
      </c>
      <c r="F5" s="12" t="s">
        <v>39</v>
      </c>
      <c r="G5" s="14" t="s">
        <v>95</v>
      </c>
    </row>
    <row r="6" spans="3:11" ht="45" x14ac:dyDescent="0.25">
      <c r="C6" s="23" t="s">
        <v>60</v>
      </c>
      <c r="D6" s="25">
        <f>'[4]Avoided D Value '!$B$9/100</f>
        <v>0.27489999999999998</v>
      </c>
      <c r="E6" s="25">
        <f>'Table 2'!E11</f>
        <v>0.21992395940993154</v>
      </c>
      <c r="F6" s="12" t="s">
        <v>43</v>
      </c>
      <c r="G6" s="14" t="s">
        <v>80</v>
      </c>
    </row>
    <row r="7" spans="3:11" x14ac:dyDescent="0.25">
      <c r="C7" s="23" t="s">
        <v>92</v>
      </c>
      <c r="D7" s="25">
        <f>1+'[4]Avoided D Value '!$B$3</f>
        <v>1.0462400000000001</v>
      </c>
      <c r="E7" s="25">
        <f>D7</f>
        <v>1.0462400000000001</v>
      </c>
      <c r="F7" s="12" t="s">
        <v>43</v>
      </c>
      <c r="G7" s="14" t="s">
        <v>45</v>
      </c>
    </row>
    <row r="8" spans="3:11" ht="30" x14ac:dyDescent="0.25">
      <c r="C8" s="23" t="s">
        <v>61</v>
      </c>
      <c r="D8" s="12">
        <v>100</v>
      </c>
      <c r="E8" s="12">
        <v>100</v>
      </c>
      <c r="F8" s="12" t="s">
        <v>48</v>
      </c>
      <c r="G8" s="14" t="s">
        <v>49</v>
      </c>
    </row>
    <row r="9" spans="3:11" ht="30" x14ac:dyDescent="0.25">
      <c r="C9" s="23" t="s">
        <v>93</v>
      </c>
      <c r="D9" s="26">
        <f>'[4]Avoided D Value '!$B$11</f>
        <v>896.27</v>
      </c>
      <c r="E9" s="26">
        <f>D9</f>
        <v>896.27</v>
      </c>
      <c r="F9" s="12" t="s">
        <v>47</v>
      </c>
      <c r="G9" s="14" t="s">
        <v>46</v>
      </c>
    </row>
    <row r="10" spans="3:11" ht="30" x14ac:dyDescent="0.25">
      <c r="C10" s="27" t="s">
        <v>63</v>
      </c>
      <c r="D10" s="28">
        <f>D5*D6*D7*D8/D9</f>
        <v>0.42496624487675894</v>
      </c>
      <c r="E10" s="28">
        <f>E5*E6*E7*E8/E9</f>
        <v>0.2051217840507262</v>
      </c>
      <c r="F10" s="12" t="s">
        <v>51</v>
      </c>
      <c r="G10" s="14" t="s">
        <v>96</v>
      </c>
    </row>
    <row r="11" spans="3:11" ht="5.25" customHeight="1" x14ac:dyDescent="0.25">
      <c r="C11" s="23"/>
      <c r="D11" s="12"/>
      <c r="E11" s="12"/>
      <c r="F11" s="12"/>
      <c r="G11" s="12"/>
    </row>
    <row r="12" spans="3:11" ht="30" x14ac:dyDescent="0.25">
      <c r="C12" s="23" t="s">
        <v>66</v>
      </c>
      <c r="D12" s="13">
        <f>D4</f>
        <v>0.1079</v>
      </c>
      <c r="E12" s="12" t="s">
        <v>28</v>
      </c>
      <c r="F12" s="12" t="s">
        <v>43</v>
      </c>
      <c r="G12" s="14" t="s">
        <v>94</v>
      </c>
    </row>
    <row r="13" spans="3:11" ht="30" x14ac:dyDescent="0.25">
      <c r="C13" s="23" t="s">
        <v>67</v>
      </c>
      <c r="D13" s="13">
        <v>7.8200000000000006E-2</v>
      </c>
      <c r="E13" s="12" t="s">
        <v>28</v>
      </c>
      <c r="F13" s="12" t="s">
        <v>43</v>
      </c>
      <c r="G13" s="14" t="s">
        <v>72</v>
      </c>
    </row>
    <row r="14" spans="3:11" x14ac:dyDescent="0.25">
      <c r="C14" s="23" t="s">
        <v>68</v>
      </c>
      <c r="D14" s="29">
        <f>1-D13/D12</f>
        <v>0.2752548656163113</v>
      </c>
      <c r="E14" s="12" t="s">
        <v>28</v>
      </c>
      <c r="F14" s="12" t="s">
        <v>43</v>
      </c>
      <c r="G14" s="14" t="s">
        <v>65</v>
      </c>
    </row>
    <row r="15" spans="3:11" ht="30" x14ac:dyDescent="0.25">
      <c r="C15" s="23" t="s">
        <v>69</v>
      </c>
      <c r="D15" s="28">
        <f>D10*(1-D14)</f>
        <v>0.30799221825173823</v>
      </c>
      <c r="E15" s="12" t="s">
        <v>28</v>
      </c>
      <c r="F15" s="12" t="s">
        <v>51</v>
      </c>
      <c r="G15" s="14" t="s">
        <v>97</v>
      </c>
    </row>
    <row r="16" spans="3:11" ht="61.5" customHeight="1" x14ac:dyDescent="0.25">
      <c r="C16" s="59" t="s">
        <v>98</v>
      </c>
      <c r="D16" s="59"/>
      <c r="E16" s="59"/>
      <c r="F16" s="59"/>
      <c r="G16" s="59"/>
    </row>
    <row r="21" spans="6:6" x14ac:dyDescent="0.25">
      <c r="F21" s="7"/>
    </row>
  </sheetData>
  <mergeCells count="1">
    <mergeCell ref="C16:G1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8"/>
  <sheetViews>
    <sheetView workbookViewId="0">
      <selection activeCell="A10" sqref="A10"/>
    </sheetView>
  </sheetViews>
  <sheetFormatPr defaultRowHeight="15" x14ac:dyDescent="0.25"/>
  <sheetData>
    <row r="1" spans="1:97" s="40" customFormat="1" ht="15.95" customHeight="1" x14ac:dyDescent="0.25">
      <c r="A1" s="40" t="s">
        <v>149</v>
      </c>
    </row>
    <row r="2" spans="1:97" s="40" customFormat="1" ht="15.95" customHeight="1" x14ac:dyDescent="0.25">
      <c r="A2" s="40" t="s">
        <v>150</v>
      </c>
    </row>
    <row r="3" spans="1:97" s="40" customFormat="1" ht="15.95" customHeight="1" x14ac:dyDescent="0.25">
      <c r="A3" s="40" t="s">
        <v>151</v>
      </c>
    </row>
    <row r="4" spans="1:97" s="41" customFormat="1" ht="15.95" customHeight="1" x14ac:dyDescent="0.25">
      <c r="A4" s="52" t="s">
        <v>271</v>
      </c>
      <c r="C4" s="51" t="s">
        <v>272</v>
      </c>
    </row>
    <row r="5" spans="1:97" s="41" customFormat="1" x14ac:dyDescent="0.25">
      <c r="A5" s="60" t="s">
        <v>152</v>
      </c>
      <c r="B5" s="61"/>
      <c r="C5" s="61"/>
      <c r="D5" s="61"/>
      <c r="E5" s="61"/>
      <c r="F5" s="61"/>
      <c r="G5" s="61"/>
      <c r="H5" s="61"/>
      <c r="I5" s="61"/>
      <c r="J5" s="61"/>
      <c r="K5" s="61"/>
      <c r="L5" s="61"/>
      <c r="M5" s="61"/>
      <c r="N5" s="61"/>
      <c r="O5" s="61"/>
      <c r="P5" s="61"/>
      <c r="Q5" s="61"/>
      <c r="R5" s="61"/>
      <c r="S5" s="62"/>
      <c r="T5" s="60" t="s">
        <v>153</v>
      </c>
      <c r="U5" s="61"/>
      <c r="V5" s="61"/>
      <c r="W5" s="61"/>
      <c r="X5" s="61"/>
      <c r="Y5" s="61"/>
      <c r="Z5" s="61"/>
      <c r="AA5" s="61"/>
      <c r="AB5" s="61"/>
      <c r="AC5" s="61"/>
      <c r="AD5" s="61"/>
      <c r="AE5" s="62"/>
      <c r="AF5" s="60" t="s">
        <v>154</v>
      </c>
      <c r="AG5" s="61"/>
      <c r="AH5" s="61"/>
      <c r="AI5" s="61"/>
      <c r="AJ5" s="61"/>
      <c r="AK5" s="61"/>
      <c r="AL5" s="61"/>
      <c r="AM5" s="61"/>
      <c r="AN5" s="61"/>
      <c r="AO5" s="61"/>
      <c r="AP5" s="61"/>
      <c r="AQ5" s="62"/>
      <c r="AR5" s="60" t="s">
        <v>155</v>
      </c>
      <c r="AS5" s="61"/>
      <c r="AT5" s="61"/>
      <c r="AU5" s="61"/>
      <c r="AV5" s="61"/>
      <c r="AW5" s="61"/>
      <c r="AX5" s="61"/>
      <c r="AY5" s="61"/>
      <c r="AZ5" s="61"/>
      <c r="BA5" s="61"/>
      <c r="BB5" s="61"/>
      <c r="BC5" s="62"/>
      <c r="BD5" s="60" t="s">
        <v>156</v>
      </c>
      <c r="BE5" s="61"/>
      <c r="BF5" s="61"/>
      <c r="BG5" s="61"/>
      <c r="BH5" s="61"/>
      <c r="BI5" s="61"/>
      <c r="BJ5" s="61"/>
      <c r="BK5" s="61"/>
      <c r="BL5" s="61"/>
      <c r="BM5" s="61"/>
      <c r="BN5" s="61"/>
      <c r="BO5" s="62"/>
      <c r="BP5" s="60" t="s">
        <v>157</v>
      </c>
      <c r="BQ5" s="61"/>
      <c r="BR5" s="61"/>
      <c r="BS5" s="61"/>
      <c r="BT5" s="61"/>
      <c r="BU5" s="61"/>
      <c r="BV5" s="61"/>
      <c r="BW5" s="61"/>
      <c r="BX5" s="61"/>
      <c r="BY5" s="61"/>
      <c r="BZ5" s="61"/>
      <c r="CA5" s="62"/>
      <c r="CB5" s="60" t="s">
        <v>158</v>
      </c>
      <c r="CC5" s="61"/>
      <c r="CD5" s="61"/>
      <c r="CE5" s="61"/>
      <c r="CF5" s="61"/>
      <c r="CG5" s="61"/>
      <c r="CH5" s="61"/>
      <c r="CI5" s="61"/>
      <c r="CJ5" s="61"/>
      <c r="CK5" s="61"/>
      <c r="CL5" s="61"/>
      <c r="CM5" s="62"/>
      <c r="CN5" s="60" t="s">
        <v>159</v>
      </c>
      <c r="CO5" s="61"/>
      <c r="CP5" s="61"/>
      <c r="CQ5" s="61"/>
      <c r="CR5" s="62"/>
      <c r="CS5" s="42" t="s">
        <v>152</v>
      </c>
    </row>
    <row r="6" spans="1:97" s="41" customFormat="1" ht="64.5" x14ac:dyDescent="0.25">
      <c r="A6" s="42" t="s">
        <v>160</v>
      </c>
      <c r="B6" s="42" t="s">
        <v>161</v>
      </c>
      <c r="C6" s="42" t="s">
        <v>162</v>
      </c>
      <c r="D6" s="42" t="s">
        <v>35</v>
      </c>
      <c r="E6" s="42" t="s">
        <v>163</v>
      </c>
      <c r="F6" s="42" t="s">
        <v>164</v>
      </c>
      <c r="G6" s="42" t="s">
        <v>34</v>
      </c>
      <c r="H6" s="42" t="s">
        <v>165</v>
      </c>
      <c r="I6" s="42" t="s">
        <v>166</v>
      </c>
      <c r="J6" s="42" t="s">
        <v>167</v>
      </c>
      <c r="K6" s="42" t="s">
        <v>168</v>
      </c>
      <c r="L6" s="42" t="s">
        <v>169</v>
      </c>
      <c r="M6" s="42" t="s">
        <v>170</v>
      </c>
      <c r="N6" s="42" t="s">
        <v>171</v>
      </c>
      <c r="O6" s="42" t="s">
        <v>172</v>
      </c>
      <c r="P6" s="42" t="s">
        <v>173</v>
      </c>
      <c r="Q6" s="42" t="s">
        <v>167</v>
      </c>
      <c r="R6" s="42" t="s">
        <v>167</v>
      </c>
      <c r="S6" s="42" t="s">
        <v>174</v>
      </c>
      <c r="T6" s="43" t="s">
        <v>175</v>
      </c>
      <c r="U6" s="43" t="s">
        <v>176</v>
      </c>
      <c r="V6" s="43" t="s">
        <v>177</v>
      </c>
      <c r="W6" s="43" t="s">
        <v>178</v>
      </c>
      <c r="X6" s="43" t="s">
        <v>179</v>
      </c>
      <c r="Y6" s="43" t="s">
        <v>180</v>
      </c>
      <c r="Z6" s="43" t="s">
        <v>181</v>
      </c>
      <c r="AA6" s="43" t="s">
        <v>182</v>
      </c>
      <c r="AB6" s="43" t="s">
        <v>183</v>
      </c>
      <c r="AC6" s="43" t="s">
        <v>184</v>
      </c>
      <c r="AD6" s="43" t="s">
        <v>185</v>
      </c>
      <c r="AE6" s="43" t="s">
        <v>186</v>
      </c>
      <c r="AF6" s="43" t="s">
        <v>187</v>
      </c>
      <c r="AG6" s="43" t="s">
        <v>188</v>
      </c>
      <c r="AH6" s="43" t="s">
        <v>189</v>
      </c>
      <c r="AI6" s="43" t="s">
        <v>190</v>
      </c>
      <c r="AJ6" s="43" t="s">
        <v>191</v>
      </c>
      <c r="AK6" s="43" t="s">
        <v>192</v>
      </c>
      <c r="AL6" s="43" t="s">
        <v>193</v>
      </c>
      <c r="AM6" s="43" t="s">
        <v>194</v>
      </c>
      <c r="AN6" s="43" t="s">
        <v>195</v>
      </c>
      <c r="AO6" s="43" t="s">
        <v>196</v>
      </c>
      <c r="AP6" s="43" t="s">
        <v>197</v>
      </c>
      <c r="AQ6" s="43" t="s">
        <v>198</v>
      </c>
      <c r="AR6" s="44" t="s">
        <v>199</v>
      </c>
      <c r="AS6" s="44" t="s">
        <v>200</v>
      </c>
      <c r="AT6" s="44" t="s">
        <v>201</v>
      </c>
      <c r="AU6" s="44" t="s">
        <v>202</v>
      </c>
      <c r="AV6" s="44" t="s">
        <v>203</v>
      </c>
      <c r="AW6" s="44" t="s">
        <v>204</v>
      </c>
      <c r="AX6" s="44" t="s">
        <v>205</v>
      </c>
      <c r="AY6" s="44" t="s">
        <v>206</v>
      </c>
      <c r="AZ6" s="44" t="s">
        <v>207</v>
      </c>
      <c r="BA6" s="44" t="s">
        <v>208</v>
      </c>
      <c r="BB6" s="44" t="s">
        <v>209</v>
      </c>
      <c r="BC6" s="44" t="s">
        <v>210</v>
      </c>
      <c r="BD6" s="43" t="s">
        <v>211</v>
      </c>
      <c r="BE6" s="43" t="s">
        <v>212</v>
      </c>
      <c r="BF6" s="43" t="s">
        <v>213</v>
      </c>
      <c r="BG6" s="43" t="s">
        <v>214</v>
      </c>
      <c r="BH6" s="43" t="s">
        <v>215</v>
      </c>
      <c r="BI6" s="43" t="s">
        <v>216</v>
      </c>
      <c r="BJ6" s="43" t="s">
        <v>217</v>
      </c>
      <c r="BK6" s="43" t="s">
        <v>218</v>
      </c>
      <c r="BL6" s="43" t="s">
        <v>219</v>
      </c>
      <c r="BM6" s="43" t="s">
        <v>220</v>
      </c>
      <c r="BN6" s="43" t="s">
        <v>221</v>
      </c>
      <c r="BO6" s="43" t="s">
        <v>222</v>
      </c>
      <c r="BP6" s="43" t="s">
        <v>223</v>
      </c>
      <c r="BQ6" s="43" t="s">
        <v>224</v>
      </c>
      <c r="BR6" s="43" t="s">
        <v>225</v>
      </c>
      <c r="BS6" s="43" t="s">
        <v>226</v>
      </c>
      <c r="BT6" s="43" t="s">
        <v>227</v>
      </c>
      <c r="BU6" s="43" t="s">
        <v>228</v>
      </c>
      <c r="BV6" s="43" t="s">
        <v>229</v>
      </c>
      <c r="BW6" s="43" t="s">
        <v>230</v>
      </c>
      <c r="BX6" s="43" t="s">
        <v>231</v>
      </c>
      <c r="BY6" s="43" t="s">
        <v>232</v>
      </c>
      <c r="BZ6" s="43" t="s">
        <v>233</v>
      </c>
      <c r="CA6" s="43" t="s">
        <v>234</v>
      </c>
      <c r="CB6" s="43" t="s">
        <v>235</v>
      </c>
      <c r="CC6" s="43" t="s">
        <v>236</v>
      </c>
      <c r="CD6" s="43" t="s">
        <v>237</v>
      </c>
      <c r="CE6" s="43" t="s">
        <v>238</v>
      </c>
      <c r="CF6" s="43" t="s">
        <v>239</v>
      </c>
      <c r="CG6" s="43" t="s">
        <v>240</v>
      </c>
      <c r="CH6" s="43" t="s">
        <v>241</v>
      </c>
      <c r="CI6" s="43" t="s">
        <v>242</v>
      </c>
      <c r="CJ6" s="43" t="s">
        <v>243</v>
      </c>
      <c r="CK6" s="43" t="s">
        <v>244</v>
      </c>
      <c r="CL6" s="43" t="s">
        <v>245</v>
      </c>
      <c r="CM6" s="43" t="s">
        <v>246</v>
      </c>
      <c r="CN6" s="43" t="s">
        <v>247</v>
      </c>
      <c r="CO6" s="43" t="s">
        <v>248</v>
      </c>
      <c r="CP6" s="43" t="s">
        <v>249</v>
      </c>
      <c r="CQ6" s="43" t="s">
        <v>250</v>
      </c>
      <c r="CR6" s="43" t="s">
        <v>251</v>
      </c>
      <c r="CS6" s="42" t="s">
        <v>252</v>
      </c>
    </row>
    <row r="7" spans="1:97" s="41" customFormat="1" ht="26.25" x14ac:dyDescent="0.25">
      <c r="A7" s="45">
        <v>3648</v>
      </c>
      <c r="B7" s="46" t="s">
        <v>253</v>
      </c>
      <c r="C7" s="45" t="s">
        <v>254</v>
      </c>
      <c r="D7" s="46" t="s">
        <v>255</v>
      </c>
      <c r="E7" s="46" t="s">
        <v>256</v>
      </c>
      <c r="F7" s="45">
        <v>14354</v>
      </c>
      <c r="G7" s="46" t="s">
        <v>33</v>
      </c>
      <c r="H7" s="46" t="s">
        <v>257</v>
      </c>
      <c r="I7" s="46" t="s">
        <v>258</v>
      </c>
      <c r="J7" s="46" t="s">
        <v>152</v>
      </c>
      <c r="K7" s="45">
        <v>22</v>
      </c>
      <c r="L7" s="45">
        <v>1</v>
      </c>
      <c r="M7" s="46" t="s">
        <v>259</v>
      </c>
      <c r="N7" s="46" t="s">
        <v>260</v>
      </c>
      <c r="O7" s="46" t="s">
        <v>261</v>
      </c>
      <c r="P7" s="46" t="s">
        <v>261</v>
      </c>
      <c r="Q7" s="46" t="s">
        <v>152</v>
      </c>
      <c r="R7" s="46" t="s">
        <v>152</v>
      </c>
      <c r="S7" s="46" t="s">
        <v>262</v>
      </c>
      <c r="T7" s="47">
        <v>11007</v>
      </c>
      <c r="U7" s="47">
        <v>10251</v>
      </c>
      <c r="V7" s="47">
        <v>34760</v>
      </c>
      <c r="W7" s="47">
        <v>5517</v>
      </c>
      <c r="X7" s="47">
        <v>16270</v>
      </c>
      <c r="Y7" s="47">
        <v>16295</v>
      </c>
      <c r="Z7" s="47">
        <v>38154</v>
      </c>
      <c r="AA7" s="47">
        <v>233429</v>
      </c>
      <c r="AB7" s="47">
        <v>86386</v>
      </c>
      <c r="AC7" s="47">
        <v>28051</v>
      </c>
      <c r="AD7" s="47">
        <v>7819</v>
      </c>
      <c r="AE7" s="47" t="s">
        <v>254</v>
      </c>
      <c r="AF7" s="47">
        <v>11007</v>
      </c>
      <c r="AG7" s="47">
        <v>10251</v>
      </c>
      <c r="AH7" s="47">
        <v>34760</v>
      </c>
      <c r="AI7" s="47">
        <v>5517</v>
      </c>
      <c r="AJ7" s="47">
        <v>16270</v>
      </c>
      <c r="AK7" s="47">
        <v>16295</v>
      </c>
      <c r="AL7" s="47">
        <v>38154</v>
      </c>
      <c r="AM7" s="47">
        <v>233429</v>
      </c>
      <c r="AN7" s="47">
        <v>86386</v>
      </c>
      <c r="AO7" s="47">
        <v>28051</v>
      </c>
      <c r="AP7" s="47">
        <v>7819</v>
      </c>
      <c r="AQ7" s="47" t="s">
        <v>254</v>
      </c>
      <c r="AR7" s="48">
        <v>1.0509999999999999</v>
      </c>
      <c r="AS7" s="48">
        <v>1.048</v>
      </c>
      <c r="AT7" s="48">
        <v>1.0569999999999999</v>
      </c>
      <c r="AU7" s="48">
        <v>1.06</v>
      </c>
      <c r="AV7" s="48">
        <v>1.0529999999999999</v>
      </c>
      <c r="AW7" s="48">
        <v>1.0369999999999999</v>
      </c>
      <c r="AX7" s="48">
        <v>1.0249999999999999</v>
      </c>
      <c r="AY7" s="48">
        <v>1.036</v>
      </c>
      <c r="AZ7" s="48">
        <v>1.0429999999999999</v>
      </c>
      <c r="BA7" s="48">
        <v>1.0509999999999999</v>
      </c>
      <c r="BB7" s="48">
        <v>1.0580000000000001</v>
      </c>
      <c r="BC7" s="48" t="s">
        <v>254</v>
      </c>
      <c r="BD7" s="47">
        <v>11568</v>
      </c>
      <c r="BE7" s="47">
        <v>10743</v>
      </c>
      <c r="BF7" s="47">
        <v>36741</v>
      </c>
      <c r="BG7" s="47">
        <v>5848</v>
      </c>
      <c r="BH7" s="47">
        <v>17132</v>
      </c>
      <c r="BI7" s="47">
        <v>16898</v>
      </c>
      <c r="BJ7" s="47">
        <v>39108</v>
      </c>
      <c r="BK7" s="47">
        <v>241832</v>
      </c>
      <c r="BL7" s="47">
        <v>90101</v>
      </c>
      <c r="BM7" s="47">
        <v>29482</v>
      </c>
      <c r="BN7" s="47">
        <v>8273</v>
      </c>
      <c r="BO7" s="47" t="s">
        <v>254</v>
      </c>
      <c r="BP7" s="47">
        <v>11568</v>
      </c>
      <c r="BQ7" s="47">
        <v>10743</v>
      </c>
      <c r="BR7" s="47">
        <v>36741</v>
      </c>
      <c r="BS7" s="47">
        <v>5848</v>
      </c>
      <c r="BT7" s="47">
        <v>17132</v>
      </c>
      <c r="BU7" s="47">
        <v>16898</v>
      </c>
      <c r="BV7" s="47">
        <v>39108</v>
      </c>
      <c r="BW7" s="47">
        <v>241832</v>
      </c>
      <c r="BX7" s="47">
        <v>90101</v>
      </c>
      <c r="BY7" s="47">
        <v>29482</v>
      </c>
      <c r="BZ7" s="47">
        <v>8273</v>
      </c>
      <c r="CA7" s="47" t="s">
        <v>254</v>
      </c>
      <c r="CB7" s="47">
        <v>626</v>
      </c>
      <c r="CC7" s="47">
        <v>717</v>
      </c>
      <c r="CD7" s="47">
        <v>2938</v>
      </c>
      <c r="CE7" s="47">
        <v>131</v>
      </c>
      <c r="CF7" s="47">
        <v>1061</v>
      </c>
      <c r="CG7" s="47">
        <v>1418</v>
      </c>
      <c r="CH7" s="47">
        <v>2995</v>
      </c>
      <c r="CI7" s="47">
        <v>22291</v>
      </c>
      <c r="CJ7" s="47">
        <v>8092</v>
      </c>
      <c r="CK7" s="47">
        <v>2348</v>
      </c>
      <c r="CL7" s="47">
        <v>274</v>
      </c>
      <c r="CM7" s="47" t="s">
        <v>254</v>
      </c>
      <c r="CN7" s="47">
        <v>487939</v>
      </c>
      <c r="CO7" s="47">
        <v>487939</v>
      </c>
      <c r="CP7" s="47">
        <v>507726</v>
      </c>
      <c r="CQ7" s="47">
        <v>507726</v>
      </c>
      <c r="CR7" s="47">
        <v>42891</v>
      </c>
      <c r="CS7" s="45">
        <v>2020</v>
      </c>
    </row>
    <row r="8" spans="1:97" s="41" customFormat="1" ht="26.25" x14ac:dyDescent="0.25">
      <c r="A8" s="45">
        <v>3648</v>
      </c>
      <c r="B8" s="46" t="s">
        <v>253</v>
      </c>
      <c r="C8" s="45" t="s">
        <v>254</v>
      </c>
      <c r="D8" s="46" t="s">
        <v>255</v>
      </c>
      <c r="E8" s="46" t="s">
        <v>256</v>
      </c>
      <c r="F8" s="45">
        <v>14354</v>
      </c>
      <c r="G8" s="46" t="s">
        <v>33</v>
      </c>
      <c r="H8" s="46" t="s">
        <v>257</v>
      </c>
      <c r="I8" s="46" t="s">
        <v>258</v>
      </c>
      <c r="J8" s="46" t="s">
        <v>152</v>
      </c>
      <c r="K8" s="45">
        <v>22</v>
      </c>
      <c r="L8" s="45">
        <v>1</v>
      </c>
      <c r="M8" s="46" t="s">
        <v>259</v>
      </c>
      <c r="N8" s="46" t="s">
        <v>263</v>
      </c>
      <c r="O8" s="46" t="s">
        <v>261</v>
      </c>
      <c r="P8" s="46" t="s">
        <v>261</v>
      </c>
      <c r="Q8" s="46" t="s">
        <v>152</v>
      </c>
      <c r="R8" s="46" t="s">
        <v>152</v>
      </c>
      <c r="S8" s="46" t="s">
        <v>262</v>
      </c>
      <c r="T8" s="47">
        <v>0</v>
      </c>
      <c r="U8" s="47">
        <v>0</v>
      </c>
      <c r="V8" s="47">
        <v>0</v>
      </c>
      <c r="W8" s="47">
        <v>0</v>
      </c>
      <c r="X8" s="47">
        <v>10652</v>
      </c>
      <c r="Y8" s="47">
        <v>72009</v>
      </c>
      <c r="Z8" s="47">
        <v>362437</v>
      </c>
      <c r="AA8" s="47">
        <v>586677</v>
      </c>
      <c r="AB8" s="47">
        <v>313079</v>
      </c>
      <c r="AC8" s="47">
        <v>84640</v>
      </c>
      <c r="AD8" s="47">
        <v>0</v>
      </c>
      <c r="AE8" s="47" t="s">
        <v>254</v>
      </c>
      <c r="AF8" s="47">
        <v>0</v>
      </c>
      <c r="AG8" s="47">
        <v>0</v>
      </c>
      <c r="AH8" s="47">
        <v>0</v>
      </c>
      <c r="AI8" s="47">
        <v>0</v>
      </c>
      <c r="AJ8" s="47">
        <v>10652</v>
      </c>
      <c r="AK8" s="47">
        <v>72009</v>
      </c>
      <c r="AL8" s="47">
        <v>362437</v>
      </c>
      <c r="AM8" s="47">
        <v>586677</v>
      </c>
      <c r="AN8" s="47">
        <v>313079</v>
      </c>
      <c r="AO8" s="47">
        <v>84640</v>
      </c>
      <c r="AP8" s="47">
        <v>0</v>
      </c>
      <c r="AQ8" s="47" t="s">
        <v>254</v>
      </c>
      <c r="AR8" s="48">
        <v>0</v>
      </c>
      <c r="AS8" s="48">
        <v>0</v>
      </c>
      <c r="AT8" s="48">
        <v>0</v>
      </c>
      <c r="AU8" s="48">
        <v>0</v>
      </c>
      <c r="AV8" s="48">
        <v>1.0529999999999999</v>
      </c>
      <c r="AW8" s="48">
        <v>1.0369999999999999</v>
      </c>
      <c r="AX8" s="48">
        <v>1.0249999999999999</v>
      </c>
      <c r="AY8" s="48">
        <v>1.036</v>
      </c>
      <c r="AZ8" s="48">
        <v>1.0429999999999999</v>
      </c>
      <c r="BA8" s="48">
        <v>1.0509999999999999</v>
      </c>
      <c r="BB8" s="48">
        <v>0</v>
      </c>
      <c r="BC8" s="48" t="s">
        <v>254</v>
      </c>
      <c r="BD8" s="47">
        <v>0</v>
      </c>
      <c r="BE8" s="47">
        <v>0</v>
      </c>
      <c r="BF8" s="47">
        <v>0</v>
      </c>
      <c r="BG8" s="47">
        <v>0</v>
      </c>
      <c r="BH8" s="47">
        <v>11217</v>
      </c>
      <c r="BI8" s="47">
        <v>74673</v>
      </c>
      <c r="BJ8" s="47">
        <v>371498</v>
      </c>
      <c r="BK8" s="47">
        <v>607797</v>
      </c>
      <c r="BL8" s="47">
        <v>326541</v>
      </c>
      <c r="BM8" s="47">
        <v>88957</v>
      </c>
      <c r="BN8" s="47">
        <v>0</v>
      </c>
      <c r="BO8" s="47" t="s">
        <v>254</v>
      </c>
      <c r="BP8" s="47">
        <v>0</v>
      </c>
      <c r="BQ8" s="47">
        <v>0</v>
      </c>
      <c r="BR8" s="47">
        <v>0</v>
      </c>
      <c r="BS8" s="47">
        <v>0</v>
      </c>
      <c r="BT8" s="47">
        <v>11217</v>
      </c>
      <c r="BU8" s="47">
        <v>74673</v>
      </c>
      <c r="BV8" s="47">
        <v>371498</v>
      </c>
      <c r="BW8" s="47">
        <v>607797</v>
      </c>
      <c r="BX8" s="47">
        <v>326541</v>
      </c>
      <c r="BY8" s="47">
        <v>88957</v>
      </c>
      <c r="BZ8" s="47">
        <v>0</v>
      </c>
      <c r="CA8" s="47" t="s">
        <v>254</v>
      </c>
      <c r="CB8" s="47">
        <v>-488</v>
      </c>
      <c r="CC8" s="47">
        <v>-346</v>
      </c>
      <c r="CD8" s="47">
        <v>-248</v>
      </c>
      <c r="CE8" s="47">
        <v>-234</v>
      </c>
      <c r="CF8" s="47">
        <v>377</v>
      </c>
      <c r="CG8" s="47">
        <v>4021</v>
      </c>
      <c r="CH8" s="47">
        <v>22530</v>
      </c>
      <c r="CI8" s="47">
        <v>39998</v>
      </c>
      <c r="CJ8" s="47">
        <v>20037</v>
      </c>
      <c r="CK8" s="47">
        <v>5375</v>
      </c>
      <c r="CL8" s="47">
        <v>-339</v>
      </c>
      <c r="CM8" s="47" t="s">
        <v>254</v>
      </c>
      <c r="CN8" s="47">
        <v>1429494</v>
      </c>
      <c r="CO8" s="47">
        <v>1429494</v>
      </c>
      <c r="CP8" s="47">
        <v>1480683</v>
      </c>
      <c r="CQ8" s="47">
        <v>1480683</v>
      </c>
      <c r="CR8" s="47">
        <v>90683</v>
      </c>
      <c r="CS8" s="45">
        <v>2020</v>
      </c>
    </row>
  </sheetData>
  <mergeCells count="8">
    <mergeCell ref="CB5:CM5"/>
    <mergeCell ref="CN5:CR5"/>
    <mergeCell ref="A5:S5"/>
    <mergeCell ref="T5:AE5"/>
    <mergeCell ref="AF5:AQ5"/>
    <mergeCell ref="AR5:BC5"/>
    <mergeCell ref="BD5:BO5"/>
    <mergeCell ref="BP5:CA5"/>
  </mergeCells>
  <hyperlinks>
    <hyperlink ref="C4" r:id="rId1" display="https://nam11.safelinks.protection.outlook.com/?url=https%3A%2F%2Fwww.eia.gov%2Felectricity%2Fdata%2Feia923%2F&amp;data=04%7C01%7CDaniel.MacNeil%40pacificorp.com%7C103373da8a3a4bad6ce808d8d5267b6f%7C7c1f6b10192b4a839d3281ef58325c37%7C0%7C0%7C637493709867139451%7CUnknown%7CTWFpbGZsb3d8eyJWIjoiMC4wLjAwMDAiLCJQIjoiV2luMzIiLCJBTiI6Ik1haWwiLCJXVCI6Mn0%3D%7C1000&amp;sdata=L29WgKZj5nsKXWYiatOFUa3wY11VDPNJeFugjzXinrg%3D&amp;reserved=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References</vt:lpstr>
      <vt:lpstr>Table 1</vt:lpstr>
      <vt:lpstr>Table 2</vt:lpstr>
      <vt:lpstr>Table 3</vt:lpstr>
      <vt:lpstr>Table 4</vt:lpstr>
      <vt:lpstr>Table 5</vt:lpstr>
      <vt:lpstr>Gadsby 2020</vt:lpstr>
    </vt:vector>
  </TitlesOfParts>
  <Company>BHE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MacNeil, Daniel</dc:creator>
  <cp:lastModifiedBy>Fred Nass</cp:lastModifiedBy>
  <dcterms:created xsi:type="dcterms:W3CDTF">2021-02-17T01:04:14Z</dcterms:created>
  <dcterms:modified xsi:type="dcterms:W3CDTF">2021-02-22T23:39:18Z</dcterms:modified>
</cp:coreProperties>
</file>