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Websites\Pscweb\utilities\electric\11 thru 19\17docs\1703561\"/>
    </mc:Choice>
  </mc:AlternateContent>
  <bookViews>
    <workbookView xWindow="0" yWindow="0" windowWidth="19125" windowHeight="11520" firstSheet="16" activeTab="18"/>
  </bookViews>
  <sheets>
    <sheet name="Appendix A" sheetId="1" r:id="rId1"/>
    <sheet name="Appendix B" sheetId="2" r:id="rId2"/>
    <sheet name="Summary of Rates" sheetId="4" r:id="rId3"/>
    <sheet name="Att 1 - ADIT" sheetId="5" r:id="rId4"/>
    <sheet name="Att 1A - ADIT" sheetId="3" r:id="rId5"/>
    <sheet name="Att 1B - ADIT" sheetId="32" r:id="rId6"/>
    <sheet name="Att 1B - 2017 TCJA" sheetId="31" r:id="rId7"/>
    <sheet name="Att 2 - Other Taxes" sheetId="6" r:id="rId8"/>
    <sheet name="Att 3 - Revenue Credits" sheetId="7" r:id="rId9"/>
    <sheet name="Att 4 - 100 Basis Point ROE" sheetId="10" r:id="rId10"/>
    <sheet name="Att 5 - Cost Support" sheetId="8" r:id="rId11"/>
    <sheet name="Att 6 - Est &amp; Reconcile WS" sheetId="9" r:id="rId12"/>
    <sheet name="Att 7 - Trans Enhance Charge" sheetId="11" r:id="rId13"/>
    <sheet name="ATT 8 - Dep rates" sheetId="12" r:id="rId14"/>
    <sheet name="Att 9a - 2020 Projection" sheetId="13" r:id="rId15"/>
    <sheet name="Att 9a1-2019 Actual" sheetId="14" r:id="rId16"/>
    <sheet name="Att 9a2 - 2018 actual" sheetId="15" r:id="rId17"/>
    <sheet name="Att 9a3 - 2017 actual" sheetId="17" r:id="rId18"/>
    <sheet name="Att 9b - 2019 True-up" sheetId="18" r:id="rId19"/>
    <sheet name="Att 10 - Acc Amort of PIS" sheetId="19" r:id="rId20"/>
    <sheet name="Att 11 - Prepayments" sheetId="20" r:id="rId21"/>
    <sheet name="Att 12 - Plant Held Future Use" sheetId="21" r:id="rId22"/>
    <sheet name="Att 13 - Revenue Credit Detail" sheetId="16" r:id="rId23"/>
    <sheet name="Att 14 - Cost of Capital Detail" sheetId="22" r:id="rId24"/>
    <sheet name="Att 15 - GSU and Assoc'd Equip" sheetId="23" r:id="rId25"/>
    <sheet name="Att 16 - Unfunded Reserves" sheetId="24" r:id="rId26"/>
    <sheet name="Att 17 - PBOP" sheetId="25" r:id="rId27"/>
    <sheet name="PIS projection" sheetId="26" r:id="rId28"/>
    <sheet name="Gateway PIS Monthly" sheetId="29" r:id="rId29"/>
    <sheet name="Inputs" sheetId="27" r:id="rId30"/>
    <sheet name="FERC Form 1 data" sheetId="28" r:id="rId31"/>
  </sheets>
  <externalReferences>
    <externalReference r:id="rId32"/>
  </externalReferences>
  <definedNames>
    <definedName name="__123Graph_A" hidden="1">'[1]AL2 151'!#REF!</definedName>
    <definedName name="__123Graph_B" hidden="1">'[1]AL2 151'!#REF!</definedName>
    <definedName name="__123Graph_C" hidden="1">'[1]AL2 151'!#REF!</definedName>
    <definedName name="__123Graph_D" hidden="1">'[1]AL2 151'!#REF!</definedName>
    <definedName name="__123Graph_E" hidden="1">'[1]AL2 151'!#REF!</definedName>
    <definedName name="__123Graph_F" hidden="1">'[1]AL2 151'!#REF!</definedName>
    <definedName name="__123Graph_X" hidden="1">'[1]AL2 151'!#REF!</definedName>
    <definedName name="_Fill" localSheetId="6" hidden="1">#REF!</definedName>
    <definedName name="_Fill" hidden="1">#REF!</definedName>
    <definedName name="_Key1" hidden="1">#REF!</definedName>
    <definedName name="_Key2" localSheetId="6" hidden="1">#REF!</definedName>
    <definedName name="_Key2" hidden="1">#REF!</definedName>
    <definedName name="_Order1" hidden="1">255</definedName>
    <definedName name="_Order2" hidden="1">255</definedName>
    <definedName name="_Sort" hidden="1">#REF!</definedName>
    <definedName name="Access_Button1" hidden="1">"Headcount_Workbook_Schedules_List"</definedName>
    <definedName name="AccessDatabase" hidden="1">"P:\HR\SharonPlummer\Headcount Workbook.mdb"</definedName>
    <definedName name="Allocator.gross.plant">'Appendix A'!$H$30</definedName>
    <definedName name="Allocator.net.plant">'Appendix A'!$H$33</definedName>
    <definedName name="Allocator.wages.salary">'Appendix A'!$H$18</definedName>
    <definedName name="AS2DocOpenMode" hidden="1">"AS2DocumentEdit"</definedName>
    <definedName name="combined1" localSheetId="6" hidden="1">{"YTD-Total",#N/A,TRUE,"Provision";"YTD-Utility",#N/A,TRUE,"Prov Utility";"YTD-NonUtility",#N/A,TRUE,"Prov NonUtility"}</definedName>
    <definedName name="combined1" hidden="1">{"YTD-Total",#N/A,TRUE,"Provision";"YTD-Utility",#N/A,TRUE,"Prov Utility";"YTD-NonUtility",#N/A,TRUE,"Prov NonUtility"}</definedName>
    <definedName name="data_year">'Appendix A'!$H$6</definedName>
    <definedName name="energy" localSheetId="6" hidden="1">{#N/A,#N/A,FALSE,"Bgt";#N/A,#N/A,FALSE,"Act";#N/A,#N/A,FALSE,"Chrt Data";#N/A,#N/A,FALSE,"Bus Result";#N/A,#N/A,FALSE,"Main Charts";#N/A,#N/A,FALSE,"P&amp;L Ttl";#N/A,#N/A,FALSE,"P&amp;L C_Ttl";#N/A,#N/A,FALSE,"P&amp;L C_Oct";#N/A,#N/A,FALSE,"P&amp;L C_Sep";#N/A,#N/A,FALSE,"1996";#N/A,#N/A,FALSE,"Data"}</definedName>
    <definedName name="energy" hidden="1">{#N/A,#N/A,FALSE,"Bgt";#N/A,#N/A,FALSE,"Act";#N/A,#N/A,FALSE,"Chrt Data";#N/A,#N/A,FALSE,"Bus Result";#N/A,#N/A,FALSE,"Main Charts";#N/A,#N/A,FALSE,"P&amp;L Ttl";#N/A,#N/A,FALSE,"P&amp;L C_Ttl";#N/A,#N/A,FALSE,"P&amp;L C_Oct";#N/A,#N/A,FALSE,"P&amp;L C_Sep";#N/A,#N/A,FALSE,"1996";#N/A,#N/A,FALSE,"Data"}</definedName>
    <definedName name="enrgy" localSheetId="6"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FF1_INPUT">'FERC Form 1 data'!$B$6:$K$66</definedName>
    <definedName name="FF1_INPUT_columns">'FERC Form 1 data'!$B$5:$K$5</definedName>
    <definedName name="foo" localSheetId="6"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Inputs_EndYrBal">Inputs!$E$16:$E$82</definedName>
    <definedName name="Inputs_EndYrBal_prior">Inputs!$D$16:$D$82</definedName>
    <definedName name="Inputs_FF1_Map">Inputs!$F$16:$F$82</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Master" localSheetId="6" hidden="1">{#N/A,#N/A,FALSE,"Actual";#N/A,#N/A,FALSE,"Normalized";#N/A,#N/A,FALSE,"Electric Actual";#N/A,#N/A,FALSE,"Electric Normalized"}</definedName>
    <definedName name="Master" hidden="1">{#N/A,#N/A,FALSE,"Actual";#N/A,#N/A,FALSE,"Normalized";#N/A,#N/A,FALSE,"Electric Actual";#N/A,#N/A,FALSE,"Electric Normalized"}</definedName>
    <definedName name="others" localSheetId="6"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ete" localSheetId="6"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_xlnm.Print_Area" localSheetId="0">'Appendix A'!$A$1:$I$335</definedName>
    <definedName name="_xlnm.Print_Area" localSheetId="1">'Appendix B'!$A$1:$E$31</definedName>
    <definedName name="_xlnm.Print_Area" localSheetId="3">'Att 1 - ADIT'!$A$1:$J$419</definedName>
    <definedName name="_xlnm.Print_Area" localSheetId="19">'Att 10 - Acc Amort of PIS'!$B$1:$E$13</definedName>
    <definedName name="_xlnm.Print_Area" localSheetId="20">'Att 11 - Prepayments'!$B$1:$L$61</definedName>
    <definedName name="_xlnm.Print_Area" localSheetId="21">'Att 12 - Plant Held Future Use'!$B$1:$E$20</definedName>
    <definedName name="_xlnm.Print_Area" localSheetId="22">'Att 13 - Revenue Credit Detail'!$A$1:$H$58</definedName>
    <definedName name="_xlnm.Print_Area" localSheetId="23">'Att 14 - Cost of Capital Detail'!$A$1:$R$37</definedName>
    <definedName name="_xlnm.Print_Area" localSheetId="24">'Att 15 - GSU and Assoc''d Equip'!$B$1:$C$28</definedName>
    <definedName name="_xlnm.Print_Area" localSheetId="25">'Att 16 - Unfunded Reserves'!$A$1:$AG$80</definedName>
    <definedName name="_xlnm.Print_Area" localSheetId="26">'Att 17 - PBOP'!$B$1:$D$68</definedName>
    <definedName name="_xlnm.Print_Area" localSheetId="4">'Att 1A - ADIT'!$A$1:$J$406</definedName>
    <definedName name="_xlnm.Print_Area" localSheetId="6">'Att 1B - 2017 TCJA'!$B$1:$AI$91</definedName>
    <definedName name="_xlnm.Print_Area" localSheetId="5">'Att 1B - ADIT'!$A$1:$G$22</definedName>
    <definedName name="_xlnm.Print_Area" localSheetId="7">'Att 2 - Other Taxes'!$A$1:$F$58</definedName>
    <definedName name="_xlnm.Print_Area" localSheetId="8">'Att 3 - Revenue Credits'!$A$2:$E$50</definedName>
    <definedName name="_xlnm.Print_Area" localSheetId="9">'Att 4 - 100 Basis Point ROE'!$A$1:$I$50</definedName>
    <definedName name="_xlnm.Print_Area" localSheetId="10">'Att 5 - Cost Support'!$A$1:$M$327</definedName>
    <definedName name="_xlnm.Print_Area" localSheetId="11">'Att 6 - Est &amp; Reconcile WS'!$A$1:$W$69</definedName>
    <definedName name="_xlnm.Print_Area" localSheetId="12">'Att 7 - Trans Enhance Charge'!$A$1:$T$71</definedName>
    <definedName name="_xlnm.Print_Area" localSheetId="13">'ATT 8 - Dep rates'!$A$1:$Z$54</definedName>
    <definedName name="_xlnm.Print_Area" localSheetId="14">'Att 9a - 2020 Projection'!$B$1:$AJ$43</definedName>
    <definedName name="_xlnm.Print_Area" localSheetId="15">'Att 9a1-2019 Actual'!$B$1:$Y$43</definedName>
    <definedName name="_xlnm.Print_Area" localSheetId="16">'Att 9a2 - 2018 actual'!$B$1:$Y$43</definedName>
    <definedName name="_xlnm.Print_Area" localSheetId="17">'Att 9a3 - 2017 actual'!$B$1:$Y$43</definedName>
    <definedName name="_xlnm.Print_Area" localSheetId="18">'Att 9b - 2019 True-up'!$B$1:$AL$43</definedName>
    <definedName name="_xlnm.Print_Area" localSheetId="2">'Summary of Rates'!$A$1:$F$46</definedName>
    <definedName name="_xlnm.Print_Titles" localSheetId="0">'Appendix A'!$1:$7</definedName>
    <definedName name="Projection">'Appendix A'!$S$6</definedName>
    <definedName name="retail" hidden="1">{#N/A,#N/A,FALSE,"Loans";#N/A,#N/A,FALSE,"Program Costs";#N/A,#N/A,FALSE,"Measures";#N/A,#N/A,FALSE,"Net Lost Rev";#N/A,#N/A,FALSE,"Incentive"}</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SAPBEXdnldView" hidden="1">"47H3GQ5Y9OPLAPZ9BSG9GQU53"</definedName>
    <definedName name="SAPBEXrevision" hidden="1">1</definedName>
    <definedName name="SAPBEXsysID" hidden="1">"BWP"</definedName>
    <definedName name="SAPBEXwbID" hidden="1">"45EQYSCWE9WJMGB34OOD1BOQZ"</definedName>
    <definedName name="shit" hidden="1">{"PRINT",#N/A,TRUE,"APPA";"PRINT",#N/A,TRUE,"APS";"PRINT",#N/A,TRUE,"BHPL";"PRINT",#N/A,TRUE,"BHPL2";"PRINT",#N/A,TRUE,"CDWR";"PRINT",#N/A,TRUE,"EWEB";"PRINT",#N/A,TRUE,"LADWP";"PRINT",#N/A,TRUE,"NEVBASE"}</definedName>
    <definedName name="spippw" localSheetId="6" hidden="1">{#N/A,#N/A,FALSE,"Actual";#N/A,#N/A,FALSE,"Normalized";#N/A,#N/A,FALSE,"Electric Actual";#N/A,#N/A,FALSE,"Electric Normalized"}</definedName>
    <definedName name="spippw" hidden="1">{#N/A,#N/A,FALSE,"Actual";#N/A,#N/A,FALSE,"Normalized";#N/A,#N/A,FALSE,"Electric Actual";#N/A,#N/A,FALSE,"Electric Normalized"}</definedName>
    <definedName name="standard1" localSheetId="6" hidden="1">{"YTD-Total",#N/A,FALSE,"Provision"}</definedName>
    <definedName name="standard1" hidden="1">{"YTD-Total",#N/A,FALSE,"Provision"}</definedName>
    <definedName name="Toggle">'Appendix A'!$H$7</definedName>
    <definedName name="Toggle.list">'Appendix A'!$S$6:$S$7</definedName>
    <definedName name="True_up">'Appendix A'!$S$7</definedName>
    <definedName name="wrn.Aging._.and._.Trend._.Analysis." localSheetId="6"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LL." localSheetId="6"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Pages." hidden="1">{#N/A,#N/A,FALSE,"Cover";#N/A,#N/A,FALSE,"Lead Sheet";#N/A,#N/A,FALSE,"T-Accounts";#N/A,#N/A,FALSE,"Ins &amp; Prem ActualEstimates"}</definedName>
    <definedName name="wrn.BUS._.RPT." localSheetId="6"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ombined._.YTD." localSheetId="6"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6" hidden="1">{"Conol gross povision grouped",#N/A,FALSE,"Consol Gross";"Consol Gross Grouped",#N/A,FALSE,"Consol Gross"}</definedName>
    <definedName name="wrn.ConsolGrossGrp." hidden="1">{"Conol gross povision grouped",#N/A,FALSE,"Consol Gross";"Consol Gross Grouped",#N/A,FALSE,"Consol Gross"}</definedName>
    <definedName name="wrn.Factors._.Tab._.10." hidden="1">{"Factors Pages 1-2",#N/A,FALSE,"Factors";"Factors Page 3",#N/A,FALSE,"Factors";"Factors Page 4",#N/A,FALSE,"Factors";"Factors Page 5",#N/A,FALSE,"Factors";"Factors Pages 8-27",#N/A,FALSE,"Factors"}</definedName>
    <definedName name="wrn.Full._.View." localSheetId="6" hidden="1">{"FullView",#N/A,FALSE,"Consltd-For contngcy"}</definedName>
    <definedName name="wrn.Full._.View." hidden="1">{"FullView",#N/A,FALSE,"Consltd-For contngcy"}</definedName>
    <definedName name="wrn.Open._.Issues._.Only." localSheetId="6" hidden="1">{"Open issues Only",#N/A,FALSE,"TIMELINE"}</definedName>
    <definedName name="wrn.Open._.Issues._.Only." hidden="1">{"Open issues Only",#N/A,FALSE,"TIMELINE"}</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localSheetId="6"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yment._.View." localSheetId="6" hidden="1">{#N/A,#N/A,FALSE,"Consltd-For contngcy";"PaymentView",#N/A,FALSE,"Consltd-For contngcy"}</definedName>
    <definedName name="wrn.Payment._.View." hidden="1">{#N/A,#N/A,FALSE,"Consltd-For contngcy";"PaymentView",#N/A,FALSE,"Consltd-For contngcy"}</definedName>
    <definedName name="wrn.PFSreconview." localSheetId="6" hidden="1">{"PFS recon view",#N/A,FALSE,"Hyperion Proof"}</definedName>
    <definedName name="wrn.PFSreconview." hidden="1">{"PFS recon view",#N/A,FALSE,"Hyperion Proof"}</definedName>
    <definedName name="wrn.PGHCreconview." localSheetId="6" hidden="1">{"PGHC recon view",#N/A,FALSE,"Hyperion Proof"}</definedName>
    <definedName name="wrn.PGHCreconview." hidden="1">{"PGHC recon view",#N/A,FALSE,"Hyperion Proof"}</definedName>
    <definedName name="wrn.PPMCoCodeView." localSheetId="6" hidden="1">{"PPM Co Code View",#N/A,FALSE,"Comp Codes"}</definedName>
    <definedName name="wrn.PPMCoCodeView." hidden="1">{"PPM Co Code View",#N/A,FALSE,"Comp Codes"}</definedName>
    <definedName name="wrn.PPMreconview." localSheetId="6" hidden="1">{"PPM Recon View",#N/A,FALSE,"Hyperion Proof"}</definedName>
    <definedName name="wrn.PPMreconview." hidden="1">{"PPM Recon View",#N/A,FALSE,"Hyperion Proof"}</definedName>
    <definedName name="wrn.ProofElectricOnly." localSheetId="6" hidden="1">{"Electric Only",#N/A,FALSE,"Hyperion Proof"}</definedName>
    <definedName name="wrn.ProofElectricOnly." hidden="1">{"Electric Only",#N/A,FALSE,"Hyperion Proof"}</definedName>
    <definedName name="wrn.ProofTotal." localSheetId="6" hidden="1">{"Proof Total",#N/A,FALSE,"Hyperion Proof"}</definedName>
    <definedName name="wrn.ProofTotal." hidden="1">{"Proof Total",#N/A,FALSE,"Hyperion Proof"}</definedName>
    <definedName name="wrn.Reformat._.only." localSheetId="6" hidden="1">{#N/A,#N/A,FALSE,"Dec 1999 mapping"}</definedName>
    <definedName name="wrn.Reformat._.only." hidden="1">{#N/A,#N/A,FALSE,"Dec 1999 mapping"}</definedName>
    <definedName name="wrn.SALES._.VAR._.95._.BUDGET." hidden="1">{"PRINT",#N/A,TRUE,"APPA";"PRINT",#N/A,TRUE,"APS";"PRINT",#N/A,TRUE,"BHPL";"PRINT",#N/A,TRUE,"BHPL2";"PRINT",#N/A,TRUE,"CDWR";"PRINT",#N/A,TRUE,"EWEB";"PRINT",#N/A,TRUE,"LADWP";"PRINT",#N/A,TRUE,"NEVBASE"}</definedName>
    <definedName name="wrn.Standard." localSheetId="6" hidden="1">{"YTD-Total",#N/A,FALSE,"Provision"}</definedName>
    <definedName name="wrn.Standard." hidden="1">{"YTD-Total",#N/A,FALSE,"Provision"}</definedName>
    <definedName name="wrn.Standard._.NonUtility._.Only." localSheetId="6" hidden="1">{"YTD-NonUtility",#N/A,FALSE,"Prov NonUtility"}</definedName>
    <definedName name="wrn.Standard._.NonUtility._.Only." hidden="1">{"YTD-NonUtility",#N/A,FALSE,"Prov NonUtility"}</definedName>
    <definedName name="wrn.Standard._.Utility._.Only." localSheetId="6" hidden="1">{"YTD-Utility",#N/A,FALSE,"Prov Utility"}</definedName>
    <definedName name="wrn.Standard._.Utility._.Only." hidden="1">{"YTD-Utility",#N/A,FALSE,"Prov Utility"}</definedName>
    <definedName name="wrn.Summary._.View." localSheetId="6" hidden="1">{#N/A,#N/A,FALSE,"Consltd-For contngcy"}</definedName>
    <definedName name="wrn.Summary._.View." hidden="1">{#N/A,#N/A,FALSE,"Consltd-For contngcy"}</definedName>
    <definedName name="wrn.UK._.Conversion._.Only." localSheetId="6" hidden="1">{#N/A,#N/A,FALSE,"Dec 1999 UK Continuing Ops"}</definedName>
    <definedName name="wrn.UK._.Conversion._.Only." hidden="1">{#N/A,#N/A,FALSE,"Dec 1999 UK Continuing Ops"}</definedName>
    <definedName name="wrn.YearEnd." hidden="1">{"Factors Pages 1-2",#N/A,FALSE,"Variables";"Factors Page 3",#N/A,FALSE,"Variables";"Factors Page 4",#N/A,FALSE,"Variables";"Factors Page 5",#N/A,FALSE,"Variables";"YE Pages 7-26",#N/A,FALSE,"Variables"}</definedName>
    <definedName name="Z_01844156_6462_4A28_9785_1A86F4D0C834_.wvu.PrintTitles" localSheetId="6" hidden="1">#REF!</definedName>
    <definedName name="Z_01844156_6462_4A28_9785_1A86F4D0C834_.wvu.PrintTitles" hidden="1">#REF!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50" i="24" l="1"/>
  <c r="AC10" i="24"/>
  <c r="AC24" i="24"/>
  <c r="AC9" i="24"/>
  <c r="AD10" i="24"/>
  <c r="AD11" i="24"/>
  <c r="AC12" i="24"/>
  <c r="AC13" i="24"/>
  <c r="AD14" i="24"/>
  <c r="AD15" i="24"/>
  <c r="AC16" i="24"/>
  <c r="AD17" i="24"/>
  <c r="AD19" i="24"/>
  <c r="AC22" i="24"/>
  <c r="AC23" i="24"/>
  <c r="AD24" i="24"/>
  <c r="AD26" i="24"/>
  <c r="AC27" i="24"/>
  <c r="AD28" i="24"/>
  <c r="AE29" i="24"/>
  <c r="AE30" i="24"/>
  <c r="AC31" i="24"/>
  <c r="AD32" i="24"/>
  <c r="AE33" i="24"/>
  <c r="AE35" i="24"/>
  <c r="AC36" i="24"/>
  <c r="AD37" i="24"/>
  <c r="AE38" i="24"/>
  <c r="AE39" i="24"/>
  <c r="AC40" i="24"/>
  <c r="AD41" i="24"/>
  <c r="AE43" i="24"/>
  <c r="AE45" i="24"/>
  <c r="AC46" i="24"/>
  <c r="AD47" i="24"/>
  <c r="AF48" i="24"/>
  <c r="AF49" i="24"/>
  <c r="AC50" i="24"/>
  <c r="AD51" i="24"/>
  <c r="AE52" i="24"/>
  <c r="AE53" i="24"/>
  <c r="AC54" i="24"/>
  <c r="AD55" i="24"/>
  <c r="AF57" i="24"/>
  <c r="AF58" i="24"/>
  <c r="AC59" i="24"/>
  <c r="AD60" i="24"/>
  <c r="AF61" i="24"/>
  <c r="AF62" i="24"/>
  <c r="AC63" i="24"/>
  <c r="AD64" i="24"/>
  <c r="AE66" i="24"/>
  <c r="AF67" i="24"/>
  <c r="AC69" i="24"/>
  <c r="AD70" i="24"/>
  <c r="AF72" i="24"/>
  <c r="AF73" i="24"/>
  <c r="AF69" i="24" l="1"/>
  <c r="AD43" i="24"/>
  <c r="W74" i="24"/>
  <c r="S74" i="24"/>
  <c r="O74" i="24"/>
  <c r="Y73" i="24"/>
  <c r="AE73" i="24" s="1"/>
  <c r="Y67" i="24"/>
  <c r="AE67" i="24" s="1"/>
  <c r="Y62" i="24"/>
  <c r="AE62" i="24" s="1"/>
  <c r="Y58" i="24"/>
  <c r="AE58" i="24" s="1"/>
  <c r="Y53" i="24"/>
  <c r="AF53" i="24" s="1"/>
  <c r="Y49" i="24"/>
  <c r="AE49" i="24" s="1"/>
  <c r="Y45" i="24"/>
  <c r="AF45" i="24" s="1"/>
  <c r="Y39" i="24"/>
  <c r="AF39" i="24" s="1"/>
  <c r="Y30" i="24"/>
  <c r="AF30" i="24" s="1"/>
  <c r="Y26" i="24"/>
  <c r="AF26" i="24" s="1"/>
  <c r="Y21" i="24"/>
  <c r="AE21" i="24" s="1"/>
  <c r="Y15" i="24"/>
  <c r="AF15" i="24" s="1"/>
  <c r="Y11" i="24"/>
  <c r="AF11" i="24" s="1"/>
  <c r="AC19" i="24"/>
  <c r="AD61" i="24"/>
  <c r="AC37" i="24"/>
  <c r="AC14" i="24"/>
  <c r="AC55" i="24"/>
  <c r="AE31" i="24"/>
  <c r="V74" i="24"/>
  <c r="R74" i="24"/>
  <c r="N74" i="24"/>
  <c r="Y72" i="24"/>
  <c r="AE72" i="24" s="1"/>
  <c r="Y66" i="24"/>
  <c r="AF66" i="24" s="1"/>
  <c r="Y61" i="24"/>
  <c r="AE61" i="24" s="1"/>
  <c r="Y57" i="24"/>
  <c r="AE57" i="24" s="1"/>
  <c r="Y52" i="24"/>
  <c r="AF52" i="24" s="1"/>
  <c r="Y48" i="24"/>
  <c r="AE48" i="24" s="1"/>
  <c r="Y43" i="24"/>
  <c r="AF43" i="24" s="1"/>
  <c r="Y38" i="24"/>
  <c r="AF38" i="24" s="1"/>
  <c r="AF23" i="24"/>
  <c r="AF17" i="24"/>
  <c r="AE13" i="24"/>
  <c r="AE9" i="24"/>
  <c r="AD66" i="24"/>
  <c r="AC60" i="24"/>
  <c r="AE54" i="24"/>
  <c r="AD48" i="24"/>
  <c r="AC41" i="24"/>
  <c r="AE36" i="24"/>
  <c r="AD29" i="24"/>
  <c r="Y70" i="24"/>
  <c r="AE70" i="24" s="1"/>
  <c r="Y64" i="24"/>
  <c r="AE64" i="24" s="1"/>
  <c r="Y60" i="24"/>
  <c r="AE60" i="24" s="1"/>
  <c r="Y55" i="24"/>
  <c r="AF55" i="24" s="1"/>
  <c r="Y51" i="24"/>
  <c r="AE51" i="24" s="1"/>
  <c r="Y47" i="24"/>
  <c r="AE47" i="24" s="1"/>
  <c r="Y41" i="24"/>
  <c r="AF41" i="24" s="1"/>
  <c r="Y37" i="24"/>
  <c r="AF37" i="24" s="1"/>
  <c r="Y32" i="24"/>
  <c r="AF32" i="24" s="1"/>
  <c r="Y28" i="24"/>
  <c r="AF28" i="24" s="1"/>
  <c r="Y23" i="24"/>
  <c r="AE23" i="24" s="1"/>
  <c r="Y17" i="24"/>
  <c r="AC17" i="24" s="1"/>
  <c r="Y13" i="24"/>
  <c r="AF13" i="24" s="1"/>
  <c r="Y9" i="24"/>
  <c r="AF9" i="24" s="1"/>
  <c r="AE22" i="24"/>
  <c r="AE16" i="24"/>
  <c r="AE12" i="24"/>
  <c r="AD72" i="24"/>
  <c r="AC64" i="24"/>
  <c r="AF59" i="24"/>
  <c r="AD52" i="24"/>
  <c r="AC47" i="24"/>
  <c r="AE40" i="24"/>
  <c r="AD33" i="24"/>
  <c r="AC28" i="24"/>
  <c r="Y35" i="24"/>
  <c r="AF35" i="24" s="1"/>
  <c r="Y69" i="24"/>
  <c r="AE69" i="24" s="1"/>
  <c r="Y63" i="24"/>
  <c r="AE63" i="24" s="1"/>
  <c r="Y59" i="24"/>
  <c r="AE59" i="24" s="1"/>
  <c r="Y54" i="24"/>
  <c r="AF54" i="24" s="1"/>
  <c r="Y50" i="24"/>
  <c r="AE50" i="24" s="1"/>
  <c r="Y46" i="24"/>
  <c r="AF46" i="24" s="1"/>
  <c r="Y40" i="24"/>
  <c r="AF40" i="24" s="1"/>
  <c r="Y36" i="24"/>
  <c r="AF36" i="24" s="1"/>
  <c r="Y31" i="24"/>
  <c r="AF31" i="24" s="1"/>
  <c r="Y27" i="24"/>
  <c r="AF27" i="24" s="1"/>
  <c r="Y22" i="24"/>
  <c r="AF22" i="24" s="1"/>
  <c r="Y16" i="24"/>
  <c r="AF16" i="24" s="1"/>
  <c r="Y12" i="24"/>
  <c r="AF12" i="24" s="1"/>
  <c r="AD22" i="24"/>
  <c r="AD16" i="24"/>
  <c r="AD12" i="24"/>
  <c r="AC70" i="24"/>
  <c r="AF63" i="24"/>
  <c r="AD57" i="24"/>
  <c r="AC51" i="24"/>
  <c r="AE46" i="24"/>
  <c r="AD38" i="24"/>
  <c r="AC32" i="24"/>
  <c r="AE27" i="24"/>
  <c r="Y33" i="24"/>
  <c r="AF33" i="24" s="1"/>
  <c r="Y29" i="24"/>
  <c r="AF29" i="24" s="1"/>
  <c r="Y24" i="24"/>
  <c r="AF24" i="24" s="1"/>
  <c r="Y19" i="24"/>
  <c r="AF19" i="24" s="1"/>
  <c r="Y14" i="24"/>
  <c r="AF14" i="24" s="1"/>
  <c r="Y10" i="24"/>
  <c r="AF10" i="24" s="1"/>
  <c r="U74" i="24"/>
  <c r="Q74" i="24"/>
  <c r="M74" i="24"/>
  <c r="K74" i="24"/>
  <c r="T74" i="24"/>
  <c r="P74" i="24"/>
  <c r="L74" i="24"/>
  <c r="AD73" i="24"/>
  <c r="AC73" i="24"/>
  <c r="AD67" i="24"/>
  <c r="AC67" i="24"/>
  <c r="AD62" i="24"/>
  <c r="AC62" i="24"/>
  <c r="AD58" i="24"/>
  <c r="AC58" i="24"/>
  <c r="AD53" i="24"/>
  <c r="AC53" i="24"/>
  <c r="AC49" i="24"/>
  <c r="AD49" i="24"/>
  <c r="AD45" i="24"/>
  <c r="AC45" i="24"/>
  <c r="AC39" i="24"/>
  <c r="AD39" i="24"/>
  <c r="AC35" i="24"/>
  <c r="AD35" i="24"/>
  <c r="AC30" i="24"/>
  <c r="AD30" i="24"/>
  <c r="AE26" i="24"/>
  <c r="AC26" i="24"/>
  <c r="AF21" i="24"/>
  <c r="AC21" i="24"/>
  <c r="AE15" i="24"/>
  <c r="AC15" i="24"/>
  <c r="AE11" i="24"/>
  <c r="AC11" i="24"/>
  <c r="AD21" i="24"/>
  <c r="AC48" i="24"/>
  <c r="AC38" i="24"/>
  <c r="AC29" i="24"/>
  <c r="AE24" i="24"/>
  <c r="AD23" i="24"/>
  <c r="AE19" i="24"/>
  <c r="AE17" i="24"/>
  <c r="AE14" i="24"/>
  <c r="AD13" i="24"/>
  <c r="AE10" i="24"/>
  <c r="AD9" i="24"/>
  <c r="AF70" i="24"/>
  <c r="AD69" i="24"/>
  <c r="AF64" i="24"/>
  <c r="AD63" i="24"/>
  <c r="AF60" i="24"/>
  <c r="AD59" i="24"/>
  <c r="AE55" i="24"/>
  <c r="AD54" i="24"/>
  <c r="AF51" i="24"/>
  <c r="AD50" i="24"/>
  <c r="AF47" i="24"/>
  <c r="AD46" i="24"/>
  <c r="AE41" i="24"/>
  <c r="AD40" i="24"/>
  <c r="AE37" i="24"/>
  <c r="AD36" i="24"/>
  <c r="AE32" i="24"/>
  <c r="AD31" i="24"/>
  <c r="AE28" i="24"/>
  <c r="AD27" i="24"/>
  <c r="AC72" i="24"/>
  <c r="AC66" i="24"/>
  <c r="AC61" i="24"/>
  <c r="AC57" i="24"/>
  <c r="AC52" i="24"/>
  <c r="AC43" i="24"/>
  <c r="AC33" i="24"/>
  <c r="S28" i="9" l="1"/>
  <c r="Q28" i="9"/>
  <c r="L70" i="1" l="1"/>
  <c r="L239" i="1"/>
  <c r="L238" i="1"/>
  <c r="P239" i="1"/>
  <c r="P238" i="1"/>
  <c r="P70" i="1"/>
  <c r="AH22" i="31" l="1"/>
  <c r="AH10" i="31"/>
  <c r="AH9" i="31"/>
  <c r="AH8" i="31"/>
  <c r="AH7" i="31"/>
  <c r="AH15" i="31"/>
  <c r="AH13" i="31"/>
  <c r="AH12" i="31"/>
  <c r="AH11" i="31"/>
  <c r="N51" i="31"/>
  <c r="T50" i="31"/>
  <c r="T46" i="31"/>
  <c r="T45" i="31"/>
  <c r="N43" i="31"/>
  <c r="T39" i="31"/>
  <c r="N38" i="31"/>
  <c r="T37" i="31"/>
  <c r="T44" i="31"/>
  <c r="AH14" i="31" l="1"/>
  <c r="AH16" i="31" s="1"/>
  <c r="H53" i="31"/>
  <c r="H51" i="31"/>
  <c r="H49" i="31"/>
  <c r="H85" i="31"/>
  <c r="AD85" i="31" s="1"/>
  <c r="H83" i="31"/>
  <c r="AD83" i="31" s="1"/>
  <c r="H81" i="31"/>
  <c r="AD81" i="31" s="1"/>
  <c r="H79" i="31"/>
  <c r="AD79" i="31" s="1"/>
  <c r="H77" i="31"/>
  <c r="AD77" i="31" s="1"/>
  <c r="H75" i="31"/>
  <c r="AD75" i="31" s="1"/>
  <c r="H73" i="31"/>
  <c r="AD73" i="31" s="1"/>
  <c r="H71" i="31"/>
  <c r="AD71" i="31" s="1"/>
  <c r="H69" i="31"/>
  <c r="AD69" i="31" s="1"/>
  <c r="H67" i="31"/>
  <c r="AD67" i="31" s="1"/>
  <c r="H65" i="31"/>
  <c r="AD65" i="31" s="1"/>
  <c r="H63" i="31"/>
  <c r="AD63" i="31" s="1"/>
  <c r="H61" i="31"/>
  <c r="AD61" i="31" s="1"/>
  <c r="H59" i="31"/>
  <c r="AD59" i="31" s="1"/>
  <c r="H57" i="31"/>
  <c r="AD57" i="31" s="1"/>
  <c r="H55" i="31"/>
  <c r="AD55" i="31" s="1"/>
  <c r="H50" i="31"/>
  <c r="H40" i="31"/>
  <c r="H86" i="31"/>
  <c r="AD86" i="31" s="1"/>
  <c r="H84" i="31"/>
  <c r="AD84" i="31" s="1"/>
  <c r="H82" i="31"/>
  <c r="AD82" i="31" s="1"/>
  <c r="H80" i="31"/>
  <c r="AD80" i="31" s="1"/>
  <c r="H78" i="31"/>
  <c r="AD78" i="31" s="1"/>
  <c r="H76" i="31"/>
  <c r="AD76" i="31" s="1"/>
  <c r="H74" i="31"/>
  <c r="AD74" i="31" s="1"/>
  <c r="H72" i="31"/>
  <c r="AD72" i="31" s="1"/>
  <c r="H70" i="31"/>
  <c r="AD70" i="31" s="1"/>
  <c r="H68" i="31"/>
  <c r="AD68" i="31" s="1"/>
  <c r="H66" i="31"/>
  <c r="AD66" i="31" s="1"/>
  <c r="H37" i="31"/>
  <c r="AD11" i="31"/>
  <c r="AD14" i="31" s="1"/>
  <c r="N52" i="31"/>
  <c r="N50" i="31"/>
  <c r="N48" i="31"/>
  <c r="N53" i="31"/>
  <c r="N42" i="31"/>
  <c r="V37" i="31"/>
  <c r="H39" i="31"/>
  <c r="T41" i="31"/>
  <c r="T42" i="31"/>
  <c r="T43" i="31"/>
  <c r="H45" i="31"/>
  <c r="H46" i="31"/>
  <c r="N49" i="31"/>
  <c r="H52" i="31"/>
  <c r="H56" i="31"/>
  <c r="AD56" i="31" s="1"/>
  <c r="H64" i="31"/>
  <c r="AD64" i="31" s="1"/>
  <c r="H54" i="31"/>
  <c r="AD54" i="31" s="1"/>
  <c r="AF11" i="31"/>
  <c r="AF14" i="31" s="1"/>
  <c r="T53" i="31"/>
  <c r="T51" i="31"/>
  <c r="T49" i="31"/>
  <c r="T47" i="31"/>
  <c r="T48" i="31"/>
  <c r="T40" i="31"/>
  <c r="N37" i="31"/>
  <c r="P37" i="31" s="1"/>
  <c r="P38" i="31" s="1"/>
  <c r="H38" i="31"/>
  <c r="T38" i="31"/>
  <c r="H41" i="31"/>
  <c r="H42" i="31"/>
  <c r="H43" i="31"/>
  <c r="AD43" i="31" s="1"/>
  <c r="H44" i="31"/>
  <c r="N46" i="31"/>
  <c r="N47" i="31"/>
  <c r="H48" i="31"/>
  <c r="H58" i="31"/>
  <c r="AD58" i="31" s="1"/>
  <c r="H47" i="31"/>
  <c r="H62" i="31"/>
  <c r="AD62" i="31" s="1"/>
  <c r="N39" i="31"/>
  <c r="N40" i="31"/>
  <c r="N41" i="31"/>
  <c r="N44" i="31"/>
  <c r="N45" i="31"/>
  <c r="T52" i="31"/>
  <c r="H60" i="31"/>
  <c r="AD60" i="31" s="1"/>
  <c r="P39" i="31" l="1"/>
  <c r="P40" i="31" s="1"/>
  <c r="P41" i="31" s="1"/>
  <c r="P42" i="31" s="1"/>
  <c r="P43" i="31" s="1"/>
  <c r="P44" i="31" s="1"/>
  <c r="P45" i="31" s="1"/>
  <c r="P46" i="31" s="1"/>
  <c r="P47" i="31" s="1"/>
  <c r="P48" i="31" s="1"/>
  <c r="P49" i="31" s="1"/>
  <c r="P50" i="31" s="1"/>
  <c r="P51" i="31" s="1"/>
  <c r="P52" i="31" s="1"/>
  <c r="P53" i="31" s="1"/>
  <c r="P54" i="31" s="1"/>
  <c r="P55" i="31" s="1"/>
  <c r="P56" i="31" s="1"/>
  <c r="P57" i="31" s="1"/>
  <c r="P58" i="31" s="1"/>
  <c r="P59" i="31" s="1"/>
  <c r="P60" i="31" s="1"/>
  <c r="P61" i="31" s="1"/>
  <c r="P62" i="31" s="1"/>
  <c r="P63" i="31" s="1"/>
  <c r="P64" i="31" s="1"/>
  <c r="P65" i="31" s="1"/>
  <c r="P66" i="31" s="1"/>
  <c r="P67" i="31" s="1"/>
  <c r="P68" i="31" s="1"/>
  <c r="P69" i="31" s="1"/>
  <c r="P70" i="31" s="1"/>
  <c r="P71" i="31" s="1"/>
  <c r="P72" i="31" s="1"/>
  <c r="P73" i="31" s="1"/>
  <c r="P74" i="31" s="1"/>
  <c r="P75" i="31" s="1"/>
  <c r="P76" i="31" s="1"/>
  <c r="P77" i="31" s="1"/>
  <c r="P78" i="31" s="1"/>
  <c r="P79" i="31" s="1"/>
  <c r="P80" i="31" s="1"/>
  <c r="P81" i="31" s="1"/>
  <c r="P82" i="31" s="1"/>
  <c r="P83" i="31" s="1"/>
  <c r="P84" i="31" s="1"/>
  <c r="P85" i="31" s="1"/>
  <c r="P86" i="31" s="1"/>
  <c r="P87" i="31" s="1"/>
  <c r="AH23" i="31"/>
  <c r="AH24" i="31" s="1"/>
  <c r="AD46" i="31"/>
  <c r="AD53" i="31"/>
  <c r="AD48" i="31"/>
  <c r="V38" i="31"/>
  <c r="V39" i="31" s="1"/>
  <c r="V40" i="31" s="1"/>
  <c r="V41" i="31" s="1"/>
  <c r="V42" i="31" s="1"/>
  <c r="V43" i="31" s="1"/>
  <c r="V44" i="31" s="1"/>
  <c r="V45" i="31" s="1"/>
  <c r="V46" i="31" s="1"/>
  <c r="V47" i="31" s="1"/>
  <c r="V48" i="31" s="1"/>
  <c r="V49" i="31" s="1"/>
  <c r="V50" i="31" s="1"/>
  <c r="V51" i="31" s="1"/>
  <c r="V52" i="31" s="1"/>
  <c r="V53" i="31" s="1"/>
  <c r="V54" i="31" s="1"/>
  <c r="V55" i="31" s="1"/>
  <c r="V56" i="31" s="1"/>
  <c r="V57" i="31" s="1"/>
  <c r="V58" i="31" s="1"/>
  <c r="V59" i="31" s="1"/>
  <c r="V60" i="31" s="1"/>
  <c r="V61" i="31" s="1"/>
  <c r="V62" i="31" s="1"/>
  <c r="V63" i="31" s="1"/>
  <c r="V64" i="31" s="1"/>
  <c r="V65" i="31" s="1"/>
  <c r="V66" i="31" s="1"/>
  <c r="V67" i="31" s="1"/>
  <c r="V68" i="31" s="1"/>
  <c r="V69" i="31" s="1"/>
  <c r="V70" i="31" s="1"/>
  <c r="V71" i="31" s="1"/>
  <c r="V72" i="31" s="1"/>
  <c r="V73" i="31" s="1"/>
  <c r="V74" i="31" s="1"/>
  <c r="V75" i="31" s="1"/>
  <c r="V76" i="31" s="1"/>
  <c r="V77" i="31" s="1"/>
  <c r="V78" i="31" s="1"/>
  <c r="V79" i="31" s="1"/>
  <c r="V80" i="31" s="1"/>
  <c r="V81" i="31" s="1"/>
  <c r="V82" i="31" s="1"/>
  <c r="V83" i="31" s="1"/>
  <c r="V84" i="31" s="1"/>
  <c r="V85" i="31" s="1"/>
  <c r="V86" i="31" s="1"/>
  <c r="V87" i="31" s="1"/>
  <c r="AF24" i="31"/>
  <c r="AF16" i="31"/>
  <c r="AD24" i="31"/>
  <c r="AD16" i="31"/>
  <c r="Z37" i="31"/>
  <c r="AB37" i="31" s="1"/>
  <c r="AD45" i="31"/>
  <c r="AD50" i="31"/>
  <c r="AD47" i="31"/>
  <c r="AD52" i="31"/>
  <c r="AD49" i="31"/>
  <c r="AD44" i="31"/>
  <c r="J37" i="31"/>
  <c r="AD51" i="31"/>
  <c r="AA42" i="13" l="1"/>
  <c r="AA43" i="13" s="1"/>
  <c r="J38" i="31"/>
  <c r="J39" i="31" s="1"/>
  <c r="J40" i="31" s="1"/>
  <c r="J41" i="31" s="1"/>
  <c r="J42" i="31" s="1"/>
  <c r="J43" i="31" s="1"/>
  <c r="J44" i="31" s="1"/>
  <c r="J45" i="31" s="1"/>
  <c r="J46" i="31" s="1"/>
  <c r="J47" i="31" s="1"/>
  <c r="J48" i="31" s="1"/>
  <c r="J49" i="31" s="1"/>
  <c r="J50" i="31" s="1"/>
  <c r="J51" i="31" s="1"/>
  <c r="J52" i="31" s="1"/>
  <c r="J53" i="31" s="1"/>
  <c r="J54" i="31" s="1"/>
  <c r="J55" i="31" s="1"/>
  <c r="J56" i="31" s="1"/>
  <c r="J57" i="31" s="1"/>
  <c r="J58" i="31" s="1"/>
  <c r="J59" i="31" s="1"/>
  <c r="J60" i="31" s="1"/>
  <c r="J61" i="31" s="1"/>
  <c r="J62" i="31" s="1"/>
  <c r="J63" i="31" s="1"/>
  <c r="J64" i="31" s="1"/>
  <c r="J65" i="31" s="1"/>
  <c r="J66" i="31" s="1"/>
  <c r="J67" i="31" s="1"/>
  <c r="J68" i="31" s="1"/>
  <c r="J69" i="31" s="1"/>
  <c r="J70" i="31" s="1"/>
  <c r="J71" i="31" s="1"/>
  <c r="J72" i="31" s="1"/>
  <c r="J73" i="31" s="1"/>
  <c r="J74" i="31" s="1"/>
  <c r="J75" i="31" s="1"/>
  <c r="J76" i="31" s="1"/>
  <c r="J77" i="31" s="1"/>
  <c r="J78" i="31" s="1"/>
  <c r="J79" i="31" s="1"/>
  <c r="J80" i="31" s="1"/>
  <c r="J81" i="31" s="1"/>
  <c r="J82" i="31" s="1"/>
  <c r="J83" i="31" s="1"/>
  <c r="J84" i="31" s="1"/>
  <c r="J85" i="31" s="1"/>
  <c r="J86" i="31" s="1"/>
  <c r="AF37" i="31"/>
  <c r="Z42" i="31"/>
  <c r="AD42" i="31" s="1"/>
  <c r="Z41" i="31"/>
  <c r="AD41" i="31" s="1"/>
  <c r="Z40" i="31"/>
  <c r="AD40" i="31" s="1"/>
  <c r="Z39" i="31"/>
  <c r="AD39" i="31" s="1"/>
  <c r="Z38" i="31"/>
  <c r="AD38" i="31" s="1"/>
  <c r="F7" i="32" s="1"/>
  <c r="AD37" i="31"/>
  <c r="AB38" i="31" l="1"/>
  <c r="AB39" i="31" s="1"/>
  <c r="AB40" i="31" s="1"/>
  <c r="AB41" i="31" s="1"/>
  <c r="AB42" i="31" s="1"/>
  <c r="AB43" i="31" s="1"/>
  <c r="AB44" i="31" s="1"/>
  <c r="AB45" i="31" s="1"/>
  <c r="AB46" i="31" s="1"/>
  <c r="AB47" i="31" s="1"/>
  <c r="AB48" i="31" s="1"/>
  <c r="AB49" i="31" s="1"/>
  <c r="AB50" i="31" s="1"/>
  <c r="AB51" i="31" s="1"/>
  <c r="AB52" i="31" s="1"/>
  <c r="AB53" i="31" s="1"/>
  <c r="AB54" i="31" s="1"/>
  <c r="AB55" i="31" s="1"/>
  <c r="AB56" i="31" s="1"/>
  <c r="AB57" i="31" s="1"/>
  <c r="AB58" i="31" s="1"/>
  <c r="AB59" i="31" s="1"/>
  <c r="AB60" i="31" s="1"/>
  <c r="AB61" i="31" s="1"/>
  <c r="AB62" i="31" s="1"/>
  <c r="AB63" i="31" s="1"/>
  <c r="AB64" i="31" s="1"/>
  <c r="AB65" i="31" s="1"/>
  <c r="AB66" i="31" s="1"/>
  <c r="AB67" i="31" s="1"/>
  <c r="AB68" i="31" s="1"/>
  <c r="AB69" i="31" s="1"/>
  <c r="AB70" i="31" s="1"/>
  <c r="AB71" i="31" s="1"/>
  <c r="AB72" i="31" s="1"/>
  <c r="AB73" i="31" s="1"/>
  <c r="AB74" i="31" s="1"/>
  <c r="AB75" i="31" s="1"/>
  <c r="AB76" i="31" s="1"/>
  <c r="AB77" i="31" s="1"/>
  <c r="AB78" i="31" s="1"/>
  <c r="AB79" i="31" s="1"/>
  <c r="AB80" i="31" s="1"/>
  <c r="AB81" i="31" s="1"/>
  <c r="AB82" i="31" s="1"/>
  <c r="AB83" i="31" s="1"/>
  <c r="AB84" i="31" s="1"/>
  <c r="AB85" i="31" s="1"/>
  <c r="AB86" i="31" s="1"/>
  <c r="AB87" i="31" s="1"/>
  <c r="AF38" i="31"/>
  <c r="H87" i="31"/>
  <c r="AD87" i="31" s="1"/>
  <c r="X7" i="14"/>
  <c r="J87" i="31" l="1"/>
  <c r="AF39" i="31"/>
  <c r="AH39" i="31"/>
  <c r="AH38" i="31"/>
  <c r="D7" i="32" s="1"/>
  <c r="W10" i="14"/>
  <c r="U10" i="13" s="1"/>
  <c r="AF40" i="31" l="1"/>
  <c r="AH40" i="31"/>
  <c r="W22" i="13"/>
  <c r="W23" i="13" s="1"/>
  <c r="H31" i="14"/>
  <c r="H32" i="14"/>
  <c r="H33" i="14"/>
  <c r="H34" i="14"/>
  <c r="H35" i="14"/>
  <c r="H36" i="14"/>
  <c r="H37" i="14"/>
  <c r="H38" i="14"/>
  <c r="H39" i="14"/>
  <c r="H40" i="14"/>
  <c r="H41" i="14"/>
  <c r="H42" i="14"/>
  <c r="W7" i="14"/>
  <c r="W9" i="14"/>
  <c r="W11" i="14"/>
  <c r="U11" i="13" s="1"/>
  <c r="W12" i="14"/>
  <c r="U12" i="13" s="1"/>
  <c r="W13" i="14"/>
  <c r="U13" i="13" s="1"/>
  <c r="W14" i="14"/>
  <c r="U14" i="13" s="1"/>
  <c r="W15" i="14"/>
  <c r="U15" i="13" s="1"/>
  <c r="W16" i="14"/>
  <c r="U16" i="13" s="1"/>
  <c r="W17" i="14"/>
  <c r="U17" i="13" s="1"/>
  <c r="W18" i="14"/>
  <c r="U18" i="13" s="1"/>
  <c r="W19" i="14"/>
  <c r="U19" i="13" s="1"/>
  <c r="W20" i="14"/>
  <c r="U20" i="13" s="1"/>
  <c r="W21" i="14"/>
  <c r="U21" i="13" s="1"/>
  <c r="X21" i="14"/>
  <c r="V21" i="13" s="1"/>
  <c r="V22" i="13" s="1"/>
  <c r="V23" i="13" s="1"/>
  <c r="X20" i="14"/>
  <c r="X19" i="14"/>
  <c r="X18" i="14"/>
  <c r="X17" i="14"/>
  <c r="X16" i="14"/>
  <c r="X15" i="14"/>
  <c r="X14" i="14"/>
  <c r="X13" i="14"/>
  <c r="X12" i="14"/>
  <c r="X11" i="14"/>
  <c r="X10" i="14"/>
  <c r="X9" i="14"/>
  <c r="W22" i="14" l="1"/>
  <c r="AF41" i="31"/>
  <c r="AH41" i="31"/>
  <c r="X22" i="14"/>
  <c r="X22" i="18"/>
  <c r="X23" i="18" s="1"/>
  <c r="W22" i="18"/>
  <c r="W23" i="18" s="1"/>
  <c r="AF42" i="31" l="1"/>
  <c r="AF43" i="31" l="1"/>
  <c r="AH43" i="31"/>
  <c r="AH42" i="31"/>
  <c r="H28" i="14"/>
  <c r="AF44" i="31" l="1"/>
  <c r="AB42" i="18"/>
  <c r="AB43" i="18" s="1"/>
  <c r="X42" i="18"/>
  <c r="X43" i="18" s="1"/>
  <c r="T42" i="18"/>
  <c r="T43" i="18" s="1"/>
  <c r="P42" i="18"/>
  <c r="P43" i="18" s="1"/>
  <c r="L42" i="18"/>
  <c r="L43" i="18" s="1"/>
  <c r="H42" i="18"/>
  <c r="H43" i="18" s="1"/>
  <c r="AE42" i="18"/>
  <c r="AE43" i="18" s="1"/>
  <c r="S42" i="18"/>
  <c r="S43" i="18" s="1"/>
  <c r="G42" i="18"/>
  <c r="G43" i="18" s="1"/>
  <c r="W42" i="18"/>
  <c r="W43" i="18" s="1"/>
  <c r="O42" i="18"/>
  <c r="O43" i="18" s="1"/>
  <c r="K42" i="18"/>
  <c r="K43" i="18" s="1"/>
  <c r="AD42" i="18"/>
  <c r="AD43" i="18" s="1"/>
  <c r="Z42" i="18"/>
  <c r="Z43" i="18" s="1"/>
  <c r="V42" i="18"/>
  <c r="V43" i="18" s="1"/>
  <c r="R42" i="18"/>
  <c r="R43" i="18" s="1"/>
  <c r="N42" i="18"/>
  <c r="N43" i="18" s="1"/>
  <c r="J42" i="18"/>
  <c r="J43" i="18" s="1"/>
  <c r="F42" i="18"/>
  <c r="F43" i="18" s="1"/>
  <c r="AA42" i="18"/>
  <c r="AA43" i="18" s="1"/>
  <c r="AC42" i="18"/>
  <c r="AC43" i="18" s="1"/>
  <c r="Y42" i="18"/>
  <c r="Y43" i="18" s="1"/>
  <c r="U42" i="18"/>
  <c r="U43" i="18" s="1"/>
  <c r="Q42" i="18"/>
  <c r="Q43" i="18" s="1"/>
  <c r="M42" i="18"/>
  <c r="M43" i="18" s="1"/>
  <c r="I42" i="18"/>
  <c r="I43" i="18" s="1"/>
  <c r="I397" i="3"/>
  <c r="H397" i="3"/>
  <c r="G397" i="3"/>
  <c r="E397" i="3"/>
  <c r="H396" i="3"/>
  <c r="H399" i="3" s="1"/>
  <c r="G396" i="3"/>
  <c r="E396" i="3"/>
  <c r="F395" i="3"/>
  <c r="F394" i="3"/>
  <c r="F393" i="3"/>
  <c r="I392" i="3"/>
  <c r="I391" i="3"/>
  <c r="F390" i="3"/>
  <c r="F389" i="3"/>
  <c r="F388" i="3"/>
  <c r="F387" i="3"/>
  <c r="F386" i="3"/>
  <c r="H385" i="3"/>
  <c r="H384" i="3"/>
  <c r="F383" i="3"/>
  <c r="F382" i="3"/>
  <c r="F381" i="3"/>
  <c r="F380" i="3"/>
  <c r="F379" i="3"/>
  <c r="F378" i="3"/>
  <c r="F377" i="3"/>
  <c r="F376" i="3"/>
  <c r="F374" i="3"/>
  <c r="F373" i="3"/>
  <c r="F372" i="3"/>
  <c r="F371" i="3"/>
  <c r="F370" i="3"/>
  <c r="F369" i="3"/>
  <c r="F368" i="3"/>
  <c r="F367" i="3"/>
  <c r="F366" i="3"/>
  <c r="F365" i="3"/>
  <c r="F364" i="3"/>
  <c r="F363" i="3"/>
  <c r="F362" i="3"/>
  <c r="F361" i="3"/>
  <c r="F360" i="3"/>
  <c r="F359" i="3"/>
  <c r="F397" i="3" s="1"/>
  <c r="F358" i="3"/>
  <c r="F357" i="3"/>
  <c r="F356" i="3"/>
  <c r="F355" i="3"/>
  <c r="F354" i="3"/>
  <c r="F353" i="3"/>
  <c r="F352" i="3"/>
  <c r="F351" i="3"/>
  <c r="F350" i="3"/>
  <c r="I349" i="3"/>
  <c r="I396" i="3" s="1"/>
  <c r="I399" i="3" s="1"/>
  <c r="F348" i="3"/>
  <c r="F347" i="3"/>
  <c r="F346" i="3"/>
  <c r="F345" i="3"/>
  <c r="F344" i="3"/>
  <c r="F343" i="3"/>
  <c r="F342" i="3"/>
  <c r="F341" i="3"/>
  <c r="F340" i="3"/>
  <c r="F339" i="3"/>
  <c r="F338" i="3"/>
  <c r="F337" i="3"/>
  <c r="F336" i="3"/>
  <c r="F335" i="3"/>
  <c r="F334" i="3"/>
  <c r="F333" i="3"/>
  <c r="F332" i="3"/>
  <c r="F331" i="3"/>
  <c r="F330" i="3"/>
  <c r="F329" i="3"/>
  <c r="F328" i="3"/>
  <c r="F327" i="3"/>
  <c r="F326" i="3"/>
  <c r="F325" i="3"/>
  <c r="F324" i="3"/>
  <c r="F323" i="3"/>
  <c r="F322" i="3"/>
  <c r="F321" i="3"/>
  <c r="F320" i="3"/>
  <c r="F319" i="3"/>
  <c r="F318" i="3"/>
  <c r="F317" i="3"/>
  <c r="F316" i="3"/>
  <c r="F315" i="3"/>
  <c r="F314" i="3"/>
  <c r="F313" i="3"/>
  <c r="F312" i="3"/>
  <c r="F311" i="3"/>
  <c r="F310" i="3"/>
  <c r="F309" i="3"/>
  <c r="F308" i="3"/>
  <c r="F307" i="3"/>
  <c r="F306" i="3"/>
  <c r="F305" i="3"/>
  <c r="F304" i="3"/>
  <c r="F303" i="3"/>
  <c r="F302" i="3"/>
  <c r="F301" i="3"/>
  <c r="F300" i="3"/>
  <c r="F299" i="3"/>
  <c r="F298" i="3"/>
  <c r="F297" i="3"/>
  <c r="F296" i="3"/>
  <c r="F295" i="3"/>
  <c r="F294" i="3"/>
  <c r="F293" i="3"/>
  <c r="F396" i="3" s="1"/>
  <c r="F399" i="3" s="1"/>
  <c r="I272" i="3"/>
  <c r="H272" i="3"/>
  <c r="G272" i="3"/>
  <c r="E272" i="3"/>
  <c r="F270" i="3"/>
  <c r="F269" i="3"/>
  <c r="F268" i="3"/>
  <c r="F267" i="3"/>
  <c r="F266" i="3"/>
  <c r="F265" i="3"/>
  <c r="F264" i="3"/>
  <c r="F263" i="3"/>
  <c r="F262" i="3"/>
  <c r="F261" i="3"/>
  <c r="F272" i="3" s="1"/>
  <c r="F260" i="3"/>
  <c r="F259" i="3"/>
  <c r="F258" i="3"/>
  <c r="F257" i="3"/>
  <c r="F256" i="3"/>
  <c r="F255" i="3"/>
  <c r="F254" i="3"/>
  <c r="G253" i="3"/>
  <c r="I252" i="3"/>
  <c r="F251" i="3"/>
  <c r="F250" i="3"/>
  <c r="F249" i="3"/>
  <c r="F248" i="3"/>
  <c r="F247" i="3"/>
  <c r="F246" i="3"/>
  <c r="H245" i="3"/>
  <c r="F244" i="3"/>
  <c r="E243" i="3"/>
  <c r="E271" i="3" s="1"/>
  <c r="E274" i="3" s="1"/>
  <c r="F242" i="3"/>
  <c r="F241" i="3"/>
  <c r="F240" i="3"/>
  <c r="F239" i="3"/>
  <c r="F238" i="3"/>
  <c r="F237" i="3"/>
  <c r="F236" i="3"/>
  <c r="F235" i="3"/>
  <c r="F234" i="3"/>
  <c r="F233" i="3"/>
  <c r="F232" i="3"/>
  <c r="H231" i="3"/>
  <c r="H230" i="3"/>
  <c r="I229" i="3"/>
  <c r="I228" i="3"/>
  <c r="G227" i="3"/>
  <c r="F226" i="3"/>
  <c r="F225" i="3"/>
  <c r="F224" i="3"/>
  <c r="F223" i="3"/>
  <c r="F222" i="3"/>
  <c r="F221" i="3"/>
  <c r="H220" i="3"/>
  <c r="F219" i="3"/>
  <c r="F218" i="3"/>
  <c r="F217" i="3"/>
  <c r="F216" i="3"/>
  <c r="F215" i="3"/>
  <c r="G196" i="3"/>
  <c r="I193" i="3"/>
  <c r="I196" i="3" s="1"/>
  <c r="H193" i="3"/>
  <c r="H196" i="3" s="1"/>
  <c r="G193" i="3"/>
  <c r="E193" i="3"/>
  <c r="E196" i="3" s="1"/>
  <c r="F190" i="3"/>
  <c r="F193" i="3" s="1"/>
  <c r="F196" i="3" s="1"/>
  <c r="H169" i="3"/>
  <c r="G169" i="3"/>
  <c r="F169" i="3"/>
  <c r="E169" i="3"/>
  <c r="I168" i="3"/>
  <c r="H168" i="3"/>
  <c r="G168" i="3"/>
  <c r="E168" i="3"/>
  <c r="H167" i="3"/>
  <c r="E167" i="3"/>
  <c r="F166" i="3"/>
  <c r="F165" i="3"/>
  <c r="F164" i="3"/>
  <c r="F163" i="3"/>
  <c r="F162" i="3"/>
  <c r="F161" i="3"/>
  <c r="F160" i="3"/>
  <c r="F159" i="3"/>
  <c r="F158" i="3"/>
  <c r="F157" i="3"/>
  <c r="F156" i="3"/>
  <c r="F155" i="3"/>
  <c r="F154" i="3"/>
  <c r="F153" i="3"/>
  <c r="F152" i="3"/>
  <c r="G151" i="3"/>
  <c r="G167" i="3" s="1"/>
  <c r="F150" i="3"/>
  <c r="F149" i="3"/>
  <c r="F148" i="3"/>
  <c r="F147" i="3"/>
  <c r="F146" i="3"/>
  <c r="F145" i="3"/>
  <c r="F144" i="3"/>
  <c r="F143" i="3"/>
  <c r="F142" i="3"/>
  <c r="F141" i="3"/>
  <c r="F140" i="3"/>
  <c r="F139" i="3"/>
  <c r="F138" i="3"/>
  <c r="F137" i="3"/>
  <c r="F136" i="3"/>
  <c r="F135" i="3"/>
  <c r="F134" i="3"/>
  <c r="F132" i="3"/>
  <c r="F130" i="3"/>
  <c r="F128" i="3"/>
  <c r="F127" i="3"/>
  <c r="F126" i="3"/>
  <c r="F125" i="3"/>
  <c r="F124" i="3"/>
  <c r="F123" i="3"/>
  <c r="F122" i="3"/>
  <c r="F121" i="3"/>
  <c r="F120" i="3"/>
  <c r="F118" i="3"/>
  <c r="F117" i="3"/>
  <c r="F116" i="3"/>
  <c r="F115" i="3"/>
  <c r="F114" i="3"/>
  <c r="F113" i="3"/>
  <c r="F112" i="3"/>
  <c r="F111" i="3"/>
  <c r="F110" i="3"/>
  <c r="F109" i="3"/>
  <c r="F108" i="3"/>
  <c r="F107" i="3"/>
  <c r="F106" i="3"/>
  <c r="F105" i="3"/>
  <c r="F104" i="3"/>
  <c r="F103" i="3"/>
  <c r="F102" i="3"/>
  <c r="F101" i="3"/>
  <c r="F100" i="3"/>
  <c r="F99" i="3"/>
  <c r="F98" i="3"/>
  <c r="F97" i="3"/>
  <c r="F96" i="3"/>
  <c r="F95" i="3"/>
  <c r="F94" i="3"/>
  <c r="F93" i="3"/>
  <c r="F92" i="3"/>
  <c r="F91" i="3"/>
  <c r="F90" i="3"/>
  <c r="F89" i="3"/>
  <c r="F88" i="3"/>
  <c r="F87" i="3"/>
  <c r="F86" i="3"/>
  <c r="F85" i="3"/>
  <c r="F84" i="3"/>
  <c r="F83" i="3"/>
  <c r="F82" i="3"/>
  <c r="F81" i="3"/>
  <c r="F80" i="3"/>
  <c r="F79" i="3"/>
  <c r="F78" i="3"/>
  <c r="F77" i="3"/>
  <c r="F76" i="3"/>
  <c r="F75" i="3"/>
  <c r="F74" i="3"/>
  <c r="F73" i="3"/>
  <c r="F72" i="3"/>
  <c r="F71" i="3"/>
  <c r="F70" i="3"/>
  <c r="F69" i="3"/>
  <c r="F68" i="3"/>
  <c r="F67" i="3"/>
  <c r="F66" i="3"/>
  <c r="F65" i="3"/>
  <c r="F64" i="3"/>
  <c r="F63" i="3"/>
  <c r="F62" i="3"/>
  <c r="F61" i="3"/>
  <c r="F60" i="3"/>
  <c r="F59" i="3"/>
  <c r="F58" i="3"/>
  <c r="F57" i="3"/>
  <c r="F56" i="3"/>
  <c r="F55" i="3"/>
  <c r="F54" i="3"/>
  <c r="F53" i="3"/>
  <c r="F52" i="3"/>
  <c r="F51" i="3"/>
  <c r="F50" i="3"/>
  <c r="F48" i="3"/>
  <c r="F47" i="3"/>
  <c r="F45" i="3"/>
  <c r="F44" i="3"/>
  <c r="I43" i="3"/>
  <c r="I169" i="3" s="1"/>
  <c r="I42" i="3"/>
  <c r="I41" i="3"/>
  <c r="I40" i="3"/>
  <c r="F39" i="3"/>
  <c r="I38" i="3"/>
  <c r="I37" i="3"/>
  <c r="I36" i="3"/>
  <c r="I35" i="3"/>
  <c r="F34" i="3"/>
  <c r="I33" i="3"/>
  <c r="I410" i="5"/>
  <c r="H410" i="5"/>
  <c r="E410" i="5"/>
  <c r="I193" i="5"/>
  <c r="I196" i="5" s="1"/>
  <c r="H193" i="5"/>
  <c r="H196" i="5" s="1"/>
  <c r="G193" i="5"/>
  <c r="G196" i="5" s="1"/>
  <c r="F193" i="5"/>
  <c r="F196" i="5" s="1"/>
  <c r="E193" i="5"/>
  <c r="E196" i="5" s="1"/>
  <c r="E169" i="5"/>
  <c r="F169" i="5"/>
  <c r="G169" i="5"/>
  <c r="H169" i="5"/>
  <c r="I169" i="5"/>
  <c r="F166" i="5"/>
  <c r="G410" i="5"/>
  <c r="F408" i="5"/>
  <c r="F410" i="5"/>
  <c r="F284" i="5"/>
  <c r="F168" i="3" l="1"/>
  <c r="E170" i="3"/>
  <c r="E399" i="3"/>
  <c r="I167" i="3"/>
  <c r="G170" i="3"/>
  <c r="G271" i="3"/>
  <c r="G274" i="3" s="1"/>
  <c r="F167" i="3"/>
  <c r="F170" i="3" s="1"/>
  <c r="H170" i="3"/>
  <c r="H271" i="3"/>
  <c r="H274" i="3" s="1"/>
  <c r="I271" i="3"/>
  <c r="I274" i="3" s="1"/>
  <c r="F243" i="3"/>
  <c r="F271" i="3" s="1"/>
  <c r="F274" i="3" s="1"/>
  <c r="G399" i="3"/>
  <c r="I285" i="5"/>
  <c r="E286" i="5"/>
  <c r="I286" i="5"/>
  <c r="G409" i="5"/>
  <c r="G412" i="5" s="1"/>
  <c r="AF45" i="31"/>
  <c r="AH45" i="31"/>
  <c r="AH44" i="31"/>
  <c r="G168" i="5"/>
  <c r="F285" i="5"/>
  <c r="F286" i="5"/>
  <c r="H286" i="5"/>
  <c r="F409" i="5"/>
  <c r="F412" i="5" s="1"/>
  <c r="E168" i="5"/>
  <c r="I167" i="5"/>
  <c r="E167" i="5"/>
  <c r="H168" i="5"/>
  <c r="F168" i="5"/>
  <c r="E285" i="5"/>
  <c r="E288" i="5" s="1"/>
  <c r="I168" i="5"/>
  <c r="G167" i="5"/>
  <c r="G170" i="5" s="1"/>
  <c r="H285" i="5"/>
  <c r="F167" i="5"/>
  <c r="F170" i="5" s="1"/>
  <c r="H167" i="5"/>
  <c r="G285" i="5"/>
  <c r="G286" i="5"/>
  <c r="E409" i="5"/>
  <c r="E412" i="5" s="1"/>
  <c r="I409" i="5"/>
  <c r="I412" i="5" s="1"/>
  <c r="I170" i="3"/>
  <c r="H409" i="5"/>
  <c r="H412" i="5" s="1"/>
  <c r="I288" i="5" l="1"/>
  <c r="E170" i="5"/>
  <c r="G288" i="5"/>
  <c r="F288" i="5"/>
  <c r="AF46" i="31"/>
  <c r="H288" i="5"/>
  <c r="H170" i="5"/>
  <c r="I170" i="5"/>
  <c r="AF47" i="31" l="1"/>
  <c r="AH47" i="31" s="1"/>
  <c r="AH46" i="31"/>
  <c r="G10" i="14"/>
  <c r="E10" i="13" s="1"/>
  <c r="H10" i="14"/>
  <c r="F10" i="13" s="1"/>
  <c r="I10" i="14"/>
  <c r="G10" i="13" s="1"/>
  <c r="J10" i="14"/>
  <c r="H10" i="13" s="1"/>
  <c r="K10" i="14"/>
  <c r="I10" i="13" s="1"/>
  <c r="L10" i="14"/>
  <c r="J10" i="13" s="1"/>
  <c r="M10" i="14"/>
  <c r="K10" i="13" s="1"/>
  <c r="N10" i="14"/>
  <c r="L10" i="13" s="1"/>
  <c r="O10" i="14"/>
  <c r="M10" i="13" s="1"/>
  <c r="P10" i="14"/>
  <c r="N10" i="13" s="1"/>
  <c r="Q10" i="14"/>
  <c r="O10" i="13" s="1"/>
  <c r="R10" i="14"/>
  <c r="P10" i="13" s="1"/>
  <c r="S10" i="14"/>
  <c r="Q10" i="13" s="1"/>
  <c r="T10" i="14"/>
  <c r="R10" i="13" s="1"/>
  <c r="U10" i="14"/>
  <c r="S10" i="13" s="1"/>
  <c r="V10" i="14"/>
  <c r="T10" i="13" s="1"/>
  <c r="F10" i="14"/>
  <c r="D10" i="13" s="1"/>
  <c r="AF48" i="31" l="1"/>
  <c r="X10" i="13"/>
  <c r="AF49" i="31" l="1"/>
  <c r="AH49" i="31" s="1"/>
  <c r="AH48" i="31"/>
  <c r="AF50" i="31" l="1"/>
  <c r="AF51" i="31" l="1"/>
  <c r="AH51" i="31"/>
  <c r="AH50" i="31"/>
  <c r="AF52" i="31" l="1"/>
  <c r="AF53" i="31" l="1"/>
  <c r="AH53" i="31" s="1"/>
  <c r="AH52" i="31"/>
  <c r="AF54" i="31" l="1"/>
  <c r="AH54" i="31"/>
  <c r="H164" i="8"/>
  <c r="H163" i="8"/>
  <c r="AF55" i="31" l="1"/>
  <c r="AH55" i="31"/>
  <c r="C32" i="15"/>
  <c r="D32" i="15"/>
  <c r="C33" i="15"/>
  <c r="D33" i="15"/>
  <c r="C34" i="15"/>
  <c r="D34" i="15"/>
  <c r="C35" i="15"/>
  <c r="D35" i="15"/>
  <c r="C36" i="15"/>
  <c r="D36" i="15"/>
  <c r="C37" i="15"/>
  <c r="D37" i="15"/>
  <c r="C38" i="15"/>
  <c r="D38" i="15"/>
  <c r="C39" i="15"/>
  <c r="D39" i="15"/>
  <c r="C40" i="15"/>
  <c r="D40" i="15"/>
  <c r="C41" i="15"/>
  <c r="D41" i="15"/>
  <c r="C42" i="15"/>
  <c r="D42" i="15"/>
  <c r="D31" i="15"/>
  <c r="C31" i="15"/>
  <c r="AF56" i="31" l="1"/>
  <c r="AH56" i="31"/>
  <c r="AG42" i="13"/>
  <c r="AC30" i="13"/>
  <c r="AB42" i="13"/>
  <c r="AB43" i="13" s="1"/>
  <c r="C32" i="17"/>
  <c r="D32" i="17"/>
  <c r="C33" i="17"/>
  <c r="D33" i="17"/>
  <c r="C34" i="17"/>
  <c r="D34" i="17"/>
  <c r="C35" i="17"/>
  <c r="D35" i="17"/>
  <c r="C36" i="17"/>
  <c r="D36" i="17"/>
  <c r="C37" i="17"/>
  <c r="D37" i="17"/>
  <c r="C38" i="17"/>
  <c r="D38" i="17"/>
  <c r="C39" i="17"/>
  <c r="D39" i="17"/>
  <c r="C40" i="17"/>
  <c r="D40" i="17"/>
  <c r="C41" i="17"/>
  <c r="D41" i="17"/>
  <c r="C42" i="17"/>
  <c r="D42" i="17"/>
  <c r="D31" i="17"/>
  <c r="C31" i="17"/>
  <c r="AF57" i="31" l="1"/>
  <c r="AH57" i="31"/>
  <c r="G12" i="14"/>
  <c r="E12" i="13" s="1"/>
  <c r="H12" i="14"/>
  <c r="F12" i="13" s="1"/>
  <c r="I12" i="14"/>
  <c r="G12" i="13" s="1"/>
  <c r="J12" i="14"/>
  <c r="H12" i="13" s="1"/>
  <c r="K12" i="14"/>
  <c r="I12" i="13" s="1"/>
  <c r="L12" i="14"/>
  <c r="J12" i="13" s="1"/>
  <c r="M12" i="14"/>
  <c r="K12" i="13" s="1"/>
  <c r="N12" i="14"/>
  <c r="L12" i="13" s="1"/>
  <c r="O12" i="14"/>
  <c r="M12" i="13" s="1"/>
  <c r="P12" i="14"/>
  <c r="N12" i="13" s="1"/>
  <c r="Q12" i="14"/>
  <c r="O12" i="13" s="1"/>
  <c r="R12" i="14"/>
  <c r="P12" i="13" s="1"/>
  <c r="S12" i="14"/>
  <c r="Q12" i="13" s="1"/>
  <c r="T12" i="14"/>
  <c r="R12" i="13" s="1"/>
  <c r="U12" i="14"/>
  <c r="S12" i="13" s="1"/>
  <c r="V12" i="14"/>
  <c r="T12" i="13" s="1"/>
  <c r="G13" i="14"/>
  <c r="E13" i="13" s="1"/>
  <c r="H13" i="14"/>
  <c r="F13" i="13" s="1"/>
  <c r="I13" i="14"/>
  <c r="G13" i="13" s="1"/>
  <c r="J13" i="14"/>
  <c r="H13" i="13" s="1"/>
  <c r="K13" i="14"/>
  <c r="I13" i="13" s="1"/>
  <c r="L13" i="14"/>
  <c r="J13" i="13" s="1"/>
  <c r="M13" i="14"/>
  <c r="K13" i="13" s="1"/>
  <c r="N13" i="14"/>
  <c r="L13" i="13" s="1"/>
  <c r="O13" i="14"/>
  <c r="M13" i="13" s="1"/>
  <c r="P13" i="14"/>
  <c r="N13" i="13" s="1"/>
  <c r="Q13" i="14"/>
  <c r="O13" i="13" s="1"/>
  <c r="R13" i="14"/>
  <c r="P13" i="13" s="1"/>
  <c r="S13" i="14"/>
  <c r="Q13" i="13" s="1"/>
  <c r="T13" i="14"/>
  <c r="R13" i="13" s="1"/>
  <c r="U13" i="14"/>
  <c r="S13" i="13" s="1"/>
  <c r="V13" i="14"/>
  <c r="T13" i="13" s="1"/>
  <c r="G14" i="14"/>
  <c r="E14" i="13" s="1"/>
  <c r="H14" i="14"/>
  <c r="F14" i="13" s="1"/>
  <c r="I14" i="14"/>
  <c r="G14" i="13" s="1"/>
  <c r="J14" i="14"/>
  <c r="H14" i="13" s="1"/>
  <c r="K14" i="14"/>
  <c r="I14" i="13" s="1"/>
  <c r="L14" i="14"/>
  <c r="J14" i="13" s="1"/>
  <c r="M14" i="14"/>
  <c r="K14" i="13" s="1"/>
  <c r="N14" i="14"/>
  <c r="L14" i="13" s="1"/>
  <c r="O14" i="14"/>
  <c r="M14" i="13" s="1"/>
  <c r="P14" i="14"/>
  <c r="N14" i="13" s="1"/>
  <c r="Q14" i="14"/>
  <c r="O14" i="13" s="1"/>
  <c r="R14" i="14"/>
  <c r="P14" i="13" s="1"/>
  <c r="S14" i="14"/>
  <c r="Q14" i="13" s="1"/>
  <c r="T14" i="14"/>
  <c r="R14" i="13" s="1"/>
  <c r="U14" i="14"/>
  <c r="S14" i="13" s="1"/>
  <c r="V14" i="14"/>
  <c r="T14" i="13" s="1"/>
  <c r="G15" i="14"/>
  <c r="E15" i="13" s="1"/>
  <c r="H15" i="14"/>
  <c r="F15" i="13" s="1"/>
  <c r="I15" i="14"/>
  <c r="G15" i="13" s="1"/>
  <c r="J15" i="14"/>
  <c r="H15" i="13" s="1"/>
  <c r="K15" i="14"/>
  <c r="I15" i="13" s="1"/>
  <c r="L15" i="14"/>
  <c r="J15" i="13" s="1"/>
  <c r="M15" i="14"/>
  <c r="K15" i="13" s="1"/>
  <c r="N15" i="14"/>
  <c r="L15" i="13" s="1"/>
  <c r="O15" i="14"/>
  <c r="M15" i="13" s="1"/>
  <c r="P15" i="14"/>
  <c r="N15" i="13" s="1"/>
  <c r="Q15" i="14"/>
  <c r="O15" i="13" s="1"/>
  <c r="R15" i="14"/>
  <c r="P15" i="13" s="1"/>
  <c r="S15" i="14"/>
  <c r="Q15" i="13" s="1"/>
  <c r="T15" i="14"/>
  <c r="R15" i="13" s="1"/>
  <c r="U15" i="14"/>
  <c r="S15" i="13" s="1"/>
  <c r="V15" i="14"/>
  <c r="T15" i="13" s="1"/>
  <c r="G16" i="14"/>
  <c r="E16" i="13" s="1"/>
  <c r="H16" i="14"/>
  <c r="F16" i="13" s="1"/>
  <c r="I16" i="14"/>
  <c r="G16" i="13" s="1"/>
  <c r="J16" i="14"/>
  <c r="H16" i="13" s="1"/>
  <c r="K16" i="14"/>
  <c r="I16" i="13" s="1"/>
  <c r="L16" i="14"/>
  <c r="J16" i="13" s="1"/>
  <c r="M16" i="14"/>
  <c r="K16" i="13" s="1"/>
  <c r="N16" i="14"/>
  <c r="L16" i="13" s="1"/>
  <c r="O16" i="14"/>
  <c r="M16" i="13" s="1"/>
  <c r="P16" i="14"/>
  <c r="N16" i="13" s="1"/>
  <c r="Q16" i="14"/>
  <c r="O16" i="13" s="1"/>
  <c r="R16" i="14"/>
  <c r="P16" i="13" s="1"/>
  <c r="S16" i="14"/>
  <c r="Q16" i="13" s="1"/>
  <c r="T16" i="14"/>
  <c r="R16" i="13" s="1"/>
  <c r="U16" i="14"/>
  <c r="S16" i="13" s="1"/>
  <c r="V16" i="14"/>
  <c r="T16" i="13" s="1"/>
  <c r="G17" i="14"/>
  <c r="E17" i="13" s="1"/>
  <c r="H17" i="14"/>
  <c r="F17" i="13" s="1"/>
  <c r="I17" i="14"/>
  <c r="G17" i="13" s="1"/>
  <c r="J17" i="14"/>
  <c r="H17" i="13" s="1"/>
  <c r="K17" i="14"/>
  <c r="I17" i="13" s="1"/>
  <c r="L17" i="14"/>
  <c r="J17" i="13" s="1"/>
  <c r="M17" i="14"/>
  <c r="K17" i="13" s="1"/>
  <c r="N17" i="14"/>
  <c r="L17" i="13" s="1"/>
  <c r="O17" i="14"/>
  <c r="M17" i="13" s="1"/>
  <c r="P17" i="14"/>
  <c r="N17" i="13" s="1"/>
  <c r="Q17" i="14"/>
  <c r="O17" i="13" s="1"/>
  <c r="R17" i="14"/>
  <c r="P17" i="13" s="1"/>
  <c r="S17" i="14"/>
  <c r="Q17" i="13" s="1"/>
  <c r="T17" i="14"/>
  <c r="R17" i="13" s="1"/>
  <c r="U17" i="14"/>
  <c r="S17" i="13" s="1"/>
  <c r="V17" i="14"/>
  <c r="T17" i="13" s="1"/>
  <c r="G18" i="14"/>
  <c r="E18" i="13" s="1"/>
  <c r="H18" i="14"/>
  <c r="F18" i="13" s="1"/>
  <c r="I18" i="14"/>
  <c r="G18" i="13" s="1"/>
  <c r="J18" i="14"/>
  <c r="H18" i="13" s="1"/>
  <c r="K18" i="14"/>
  <c r="I18" i="13" s="1"/>
  <c r="L18" i="14"/>
  <c r="J18" i="13" s="1"/>
  <c r="M18" i="14"/>
  <c r="K18" i="13" s="1"/>
  <c r="N18" i="14"/>
  <c r="L18" i="13" s="1"/>
  <c r="O18" i="14"/>
  <c r="M18" i="13" s="1"/>
  <c r="P18" i="14"/>
  <c r="N18" i="13" s="1"/>
  <c r="Q18" i="14"/>
  <c r="O18" i="13" s="1"/>
  <c r="R18" i="14"/>
  <c r="P18" i="13" s="1"/>
  <c r="S18" i="14"/>
  <c r="Q18" i="13" s="1"/>
  <c r="T18" i="14"/>
  <c r="R18" i="13" s="1"/>
  <c r="U18" i="14"/>
  <c r="S18" i="13" s="1"/>
  <c r="V18" i="14"/>
  <c r="T18" i="13" s="1"/>
  <c r="G19" i="14"/>
  <c r="E19" i="13" s="1"/>
  <c r="H19" i="14"/>
  <c r="F19" i="13" s="1"/>
  <c r="I19" i="14"/>
  <c r="G19" i="13" s="1"/>
  <c r="J19" i="14"/>
  <c r="H19" i="13" s="1"/>
  <c r="K19" i="14"/>
  <c r="I19" i="13" s="1"/>
  <c r="L19" i="14"/>
  <c r="J19" i="13" s="1"/>
  <c r="M19" i="14"/>
  <c r="K19" i="13" s="1"/>
  <c r="N19" i="14"/>
  <c r="L19" i="13" s="1"/>
  <c r="O19" i="14"/>
  <c r="M19" i="13" s="1"/>
  <c r="P19" i="14"/>
  <c r="N19" i="13" s="1"/>
  <c r="Q19" i="14"/>
  <c r="O19" i="13" s="1"/>
  <c r="R19" i="14"/>
  <c r="P19" i="13" s="1"/>
  <c r="S19" i="14"/>
  <c r="Q19" i="13" s="1"/>
  <c r="T19" i="14"/>
  <c r="R19" i="13" s="1"/>
  <c r="U19" i="14"/>
  <c r="S19" i="13" s="1"/>
  <c r="V19" i="14"/>
  <c r="T19" i="13" s="1"/>
  <c r="G20" i="14"/>
  <c r="E20" i="13" s="1"/>
  <c r="H20" i="14"/>
  <c r="F20" i="13" s="1"/>
  <c r="I20" i="14"/>
  <c r="G20" i="13" s="1"/>
  <c r="J20" i="14"/>
  <c r="H20" i="13" s="1"/>
  <c r="K20" i="14"/>
  <c r="I20" i="13" s="1"/>
  <c r="L20" i="14"/>
  <c r="J20" i="13" s="1"/>
  <c r="M20" i="14"/>
  <c r="K20" i="13" s="1"/>
  <c r="N20" i="14"/>
  <c r="L20" i="13" s="1"/>
  <c r="O20" i="14"/>
  <c r="M20" i="13" s="1"/>
  <c r="P20" i="14"/>
  <c r="N20" i="13" s="1"/>
  <c r="Q20" i="14"/>
  <c r="O20" i="13" s="1"/>
  <c r="R20" i="14"/>
  <c r="P20" i="13" s="1"/>
  <c r="S20" i="14"/>
  <c r="Q20" i="13" s="1"/>
  <c r="T20" i="14"/>
  <c r="R20" i="13" s="1"/>
  <c r="U20" i="14"/>
  <c r="S20" i="13" s="1"/>
  <c r="V20" i="14"/>
  <c r="T20" i="13" s="1"/>
  <c r="G21" i="14"/>
  <c r="E21" i="13" s="1"/>
  <c r="H21" i="14"/>
  <c r="F21" i="13" s="1"/>
  <c r="I21" i="14"/>
  <c r="G21" i="13" s="1"/>
  <c r="J21" i="14"/>
  <c r="H21" i="13" s="1"/>
  <c r="K21" i="14"/>
  <c r="I21" i="13" s="1"/>
  <c r="L21" i="14"/>
  <c r="J21" i="13" s="1"/>
  <c r="M21" i="14"/>
  <c r="K21" i="13" s="1"/>
  <c r="N21" i="14"/>
  <c r="L21" i="13" s="1"/>
  <c r="O21" i="14"/>
  <c r="M21" i="13" s="1"/>
  <c r="P21" i="14"/>
  <c r="N21" i="13" s="1"/>
  <c r="Q21" i="14"/>
  <c r="O21" i="13" s="1"/>
  <c r="R21" i="14"/>
  <c r="P21" i="13" s="1"/>
  <c r="S21" i="14"/>
  <c r="Q21" i="13" s="1"/>
  <c r="T21" i="14"/>
  <c r="R21" i="13" s="1"/>
  <c r="U21" i="14"/>
  <c r="S21" i="13" s="1"/>
  <c r="V21" i="14"/>
  <c r="T21" i="13" s="1"/>
  <c r="AF58" i="31" l="1"/>
  <c r="AH58" i="31"/>
  <c r="AF39" i="18"/>
  <c r="AF35" i="18"/>
  <c r="AF31" i="18"/>
  <c r="AF40" i="18"/>
  <c r="AF36" i="18"/>
  <c r="AF32" i="18"/>
  <c r="AF41" i="18"/>
  <c r="AF38" i="18"/>
  <c r="AF37" i="18"/>
  <c r="AF34" i="18"/>
  <c r="AF33" i="18"/>
  <c r="AF10" i="18"/>
  <c r="AF18" i="18"/>
  <c r="AF14" i="18"/>
  <c r="AF21" i="18"/>
  <c r="AF20" i="18"/>
  <c r="AF19" i="18"/>
  <c r="AF17" i="18"/>
  <c r="AF16" i="18"/>
  <c r="AF15" i="18"/>
  <c r="AF13" i="18"/>
  <c r="AF12" i="18"/>
  <c r="AF11" i="18"/>
  <c r="AF59" i="31" l="1"/>
  <c r="AH59" i="31"/>
  <c r="G12" i="3"/>
  <c r="E12" i="3"/>
  <c r="H12" i="3"/>
  <c r="E10" i="3"/>
  <c r="I10" i="3"/>
  <c r="H11" i="3"/>
  <c r="I11" i="3"/>
  <c r="G11" i="3"/>
  <c r="F11" i="3"/>
  <c r="E11" i="3"/>
  <c r="G13" i="3"/>
  <c r="AF60" i="31" l="1"/>
  <c r="AH60" i="31" s="1"/>
  <c r="F13" i="3"/>
  <c r="H13" i="3"/>
  <c r="H10" i="3"/>
  <c r="F12" i="3"/>
  <c r="I12" i="3"/>
  <c r="I13" i="3"/>
  <c r="E13" i="3"/>
  <c r="AF61" i="31" l="1"/>
  <c r="AH61" i="31"/>
  <c r="AF62" i="31" l="1"/>
  <c r="AH62" i="31"/>
  <c r="F20" i="32"/>
  <c r="H238" i="1" s="1"/>
  <c r="K238" i="1" l="1"/>
  <c r="O238" i="1"/>
  <c r="AF63" i="31"/>
  <c r="AH63" i="31"/>
  <c r="AF64" i="31" l="1"/>
  <c r="AH64" i="31"/>
  <c r="D20" i="32"/>
  <c r="H70" i="1" s="1"/>
  <c r="G10" i="3"/>
  <c r="F10" i="3"/>
  <c r="O70" i="1" l="1"/>
  <c r="K70" i="1"/>
  <c r="AF65" i="31"/>
  <c r="AH65" i="31"/>
  <c r="AF66" i="31" l="1"/>
  <c r="AH66" i="31"/>
  <c r="Y74" i="24"/>
  <c r="AF67" i="31" l="1"/>
  <c r="AH67" i="31"/>
  <c r="AF68" i="31" l="1"/>
  <c r="AH68" i="31"/>
  <c r="G96" i="6"/>
  <c r="G85" i="6"/>
  <c r="AF69" i="31" l="1"/>
  <c r="AH69" i="31"/>
  <c r="AF70" i="31" l="1"/>
  <c r="AH70" i="31"/>
  <c r="J54" i="20"/>
  <c r="K53" i="20"/>
  <c r="AF71" i="31" l="1"/>
  <c r="AH71" i="31"/>
  <c r="H54" i="20"/>
  <c r="I54" i="20" s="1"/>
  <c r="G55" i="20"/>
  <c r="F55" i="20"/>
  <c r="H53" i="20"/>
  <c r="I53" i="20" s="1"/>
  <c r="J53" i="20"/>
  <c r="L54" i="20"/>
  <c r="K54" i="20"/>
  <c r="L53" i="20"/>
  <c r="AC8" i="24"/>
  <c r="AC74" i="24" s="1"/>
  <c r="AF72" i="31" l="1"/>
  <c r="AH72" i="31" s="1"/>
  <c r="AE8" i="24"/>
  <c r="AE74" i="24" s="1"/>
  <c r="AD8" i="24"/>
  <c r="AD74" i="24" s="1"/>
  <c r="AF73" i="31" l="1"/>
  <c r="AH73" i="31"/>
  <c r="D31" i="6"/>
  <c r="D37" i="6"/>
  <c r="D36" i="6"/>
  <c r="D35" i="6"/>
  <c r="D34" i="6"/>
  <c r="D33" i="6"/>
  <c r="D32" i="6"/>
  <c r="D23" i="6"/>
  <c r="D25" i="6" s="1"/>
  <c r="D19" i="6"/>
  <c r="D10" i="6"/>
  <c r="D9" i="6"/>
  <c r="D12" i="6" l="1"/>
  <c r="D27" i="6" s="1"/>
  <c r="AF74" i="31"/>
  <c r="AH74" i="31" s="1"/>
  <c r="AF75" i="31" l="1"/>
  <c r="AH75" i="31" s="1"/>
  <c r="I267" i="8"/>
  <c r="AF76" i="31" l="1"/>
  <c r="AH76" i="31" s="1"/>
  <c r="AF77" i="31" l="1"/>
  <c r="AH77" i="31"/>
  <c r="AF78" i="31" l="1"/>
  <c r="AH78" i="31"/>
  <c r="AF79" i="31" l="1"/>
  <c r="AH79" i="31"/>
  <c r="AF80" i="31" l="1"/>
  <c r="AH80" i="31"/>
  <c r="H238" i="8"/>
  <c r="H11" i="5"/>
  <c r="F11" i="5"/>
  <c r="E11" i="5"/>
  <c r="AF81" i="31" l="1"/>
  <c r="AH81" i="31"/>
  <c r="G12" i="5"/>
  <c r="F12" i="5"/>
  <c r="E12" i="5"/>
  <c r="I12" i="5"/>
  <c r="H12" i="5"/>
  <c r="AF82" i="31" l="1"/>
  <c r="AH82" i="31"/>
  <c r="G10" i="5"/>
  <c r="E10" i="5"/>
  <c r="I10" i="5"/>
  <c r="F10" i="5"/>
  <c r="H10" i="5"/>
  <c r="H13" i="5"/>
  <c r="I13" i="5"/>
  <c r="E13" i="5"/>
  <c r="F13" i="5"/>
  <c r="G13" i="5"/>
  <c r="AF83" i="31" l="1"/>
  <c r="AH83" i="31"/>
  <c r="I149" i="29"/>
  <c r="I154" i="29"/>
  <c r="I143" i="29"/>
  <c r="I153" i="29"/>
  <c r="I145" i="29"/>
  <c r="I150" i="29"/>
  <c r="I146" i="29"/>
  <c r="I151" i="29"/>
  <c r="I147" i="29"/>
  <c r="I144" i="29"/>
  <c r="I148" i="29"/>
  <c r="I152" i="29"/>
  <c r="AF84" i="31" l="1"/>
  <c r="AH84" i="31" s="1"/>
  <c r="AF85" i="31" l="1"/>
  <c r="AH85" i="31"/>
  <c r="I209" i="8"/>
  <c r="AF86" i="31" l="1"/>
  <c r="AH86" i="31"/>
  <c r="I195" i="8"/>
  <c r="I200" i="8"/>
  <c r="I201" i="8"/>
  <c r="AF87" i="31" l="1"/>
  <c r="AH87" i="31" s="1"/>
  <c r="K22" i="17" l="1"/>
  <c r="M22" i="15" l="1"/>
  <c r="U22" i="15"/>
  <c r="Y13" i="15"/>
  <c r="Y21" i="15"/>
  <c r="S22" i="15"/>
  <c r="Y11" i="15"/>
  <c r="T22" i="15"/>
  <c r="Y12" i="15"/>
  <c r="N22" i="15"/>
  <c r="V22" i="15"/>
  <c r="Y14" i="15"/>
  <c r="G22" i="15"/>
  <c r="W22" i="15"/>
  <c r="Y15" i="15"/>
  <c r="H22" i="15"/>
  <c r="I22" i="15"/>
  <c r="Q22" i="15"/>
  <c r="Y20" i="15"/>
  <c r="Y17" i="15"/>
  <c r="K22" i="15"/>
  <c r="L22" i="15"/>
  <c r="J22" i="15"/>
  <c r="R22" i="15"/>
  <c r="Y10" i="15"/>
  <c r="O22" i="15"/>
  <c r="Y18" i="15"/>
  <c r="Y19" i="15"/>
  <c r="P22" i="15"/>
  <c r="Y16" i="15"/>
  <c r="A11" i="3" l="1"/>
  <c r="A12" i="3" s="1"/>
  <c r="A13" i="3" s="1"/>
  <c r="A14" i="3" s="1"/>
  <c r="A15" i="3" l="1"/>
  <c r="A16" i="3" s="1"/>
  <c r="A17" i="3" s="1"/>
  <c r="D16" i="3"/>
  <c r="H14" i="3" l="1"/>
  <c r="G14" i="3"/>
  <c r="G16" i="3" s="1"/>
  <c r="E14" i="3"/>
  <c r="I14" i="3"/>
  <c r="A18" i="3"/>
  <c r="A19" i="3" s="1"/>
  <c r="F14" i="3"/>
  <c r="D19" i="3" l="1"/>
  <c r="AC34" i="13" l="1"/>
  <c r="AC38" i="13"/>
  <c r="AC41" i="13" l="1"/>
  <c r="AC37" i="13"/>
  <c r="AC33" i="13"/>
  <c r="AC40" i="13"/>
  <c r="AC36" i="13"/>
  <c r="AC32" i="13"/>
  <c r="AC39" i="13"/>
  <c r="AC35" i="13"/>
  <c r="AC31" i="13"/>
  <c r="Y42" i="13"/>
  <c r="Y43" i="13" s="1"/>
  <c r="Z42" i="13"/>
  <c r="Z43" i="13" s="1"/>
  <c r="G9" i="14" l="1"/>
  <c r="H9" i="14"/>
  <c r="I9" i="14"/>
  <c r="J9" i="14"/>
  <c r="K9" i="14"/>
  <c r="L9" i="14"/>
  <c r="M9" i="14"/>
  <c r="N9" i="14"/>
  <c r="O9" i="14"/>
  <c r="P9" i="14"/>
  <c r="Q9" i="14"/>
  <c r="R9" i="14"/>
  <c r="S9" i="14"/>
  <c r="T9" i="14"/>
  <c r="U9" i="14"/>
  <c r="V9" i="14"/>
  <c r="F9" i="14"/>
  <c r="U7" i="14"/>
  <c r="V7" i="14"/>
  <c r="T7" i="14"/>
  <c r="R7" i="14"/>
  <c r="S7" i="14"/>
  <c r="P7" i="14"/>
  <c r="Q7" i="14"/>
  <c r="N7" i="14"/>
  <c r="O7" i="14"/>
  <c r="L7" i="14"/>
  <c r="M7" i="14"/>
  <c r="I7" i="14"/>
  <c r="J7" i="14"/>
  <c r="K7" i="14"/>
  <c r="G7" i="14"/>
  <c r="H7" i="14"/>
  <c r="F7" i="14"/>
  <c r="G11" i="14"/>
  <c r="E11" i="13" s="1"/>
  <c r="H11" i="14"/>
  <c r="F11" i="13" s="1"/>
  <c r="I11" i="14"/>
  <c r="G11" i="13" s="1"/>
  <c r="J11" i="14"/>
  <c r="H11" i="13" s="1"/>
  <c r="K11" i="14"/>
  <c r="I11" i="13" s="1"/>
  <c r="L11" i="14"/>
  <c r="J11" i="13" s="1"/>
  <c r="M11" i="14"/>
  <c r="K11" i="13" s="1"/>
  <c r="N11" i="14"/>
  <c r="L11" i="13" s="1"/>
  <c r="O11" i="14"/>
  <c r="M11" i="13" s="1"/>
  <c r="P11" i="14"/>
  <c r="N11" i="13" s="1"/>
  <c r="Q11" i="14"/>
  <c r="O11" i="13" s="1"/>
  <c r="R11" i="14"/>
  <c r="P11" i="13" s="1"/>
  <c r="S11" i="14"/>
  <c r="Q11" i="13" s="1"/>
  <c r="T11" i="14"/>
  <c r="R11" i="13" s="1"/>
  <c r="U11" i="14"/>
  <c r="S11" i="13" s="1"/>
  <c r="V11" i="14"/>
  <c r="T11" i="13" s="1"/>
  <c r="F11" i="14"/>
  <c r="D11" i="13" s="1"/>
  <c r="F12" i="14"/>
  <c r="D12" i="13" s="1"/>
  <c r="X12" i="13" s="1"/>
  <c r="F13" i="14"/>
  <c r="D13" i="13" s="1"/>
  <c r="X13" i="13" s="1"/>
  <c r="F14" i="14"/>
  <c r="D14" i="13" s="1"/>
  <c r="X14" i="13" s="1"/>
  <c r="F15" i="14"/>
  <c r="D15" i="13" s="1"/>
  <c r="X15" i="13" s="1"/>
  <c r="F16" i="14"/>
  <c r="D16" i="13" s="1"/>
  <c r="X16" i="13" s="1"/>
  <c r="F17" i="14"/>
  <c r="D17" i="13" s="1"/>
  <c r="X17" i="13" s="1"/>
  <c r="F18" i="14"/>
  <c r="D18" i="13" s="1"/>
  <c r="X18" i="13" s="1"/>
  <c r="F19" i="14"/>
  <c r="D19" i="13" s="1"/>
  <c r="X19" i="13" s="1"/>
  <c r="F20" i="14"/>
  <c r="D20" i="13" s="1"/>
  <c r="X20" i="13" s="1"/>
  <c r="F21" i="14"/>
  <c r="D21" i="13" s="1"/>
  <c r="X21" i="13" s="1"/>
  <c r="X11" i="13" l="1"/>
  <c r="U22" i="13"/>
  <c r="U23" i="13" s="1"/>
  <c r="T22" i="13"/>
  <c r="T23" i="13" s="1"/>
  <c r="Y20" i="14"/>
  <c r="Y16" i="14"/>
  <c r="Y12" i="14"/>
  <c r="V22" i="18"/>
  <c r="R22" i="18"/>
  <c r="J22" i="18"/>
  <c r="L22" i="14"/>
  <c r="Y14" i="14"/>
  <c r="Y19" i="14"/>
  <c r="Y15" i="14"/>
  <c r="Y11" i="14"/>
  <c r="S22" i="14"/>
  <c r="O22" i="14"/>
  <c r="K22" i="14"/>
  <c r="G22" i="14"/>
  <c r="P22" i="14"/>
  <c r="T22" i="14"/>
  <c r="H22" i="14"/>
  <c r="N22" i="14"/>
  <c r="Y21" i="14"/>
  <c r="Y17" i="14"/>
  <c r="U22" i="14"/>
  <c r="Q22" i="14"/>
  <c r="M22" i="14"/>
  <c r="I22" i="14"/>
  <c r="Y18" i="14"/>
  <c r="N22" i="18"/>
  <c r="U22" i="18"/>
  <c r="Q22" i="18"/>
  <c r="M22" i="18"/>
  <c r="I22" i="18"/>
  <c r="V22" i="14"/>
  <c r="R22" i="14"/>
  <c r="T22" i="18"/>
  <c r="P22" i="18"/>
  <c r="L22" i="18"/>
  <c r="H22" i="18"/>
  <c r="S22" i="18"/>
  <c r="O22" i="18"/>
  <c r="K22" i="18"/>
  <c r="G22" i="18"/>
  <c r="C11" i="14"/>
  <c r="D11" i="14"/>
  <c r="C12" i="14"/>
  <c r="D12" i="14"/>
  <c r="C13" i="14"/>
  <c r="D13" i="14"/>
  <c r="C14" i="14"/>
  <c r="D14" i="14"/>
  <c r="C15" i="14"/>
  <c r="D15" i="14"/>
  <c r="C16" i="14"/>
  <c r="D16" i="14"/>
  <c r="C17" i="14"/>
  <c r="D17" i="14"/>
  <c r="C18" i="14"/>
  <c r="D18" i="14"/>
  <c r="C19" i="14"/>
  <c r="D19" i="14"/>
  <c r="C20" i="14"/>
  <c r="D20" i="14"/>
  <c r="C21" i="14"/>
  <c r="D21" i="14"/>
  <c r="D10" i="14"/>
  <c r="C10" i="14"/>
  <c r="AF30" i="18"/>
  <c r="AF42" i="18" l="1"/>
  <c r="AF43" i="18" s="1"/>
  <c r="Y13" i="14"/>
  <c r="J22" i="14"/>
  <c r="Y18" i="18"/>
  <c r="Y14" i="18"/>
  <c r="V23" i="18"/>
  <c r="Y16" i="18"/>
  <c r="Y21" i="18"/>
  <c r="Y17" i="18"/>
  <c r="Y13" i="18"/>
  <c r="Y20" i="18"/>
  <c r="Y12" i="18"/>
  <c r="Y19" i="18"/>
  <c r="Y15" i="18"/>
  <c r="Y11" i="18"/>
  <c r="Y10" i="18"/>
  <c r="Y10" i="14" l="1"/>
  <c r="U22" i="17"/>
  <c r="T22" i="17"/>
  <c r="A11" i="5" l="1"/>
  <c r="A12" i="5" s="1"/>
  <c r="A13" i="5" s="1"/>
  <c r="A14" i="5" s="1"/>
  <c r="D16" i="5" l="1"/>
  <c r="A15" i="5"/>
  <c r="A16" i="5" s="1"/>
  <c r="E14" i="5" l="1"/>
  <c r="G14" i="5"/>
  <c r="G16" i="5" s="1"/>
  <c r="G18" i="3" s="1"/>
  <c r="H14" i="5"/>
  <c r="I14" i="5"/>
  <c r="F14" i="5" l="1"/>
  <c r="I202" i="8" l="1"/>
  <c r="I199" i="8"/>
  <c r="I198" i="8"/>
  <c r="I197" i="8"/>
  <c r="I188" i="8"/>
  <c r="H211" i="8" l="1"/>
  <c r="G203" i="8"/>
  <c r="I132" i="29" l="1"/>
  <c r="I136" i="29"/>
  <c r="I140" i="29"/>
  <c r="I139" i="29"/>
  <c r="I133" i="29"/>
  <c r="I137" i="29"/>
  <c r="I141" i="29"/>
  <c r="I134" i="29"/>
  <c r="I138" i="29"/>
  <c r="I142" i="29"/>
  <c r="I131" i="29"/>
  <c r="I135" i="29"/>
  <c r="B18" i="27" l="1"/>
  <c r="H29" i="14"/>
  <c r="G29" i="14"/>
  <c r="F29" i="14"/>
  <c r="E29" i="14"/>
  <c r="G28" i="14"/>
  <c r="F28" i="14"/>
  <c r="E28" i="14"/>
  <c r="E8" i="14"/>
  <c r="E7" i="14"/>
  <c r="H8" i="27"/>
  <c r="C8" i="27"/>
  <c r="H9" i="27"/>
  <c r="C9" i="27"/>
  <c r="B16" i="27"/>
  <c r="B79" i="27"/>
  <c r="B78" i="27"/>
  <c r="B77" i="27"/>
  <c r="B76" i="27"/>
  <c r="B75" i="27"/>
  <c r="B74" i="27"/>
  <c r="B66" i="27"/>
  <c r="B65" i="27"/>
  <c r="B64" i="27"/>
  <c r="B63" i="27"/>
  <c r="B62" i="27"/>
  <c r="B61" i="27"/>
  <c r="B50" i="27"/>
  <c r="B49" i="27"/>
  <c r="B48" i="27"/>
  <c r="B46" i="27"/>
  <c r="B39" i="27"/>
  <c r="B38" i="27"/>
  <c r="B37" i="27"/>
  <c r="B36" i="27"/>
  <c r="B34" i="27"/>
  <c r="B31" i="27"/>
  <c r="B30" i="27"/>
  <c r="B29" i="27"/>
  <c r="B28" i="27"/>
  <c r="B27" i="27"/>
  <c r="B26" i="27"/>
  <c r="B25" i="27"/>
  <c r="B24" i="27"/>
  <c r="B23" i="27"/>
  <c r="B22" i="27"/>
  <c r="B21" i="27"/>
  <c r="B17" i="27"/>
  <c r="H135" i="1"/>
  <c r="H131" i="1"/>
  <c r="B82" i="27"/>
  <c r="B81" i="27"/>
  <c r="B80" i="27"/>
  <c r="B73" i="27"/>
  <c r="B72" i="27"/>
  <c r="B71" i="27"/>
  <c r="F14" i="11"/>
  <c r="F10" i="11"/>
  <c r="F9" i="11"/>
  <c r="C310" i="8"/>
  <c r="C305" i="8"/>
  <c r="C295" i="8"/>
  <c r="B292" i="8"/>
  <c r="C286" i="8"/>
  <c r="C285" i="8"/>
  <c r="B284" i="8"/>
  <c r="A282" i="8"/>
  <c r="C278" i="8"/>
  <c r="B67" i="27" s="1"/>
  <c r="C276" i="8"/>
  <c r="C267" i="8"/>
  <c r="B69" i="27" s="1"/>
  <c r="C260" i="8"/>
  <c r="C253" i="8"/>
  <c r="C246" i="8"/>
  <c r="G223" i="8"/>
  <c r="C223" i="8"/>
  <c r="B70" i="27" s="1"/>
  <c r="B171" i="8"/>
  <c r="I158" i="8"/>
  <c r="C132" i="8"/>
  <c r="G41" i="10"/>
  <c r="G35" i="10"/>
  <c r="C28" i="10"/>
  <c r="F26" i="10"/>
  <c r="C26" i="10"/>
  <c r="F25" i="10"/>
  <c r="E25" i="10"/>
  <c r="D25" i="10"/>
  <c r="F24" i="10"/>
  <c r="E24" i="10"/>
  <c r="D24" i="10"/>
  <c r="F23" i="10"/>
  <c r="E23" i="10"/>
  <c r="D23" i="10"/>
  <c r="G21" i="10"/>
  <c r="E21" i="10"/>
  <c r="D21" i="10"/>
  <c r="F20" i="10"/>
  <c r="E20" i="10"/>
  <c r="D20" i="10"/>
  <c r="F19" i="10"/>
  <c r="E19" i="10"/>
  <c r="D19" i="10"/>
  <c r="E17" i="10"/>
  <c r="D17" i="10"/>
  <c r="F16" i="10"/>
  <c r="E16" i="10"/>
  <c r="D16" i="10"/>
  <c r="E15" i="10"/>
  <c r="D15" i="10"/>
  <c r="K23" i="11"/>
  <c r="H23" i="11"/>
  <c r="H294" i="8"/>
  <c r="H295" i="8" s="1"/>
  <c r="H103" i="1" s="1"/>
  <c r="H293" i="8"/>
  <c r="H285" i="8"/>
  <c r="H287" i="1" s="1"/>
  <c r="H260" i="8"/>
  <c r="H228" i="1" s="1"/>
  <c r="I34" i="10" s="1"/>
  <c r="H229" i="1"/>
  <c r="I35" i="10" s="1"/>
  <c r="H214" i="1"/>
  <c r="C24" i="11" s="1"/>
  <c r="G66" i="28"/>
  <c r="G65" i="28"/>
  <c r="G64" i="28"/>
  <c r="G63" i="28"/>
  <c r="G62" i="28"/>
  <c r="G61" i="28"/>
  <c r="G60" i="28"/>
  <c r="G59" i="28"/>
  <c r="G58" i="28"/>
  <c r="G57" i="28"/>
  <c r="G56" i="28"/>
  <c r="G55" i="28"/>
  <c r="G54" i="28"/>
  <c r="G53" i="28"/>
  <c r="G52" i="28"/>
  <c r="G51" i="28"/>
  <c r="G50" i="28"/>
  <c r="G49" i="28"/>
  <c r="G48" i="28"/>
  <c r="G47" i="28"/>
  <c r="G46" i="28"/>
  <c r="G45" i="28"/>
  <c r="G44" i="28"/>
  <c r="G43" i="28"/>
  <c r="G42" i="28"/>
  <c r="G41" i="28"/>
  <c r="G40" i="28"/>
  <c r="G39" i="28"/>
  <c r="G38" i="28"/>
  <c r="G37" i="28"/>
  <c r="G36" i="28"/>
  <c r="G35" i="28"/>
  <c r="G34" i="28"/>
  <c r="G33" i="28"/>
  <c r="G32" i="28"/>
  <c r="G31" i="28"/>
  <c r="G30" i="28"/>
  <c r="G29" i="28"/>
  <c r="G28" i="28"/>
  <c r="G27" i="28"/>
  <c r="G26" i="28"/>
  <c r="G25" i="28"/>
  <c r="G24" i="28"/>
  <c r="G23" i="28"/>
  <c r="G22" i="28"/>
  <c r="G21" i="28"/>
  <c r="G20" i="28"/>
  <c r="G19" i="28"/>
  <c r="G18" i="28"/>
  <c r="G17" i="28"/>
  <c r="G16" i="28"/>
  <c r="G15" i="28"/>
  <c r="G14" i="28"/>
  <c r="G13" i="28"/>
  <c r="G12" i="28"/>
  <c r="G11" i="28"/>
  <c r="G10" i="28"/>
  <c r="G9" i="28"/>
  <c r="G8" i="28"/>
  <c r="G7" i="28"/>
  <c r="C80" i="27" s="1"/>
  <c r="B7" i="28"/>
  <c r="B8" i="28" s="1"/>
  <c r="B9" i="28" s="1"/>
  <c r="B10" i="28" s="1"/>
  <c r="B11" i="28" s="1"/>
  <c r="B12" i="28" s="1"/>
  <c r="B13" i="28" s="1"/>
  <c r="B14" i="28" s="1"/>
  <c r="B15" i="28" s="1"/>
  <c r="B16" i="28" s="1"/>
  <c r="B17" i="28" s="1"/>
  <c r="B18" i="28" s="1"/>
  <c r="B19" i="28" s="1"/>
  <c r="B20" i="28" s="1"/>
  <c r="B21" i="28" s="1"/>
  <c r="B22" i="28" s="1"/>
  <c r="B23" i="28" s="1"/>
  <c r="B24" i="28" s="1"/>
  <c r="B25" i="28" s="1"/>
  <c r="B26" i="28" s="1"/>
  <c r="B27" i="28" s="1"/>
  <c r="B28" i="28" s="1"/>
  <c r="B29" i="28" s="1"/>
  <c r="B30" i="28" s="1"/>
  <c r="B31" i="28" s="1"/>
  <c r="B32" i="28" s="1"/>
  <c r="B33" i="28" s="1"/>
  <c r="B34" i="28" s="1"/>
  <c r="B35" i="28" s="1"/>
  <c r="B36" i="28" s="1"/>
  <c r="B37" i="28" s="1"/>
  <c r="B38" i="28" s="1"/>
  <c r="B39" i="28" s="1"/>
  <c r="B40" i="28" s="1"/>
  <c r="B41" i="28" s="1"/>
  <c r="B42" i="28" s="1"/>
  <c r="B43" i="28" s="1"/>
  <c r="B44" i="28" s="1"/>
  <c r="B45" i="28" s="1"/>
  <c r="B46" i="28" s="1"/>
  <c r="B47" i="28" s="1"/>
  <c r="B48" i="28" s="1"/>
  <c r="B49" i="28" s="1"/>
  <c r="B50" i="28" s="1"/>
  <c r="B51" i="28" s="1"/>
  <c r="B52" i="28" s="1"/>
  <c r="B53" i="28" s="1"/>
  <c r="B54" i="28" s="1"/>
  <c r="B55" i="28" s="1"/>
  <c r="B56" i="28" s="1"/>
  <c r="B57" i="28" s="1"/>
  <c r="B58" i="28" s="1"/>
  <c r="B59" i="28" s="1"/>
  <c r="B60" i="28" s="1"/>
  <c r="B61" i="28" s="1"/>
  <c r="B62" i="28" s="1"/>
  <c r="B63" i="28" s="1"/>
  <c r="B64" i="28" s="1"/>
  <c r="B65" i="28" s="1"/>
  <c r="B66" i="28" s="1"/>
  <c r="G6" i="28"/>
  <c r="D62" i="27" s="1"/>
  <c r="E18" i="7"/>
  <c r="E7" i="7"/>
  <c r="H227" i="1"/>
  <c r="I33" i="10" s="1"/>
  <c r="H286" i="8"/>
  <c r="F17" i="4" s="1"/>
  <c r="A88" i="27"/>
  <c r="A89" i="27" s="1"/>
  <c r="A90" i="27" s="1"/>
  <c r="A91" i="27" s="1"/>
  <c r="A92" i="27" s="1"/>
  <c r="A93" i="27" s="1"/>
  <c r="A94" i="27" s="1"/>
  <c r="A95" i="27" s="1"/>
  <c r="A96" i="27" s="1"/>
  <c r="A97" i="27" s="1"/>
  <c r="A98" i="27" s="1"/>
  <c r="A99" i="27" s="1"/>
  <c r="A101" i="27" s="1"/>
  <c r="A102" i="27" s="1"/>
  <c r="A103" i="27" s="1"/>
  <c r="C82" i="27"/>
  <c r="C78" i="27"/>
  <c r="C76" i="27"/>
  <c r="C74" i="27"/>
  <c r="C72" i="27"/>
  <c r="C70" i="27"/>
  <c r="C67" i="27"/>
  <c r="C65" i="27"/>
  <c r="C63" i="27"/>
  <c r="C61" i="27"/>
  <c r="C58" i="27"/>
  <c r="C56" i="27"/>
  <c r="C54" i="27"/>
  <c r="C52" i="27"/>
  <c r="C49" i="27"/>
  <c r="C45" i="27"/>
  <c r="C43" i="27"/>
  <c r="C41" i="27"/>
  <c r="C38" i="27"/>
  <c r="C36" i="27"/>
  <c r="C33" i="27"/>
  <c r="C30" i="27"/>
  <c r="C28" i="27"/>
  <c r="C26" i="27"/>
  <c r="C24" i="27"/>
  <c r="C22" i="27"/>
  <c r="C19" i="27"/>
  <c r="C17" i="27"/>
  <c r="A16" i="27"/>
  <c r="A17" i="27" s="1"/>
  <c r="A18" i="27" s="1"/>
  <c r="A19" i="27" s="1"/>
  <c r="A20" i="27" s="1"/>
  <c r="A21" i="27" s="1"/>
  <c r="A22" i="27" s="1"/>
  <c r="A23" i="27" s="1"/>
  <c r="A24" i="27" s="1"/>
  <c r="A25" i="27" s="1"/>
  <c r="A26" i="27" s="1"/>
  <c r="A27"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4" i="27" s="1"/>
  <c r="A65" i="27" s="1"/>
  <c r="A66" i="27" s="1"/>
  <c r="A67" i="27" s="1"/>
  <c r="A68" i="27" s="1"/>
  <c r="A69" i="27" s="1"/>
  <c r="A70" i="27" s="1"/>
  <c r="A71" i="27" s="1"/>
  <c r="A72" i="27" s="1"/>
  <c r="A73" i="27" s="1"/>
  <c r="A74" i="27" s="1"/>
  <c r="A75" i="27" s="1"/>
  <c r="A76" i="27" s="1"/>
  <c r="A77" i="27" s="1"/>
  <c r="A78" i="27" s="1"/>
  <c r="A79" i="27" s="1"/>
  <c r="A80" i="27" s="1"/>
  <c r="A81" i="27" s="1"/>
  <c r="A82" i="27" s="1"/>
  <c r="E14" i="27"/>
  <c r="D14" i="27"/>
  <c r="E9" i="27"/>
  <c r="E41" i="7" s="1"/>
  <c r="E42" i="7" s="1"/>
  <c r="E9" i="7" s="1"/>
  <c r="A8" i="27"/>
  <c r="A9" i="27" s="1"/>
  <c r="I106" i="29"/>
  <c r="I105" i="29"/>
  <c r="I104" i="29"/>
  <c r="I103" i="29"/>
  <c r="J104" i="29" s="1"/>
  <c r="I102" i="29"/>
  <c r="J101" i="29"/>
  <c r="I101" i="29"/>
  <c r="I100" i="29"/>
  <c r="I99" i="29"/>
  <c r="I98" i="29"/>
  <c r="I97" i="29"/>
  <c r="I96" i="29"/>
  <c r="I95" i="29"/>
  <c r="J96" i="29" s="1"/>
  <c r="I94" i="29"/>
  <c r="I93" i="29"/>
  <c r="I92" i="29"/>
  <c r="J93" i="29" s="1"/>
  <c r="I91" i="29"/>
  <c r="I90" i="29"/>
  <c r="I89" i="29"/>
  <c r="I88" i="29"/>
  <c r="I87" i="29"/>
  <c r="I86" i="29"/>
  <c r="J85" i="29"/>
  <c r="I85" i="29"/>
  <c r="J84" i="29"/>
  <c r="I84" i="29"/>
  <c r="J83" i="29"/>
  <c r="I83" i="29"/>
  <c r="J82" i="29"/>
  <c r="I82" i="29"/>
  <c r="J81" i="29"/>
  <c r="I81" i="29"/>
  <c r="J80" i="29"/>
  <c r="I80" i="29"/>
  <c r="J79" i="29"/>
  <c r="I79" i="29"/>
  <c r="J78" i="29"/>
  <c r="I78" i="29"/>
  <c r="J77" i="29"/>
  <c r="I77" i="29"/>
  <c r="J76" i="29"/>
  <c r="I76" i="29"/>
  <c r="J75" i="29"/>
  <c r="I75" i="29"/>
  <c r="J74" i="29"/>
  <c r="I74" i="29"/>
  <c r="J73" i="29"/>
  <c r="I73" i="29"/>
  <c r="I72" i="29"/>
  <c r="I71" i="29"/>
  <c r="J72" i="29" s="1"/>
  <c r="I70" i="29"/>
  <c r="I69" i="29"/>
  <c r="I68" i="29"/>
  <c r="I67" i="29"/>
  <c r="I66" i="29"/>
  <c r="I65" i="29"/>
  <c r="I64" i="29"/>
  <c r="I63" i="29"/>
  <c r="I62" i="29"/>
  <c r="I61" i="29"/>
  <c r="I60" i="29"/>
  <c r="I59" i="29"/>
  <c r="I58" i="29"/>
  <c r="I57" i="29"/>
  <c r="I56" i="29"/>
  <c r="J55" i="29"/>
  <c r="I55" i="29"/>
  <c r="I54" i="29"/>
  <c r="I53" i="29"/>
  <c r="I52" i="29"/>
  <c r="J53" i="29" s="1"/>
  <c r="I51" i="29"/>
  <c r="I50" i="29"/>
  <c r="I49" i="29"/>
  <c r="I48" i="29"/>
  <c r="J47" i="29"/>
  <c r="I47" i="29"/>
  <c r="J46" i="29"/>
  <c r="I46" i="29"/>
  <c r="I45" i="29"/>
  <c r="I44" i="29"/>
  <c r="I43" i="29"/>
  <c r="I42" i="29"/>
  <c r="I41" i="29"/>
  <c r="I40" i="29"/>
  <c r="I39" i="29"/>
  <c r="I38" i="29"/>
  <c r="I37" i="29"/>
  <c r="J38" i="29" s="1"/>
  <c r="I36" i="29"/>
  <c r="I35" i="29"/>
  <c r="J36" i="29" s="1"/>
  <c r="I34" i="29"/>
  <c r="I33" i="29"/>
  <c r="I32" i="29"/>
  <c r="I31" i="29"/>
  <c r="J32" i="29" s="1"/>
  <c r="I30" i="29"/>
  <c r="I29" i="29"/>
  <c r="J28" i="29"/>
  <c r="I28" i="29"/>
  <c r="I27" i="29"/>
  <c r="I26" i="29"/>
  <c r="I25" i="29"/>
  <c r="J24" i="29"/>
  <c r="I24" i="29"/>
  <c r="J23" i="29"/>
  <c r="I23" i="29"/>
  <c r="I22" i="29"/>
  <c r="I21" i="29"/>
  <c r="J22" i="29" s="1"/>
  <c r="I20" i="29"/>
  <c r="I19" i="29"/>
  <c r="I18" i="29"/>
  <c r="I17" i="29"/>
  <c r="I16" i="29"/>
  <c r="I15" i="29"/>
  <c r="I14" i="29"/>
  <c r="I13" i="29"/>
  <c r="I12" i="29"/>
  <c r="I11" i="29"/>
  <c r="J8" i="29"/>
  <c r="K43" i="9"/>
  <c r="J43" i="9"/>
  <c r="I43" i="9"/>
  <c r="H43" i="9"/>
  <c r="G43" i="9"/>
  <c r="F43" i="9"/>
  <c r="E43" i="9"/>
  <c r="K42" i="9"/>
  <c r="J42" i="9"/>
  <c r="I42" i="9"/>
  <c r="H42" i="9"/>
  <c r="G42" i="9"/>
  <c r="F42" i="9"/>
  <c r="E42" i="9"/>
  <c r="K41" i="9"/>
  <c r="J41" i="9"/>
  <c r="I41" i="9"/>
  <c r="H41" i="9"/>
  <c r="G41" i="9"/>
  <c r="F41" i="9"/>
  <c r="E41" i="9"/>
  <c r="K40" i="9"/>
  <c r="J40" i="9"/>
  <c r="I40" i="9"/>
  <c r="H40" i="9"/>
  <c r="G40" i="9"/>
  <c r="F40" i="9"/>
  <c r="E40" i="9"/>
  <c r="K39" i="9"/>
  <c r="J39" i="9"/>
  <c r="I39" i="9"/>
  <c r="H39" i="9"/>
  <c r="G39" i="9"/>
  <c r="F39" i="9"/>
  <c r="E39" i="9"/>
  <c r="K38" i="9"/>
  <c r="J38" i="9"/>
  <c r="I38" i="9"/>
  <c r="H38" i="9"/>
  <c r="G38" i="9"/>
  <c r="F38" i="9"/>
  <c r="E38" i="9"/>
  <c r="K37" i="9"/>
  <c r="J37" i="9"/>
  <c r="I37" i="9"/>
  <c r="H37" i="9"/>
  <c r="G37" i="9"/>
  <c r="F37" i="9"/>
  <c r="E37" i="9"/>
  <c r="K36" i="9"/>
  <c r="J36" i="9"/>
  <c r="I36" i="9"/>
  <c r="H36" i="9"/>
  <c r="G36" i="9"/>
  <c r="F36" i="9"/>
  <c r="E36" i="9"/>
  <c r="K35" i="9"/>
  <c r="J35" i="9"/>
  <c r="I35" i="9"/>
  <c r="H35" i="9"/>
  <c r="G35" i="9"/>
  <c r="F35" i="9"/>
  <c r="E35" i="9"/>
  <c r="K34" i="9"/>
  <c r="J34" i="9"/>
  <c r="I34" i="9"/>
  <c r="H34" i="9"/>
  <c r="G34" i="9"/>
  <c r="F34" i="9"/>
  <c r="E34" i="9"/>
  <c r="K33" i="9"/>
  <c r="J33" i="9"/>
  <c r="H33" i="9"/>
  <c r="G33" i="9"/>
  <c r="F33" i="9"/>
  <c r="K32" i="9"/>
  <c r="I32" i="9"/>
  <c r="G32" i="9"/>
  <c r="E32" i="9"/>
  <c r="B36" i="26"/>
  <c r="B35" i="26"/>
  <c r="B34" i="26"/>
  <c r="B33" i="26"/>
  <c r="B32" i="26"/>
  <c r="B31" i="26"/>
  <c r="B30" i="26"/>
  <c r="B29" i="26"/>
  <c r="B28" i="26"/>
  <c r="B27" i="26"/>
  <c r="B26" i="26"/>
  <c r="B25" i="26"/>
  <c r="Y7" i="24"/>
  <c r="Y6" i="24"/>
  <c r="L52" i="20"/>
  <c r="K52" i="20"/>
  <c r="J52" i="20"/>
  <c r="H52" i="20"/>
  <c r="I52" i="20" s="1"/>
  <c r="L51" i="20"/>
  <c r="K51" i="20"/>
  <c r="J51" i="20"/>
  <c r="H51" i="20"/>
  <c r="I51" i="20" s="1"/>
  <c r="L50" i="20"/>
  <c r="K50" i="20"/>
  <c r="J50" i="20"/>
  <c r="H50" i="20"/>
  <c r="I50" i="20" s="1"/>
  <c r="L49" i="20"/>
  <c r="K49" i="20"/>
  <c r="J49" i="20"/>
  <c r="H49" i="20"/>
  <c r="I49" i="20" s="1"/>
  <c r="L48" i="20"/>
  <c r="J48" i="20"/>
  <c r="H48" i="20"/>
  <c r="I48" i="20" s="1"/>
  <c r="L47" i="20"/>
  <c r="K47" i="20"/>
  <c r="J47" i="20"/>
  <c r="H47" i="20"/>
  <c r="I47" i="20" s="1"/>
  <c r="K46" i="20"/>
  <c r="J46" i="20"/>
  <c r="H46" i="20"/>
  <c r="I46" i="20" s="1"/>
  <c r="J45" i="20"/>
  <c r="I45" i="20"/>
  <c r="H45" i="20"/>
  <c r="K45" i="20" s="1"/>
  <c r="L44" i="20"/>
  <c r="K44" i="20"/>
  <c r="J44" i="20"/>
  <c r="H44" i="20"/>
  <c r="I44" i="20" s="1"/>
  <c r="K43" i="20"/>
  <c r="J43" i="20"/>
  <c r="H43" i="20"/>
  <c r="L43" i="20" s="1"/>
  <c r="K42" i="20"/>
  <c r="J42" i="20"/>
  <c r="H42" i="20"/>
  <c r="I42" i="20" s="1"/>
  <c r="K41" i="20"/>
  <c r="J41" i="20"/>
  <c r="H41" i="20"/>
  <c r="I41" i="20" s="1"/>
  <c r="L40" i="20"/>
  <c r="K40" i="20"/>
  <c r="J40" i="20"/>
  <c r="H40" i="20"/>
  <c r="I40" i="20" s="1"/>
  <c r="L39" i="20"/>
  <c r="K39" i="20"/>
  <c r="J39" i="20"/>
  <c r="H39" i="20"/>
  <c r="I39" i="20" s="1"/>
  <c r="K38" i="20"/>
  <c r="J38" i="20"/>
  <c r="I38" i="20"/>
  <c r="H38" i="20"/>
  <c r="L38" i="20" s="1"/>
  <c r="L37" i="20"/>
  <c r="K37" i="20"/>
  <c r="J37" i="20"/>
  <c r="H37" i="20"/>
  <c r="I37" i="20" s="1"/>
  <c r="L36" i="20"/>
  <c r="K36" i="20"/>
  <c r="J36" i="20"/>
  <c r="H36" i="20"/>
  <c r="I36" i="20" s="1"/>
  <c r="K35" i="20"/>
  <c r="J35" i="20"/>
  <c r="H35" i="20"/>
  <c r="L35" i="20" s="1"/>
  <c r="L34" i="20"/>
  <c r="J34" i="20"/>
  <c r="H34" i="20"/>
  <c r="I34" i="20" s="1"/>
  <c r="L33" i="20"/>
  <c r="K33" i="20"/>
  <c r="J33" i="20"/>
  <c r="H33" i="20"/>
  <c r="I33" i="20" s="1"/>
  <c r="L32" i="20"/>
  <c r="J32" i="20"/>
  <c r="H32" i="20"/>
  <c r="K32" i="20" s="1"/>
  <c r="L31" i="20"/>
  <c r="K31" i="20"/>
  <c r="J31" i="20"/>
  <c r="H31" i="20"/>
  <c r="I31" i="20" s="1"/>
  <c r="L30" i="20"/>
  <c r="K30" i="20"/>
  <c r="J30" i="20"/>
  <c r="H30" i="20"/>
  <c r="I30" i="20" s="1"/>
  <c r="L29" i="20"/>
  <c r="K29" i="20"/>
  <c r="J29" i="20"/>
  <c r="H29" i="20"/>
  <c r="I29" i="20" s="1"/>
  <c r="L28" i="20"/>
  <c r="K28" i="20"/>
  <c r="J28" i="20"/>
  <c r="H28" i="20"/>
  <c r="I28" i="20" s="1"/>
  <c r="L27" i="20"/>
  <c r="K27" i="20"/>
  <c r="J27" i="20"/>
  <c r="H27" i="20"/>
  <c r="I27" i="20" s="1"/>
  <c r="L26" i="20"/>
  <c r="K26" i="20"/>
  <c r="J26" i="20"/>
  <c r="H26" i="20"/>
  <c r="I26" i="20" s="1"/>
  <c r="L25" i="20"/>
  <c r="K25" i="20"/>
  <c r="J25" i="20"/>
  <c r="H25" i="20"/>
  <c r="I25" i="20" s="1"/>
  <c r="L24" i="20"/>
  <c r="K24" i="20"/>
  <c r="J24" i="20"/>
  <c r="H24" i="20"/>
  <c r="I24" i="20" s="1"/>
  <c r="L23" i="20"/>
  <c r="K23" i="20"/>
  <c r="J23" i="20"/>
  <c r="H23" i="20"/>
  <c r="I23" i="20" s="1"/>
  <c r="L22" i="20"/>
  <c r="J22" i="20"/>
  <c r="I22" i="20"/>
  <c r="H22" i="20"/>
  <c r="K22" i="20" s="1"/>
  <c r="L21" i="20"/>
  <c r="K21" i="20"/>
  <c r="J21" i="20"/>
  <c r="H21" i="20"/>
  <c r="I21" i="20" s="1"/>
  <c r="L20" i="20"/>
  <c r="K20" i="20"/>
  <c r="J20" i="20"/>
  <c r="H20" i="20"/>
  <c r="I20" i="20" s="1"/>
  <c r="L19" i="20"/>
  <c r="K19" i="20"/>
  <c r="J19" i="20"/>
  <c r="H19" i="20"/>
  <c r="I19" i="20" s="1"/>
  <c r="L18" i="20"/>
  <c r="K18" i="20"/>
  <c r="J18" i="20"/>
  <c r="H18" i="20"/>
  <c r="I18" i="20" s="1"/>
  <c r="L17" i="20"/>
  <c r="K17" i="20"/>
  <c r="J17" i="20"/>
  <c r="H17" i="20"/>
  <c r="I17" i="20" s="1"/>
  <c r="L16" i="20"/>
  <c r="K16" i="20"/>
  <c r="J16" i="20"/>
  <c r="H16" i="20"/>
  <c r="I16" i="20" s="1"/>
  <c r="L15" i="20"/>
  <c r="J15" i="20"/>
  <c r="I15" i="20"/>
  <c r="H15" i="20"/>
  <c r="K15" i="20" s="1"/>
  <c r="L14" i="20"/>
  <c r="J14" i="20"/>
  <c r="I14" i="20"/>
  <c r="H14" i="20"/>
  <c r="L13" i="20"/>
  <c r="J13" i="20"/>
  <c r="I13" i="20"/>
  <c r="H13" i="20"/>
  <c r="K12" i="20"/>
  <c r="J12" i="20"/>
  <c r="I12" i="20"/>
  <c r="H12" i="20"/>
  <c r="L12" i="20" s="1"/>
  <c r="K11" i="20"/>
  <c r="J11" i="20"/>
  <c r="I11" i="20"/>
  <c r="H11" i="20"/>
  <c r="L11" i="20" s="1"/>
  <c r="L10" i="20"/>
  <c r="K10" i="20"/>
  <c r="J10" i="20"/>
  <c r="H10" i="20"/>
  <c r="I10" i="20" s="1"/>
  <c r="K9" i="20"/>
  <c r="J9" i="20"/>
  <c r="I9" i="20"/>
  <c r="H9" i="20"/>
  <c r="L8" i="20"/>
  <c r="J8" i="20"/>
  <c r="I8" i="20"/>
  <c r="H8" i="20"/>
  <c r="K8" i="20" s="1"/>
  <c r="L7" i="20"/>
  <c r="J7" i="20"/>
  <c r="I7" i="20"/>
  <c r="H7" i="20"/>
  <c r="AC21" i="13"/>
  <c r="G42" i="14"/>
  <c r="AB21" i="13" s="1"/>
  <c r="F42" i="14"/>
  <c r="AA21" i="13" s="1"/>
  <c r="D42" i="14"/>
  <c r="C42" i="14"/>
  <c r="AC20" i="13"/>
  <c r="G41" i="14"/>
  <c r="AB20" i="13" s="1"/>
  <c r="E41" i="14"/>
  <c r="Z20" i="13" s="1"/>
  <c r="D41" i="14"/>
  <c r="C41" i="14"/>
  <c r="AC19" i="13"/>
  <c r="G40" i="14"/>
  <c r="AB19" i="13" s="1"/>
  <c r="F40" i="14"/>
  <c r="AA19" i="13" s="1"/>
  <c r="E19" i="14"/>
  <c r="C19" i="13" s="1"/>
  <c r="D40" i="14"/>
  <c r="C40" i="14"/>
  <c r="AC18" i="13"/>
  <c r="G39" i="14"/>
  <c r="AB18" i="13" s="1"/>
  <c r="E39" i="14"/>
  <c r="Z18" i="13" s="1"/>
  <c r="E18" i="14"/>
  <c r="C18" i="13" s="1"/>
  <c r="D39" i="14"/>
  <c r="C39" i="14"/>
  <c r="AC17" i="13"/>
  <c r="G38" i="14"/>
  <c r="AB17" i="13" s="1"/>
  <c r="F38" i="14"/>
  <c r="AA17" i="13" s="1"/>
  <c r="D38" i="14"/>
  <c r="C38" i="14"/>
  <c r="AC16" i="13"/>
  <c r="G37" i="14"/>
  <c r="AB16" i="13" s="1"/>
  <c r="F37" i="14"/>
  <c r="AA16" i="13" s="1"/>
  <c r="E16" i="14"/>
  <c r="C16" i="13" s="1"/>
  <c r="D37" i="14"/>
  <c r="C37" i="14"/>
  <c r="AC15" i="13"/>
  <c r="G36" i="14"/>
  <c r="AB15" i="13" s="1"/>
  <c r="E36" i="14"/>
  <c r="Z15" i="13" s="1"/>
  <c r="D36" i="14"/>
  <c r="C36" i="14"/>
  <c r="AC14" i="13"/>
  <c r="G35" i="14"/>
  <c r="AB14" i="13" s="1"/>
  <c r="E35" i="14"/>
  <c r="Z14" i="13" s="1"/>
  <c r="E14" i="14"/>
  <c r="C14" i="13" s="1"/>
  <c r="D35" i="14"/>
  <c r="C35" i="14"/>
  <c r="AC13" i="13"/>
  <c r="G34" i="14"/>
  <c r="AB13" i="13" s="1"/>
  <c r="F34" i="14"/>
  <c r="AA13" i="13" s="1"/>
  <c r="D34" i="14"/>
  <c r="C34" i="14"/>
  <c r="AC12" i="13"/>
  <c r="G33" i="14"/>
  <c r="AB12" i="13" s="1"/>
  <c r="F33" i="14"/>
  <c r="AA12" i="13" s="1"/>
  <c r="E12" i="14"/>
  <c r="C12" i="13" s="1"/>
  <c r="D33" i="14"/>
  <c r="C33" i="14"/>
  <c r="AC11" i="13"/>
  <c r="G32" i="14"/>
  <c r="AB11" i="13" s="1"/>
  <c r="E32" i="14"/>
  <c r="Z11" i="13" s="1"/>
  <c r="D32" i="14"/>
  <c r="C32" i="14"/>
  <c r="E31" i="14"/>
  <c r="Z10" i="13" s="1"/>
  <c r="D31" i="14"/>
  <c r="C31" i="14"/>
  <c r="H30" i="14"/>
  <c r="G30" i="14"/>
  <c r="F30" i="14"/>
  <c r="E30" i="14"/>
  <c r="I43" i="17"/>
  <c r="I43" i="14"/>
  <c r="AG43" i="13"/>
  <c r="X42" i="13"/>
  <c r="X43" i="13" s="1"/>
  <c r="W42" i="13"/>
  <c r="W43" i="13" s="1"/>
  <c r="V42" i="13"/>
  <c r="V43" i="13" s="1"/>
  <c r="S42" i="13"/>
  <c r="S43" i="13" s="1"/>
  <c r="R42" i="13"/>
  <c r="R43" i="13" s="1"/>
  <c r="P42" i="13"/>
  <c r="P43" i="13" s="1"/>
  <c r="N42" i="13"/>
  <c r="N43" i="13" s="1"/>
  <c r="M42" i="13"/>
  <c r="M43" i="13" s="1"/>
  <c r="L42" i="13"/>
  <c r="L43" i="13" s="1"/>
  <c r="K42" i="13"/>
  <c r="K43" i="13" s="1"/>
  <c r="J42" i="13"/>
  <c r="J43" i="13" s="1"/>
  <c r="I42" i="13"/>
  <c r="I43" i="13" s="1"/>
  <c r="H42" i="13"/>
  <c r="H43" i="13" s="1"/>
  <c r="G42" i="13"/>
  <c r="G43" i="13" s="1"/>
  <c r="F42" i="13"/>
  <c r="F43" i="13" s="1"/>
  <c r="E42" i="13"/>
  <c r="E43" i="13" s="1"/>
  <c r="D42" i="13"/>
  <c r="D43" i="13" s="1"/>
  <c r="C42" i="13"/>
  <c r="C43" i="13" s="1"/>
  <c r="AD22" i="13"/>
  <c r="AD23" i="13" s="1"/>
  <c r="R71" i="11"/>
  <c r="S70" i="11"/>
  <c r="E69" i="11"/>
  <c r="E68" i="11"/>
  <c r="E67" i="11"/>
  <c r="E66" i="11"/>
  <c r="E65" i="11"/>
  <c r="E64" i="11"/>
  <c r="E63" i="11"/>
  <c r="E62" i="11"/>
  <c r="E61" i="11"/>
  <c r="E60" i="11"/>
  <c r="E59" i="11"/>
  <c r="E58" i="11"/>
  <c r="E57" i="11"/>
  <c r="E56" i="11"/>
  <c r="E55" i="11"/>
  <c r="E54" i="11"/>
  <c r="E53" i="11"/>
  <c r="E52" i="11"/>
  <c r="E51" i="11"/>
  <c r="E50" i="11"/>
  <c r="E49" i="11"/>
  <c r="E48" i="11"/>
  <c r="E47" i="11"/>
  <c r="E46" i="11"/>
  <c r="E45" i="11"/>
  <c r="E44" i="11"/>
  <c r="E43" i="11"/>
  <c r="E42" i="11"/>
  <c r="E41" i="11"/>
  <c r="E40" i="11"/>
  <c r="E39" i="11"/>
  <c r="E38" i="11"/>
  <c r="E37" i="11"/>
  <c r="E36" i="11"/>
  <c r="E35" i="11"/>
  <c r="E34" i="11"/>
  <c r="E33" i="11"/>
  <c r="C33" i="11"/>
  <c r="C35" i="11" s="1"/>
  <c r="C37" i="11" s="1"/>
  <c r="C39" i="11" s="1"/>
  <c r="C41" i="11" s="1"/>
  <c r="C43" i="11" s="1"/>
  <c r="C45" i="11" s="1"/>
  <c r="C47" i="11" s="1"/>
  <c r="C49" i="11" s="1"/>
  <c r="C51" i="11" s="1"/>
  <c r="C53" i="11" s="1"/>
  <c r="C55" i="11" s="1"/>
  <c r="C57" i="11" s="1"/>
  <c r="C59" i="11" s="1"/>
  <c r="C61" i="11" s="1"/>
  <c r="C63" i="11" s="1"/>
  <c r="C65" i="11" s="1"/>
  <c r="C67" i="11" s="1"/>
  <c r="C69" i="11" s="1"/>
  <c r="N32" i="11"/>
  <c r="E32" i="11"/>
  <c r="D32" i="11"/>
  <c r="D34" i="11" s="1"/>
  <c r="D36" i="11" s="1"/>
  <c r="E31" i="11"/>
  <c r="D31" i="11"/>
  <c r="B31" i="11"/>
  <c r="N30" i="11"/>
  <c r="N31" i="11" s="1"/>
  <c r="E30" i="11"/>
  <c r="N27" i="11"/>
  <c r="E27" i="11"/>
  <c r="F49" i="11" s="1"/>
  <c r="A21" i="11"/>
  <c r="A22" i="11" s="1"/>
  <c r="A23" i="11" s="1"/>
  <c r="A24" i="11" s="1"/>
  <c r="A25" i="11" s="1"/>
  <c r="A26" i="11" s="1"/>
  <c r="A27"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D65" i="9"/>
  <c r="D60" i="9"/>
  <c r="C60" i="9"/>
  <c r="A60" i="9"/>
  <c r="D55" i="9"/>
  <c r="B55" i="9"/>
  <c r="A55" i="9"/>
  <c r="D53" i="9"/>
  <c r="D56" i="9" s="1"/>
  <c r="D61" i="9" s="1"/>
  <c r="D66" i="9" s="1"/>
  <c r="Q52" i="9"/>
  <c r="Q53" i="9" s="1"/>
  <c r="Q54" i="9" s="1"/>
  <c r="Q55" i="9" s="1"/>
  <c r="Q56" i="9" s="1"/>
  <c r="Q57" i="9" s="1"/>
  <c r="Q58" i="9" s="1"/>
  <c r="Q59" i="9" s="1"/>
  <c r="Q60" i="9" s="1"/>
  <c r="Q61" i="9" s="1"/>
  <c r="Q62" i="9" s="1"/>
  <c r="D52" i="9"/>
  <c r="B52" i="9"/>
  <c r="D49" i="9"/>
  <c r="N44" i="9"/>
  <c r="O33" i="9"/>
  <c r="U32" i="9"/>
  <c r="V32" i="9" s="1"/>
  <c r="U31" i="9"/>
  <c r="V31" i="9" s="1"/>
  <c r="Q31" i="9"/>
  <c r="P31" i="9"/>
  <c r="R31" i="9" s="1"/>
  <c r="L31" i="9"/>
  <c r="V28" i="9"/>
  <c r="U28" i="9"/>
  <c r="R28" i="9"/>
  <c r="P28" i="9"/>
  <c r="U26" i="9"/>
  <c r="P26" i="9"/>
  <c r="D22" i="9"/>
  <c r="C22" i="9"/>
  <c r="C25" i="9" s="1"/>
  <c r="C49" i="9" s="1"/>
  <c r="C52" i="9" s="1"/>
  <c r="B22" i="9"/>
  <c r="B25" i="9" s="1"/>
  <c r="B49" i="9" s="1"/>
  <c r="A22" i="9"/>
  <c r="C17" i="9"/>
  <c r="C15" i="9" s="1"/>
  <c r="C65" i="9" s="1"/>
  <c r="B14" i="9"/>
  <c r="B60" i="9" s="1"/>
  <c r="C9" i="9"/>
  <c r="C10" i="9" s="1"/>
  <c r="C11" i="9" s="1"/>
  <c r="C12" i="9" s="1"/>
  <c r="C55" i="9" s="1"/>
  <c r="B9" i="9"/>
  <c r="H326" i="8"/>
  <c r="H121" i="1" s="1"/>
  <c r="I295" i="8"/>
  <c r="G295" i="8"/>
  <c r="K253" i="8"/>
  <c r="H239" i="8"/>
  <c r="I237" i="8"/>
  <c r="J236" i="8"/>
  <c r="J239" i="8" s="1"/>
  <c r="I235" i="8"/>
  <c r="H220" i="8"/>
  <c r="C220" i="8"/>
  <c r="G219" i="8"/>
  <c r="C218" i="8"/>
  <c r="I213" i="8"/>
  <c r="I207" i="8"/>
  <c r="I206" i="8"/>
  <c r="I196" i="8"/>
  <c r="H194" i="8"/>
  <c r="H193" i="8"/>
  <c r="I192" i="8"/>
  <c r="I191" i="8"/>
  <c r="H190" i="8"/>
  <c r="I189" i="8"/>
  <c r="K174" i="8"/>
  <c r="G174" i="8"/>
  <c r="I151" i="8"/>
  <c r="G151" i="8"/>
  <c r="I147" i="8"/>
  <c r="G147" i="8"/>
  <c r="I143" i="8"/>
  <c r="G143" i="8"/>
  <c r="F134" i="8"/>
  <c r="F132" i="8"/>
  <c r="F130" i="8"/>
  <c r="F114" i="8"/>
  <c r="F109" i="8"/>
  <c r="F104" i="8"/>
  <c r="F88" i="8"/>
  <c r="F68" i="8"/>
  <c r="F62" i="8"/>
  <c r="G62" i="8"/>
  <c r="F46" i="8"/>
  <c r="G46" i="8"/>
  <c r="H42" i="1" s="1"/>
  <c r="F41" i="8"/>
  <c r="G41" i="8"/>
  <c r="H43" i="1" s="1"/>
  <c r="F36" i="8"/>
  <c r="G36" i="8"/>
  <c r="F20" i="8"/>
  <c r="B8" i="8"/>
  <c r="B9" i="8" s="1"/>
  <c r="B10" i="8" s="1"/>
  <c r="B11" i="8" s="1"/>
  <c r="B12" i="8" s="1"/>
  <c r="B13" i="8" s="1"/>
  <c r="B14" i="8" s="1"/>
  <c r="B15" i="8" s="1"/>
  <c r="B16" i="8" s="1"/>
  <c r="B17" i="8" s="1"/>
  <c r="B18" i="8" s="1"/>
  <c r="B19" i="8" s="1"/>
  <c r="F7" i="8"/>
  <c r="F23" i="8" s="1"/>
  <c r="D9" i="10"/>
  <c r="C18" i="7"/>
  <c r="C16" i="7"/>
  <c r="C15" i="7"/>
  <c r="A8" i="7"/>
  <c r="A9" i="7" s="1"/>
  <c r="A10" i="7" s="1"/>
  <c r="A11" i="7" s="1"/>
  <c r="D38" i="6"/>
  <c r="D40" i="6" s="1"/>
  <c r="B38" i="6"/>
  <c r="B37" i="6"/>
  <c r="B36" i="6"/>
  <c r="B35" i="6"/>
  <c r="B34" i="6"/>
  <c r="B33" i="6"/>
  <c r="B32" i="6"/>
  <c r="B31" i="6"/>
  <c r="A25" i="6"/>
  <c r="A27" i="6" s="1"/>
  <c r="A19" i="6"/>
  <c r="D46" i="4"/>
  <c r="D44" i="4"/>
  <c r="D39" i="4"/>
  <c r="D37" i="4"/>
  <c r="D32" i="4"/>
  <c r="D30" i="4"/>
  <c r="D28" i="4"/>
  <c r="D14" i="4"/>
  <c r="A8" i="2"/>
  <c r="A9" i="2" s="1"/>
  <c r="A10" i="2" s="1"/>
  <c r="A11" i="2" s="1"/>
  <c r="C10" i="27"/>
  <c r="C7" i="27"/>
  <c r="J80" i="27"/>
  <c r="K22" i="29" l="1"/>
  <c r="L22" i="29" s="1"/>
  <c r="B27" i="6"/>
  <c r="J151" i="29"/>
  <c r="J153" i="29"/>
  <c r="J149" i="29"/>
  <c r="J146" i="29"/>
  <c r="J152" i="29"/>
  <c r="J147" i="29"/>
  <c r="J150" i="29"/>
  <c r="J154" i="29"/>
  <c r="J148" i="29"/>
  <c r="J145" i="29"/>
  <c r="J144" i="29"/>
  <c r="J133" i="29"/>
  <c r="J26" i="29"/>
  <c r="J34" i="29"/>
  <c r="J57" i="29"/>
  <c r="J89" i="29"/>
  <c r="J100" i="29"/>
  <c r="C18" i="27"/>
  <c r="C23" i="27"/>
  <c r="C27" i="27"/>
  <c r="C31" i="27"/>
  <c r="C37" i="27"/>
  <c r="C42" i="27"/>
  <c r="C48" i="27"/>
  <c r="C53" i="27"/>
  <c r="C57" i="27"/>
  <c r="C62" i="27"/>
  <c r="C66" i="27"/>
  <c r="C71" i="27"/>
  <c r="C75" i="27"/>
  <c r="C79" i="27"/>
  <c r="J140" i="29"/>
  <c r="J143" i="29"/>
  <c r="J134" i="29"/>
  <c r="J136" i="29"/>
  <c r="J142" i="29"/>
  <c r="D80" i="27"/>
  <c r="J30" i="29"/>
  <c r="J42" i="29"/>
  <c r="J49" i="29"/>
  <c r="J51" i="29"/>
  <c r="J97" i="29"/>
  <c r="C16" i="27"/>
  <c r="C21" i="27"/>
  <c r="C25" i="27"/>
  <c r="C29" i="27"/>
  <c r="C34" i="27"/>
  <c r="C39" i="27"/>
  <c r="C44" i="27"/>
  <c r="C50" i="27"/>
  <c r="C55" i="27"/>
  <c r="C59" i="27"/>
  <c r="C64" i="27"/>
  <c r="C69" i="27"/>
  <c r="C73" i="27"/>
  <c r="C77" i="27"/>
  <c r="C81" i="27"/>
  <c r="J139" i="29"/>
  <c r="J137" i="29"/>
  <c r="J132" i="29"/>
  <c r="J141" i="29"/>
  <c r="J138" i="29"/>
  <c r="J135" i="29"/>
  <c r="I35" i="20"/>
  <c r="L41" i="20"/>
  <c r="J55" i="20"/>
  <c r="J59" i="20" s="1"/>
  <c r="K7" i="20"/>
  <c r="H55" i="20"/>
  <c r="L45" i="20"/>
  <c r="L46" i="20"/>
  <c r="I32" i="20"/>
  <c r="I43" i="20"/>
  <c r="K34" i="20"/>
  <c r="K48" i="20"/>
  <c r="C30" i="11"/>
  <c r="C32" i="11" s="1"/>
  <c r="I21" i="10"/>
  <c r="U42" i="13"/>
  <c r="U43" i="13" s="1"/>
  <c r="O42" i="13"/>
  <c r="O43" i="13" s="1"/>
  <c r="Q42" i="13"/>
  <c r="Q43" i="13" s="1"/>
  <c r="D82" i="27"/>
  <c r="D49" i="27"/>
  <c r="H149" i="8" s="1"/>
  <c r="D53" i="27"/>
  <c r="D61" i="27"/>
  <c r="D76" i="27"/>
  <c r="D79" i="27"/>
  <c r="D45" i="27"/>
  <c r="D16" i="27"/>
  <c r="D24" i="27"/>
  <c r="H49" i="8" s="1"/>
  <c r="D27" i="27"/>
  <c r="H23" i="8" s="1"/>
  <c r="D30" i="27"/>
  <c r="D39" i="27"/>
  <c r="H112" i="8" s="1"/>
  <c r="D78" i="27"/>
  <c r="D70" i="27"/>
  <c r="D81" i="27"/>
  <c r="D63" i="27"/>
  <c r="D66" i="27"/>
  <c r="D73" i="27"/>
  <c r="D75" i="27"/>
  <c r="D38" i="27"/>
  <c r="D41" i="27"/>
  <c r="D44" i="27"/>
  <c r="D48" i="27"/>
  <c r="H145" i="8" s="1"/>
  <c r="D23" i="27"/>
  <c r="D29" i="27"/>
  <c r="D37" i="27"/>
  <c r="H91" i="8" s="1"/>
  <c r="D56" i="27"/>
  <c r="D59" i="27"/>
  <c r="D18" i="27"/>
  <c r="H107" i="8" s="1"/>
  <c r="D26" i="27"/>
  <c r="H7" i="8" s="1"/>
  <c r="D21" i="27"/>
  <c r="T42" i="13"/>
  <c r="T43" i="13" s="1"/>
  <c r="D25" i="27"/>
  <c r="D52" i="27"/>
  <c r="D43" i="27"/>
  <c r="D55" i="27"/>
  <c r="D72" i="27"/>
  <c r="D74" i="27"/>
  <c r="D36" i="27"/>
  <c r="H75" i="8" s="1"/>
  <c r="H165" i="8"/>
  <c r="D57" i="27"/>
  <c r="D17" i="27"/>
  <c r="D19" i="27"/>
  <c r="H172" i="8" s="1"/>
  <c r="D22" i="27"/>
  <c r="D34" i="27"/>
  <c r="D42" i="27"/>
  <c r="D50" i="27"/>
  <c r="H141" i="8" s="1"/>
  <c r="D77" i="27"/>
  <c r="D31" i="27"/>
  <c r="D58" i="27"/>
  <c r="D69" i="27"/>
  <c r="D64" i="27"/>
  <c r="D71" i="27"/>
  <c r="D28" i="27"/>
  <c r="D33" i="27"/>
  <c r="D54" i="27"/>
  <c r="D65" i="27"/>
  <c r="D67" i="27"/>
  <c r="D56" i="16"/>
  <c r="C27" i="22"/>
  <c r="H197" i="1" s="1"/>
  <c r="D57" i="16"/>
  <c r="G109" i="8"/>
  <c r="H24" i="1" s="1"/>
  <c r="E42" i="18"/>
  <c r="E43" i="18" s="1"/>
  <c r="I108" i="29"/>
  <c r="J109" i="29" s="1"/>
  <c r="C25" i="22"/>
  <c r="H193" i="1" s="1"/>
  <c r="C26" i="22"/>
  <c r="H194" i="1" s="1"/>
  <c r="C21" i="23"/>
  <c r="C11" i="22"/>
  <c r="H173" i="1" s="1"/>
  <c r="C15" i="22"/>
  <c r="H180" i="1" s="1"/>
  <c r="G20" i="8"/>
  <c r="H38" i="1" s="1"/>
  <c r="G104" i="8"/>
  <c r="E22" i="15"/>
  <c r="H43" i="15"/>
  <c r="J34" i="15"/>
  <c r="J38" i="15"/>
  <c r="J42" i="15"/>
  <c r="G22" i="17"/>
  <c r="O22" i="17"/>
  <c r="S22" i="17"/>
  <c r="Y13" i="17"/>
  <c r="Y17" i="17"/>
  <c r="Y21" i="17"/>
  <c r="C19" i="22"/>
  <c r="H184" i="1" s="1"/>
  <c r="G114" i="8"/>
  <c r="H56" i="1" s="1"/>
  <c r="Y8" i="24"/>
  <c r="AF8" i="24" s="1"/>
  <c r="AF74" i="24" s="1"/>
  <c r="C9" i="22"/>
  <c r="H169" i="1" s="1"/>
  <c r="C10" i="22"/>
  <c r="H172" i="1" s="1"/>
  <c r="C21" i="22"/>
  <c r="H189" i="1" s="1"/>
  <c r="J33" i="17"/>
  <c r="J34" i="17"/>
  <c r="J37" i="17"/>
  <c r="J38" i="17"/>
  <c r="C7" i="22"/>
  <c r="H167" i="1" s="1"/>
  <c r="C17" i="22"/>
  <c r="H182" i="1" s="1"/>
  <c r="C18" i="22"/>
  <c r="H183" i="1" s="1"/>
  <c r="C29" i="22"/>
  <c r="H202" i="1" s="1"/>
  <c r="K37" i="26"/>
  <c r="G130" i="8"/>
  <c r="E13" i="19"/>
  <c r="D39" i="16"/>
  <c r="E15" i="7" s="1"/>
  <c r="C13" i="22"/>
  <c r="H175" i="1" s="1"/>
  <c r="C23" i="22"/>
  <c r="H191" i="1" s="1"/>
  <c r="G23" i="18"/>
  <c r="F39" i="14"/>
  <c r="K23" i="18"/>
  <c r="I22" i="13"/>
  <c r="I23" i="13" s="1"/>
  <c r="F22" i="15"/>
  <c r="Y22" i="15" s="1"/>
  <c r="E43" i="15"/>
  <c r="J35" i="15"/>
  <c r="J39" i="15"/>
  <c r="H22" i="17"/>
  <c r="L22" i="17"/>
  <c r="P22" i="17"/>
  <c r="Y12" i="17"/>
  <c r="Y16" i="17"/>
  <c r="Y20" i="17"/>
  <c r="J32" i="17"/>
  <c r="H43" i="17"/>
  <c r="J39" i="17"/>
  <c r="L23" i="18"/>
  <c r="P23" i="18"/>
  <c r="T23" i="18"/>
  <c r="AC22" i="18"/>
  <c r="AC23" i="18" s="1"/>
  <c r="G31" i="14"/>
  <c r="E33" i="14"/>
  <c r="Z12" i="13" s="1"/>
  <c r="AE12" i="13" s="1"/>
  <c r="AE22" i="18"/>
  <c r="AE23" i="18" s="1"/>
  <c r="F39" i="16" s="1"/>
  <c r="E37" i="14"/>
  <c r="AB22" i="18"/>
  <c r="AB23" i="18" s="1"/>
  <c r="F31" i="14"/>
  <c r="AA10" i="13" s="1"/>
  <c r="F35" i="14"/>
  <c r="E17" i="14"/>
  <c r="C17" i="13" s="1"/>
  <c r="E38" i="14"/>
  <c r="G88" i="8"/>
  <c r="H54" i="1" s="1"/>
  <c r="F43" i="17"/>
  <c r="J40" i="17"/>
  <c r="H23" i="18"/>
  <c r="M23" i="18"/>
  <c r="Q23" i="18"/>
  <c r="U23" i="18"/>
  <c r="AD22" i="18"/>
  <c r="AD23" i="18" s="1"/>
  <c r="E11" i="14"/>
  <c r="C11" i="13" s="1"/>
  <c r="F22" i="17"/>
  <c r="J23" i="18"/>
  <c r="E13" i="14"/>
  <c r="C13" i="13" s="1"/>
  <c r="E34" i="14"/>
  <c r="F41" i="14"/>
  <c r="E34" i="7"/>
  <c r="I239" i="8"/>
  <c r="H130" i="1" s="1"/>
  <c r="G43" i="15"/>
  <c r="J33" i="15"/>
  <c r="J37" i="15"/>
  <c r="J41" i="15"/>
  <c r="Y10" i="17"/>
  <c r="J22" i="17"/>
  <c r="N22" i="17"/>
  <c r="R22" i="17"/>
  <c r="Y14" i="17"/>
  <c r="Y18" i="17"/>
  <c r="J35" i="17"/>
  <c r="D37" i="26"/>
  <c r="D32" i="9"/>
  <c r="H37" i="26"/>
  <c r="H32" i="9"/>
  <c r="L26" i="26"/>
  <c r="C26" i="26" s="1"/>
  <c r="D33" i="9"/>
  <c r="L27" i="26"/>
  <c r="C27" i="26" s="1"/>
  <c r="D34" i="9"/>
  <c r="C34" i="9" s="1"/>
  <c r="L28" i="26"/>
  <c r="C28" i="26" s="1"/>
  <c r="D35" i="9"/>
  <c r="L35" i="9" s="1"/>
  <c r="S54" i="9" s="1"/>
  <c r="L29" i="26"/>
  <c r="C29" i="26" s="1"/>
  <c r="D36" i="9"/>
  <c r="L30" i="26"/>
  <c r="C30" i="26" s="1"/>
  <c r="D37" i="9"/>
  <c r="C37" i="9" s="1"/>
  <c r="L31" i="26"/>
  <c r="C31" i="26" s="1"/>
  <c r="D38" i="9"/>
  <c r="L38" i="9" s="1"/>
  <c r="S57" i="9" s="1"/>
  <c r="L32" i="26"/>
  <c r="C32" i="26" s="1"/>
  <c r="D39" i="9"/>
  <c r="L39" i="9" s="1"/>
  <c r="S58" i="9" s="1"/>
  <c r="L33" i="26"/>
  <c r="C33" i="26" s="1"/>
  <c r="D40" i="9"/>
  <c r="L40" i="9" s="1"/>
  <c r="S59" i="9" s="1"/>
  <c r="L34" i="26"/>
  <c r="C34" i="26" s="1"/>
  <c r="D41" i="9"/>
  <c r="L41" i="9" s="1"/>
  <c r="S60" i="9" s="1"/>
  <c r="L35" i="26"/>
  <c r="C35" i="26" s="1"/>
  <c r="D42" i="9"/>
  <c r="C42" i="9" s="1"/>
  <c r="L36" i="26"/>
  <c r="C36" i="26" s="1"/>
  <c r="D43" i="9"/>
  <c r="L43" i="9" s="1"/>
  <c r="S62" i="9" s="1"/>
  <c r="C8" i="22"/>
  <c r="H168" i="1" s="1"/>
  <c r="C16" i="22"/>
  <c r="H181" i="1" s="1"/>
  <c r="C24" i="22"/>
  <c r="H192" i="1" s="1"/>
  <c r="D53" i="25"/>
  <c r="E37" i="26"/>
  <c r="E33" i="9"/>
  <c r="I37" i="26"/>
  <c r="I33" i="9"/>
  <c r="I44" i="9" s="1"/>
  <c r="O23" i="18"/>
  <c r="S23" i="18"/>
  <c r="E15" i="14"/>
  <c r="C15" i="13" s="1"/>
  <c r="E20" i="14"/>
  <c r="C20" i="13" s="1"/>
  <c r="E21" i="14"/>
  <c r="C21" i="13" s="1"/>
  <c r="C6" i="22"/>
  <c r="H166" i="1" s="1"/>
  <c r="C14" i="22"/>
  <c r="H176" i="1" s="1"/>
  <c r="C22" i="22"/>
  <c r="H190" i="1" s="1"/>
  <c r="C30" i="22"/>
  <c r="H203" i="1" s="1"/>
  <c r="F37" i="26"/>
  <c r="F32" i="9"/>
  <c r="F44" i="9" s="1"/>
  <c r="J37" i="26"/>
  <c r="J32" i="9"/>
  <c r="J44" i="9" s="1"/>
  <c r="I118" i="29"/>
  <c r="J119" i="29" s="1"/>
  <c r="I116" i="29"/>
  <c r="J117" i="29" s="1"/>
  <c r="I114" i="29"/>
  <c r="J115" i="29" s="1"/>
  <c r="I112" i="29"/>
  <c r="J113" i="29" s="1"/>
  <c r="I117" i="29"/>
  <c r="J118" i="29" s="1"/>
  <c r="I113" i="29"/>
  <c r="J114" i="29" s="1"/>
  <c r="I109" i="29"/>
  <c r="J110" i="29" s="1"/>
  <c r="J107" i="29"/>
  <c r="F43" i="15"/>
  <c r="J32" i="15"/>
  <c r="J36" i="15"/>
  <c r="J40" i="15"/>
  <c r="E22" i="17"/>
  <c r="I22" i="17"/>
  <c r="M22" i="17"/>
  <c r="Q22" i="17"/>
  <c r="Y11" i="17"/>
  <c r="Y15" i="17"/>
  <c r="Y19" i="17"/>
  <c r="E43" i="17"/>
  <c r="G43" i="17"/>
  <c r="J36" i="17"/>
  <c r="J41" i="17"/>
  <c r="J42" i="17"/>
  <c r="E22" i="18"/>
  <c r="E23" i="18" s="1"/>
  <c r="E10" i="14"/>
  <c r="C10" i="13" s="1"/>
  <c r="I23" i="18"/>
  <c r="N23" i="18"/>
  <c r="R23" i="18"/>
  <c r="F32" i="14"/>
  <c r="F36" i="14"/>
  <c r="E40" i="14"/>
  <c r="E42" i="14"/>
  <c r="D16" i="21"/>
  <c r="I172" i="8" s="1"/>
  <c r="E16" i="21"/>
  <c r="I173" i="8" s="1"/>
  <c r="D52" i="16"/>
  <c r="C12" i="22"/>
  <c r="H174" i="1" s="1"/>
  <c r="C20" i="22"/>
  <c r="H185" i="1" s="1"/>
  <c r="C28" i="22"/>
  <c r="H200" i="1" s="1"/>
  <c r="I110" i="29"/>
  <c r="J111" i="29" s="1"/>
  <c r="G37" i="26"/>
  <c r="G44" i="9"/>
  <c r="K44" i="9"/>
  <c r="H289" i="1"/>
  <c r="M22" i="29"/>
  <c r="J35" i="29"/>
  <c r="J50" i="29"/>
  <c r="J54" i="29"/>
  <c r="J58" i="29"/>
  <c r="J71" i="29"/>
  <c r="I38" i="11" s="1"/>
  <c r="I39" i="11" s="1"/>
  <c r="J88" i="29"/>
  <c r="J92" i="29"/>
  <c r="J106" i="29"/>
  <c r="K23" i="29"/>
  <c r="K24" i="29" s="1"/>
  <c r="L24" i="29" s="1"/>
  <c r="J25" i="29"/>
  <c r="I30" i="11" s="1"/>
  <c r="I31" i="11" s="1"/>
  <c r="J27" i="29"/>
  <c r="J29" i="29"/>
  <c r="J31" i="29"/>
  <c r="J33" i="29"/>
  <c r="J37" i="29"/>
  <c r="J41" i="29"/>
  <c r="J45" i="29"/>
  <c r="J98" i="29"/>
  <c r="J102" i="29"/>
  <c r="J105" i="29"/>
  <c r="J40" i="29"/>
  <c r="J44" i="29"/>
  <c r="J87" i="29"/>
  <c r="I40" i="11" s="1"/>
  <c r="I41" i="11" s="1"/>
  <c r="J91" i="29"/>
  <c r="J70" i="29"/>
  <c r="J69" i="29"/>
  <c r="J68" i="29"/>
  <c r="J67" i="29"/>
  <c r="J66" i="29"/>
  <c r="J65" i="29"/>
  <c r="J64" i="29"/>
  <c r="J63" i="29"/>
  <c r="J62" i="29"/>
  <c r="J61" i="29"/>
  <c r="J60" i="29"/>
  <c r="J59" i="29"/>
  <c r="J39" i="29"/>
  <c r="J43" i="29"/>
  <c r="J48" i="29"/>
  <c r="I34" i="11" s="1"/>
  <c r="I35" i="11" s="1"/>
  <c r="J52" i="29"/>
  <c r="J56" i="29"/>
  <c r="J86" i="29"/>
  <c r="J90" i="29"/>
  <c r="J94" i="29"/>
  <c r="J95" i="29"/>
  <c r="J99" i="29"/>
  <c r="J103" i="29"/>
  <c r="I130" i="29"/>
  <c r="J131" i="29" s="1"/>
  <c r="I129" i="29"/>
  <c r="I128" i="29"/>
  <c r="I127" i="29"/>
  <c r="J128" i="29" s="1"/>
  <c r="I126" i="29"/>
  <c r="I125" i="29"/>
  <c r="I124" i="29"/>
  <c r="I123" i="29"/>
  <c r="J124" i="29" s="1"/>
  <c r="I122" i="29"/>
  <c r="I121" i="29"/>
  <c r="I120" i="29"/>
  <c r="I119" i="29"/>
  <c r="I115" i="29"/>
  <c r="I111" i="29"/>
  <c r="I107" i="29"/>
  <c r="L25" i="26"/>
  <c r="D47" i="16"/>
  <c r="AA22" i="18"/>
  <c r="AA23" i="18" s="1"/>
  <c r="F22" i="18"/>
  <c r="J31" i="17"/>
  <c r="J31" i="15"/>
  <c r="F53" i="11"/>
  <c r="F38" i="11"/>
  <c r="F33" i="11"/>
  <c r="F37" i="11"/>
  <c r="D38" i="11"/>
  <c r="F42" i="11"/>
  <c r="F67" i="11"/>
  <c r="F64" i="11"/>
  <c r="F59" i="11"/>
  <c r="F56" i="11"/>
  <c r="F68" i="11"/>
  <c r="F63" i="11"/>
  <c r="F60" i="11"/>
  <c r="F55" i="11"/>
  <c r="F52" i="11"/>
  <c r="F61" i="11"/>
  <c r="F54" i="11"/>
  <c r="F65" i="11"/>
  <c r="F58" i="11"/>
  <c r="F46" i="11"/>
  <c r="F41" i="11"/>
  <c r="F51" i="11"/>
  <c r="F47" i="11"/>
  <c r="F39" i="11"/>
  <c r="F36" i="11"/>
  <c r="F69" i="11"/>
  <c r="F50" i="11"/>
  <c r="F48" i="11"/>
  <c r="F35" i="11"/>
  <c r="F31" i="11"/>
  <c r="F40" i="11"/>
  <c r="F43" i="11"/>
  <c r="F32" i="11"/>
  <c r="D33" i="11"/>
  <c r="F44" i="11"/>
  <c r="O32" i="11"/>
  <c r="O30" i="11"/>
  <c r="O31" i="11" s="1"/>
  <c r="F30" i="11"/>
  <c r="F34" i="11"/>
  <c r="F45" i="11"/>
  <c r="F57" i="11"/>
  <c r="F62" i="11"/>
  <c r="F66" i="11"/>
  <c r="T71" i="11"/>
  <c r="S31" i="9"/>
  <c r="U33" i="9"/>
  <c r="V33" i="9" s="1"/>
  <c r="O34" i="9"/>
  <c r="B17" i="9"/>
  <c r="B15" i="9" s="1"/>
  <c r="B65" i="9" s="1"/>
  <c r="B20" i="8"/>
  <c r="D20" i="8"/>
  <c r="I215" i="8"/>
  <c r="H124" i="1" s="1"/>
  <c r="F24" i="8"/>
  <c r="F25" i="8" s="1"/>
  <c r="F26" i="8" s="1"/>
  <c r="F27" i="8" s="1"/>
  <c r="F28" i="8" s="1"/>
  <c r="F29" i="8" s="1"/>
  <c r="F30" i="8" s="1"/>
  <c r="F31" i="8" s="1"/>
  <c r="F32" i="8" s="1"/>
  <c r="F33" i="8" s="1"/>
  <c r="F34" i="8" s="1"/>
  <c r="F35" i="8" s="1"/>
  <c r="F39" i="8"/>
  <c r="F8" i="8"/>
  <c r="F9" i="8" s="1"/>
  <c r="F10" i="8" s="1"/>
  <c r="F11" i="8" s="1"/>
  <c r="F12" i="8" s="1"/>
  <c r="F13" i="8" s="1"/>
  <c r="F14" i="8" s="1"/>
  <c r="F15" i="8" s="1"/>
  <c r="F16" i="8" s="1"/>
  <c r="F17" i="8" s="1"/>
  <c r="F18" i="8" s="1"/>
  <c r="F19" i="8" s="1"/>
  <c r="D12" i="7"/>
  <c r="A12" i="7"/>
  <c r="D12" i="4" s="1"/>
  <c r="B42" i="6"/>
  <c r="A40" i="6"/>
  <c r="A42" i="6" s="1"/>
  <c r="D12" i="2"/>
  <c r="A12" i="2"/>
  <c r="I32" i="11" l="1"/>
  <c r="I33" i="11" s="1"/>
  <c r="L23" i="29"/>
  <c r="I50" i="11"/>
  <c r="I51" i="11" s="1"/>
  <c r="I48" i="11"/>
  <c r="I49" i="11" s="1"/>
  <c r="I53" i="11" s="1"/>
  <c r="I54" i="11" s="1"/>
  <c r="I55" i="11" s="1"/>
  <c r="I56" i="11" s="1"/>
  <c r="I57" i="11" s="1"/>
  <c r="I58" i="11" s="1"/>
  <c r="I59" i="11" s="1"/>
  <c r="I60" i="11" s="1"/>
  <c r="I61" i="11" s="1"/>
  <c r="I62" i="11" s="1"/>
  <c r="I63" i="11" s="1"/>
  <c r="I64" i="11" s="1"/>
  <c r="I65" i="11" s="1"/>
  <c r="I66" i="11" s="1"/>
  <c r="I67" i="11" s="1"/>
  <c r="I68" i="11" s="1"/>
  <c r="I69" i="11" s="1"/>
  <c r="I70" i="11" s="1"/>
  <c r="I42" i="11"/>
  <c r="I43" i="11" s="1"/>
  <c r="I36" i="11"/>
  <c r="I37" i="11" s="1"/>
  <c r="B30" i="11"/>
  <c r="G68" i="8"/>
  <c r="H21" i="1" s="1"/>
  <c r="AC78" i="24"/>
  <c r="I55" i="20"/>
  <c r="I59" i="20" s="1"/>
  <c r="K55" i="20"/>
  <c r="L55" i="20"/>
  <c r="D42" i="6"/>
  <c r="J42" i="14"/>
  <c r="Z21" i="13"/>
  <c r="AE21" i="13" s="1"/>
  <c r="J38" i="14"/>
  <c r="Z17" i="13"/>
  <c r="AE17" i="13" s="1"/>
  <c r="J40" i="14"/>
  <c r="Z19" i="13"/>
  <c r="AE19" i="13" s="1"/>
  <c r="J32" i="14"/>
  <c r="AA11" i="13"/>
  <c r="J41" i="14"/>
  <c r="AA20" i="13"/>
  <c r="AE20" i="13" s="1"/>
  <c r="J35" i="14"/>
  <c r="AA14" i="13"/>
  <c r="AE14" i="13" s="1"/>
  <c r="J37" i="14"/>
  <c r="Z16" i="13"/>
  <c r="AE16" i="13" s="1"/>
  <c r="G43" i="14"/>
  <c r="AB10" i="13"/>
  <c r="AB22" i="13" s="1"/>
  <c r="AB23" i="13" s="1"/>
  <c r="J36" i="14"/>
  <c r="AA15" i="13"/>
  <c r="AE15" i="13" s="1"/>
  <c r="J34" i="14"/>
  <c r="Z13" i="13"/>
  <c r="H43" i="14"/>
  <c r="AC10" i="13"/>
  <c r="AC22" i="13" s="1"/>
  <c r="AC23" i="13" s="1"/>
  <c r="J39" i="14"/>
  <c r="AA18" i="13"/>
  <c r="AE18" i="13" s="1"/>
  <c r="Y22" i="18"/>
  <c r="Y23" i="18" s="1"/>
  <c r="Y22" i="17"/>
  <c r="D46" i="27"/>
  <c r="J172" i="8"/>
  <c r="D58" i="16"/>
  <c r="E17" i="7" s="1"/>
  <c r="E20" i="7" s="1"/>
  <c r="F13" i="4" s="1"/>
  <c r="C43" i="9"/>
  <c r="AH37" i="18"/>
  <c r="AJ37" i="18" s="1"/>
  <c r="AL37" i="18" s="1"/>
  <c r="AH40" i="18"/>
  <c r="AJ40" i="18" s="1"/>
  <c r="AL40" i="18" s="1"/>
  <c r="AH31" i="18"/>
  <c r="AH36" i="18"/>
  <c r="AJ36" i="18" s="1"/>
  <c r="AL36" i="18" s="1"/>
  <c r="L42" i="9"/>
  <c r="S61" i="9" s="1"/>
  <c r="C35" i="9"/>
  <c r="C38" i="9"/>
  <c r="C39" i="9"/>
  <c r="C32" i="9"/>
  <c r="P32" i="9" s="1"/>
  <c r="R32" i="9" s="1"/>
  <c r="C41" i="9"/>
  <c r="C40" i="9"/>
  <c r="C33" i="9"/>
  <c r="P33" i="9" s="1"/>
  <c r="R33" i="9" s="1"/>
  <c r="AH39" i="18"/>
  <c r="AJ39" i="18" s="1"/>
  <c r="AL39" i="18" s="1"/>
  <c r="L22" i="13"/>
  <c r="L23" i="13" s="1"/>
  <c r="J31" i="14"/>
  <c r="I174" i="8"/>
  <c r="H48" i="1" s="1"/>
  <c r="AH41" i="18"/>
  <c r="AH35" i="18"/>
  <c r="AJ35" i="18" s="1"/>
  <c r="AL35" i="18" s="1"/>
  <c r="AH32" i="18"/>
  <c r="AJ32" i="18" s="1"/>
  <c r="AL32" i="18" s="1"/>
  <c r="L33" i="9"/>
  <c r="S52" i="9" s="1"/>
  <c r="AH34" i="18"/>
  <c r="AJ34" i="18" s="1"/>
  <c r="AL34" i="18" s="1"/>
  <c r="AH33" i="18"/>
  <c r="AJ33" i="18" s="1"/>
  <c r="AL33" i="18" s="1"/>
  <c r="L37" i="9"/>
  <c r="S56" i="9" s="1"/>
  <c r="P22" i="13"/>
  <c r="P23" i="13" s="1"/>
  <c r="G132" i="8"/>
  <c r="H23" i="1" s="1"/>
  <c r="E44" i="9"/>
  <c r="L32" i="9"/>
  <c r="Q32" i="9" s="1"/>
  <c r="L34" i="9"/>
  <c r="S53" i="9" s="1"/>
  <c r="J43" i="17"/>
  <c r="AF22" i="18"/>
  <c r="AF23" i="18" s="1"/>
  <c r="M22" i="13"/>
  <c r="M23" i="13" s="1"/>
  <c r="H44" i="9"/>
  <c r="O22" i="13"/>
  <c r="O23" i="13" s="1"/>
  <c r="F22" i="13"/>
  <c r="F23" i="13" s="1"/>
  <c r="AH38" i="18"/>
  <c r="AJ38" i="18" s="1"/>
  <c r="AL38" i="18" s="1"/>
  <c r="R22" i="13"/>
  <c r="R23" i="13" s="1"/>
  <c r="J22" i="13"/>
  <c r="J23" i="13" s="1"/>
  <c r="AC42" i="13"/>
  <c r="AC43" i="13" s="1"/>
  <c r="E22" i="13"/>
  <c r="E23" i="13" s="1"/>
  <c r="G134" i="8"/>
  <c r="J43" i="15"/>
  <c r="L37" i="26"/>
  <c r="Q22" i="13"/>
  <c r="Q23" i="13" s="1"/>
  <c r="C22" i="13"/>
  <c r="C23" i="13" s="1"/>
  <c r="E22" i="14"/>
  <c r="D44" i="9"/>
  <c r="F22" i="14"/>
  <c r="J33" i="14"/>
  <c r="E43" i="14"/>
  <c r="C36" i="9"/>
  <c r="L36" i="9"/>
  <c r="S55" i="9" s="1"/>
  <c r="F43" i="14"/>
  <c r="I218" i="8"/>
  <c r="I219" i="8"/>
  <c r="H22" i="13"/>
  <c r="H23" i="13" s="1"/>
  <c r="S22" i="13"/>
  <c r="S23" i="13" s="1"/>
  <c r="K22" i="13"/>
  <c r="K23" i="13" s="1"/>
  <c r="N22" i="13"/>
  <c r="N23" i="13" s="1"/>
  <c r="J116" i="29"/>
  <c r="J123" i="29"/>
  <c r="J127" i="29"/>
  <c r="K25" i="29"/>
  <c r="J120" i="29"/>
  <c r="J108" i="29"/>
  <c r="J121" i="29"/>
  <c r="J125" i="29"/>
  <c r="J129" i="29"/>
  <c r="J112" i="29"/>
  <c r="J122" i="29"/>
  <c r="J126" i="29"/>
  <c r="J130" i="29"/>
  <c r="C25" i="26"/>
  <c r="C37" i="26" s="1"/>
  <c r="F23" i="18"/>
  <c r="AH30" i="18"/>
  <c r="C34" i="11"/>
  <c r="B32" i="11"/>
  <c r="O33" i="11"/>
  <c r="O34" i="11" s="1"/>
  <c r="D40" i="11"/>
  <c r="D35" i="11"/>
  <c r="B33" i="11"/>
  <c r="O35" i="9"/>
  <c r="U34" i="9"/>
  <c r="V34" i="9" s="1"/>
  <c r="P34" i="9"/>
  <c r="R34" i="9" s="1"/>
  <c r="F40" i="8"/>
  <c r="F44" i="8"/>
  <c r="B23" i="8"/>
  <c r="B24" i="8" s="1"/>
  <c r="B25" i="8" s="1"/>
  <c r="B26" i="8" s="1"/>
  <c r="B27" i="8" s="1"/>
  <c r="B28" i="8" s="1"/>
  <c r="B29" i="8" s="1"/>
  <c r="B30" i="8" s="1"/>
  <c r="B31" i="8" s="1"/>
  <c r="B32" i="8" s="1"/>
  <c r="B33" i="8" s="1"/>
  <c r="B34" i="8" s="1"/>
  <c r="B35" i="8" s="1"/>
  <c r="A15" i="7"/>
  <c r="A45" i="6"/>
  <c r="A47" i="6" s="1"/>
  <c r="A15" i="2"/>
  <c r="D15" i="2"/>
  <c r="AJ41" i="18" l="1"/>
  <c r="AL41" i="18" s="1"/>
  <c r="AI42" i="18"/>
  <c r="AI43" i="18" s="1"/>
  <c r="AF78" i="24"/>
  <c r="AE37" i="13"/>
  <c r="AF37" i="13" s="1"/>
  <c r="AH37" i="13" s="1"/>
  <c r="AJ37" i="13" s="1"/>
  <c r="AE13" i="13"/>
  <c r="Z22" i="13"/>
  <c r="Z23" i="13" s="1"/>
  <c r="AA22" i="13"/>
  <c r="AA23" i="13" s="1"/>
  <c r="AE11" i="13"/>
  <c r="AE10" i="13"/>
  <c r="AE40" i="13"/>
  <c r="AF40" i="13" s="1"/>
  <c r="AH40" i="13" s="1"/>
  <c r="AJ40" i="13" s="1"/>
  <c r="AE32" i="13"/>
  <c r="AF32" i="13" s="1"/>
  <c r="AH32" i="13" s="1"/>
  <c r="AJ32" i="13" s="1"/>
  <c r="AE34" i="13"/>
  <c r="AF34" i="13" s="1"/>
  <c r="AH34" i="13" s="1"/>
  <c r="AJ34" i="13" s="1"/>
  <c r="AE41" i="13"/>
  <c r="AF41" i="13" s="1"/>
  <c r="AH41" i="13" s="1"/>
  <c r="AJ41" i="13" s="1"/>
  <c r="AE38" i="13"/>
  <c r="AF38" i="13" s="1"/>
  <c r="AH38" i="13" s="1"/>
  <c r="AJ38" i="13" s="1"/>
  <c r="AE39" i="13"/>
  <c r="AF39" i="13" s="1"/>
  <c r="AH39" i="13" s="1"/>
  <c r="AJ39" i="13" s="1"/>
  <c r="AE36" i="13"/>
  <c r="AF36" i="13" s="1"/>
  <c r="AH36" i="13" s="1"/>
  <c r="AJ36" i="13" s="1"/>
  <c r="AE35" i="13"/>
  <c r="AF35" i="13" s="1"/>
  <c r="AH35" i="13" s="1"/>
  <c r="AJ35" i="13" s="1"/>
  <c r="Y22" i="14"/>
  <c r="AJ31" i="18"/>
  <c r="AL31" i="18" s="1"/>
  <c r="AH42" i="18"/>
  <c r="AH43" i="18" s="1"/>
  <c r="S51" i="9"/>
  <c r="S63" i="9" s="1"/>
  <c r="K27" i="11" s="1"/>
  <c r="L36" i="11" s="1"/>
  <c r="I44" i="11"/>
  <c r="I45" i="11" s="1"/>
  <c r="Q33" i="9"/>
  <c r="S33" i="9" s="1"/>
  <c r="C44" i="9"/>
  <c r="I46" i="11"/>
  <c r="I47" i="11" s="1"/>
  <c r="J43" i="14"/>
  <c r="Q34" i="9"/>
  <c r="S34" i="9" s="1"/>
  <c r="D22" i="13"/>
  <c r="L44" i="9"/>
  <c r="I220" i="8"/>
  <c r="G22" i="13"/>
  <c r="G23" i="13" s="1"/>
  <c r="K26" i="29"/>
  <c r="L25" i="29"/>
  <c r="AJ30" i="18"/>
  <c r="C36" i="11"/>
  <c r="B34" i="11"/>
  <c r="D42" i="11"/>
  <c r="H53" i="11"/>
  <c r="B35" i="11"/>
  <c r="D37" i="11"/>
  <c r="O35" i="11"/>
  <c r="Q35" i="9"/>
  <c r="S35" i="9" s="1"/>
  <c r="O36" i="9"/>
  <c r="U35" i="9"/>
  <c r="V35" i="9" s="1"/>
  <c r="P35" i="9"/>
  <c r="R35" i="9" s="1"/>
  <c r="S32" i="9"/>
  <c r="B36" i="8"/>
  <c r="D36" i="8"/>
  <c r="F49" i="8"/>
  <c r="F45" i="8"/>
  <c r="A16" i="7"/>
  <c r="A17" i="7" s="1"/>
  <c r="A18" i="7" s="1"/>
  <c r="A19" i="7" s="1"/>
  <c r="A20" i="7" s="1"/>
  <c r="D13" i="4" s="1"/>
  <c r="C47" i="6"/>
  <c r="A19" i="2"/>
  <c r="A21" i="2" s="1"/>
  <c r="A22" i="2" s="1"/>
  <c r="A23" i="2" s="1"/>
  <c r="D23" i="2"/>
  <c r="X22" i="13" l="1"/>
  <c r="X23" i="13" s="1"/>
  <c r="AE31" i="13"/>
  <c r="AF31" i="13" s="1"/>
  <c r="AH31" i="13" s="1"/>
  <c r="AJ31" i="13" s="1"/>
  <c r="AE30" i="13"/>
  <c r="AF30" i="13" s="1"/>
  <c r="AE33" i="13"/>
  <c r="AF33" i="13" s="1"/>
  <c r="AH33" i="13" s="1"/>
  <c r="AJ33" i="13" s="1"/>
  <c r="AE22" i="13"/>
  <c r="AE23" i="13" s="1"/>
  <c r="H119" i="1"/>
  <c r="L33" i="11"/>
  <c r="L32" i="11"/>
  <c r="L35" i="11"/>
  <c r="L40" i="11"/>
  <c r="L34" i="11"/>
  <c r="L31" i="11"/>
  <c r="L38" i="11"/>
  <c r="L30" i="11"/>
  <c r="L70" i="11"/>
  <c r="D23" i="13"/>
  <c r="L26" i="29"/>
  <c r="K27" i="29"/>
  <c r="AL30" i="18"/>
  <c r="AL42" i="18" s="1"/>
  <c r="AL43" i="18" s="1"/>
  <c r="AJ42" i="18"/>
  <c r="AJ43" i="18" s="1"/>
  <c r="O36" i="11"/>
  <c r="D39" i="11"/>
  <c r="B37" i="11"/>
  <c r="L37" i="11"/>
  <c r="C38" i="11"/>
  <c r="B36" i="11"/>
  <c r="H54" i="11"/>
  <c r="D44" i="11"/>
  <c r="L42" i="11"/>
  <c r="Q36" i="9"/>
  <c r="S36" i="9" s="1"/>
  <c r="O37" i="9"/>
  <c r="U36" i="9"/>
  <c r="P36" i="9"/>
  <c r="F75" i="8"/>
  <c r="F50" i="8"/>
  <c r="F51" i="8" s="1"/>
  <c r="F52" i="8" s="1"/>
  <c r="F53" i="8" s="1"/>
  <c r="F54" i="8" s="1"/>
  <c r="F55" i="8" s="1"/>
  <c r="F56" i="8" s="1"/>
  <c r="F57" i="8" s="1"/>
  <c r="F58" i="8" s="1"/>
  <c r="F59" i="8" s="1"/>
  <c r="F60" i="8" s="1"/>
  <c r="F61" i="8" s="1"/>
  <c r="B39" i="8"/>
  <c r="B40" i="8" s="1"/>
  <c r="A22" i="7"/>
  <c r="D22" i="7"/>
  <c r="D20" i="7"/>
  <c r="A25" i="2"/>
  <c r="D26" i="2"/>
  <c r="D25" i="2"/>
  <c r="D22" i="2"/>
  <c r="D21" i="2"/>
  <c r="AE42" i="13" l="1"/>
  <c r="AE43" i="13" s="1"/>
  <c r="AF42" i="13"/>
  <c r="AF43" i="13" s="1"/>
  <c r="AH30" i="13"/>
  <c r="E19" i="2"/>
  <c r="L27" i="29"/>
  <c r="K28" i="29"/>
  <c r="C40" i="11"/>
  <c r="B38" i="11"/>
  <c r="D41" i="11"/>
  <c r="B39" i="11"/>
  <c r="L39" i="11"/>
  <c r="D46" i="11"/>
  <c r="L44" i="11"/>
  <c r="O37" i="11"/>
  <c r="H55" i="11"/>
  <c r="Q37" i="9"/>
  <c r="S37" i="9" s="1"/>
  <c r="O38" i="9"/>
  <c r="U37" i="9"/>
  <c r="V37" i="9" s="1"/>
  <c r="P37" i="9"/>
  <c r="R37" i="9" s="1"/>
  <c r="R36" i="9"/>
  <c r="V36" i="9"/>
  <c r="B41" i="8"/>
  <c r="D41" i="8"/>
  <c r="F91" i="8"/>
  <c r="F76" i="8"/>
  <c r="F77" i="8" s="1"/>
  <c r="F78" i="8" s="1"/>
  <c r="F79" i="8" s="1"/>
  <c r="F80" i="8" s="1"/>
  <c r="F81" i="8" s="1"/>
  <c r="F82" i="8" s="1"/>
  <c r="F83" i="8" s="1"/>
  <c r="F84" i="8" s="1"/>
  <c r="F85" i="8" s="1"/>
  <c r="F86" i="8" s="1"/>
  <c r="F87" i="8" s="1"/>
  <c r="A26" i="2"/>
  <c r="D28" i="2"/>
  <c r="AH42" i="13" l="1"/>
  <c r="AH43" i="13" s="1"/>
  <c r="AJ30" i="13"/>
  <c r="AJ42" i="13" s="1"/>
  <c r="AJ43" i="13" s="1"/>
  <c r="H293" i="1" s="1"/>
  <c r="F23" i="4" s="1"/>
  <c r="L28" i="29"/>
  <c r="K29" i="29"/>
  <c r="O38" i="11"/>
  <c r="D48" i="11"/>
  <c r="L46" i="11"/>
  <c r="H56" i="11"/>
  <c r="B41" i="11"/>
  <c r="D43" i="11"/>
  <c r="L41" i="11"/>
  <c r="C42" i="11"/>
  <c r="B40" i="11"/>
  <c r="O39" i="9"/>
  <c r="U38" i="9"/>
  <c r="V38" i="9" s="1"/>
  <c r="P38" i="9"/>
  <c r="Q38" i="9"/>
  <c r="S38" i="9" s="1"/>
  <c r="F107" i="8"/>
  <c r="F92" i="8"/>
  <c r="F93" i="8" s="1"/>
  <c r="F94" i="8" s="1"/>
  <c r="F95" i="8" s="1"/>
  <c r="F96" i="8" s="1"/>
  <c r="F97" i="8" s="1"/>
  <c r="F98" i="8" s="1"/>
  <c r="F99" i="8" s="1"/>
  <c r="F100" i="8" s="1"/>
  <c r="F101" i="8" s="1"/>
  <c r="F102" i="8" s="1"/>
  <c r="F103" i="8" s="1"/>
  <c r="B44" i="8"/>
  <c r="B45" i="8" s="1"/>
  <c r="A28" i="2"/>
  <c r="A29" i="2" s="1"/>
  <c r="D29" i="2"/>
  <c r="L29" i="29" l="1"/>
  <c r="K30" i="29"/>
  <c r="D45" i="11"/>
  <c r="B43" i="11"/>
  <c r="L43" i="11"/>
  <c r="C44" i="11"/>
  <c r="B42" i="11"/>
  <c r="D50" i="11"/>
  <c r="L48" i="11"/>
  <c r="H57" i="11"/>
  <c r="O39" i="11"/>
  <c r="R38" i="9"/>
  <c r="O40" i="9"/>
  <c r="U39" i="9"/>
  <c r="V39" i="9" s="1"/>
  <c r="P39" i="9"/>
  <c r="R39" i="9" s="1"/>
  <c r="Q39" i="9"/>
  <c r="S39" i="9" s="1"/>
  <c r="F112" i="8"/>
  <c r="F108" i="8"/>
  <c r="D46" i="8"/>
  <c r="B46" i="8"/>
  <c r="L30" i="29" l="1"/>
  <c r="K31" i="29"/>
  <c r="H58" i="11"/>
  <c r="O40" i="11"/>
  <c r="C46" i="11"/>
  <c r="B44" i="11"/>
  <c r="D52" i="11"/>
  <c r="L50" i="11"/>
  <c r="D47" i="11"/>
  <c r="B45" i="11"/>
  <c r="L45" i="11"/>
  <c r="Q40" i="9"/>
  <c r="S40" i="9" s="1"/>
  <c r="O41" i="9"/>
  <c r="U40" i="9"/>
  <c r="V40" i="9" s="1"/>
  <c r="P40" i="9"/>
  <c r="R40" i="9" s="1"/>
  <c r="B49" i="8"/>
  <c r="B50" i="8" s="1"/>
  <c r="B51" i="8" s="1"/>
  <c r="B52" i="8" s="1"/>
  <c r="B53" i="8" s="1"/>
  <c r="B54" i="8" s="1"/>
  <c r="B55" i="8" s="1"/>
  <c r="B56" i="8" s="1"/>
  <c r="B57" i="8" s="1"/>
  <c r="B58" i="8" s="1"/>
  <c r="B59" i="8" s="1"/>
  <c r="B60" i="8" s="1"/>
  <c r="B61" i="8" s="1"/>
  <c r="F113" i="8"/>
  <c r="F117" i="8"/>
  <c r="F118" i="8" s="1"/>
  <c r="F119" i="8" s="1"/>
  <c r="F120" i="8" s="1"/>
  <c r="F121" i="8" s="1"/>
  <c r="F122" i="8" s="1"/>
  <c r="F123" i="8" s="1"/>
  <c r="F124" i="8" s="1"/>
  <c r="F125" i="8" s="1"/>
  <c r="F126" i="8" s="1"/>
  <c r="F127" i="8" s="1"/>
  <c r="F128" i="8" s="1"/>
  <c r="F129" i="8" s="1"/>
  <c r="L31" i="29" l="1"/>
  <c r="K32" i="29"/>
  <c r="C48" i="11"/>
  <c r="B46" i="11"/>
  <c r="D54" i="11"/>
  <c r="L52" i="11"/>
  <c r="H59" i="11"/>
  <c r="O41" i="11"/>
  <c r="D49" i="11"/>
  <c r="B47" i="11"/>
  <c r="L47" i="11"/>
  <c r="Q41" i="9"/>
  <c r="S41" i="9" s="1"/>
  <c r="U41" i="9"/>
  <c r="V41" i="9" s="1"/>
  <c r="O42" i="9"/>
  <c r="P41" i="9"/>
  <c r="R41" i="9" s="1"/>
  <c r="D62" i="8"/>
  <c r="B62" i="8"/>
  <c r="L32" i="29" l="1"/>
  <c r="K33" i="29"/>
  <c r="D51" i="11"/>
  <c r="B49" i="11"/>
  <c r="L49" i="11"/>
  <c r="H60" i="11"/>
  <c r="O42" i="11"/>
  <c r="C50" i="11"/>
  <c r="B48" i="11"/>
  <c r="D56" i="11"/>
  <c r="L54" i="11"/>
  <c r="O43" i="9"/>
  <c r="U42" i="9"/>
  <c r="V42" i="9" s="1"/>
  <c r="P42" i="9"/>
  <c r="R42" i="9" s="1"/>
  <c r="Q42" i="9"/>
  <c r="S42" i="9" s="1"/>
  <c r="B65" i="8"/>
  <c r="B68" i="8" s="1"/>
  <c r="B75" i="8" s="1"/>
  <c r="B76" i="8" s="1"/>
  <c r="B77" i="8" s="1"/>
  <c r="B78" i="8" s="1"/>
  <c r="B79" i="8" s="1"/>
  <c r="B80" i="8" s="1"/>
  <c r="B81" i="8" s="1"/>
  <c r="B82" i="8" s="1"/>
  <c r="B83" i="8" s="1"/>
  <c r="B84" i="8" s="1"/>
  <c r="B85" i="8" s="1"/>
  <c r="B86" i="8" s="1"/>
  <c r="B87" i="8" s="1"/>
  <c r="D68" i="8" l="1"/>
  <c r="K34" i="29"/>
  <c r="L33" i="29"/>
  <c r="H61" i="11"/>
  <c r="D58" i="11"/>
  <c r="L56" i="11"/>
  <c r="O43" i="11"/>
  <c r="C52" i="11"/>
  <c r="B50" i="11"/>
  <c r="D53" i="11"/>
  <c r="B51" i="11"/>
  <c r="L51" i="11"/>
  <c r="Q43" i="9"/>
  <c r="U43" i="9"/>
  <c r="P43" i="9"/>
  <c r="D88" i="8"/>
  <c r="B88" i="8"/>
  <c r="L34" i="29" l="1"/>
  <c r="K35" i="29"/>
  <c r="H62" i="11"/>
  <c r="C54" i="11"/>
  <c r="B52" i="11"/>
  <c r="O44" i="11"/>
  <c r="D60" i="11"/>
  <c r="L58" i="11"/>
  <c r="D55" i="11"/>
  <c r="B53" i="11"/>
  <c r="L53" i="11"/>
  <c r="V43" i="9"/>
  <c r="W47" i="9" s="1"/>
  <c r="H73" i="1" s="1"/>
  <c r="U44" i="9"/>
  <c r="V44" i="9" s="1"/>
  <c r="R43" i="9"/>
  <c r="R44" i="9" s="1"/>
  <c r="P44" i="9"/>
  <c r="S43" i="9"/>
  <c r="S44" i="9" s="1"/>
  <c r="K26" i="11" s="1"/>
  <c r="K58" i="11" s="1"/>
  <c r="Q44" i="9"/>
  <c r="B91" i="8"/>
  <c r="B92" i="8" s="1"/>
  <c r="B93" i="8" s="1"/>
  <c r="B94" i="8" s="1"/>
  <c r="B95" i="8" s="1"/>
  <c r="B96" i="8" s="1"/>
  <c r="B97" i="8" s="1"/>
  <c r="B98" i="8" s="1"/>
  <c r="B99" i="8" s="1"/>
  <c r="B100" i="8" s="1"/>
  <c r="B101" i="8" s="1"/>
  <c r="B102" i="8" s="1"/>
  <c r="B103" i="8" s="1"/>
  <c r="K53" i="11" l="1"/>
  <c r="K36" i="11"/>
  <c r="K34" i="11"/>
  <c r="K70" i="11"/>
  <c r="K38" i="11"/>
  <c r="K31" i="11"/>
  <c r="K30" i="11"/>
  <c r="K32" i="11"/>
  <c r="K33" i="11"/>
  <c r="K35" i="11"/>
  <c r="K40" i="11"/>
  <c r="K42" i="11"/>
  <c r="K37" i="11"/>
  <c r="K39" i="11"/>
  <c r="K44" i="11"/>
  <c r="K46" i="11"/>
  <c r="K41" i="11"/>
  <c r="K48" i="11"/>
  <c r="K43" i="11"/>
  <c r="K50" i="11"/>
  <c r="K45" i="11"/>
  <c r="K52" i="11"/>
  <c r="K47" i="11"/>
  <c r="K49" i="11"/>
  <c r="K54" i="11"/>
  <c r="K56" i="11"/>
  <c r="K51" i="11"/>
  <c r="L35" i="29"/>
  <c r="K36" i="29"/>
  <c r="M34" i="29"/>
  <c r="H30" i="11" s="1"/>
  <c r="H31" i="11" s="1"/>
  <c r="O45" i="11"/>
  <c r="H63" i="11"/>
  <c r="B55" i="11"/>
  <c r="D57" i="11"/>
  <c r="L55" i="11"/>
  <c r="K55" i="11"/>
  <c r="D62" i="11"/>
  <c r="L60" i="11"/>
  <c r="K60" i="11"/>
  <c r="C56" i="11"/>
  <c r="B54" i="11"/>
  <c r="W46" i="9"/>
  <c r="H39" i="1" s="1"/>
  <c r="D104" i="8"/>
  <c r="B104" i="8"/>
  <c r="L26" i="11" l="1"/>
  <c r="L36" i="29"/>
  <c r="K37" i="29"/>
  <c r="D64" i="11"/>
  <c r="L62" i="11"/>
  <c r="K62" i="11"/>
  <c r="C58" i="11"/>
  <c r="B56" i="11"/>
  <c r="O46" i="11"/>
  <c r="H64" i="11"/>
  <c r="D59" i="11"/>
  <c r="B57" i="11"/>
  <c r="K57" i="11"/>
  <c r="L57" i="11"/>
  <c r="B107" i="8"/>
  <c r="B108" i="8" s="1"/>
  <c r="L37" i="29" l="1"/>
  <c r="K38" i="29"/>
  <c r="H65" i="11"/>
  <c r="B59" i="11"/>
  <c r="D61" i="11"/>
  <c r="L59" i="11"/>
  <c r="K59" i="11"/>
  <c r="O47" i="11"/>
  <c r="C60" i="11"/>
  <c r="B58" i="11"/>
  <c r="D66" i="11"/>
  <c r="K64" i="11"/>
  <c r="L64" i="11"/>
  <c r="D109" i="8"/>
  <c r="B109" i="8"/>
  <c r="L38" i="29" l="1"/>
  <c r="K39" i="29"/>
  <c r="C62" i="11"/>
  <c r="B60" i="11"/>
  <c r="H66" i="11"/>
  <c r="D68" i="11"/>
  <c r="L66" i="11"/>
  <c r="K66" i="11"/>
  <c r="D63" i="11"/>
  <c r="B61" i="11"/>
  <c r="L61" i="11"/>
  <c r="K61" i="11"/>
  <c r="O48" i="11"/>
  <c r="B112" i="8"/>
  <c r="B113" i="8" s="1"/>
  <c r="L39" i="29" l="1"/>
  <c r="K40" i="29"/>
  <c r="H67" i="11"/>
  <c r="O49" i="11"/>
  <c r="B63" i="11"/>
  <c r="D65" i="11"/>
  <c r="K63" i="11"/>
  <c r="L63" i="11"/>
  <c r="K68" i="11"/>
  <c r="L68" i="11"/>
  <c r="C64" i="11"/>
  <c r="B62" i="11"/>
  <c r="B114" i="8"/>
  <c r="D114" i="8"/>
  <c r="L40" i="29" l="1"/>
  <c r="K41" i="29"/>
  <c r="O50" i="11"/>
  <c r="C66" i="11"/>
  <c r="B64" i="11"/>
  <c r="D67" i="11"/>
  <c r="B65" i="11"/>
  <c r="K65" i="11"/>
  <c r="L65" i="11"/>
  <c r="H68" i="11"/>
  <c r="B117" i="8"/>
  <c r="B118" i="8" s="1"/>
  <c r="B119" i="8" s="1"/>
  <c r="B120" i="8" s="1"/>
  <c r="B121" i="8" s="1"/>
  <c r="B122" i="8" s="1"/>
  <c r="B123" i="8" s="1"/>
  <c r="B124" i="8" s="1"/>
  <c r="B125" i="8" s="1"/>
  <c r="B126" i="8" s="1"/>
  <c r="B127" i="8" s="1"/>
  <c r="B128" i="8" s="1"/>
  <c r="B129" i="8" s="1"/>
  <c r="K42" i="29" l="1"/>
  <c r="L41" i="29"/>
  <c r="O51" i="11"/>
  <c r="C68" i="11"/>
  <c r="B68" i="11" s="1"/>
  <c r="B66" i="11"/>
  <c r="H69" i="11"/>
  <c r="B67" i="11"/>
  <c r="D69" i="11"/>
  <c r="K67" i="11"/>
  <c r="L67" i="11"/>
  <c r="B130" i="8"/>
  <c r="D130" i="8"/>
  <c r="L42" i="29" l="1"/>
  <c r="K43" i="29"/>
  <c r="B69" i="11"/>
  <c r="L69" i="11"/>
  <c r="K69" i="11"/>
  <c r="O52" i="11"/>
  <c r="B132" i="8"/>
  <c r="B134" i="8" s="1"/>
  <c r="D132" i="8"/>
  <c r="D134" i="8"/>
  <c r="L43" i="29" l="1"/>
  <c r="K44" i="29"/>
  <c r="O53" i="11"/>
  <c r="L44" i="29" l="1"/>
  <c r="K45" i="29"/>
  <c r="O54" i="11"/>
  <c r="K46" i="29" l="1"/>
  <c r="L45" i="29"/>
  <c r="O55" i="11"/>
  <c r="L46" i="29" l="1"/>
  <c r="K47" i="29"/>
  <c r="O56" i="11"/>
  <c r="L47" i="29" l="1"/>
  <c r="K48" i="29"/>
  <c r="M46" i="29"/>
  <c r="H32" i="11" s="1"/>
  <c r="H33" i="11" s="1"/>
  <c r="O57" i="11"/>
  <c r="L48" i="29" l="1"/>
  <c r="K49" i="29"/>
  <c r="O58" i="11"/>
  <c r="L49" i="29" l="1"/>
  <c r="K50" i="29"/>
  <c r="O59" i="11"/>
  <c r="L50" i="29" l="1"/>
  <c r="K51" i="29"/>
  <c r="O60" i="11"/>
  <c r="L51" i="29" l="1"/>
  <c r="K52" i="29"/>
  <c r="O61" i="11"/>
  <c r="L52" i="29" l="1"/>
  <c r="K53" i="29"/>
  <c r="O62" i="11"/>
  <c r="L53" i="29" l="1"/>
  <c r="K54" i="29"/>
  <c r="O63" i="11"/>
  <c r="L54" i="29" l="1"/>
  <c r="K55" i="29"/>
  <c r="O64" i="11"/>
  <c r="L55" i="29" l="1"/>
  <c r="K56" i="29"/>
  <c r="O65" i="11"/>
  <c r="L56" i="29" l="1"/>
  <c r="K57" i="29"/>
  <c r="O66" i="11"/>
  <c r="L57" i="29" l="1"/>
  <c r="K58" i="29"/>
  <c r="O67" i="11"/>
  <c r="L58" i="29" l="1"/>
  <c r="K59" i="29"/>
  <c r="O68" i="11"/>
  <c r="M58" i="29" l="1"/>
  <c r="H34" i="11" s="1"/>
  <c r="H35" i="11" s="1"/>
  <c r="L59" i="29"/>
  <c r="K60" i="29"/>
  <c r="O69" i="11"/>
  <c r="L60" i="29" l="1"/>
  <c r="K61" i="29"/>
  <c r="O70" i="11"/>
  <c r="L61" i="29" l="1"/>
  <c r="K62" i="29"/>
  <c r="L62" i="29" l="1"/>
  <c r="K63" i="29"/>
  <c r="L63" i="29" l="1"/>
  <c r="K64" i="29"/>
  <c r="L64" i="29" l="1"/>
  <c r="K65" i="29"/>
  <c r="L65" i="29" l="1"/>
  <c r="K66" i="29"/>
  <c r="L66" i="29" l="1"/>
  <c r="K67" i="29"/>
  <c r="L67" i="29" l="1"/>
  <c r="K68" i="29"/>
  <c r="L68" i="29" l="1"/>
  <c r="K69" i="29"/>
  <c r="L69" i="29" l="1"/>
  <c r="K70" i="29"/>
  <c r="L70" i="29" l="1"/>
  <c r="K71" i="29"/>
  <c r="M70" i="29" l="1"/>
  <c r="H36" i="11" s="1"/>
  <c r="H37" i="11" s="1"/>
  <c r="L71" i="29"/>
  <c r="K72" i="29"/>
  <c r="L72" i="29" l="1"/>
  <c r="K73" i="29"/>
  <c r="C305" i="1"/>
  <c r="C304" i="1"/>
  <c r="E293" i="1"/>
  <c r="P287" i="1"/>
  <c r="L287" i="1"/>
  <c r="C282" i="1"/>
  <c r="C272" i="1"/>
  <c r="E260" i="1"/>
  <c r="C259" i="1"/>
  <c r="E228" i="1"/>
  <c r="E260" i="8" s="1"/>
  <c r="E227" i="1"/>
  <c r="E214" i="1"/>
  <c r="E207" i="1"/>
  <c r="P194" i="1"/>
  <c r="L194" i="1"/>
  <c r="P193" i="1"/>
  <c r="L193" i="1"/>
  <c r="P192" i="1"/>
  <c r="L192" i="1"/>
  <c r="P191" i="1"/>
  <c r="L191" i="1"/>
  <c r="P190" i="1"/>
  <c r="L190" i="1"/>
  <c r="P185" i="1"/>
  <c r="E185" i="1"/>
  <c r="E184" i="1"/>
  <c r="E183" i="1"/>
  <c r="E182" i="1"/>
  <c r="P181" i="1"/>
  <c r="E181" i="1"/>
  <c r="E180" i="1"/>
  <c r="P176" i="1"/>
  <c r="L176" i="1"/>
  <c r="E176" i="1"/>
  <c r="E175" i="1"/>
  <c r="E174" i="1"/>
  <c r="E173" i="1"/>
  <c r="E172" i="1"/>
  <c r="P169" i="1"/>
  <c r="L169" i="1"/>
  <c r="P168" i="1"/>
  <c r="L168" i="1"/>
  <c r="P167" i="1"/>
  <c r="L167" i="1"/>
  <c r="O153" i="1"/>
  <c r="L153" i="1"/>
  <c r="E153" i="1"/>
  <c r="E148" i="1"/>
  <c r="E147" i="1"/>
  <c r="E145" i="1"/>
  <c r="P135" i="1"/>
  <c r="L135" i="1"/>
  <c r="E134" i="1"/>
  <c r="E224" i="8" s="1"/>
  <c r="P131" i="1"/>
  <c r="L131" i="1"/>
  <c r="E130" i="1"/>
  <c r="E124" i="1"/>
  <c r="E215" i="8" s="1"/>
  <c r="E122" i="1"/>
  <c r="O121" i="1"/>
  <c r="P121" i="1" s="1"/>
  <c r="P119" i="1"/>
  <c r="L119" i="1"/>
  <c r="E119" i="1"/>
  <c r="E103" i="1"/>
  <c r="E295" i="8" s="1"/>
  <c r="P100" i="1"/>
  <c r="L100" i="1"/>
  <c r="E99" i="1"/>
  <c r="E94" i="1"/>
  <c r="E151" i="8" s="1"/>
  <c r="E91" i="1"/>
  <c r="E147" i="8" s="1"/>
  <c r="P90" i="1"/>
  <c r="L90" i="1"/>
  <c r="P88" i="1"/>
  <c r="L88" i="1"/>
  <c r="E88" i="1"/>
  <c r="E143" i="8" s="1"/>
  <c r="P85" i="1"/>
  <c r="L85" i="1"/>
  <c r="E85" i="1"/>
  <c r="E82" i="1"/>
  <c r="P73" i="1"/>
  <c r="L73" i="1"/>
  <c r="E73" i="1"/>
  <c r="C59" i="1"/>
  <c r="E57" i="1"/>
  <c r="C57" i="1"/>
  <c r="E56" i="1"/>
  <c r="E114" i="8" s="1"/>
  <c r="E54" i="1"/>
  <c r="E88" i="8" s="1"/>
  <c r="E48" i="1"/>
  <c r="E174" i="8" s="1"/>
  <c r="E43" i="1"/>
  <c r="E41" i="8" s="1"/>
  <c r="E42" i="1"/>
  <c r="E46" i="8" s="1"/>
  <c r="K39" i="1"/>
  <c r="E39" i="1"/>
  <c r="E38" i="1"/>
  <c r="E20" i="8" s="1"/>
  <c r="E24" i="1"/>
  <c r="E109" i="8" s="1"/>
  <c r="E23" i="1"/>
  <c r="E132" i="8" s="1"/>
  <c r="E21" i="1"/>
  <c r="E68" i="8" s="1"/>
  <c r="A14" i="1"/>
  <c r="P7" i="1"/>
  <c r="L7" i="1"/>
  <c r="H5" i="1"/>
  <c r="O7" i="1" s="1"/>
  <c r="J81" i="27"/>
  <c r="E209" i="1" l="1"/>
  <c r="F17" i="10" s="1"/>
  <c r="F15" i="10"/>
  <c r="E315" i="8"/>
  <c r="E309" i="8"/>
  <c r="E303" i="8"/>
  <c r="E314" i="8"/>
  <c r="E308" i="8"/>
  <c r="E310" i="8"/>
  <c r="E304" i="8"/>
  <c r="E313" i="8"/>
  <c r="E305" i="8"/>
  <c r="F21" i="10"/>
  <c r="A15" i="1"/>
  <c r="A16" i="1" s="1"/>
  <c r="O73" i="1"/>
  <c r="L73" i="29"/>
  <c r="K74" i="29"/>
  <c r="K121" i="1"/>
  <c r="L121" i="1" s="1"/>
  <c r="O135" i="1"/>
  <c r="K7" i="1"/>
  <c r="K135" i="1"/>
  <c r="K228" i="1"/>
  <c r="O39" i="1"/>
  <c r="P39" i="1" s="1"/>
  <c r="K73" i="1"/>
  <c r="P153" i="1"/>
  <c r="O287" i="1"/>
  <c r="K85" i="1"/>
  <c r="K153" i="1"/>
  <c r="K287" i="1"/>
  <c r="L39" i="1"/>
  <c r="K124" i="1"/>
  <c r="L124" i="1" s="1"/>
  <c r="O124" i="1"/>
  <c r="P124" i="1" s="1"/>
  <c r="L181" i="1"/>
  <c r="K227" i="1"/>
  <c r="O227" i="1"/>
  <c r="K103" i="1"/>
  <c r="L103" i="1" s="1"/>
  <c r="O103" i="1"/>
  <c r="P103" i="1" s="1"/>
  <c r="O85" i="1"/>
  <c r="K131" i="1"/>
  <c r="O131" i="1"/>
  <c r="L185" i="1"/>
  <c r="H230" i="1"/>
  <c r="H239" i="1" s="1"/>
  <c r="O229" i="1"/>
  <c r="K293" i="1"/>
  <c r="L293" i="1" s="1"/>
  <c r="O293" i="1"/>
  <c r="P293" i="1" s="1"/>
  <c r="O228" i="1"/>
  <c r="K229" i="1"/>
  <c r="J82" i="27"/>
  <c r="I49" i="10" l="1"/>
  <c r="K239" i="1"/>
  <c r="O239" i="1"/>
  <c r="F16" i="1"/>
  <c r="I36" i="10"/>
  <c r="I37" i="10" s="1"/>
  <c r="I38" i="10"/>
  <c r="L74" i="29"/>
  <c r="K75" i="29"/>
  <c r="F18" i="1"/>
  <c r="A18" i="1"/>
  <c r="H231" i="1"/>
  <c r="L75" i="29" l="1"/>
  <c r="K76" i="29"/>
  <c r="F126" i="1"/>
  <c r="F92" i="1"/>
  <c r="F89" i="1"/>
  <c r="F59" i="1"/>
  <c r="F45" i="1"/>
  <c r="F150" i="1"/>
  <c r="A21" i="1"/>
  <c r="A68" i="8" s="1"/>
  <c r="L76" i="29" l="1"/>
  <c r="K77" i="29"/>
  <c r="A23" i="1"/>
  <c r="A132" i="8" s="1"/>
  <c r="L77" i="29" l="1"/>
  <c r="K78" i="29"/>
  <c r="A24" i="1"/>
  <c r="A109" i="8" s="1"/>
  <c r="F25" i="1"/>
  <c r="L78" i="29" l="1"/>
  <c r="K79" i="29"/>
  <c r="A25" i="1"/>
  <c r="F57" i="1"/>
  <c r="L79" i="29" l="1"/>
  <c r="K80" i="29"/>
  <c r="A27" i="1"/>
  <c r="A29" i="1" s="1"/>
  <c r="F27" i="1"/>
  <c r="L80" i="29" l="1"/>
  <c r="K81" i="29"/>
  <c r="A30" i="1"/>
  <c r="F30" i="1"/>
  <c r="L81" i="29" l="1"/>
  <c r="K82" i="29"/>
  <c r="F137" i="1"/>
  <c r="A32" i="1"/>
  <c r="L82" i="29" l="1"/>
  <c r="K83" i="29"/>
  <c r="F33" i="1"/>
  <c r="A33" i="1"/>
  <c r="A38" i="1" s="1"/>
  <c r="A20" i="8" s="1"/>
  <c r="M82" i="29" l="1"/>
  <c r="H38" i="11" s="1"/>
  <c r="H39" i="11" s="1"/>
  <c r="K84" i="29"/>
  <c r="L83" i="29"/>
  <c r="F259" i="1"/>
  <c r="A39" i="1"/>
  <c r="P46" i="9" l="1"/>
  <c r="K85" i="29"/>
  <c r="L84" i="29"/>
  <c r="C300" i="1"/>
  <c r="A40" i="1"/>
  <c r="F40" i="1"/>
  <c r="L85" i="29" l="1"/>
  <c r="K86" i="29"/>
  <c r="A42" i="1"/>
  <c r="A46" i="8" s="1"/>
  <c r="L86" i="29" l="1"/>
  <c r="K87" i="29"/>
  <c r="A43" i="1"/>
  <c r="A44" i="1" l="1"/>
  <c r="A41" i="8"/>
  <c r="L87" i="29"/>
  <c r="K88" i="29"/>
  <c r="F44" i="1"/>
  <c r="A45" i="1"/>
  <c r="A46" i="1" s="1"/>
  <c r="F46" i="1" l="1"/>
  <c r="K89" i="29"/>
  <c r="L88" i="29"/>
  <c r="A48" i="1"/>
  <c r="F50" i="1" s="1"/>
  <c r="A50" i="1" l="1"/>
  <c r="A174" i="8"/>
  <c r="L89" i="29"/>
  <c r="K90" i="29"/>
  <c r="K174" i="1"/>
  <c r="L174" i="1" s="1"/>
  <c r="O174" i="1"/>
  <c r="P174" i="1" s="1"/>
  <c r="O169" i="1"/>
  <c r="K169" i="1"/>
  <c r="K175" i="1"/>
  <c r="L175" i="1" s="1"/>
  <c r="O175" i="1"/>
  <c r="P175" i="1" s="1"/>
  <c r="K191" i="1"/>
  <c r="O191" i="1"/>
  <c r="F29" i="1"/>
  <c r="A54" i="1"/>
  <c r="A88" i="8" s="1"/>
  <c r="L90" i="29" l="1"/>
  <c r="K91" i="29"/>
  <c r="O289" i="1"/>
  <c r="P289" i="1" s="1"/>
  <c r="K289" i="1"/>
  <c r="L289" i="1" s="1"/>
  <c r="H57" i="1"/>
  <c r="O24" i="1"/>
  <c r="P24" i="1" s="1"/>
  <c r="K24" i="1"/>
  <c r="L24" i="1" s="1"/>
  <c r="K173" i="1"/>
  <c r="L173" i="1" s="1"/>
  <c r="O173" i="1"/>
  <c r="P173" i="1" s="1"/>
  <c r="K43" i="1"/>
  <c r="L43" i="1" s="1"/>
  <c r="O43" i="1"/>
  <c r="P43" i="1" s="1"/>
  <c r="K184" i="1"/>
  <c r="L184" i="1" s="1"/>
  <c r="O184" i="1"/>
  <c r="P184" i="1" s="1"/>
  <c r="O202" i="1"/>
  <c r="P202" i="1" s="1"/>
  <c r="K202" i="1"/>
  <c r="L202" i="1" s="1"/>
  <c r="A56" i="1"/>
  <c r="A114" i="8" s="1"/>
  <c r="L91" i="29" l="1"/>
  <c r="K92" i="29"/>
  <c r="O21" i="1"/>
  <c r="P21" i="1" s="1"/>
  <c r="K21" i="1"/>
  <c r="L21" i="1" s="1"/>
  <c r="O168" i="1"/>
  <c r="K168" i="1"/>
  <c r="K194" i="1"/>
  <c r="O194" i="1"/>
  <c r="K167" i="1"/>
  <c r="O167" i="1"/>
  <c r="O185" i="1"/>
  <c r="K185" i="1"/>
  <c r="H195" i="1"/>
  <c r="H213" i="1" s="1"/>
  <c r="I20" i="10" s="1"/>
  <c r="O189" i="1"/>
  <c r="P189" i="1" s="1"/>
  <c r="K189" i="1"/>
  <c r="L189" i="1" s="1"/>
  <c r="O172" i="1"/>
  <c r="P172" i="1" s="1"/>
  <c r="K172" i="1"/>
  <c r="L172" i="1" s="1"/>
  <c r="K176" i="1"/>
  <c r="O176" i="1"/>
  <c r="O193" i="1"/>
  <c r="K193" i="1"/>
  <c r="O166" i="1"/>
  <c r="P166" i="1" s="1"/>
  <c r="K166" i="1"/>
  <c r="L166" i="1" s="1"/>
  <c r="H170" i="1"/>
  <c r="K57" i="1"/>
  <c r="L57" i="1" s="1"/>
  <c r="O57" i="1"/>
  <c r="P57" i="1" s="1"/>
  <c r="O192" i="1"/>
  <c r="K192" i="1"/>
  <c r="O48" i="1"/>
  <c r="P48" i="1" s="1"/>
  <c r="K48" i="1"/>
  <c r="L48" i="1" s="1"/>
  <c r="K56" i="1"/>
  <c r="L56" i="1" s="1"/>
  <c r="O56" i="1"/>
  <c r="P56" i="1" s="1"/>
  <c r="H58" i="1"/>
  <c r="O200" i="1"/>
  <c r="P200" i="1" s="1"/>
  <c r="K200" i="1"/>
  <c r="L200" i="1" s="1"/>
  <c r="O54" i="1"/>
  <c r="P54" i="1" s="1"/>
  <c r="K54" i="1"/>
  <c r="L54" i="1" s="1"/>
  <c r="K182" i="1"/>
  <c r="L182" i="1" s="1"/>
  <c r="O182" i="1"/>
  <c r="P182" i="1" s="1"/>
  <c r="K190" i="1"/>
  <c r="O190" i="1"/>
  <c r="K130" i="1"/>
  <c r="L130" i="1" s="1"/>
  <c r="O130" i="1"/>
  <c r="P130" i="1" s="1"/>
  <c r="H132" i="1"/>
  <c r="O203" i="1"/>
  <c r="P203" i="1" s="1"/>
  <c r="K203" i="1"/>
  <c r="L203" i="1" s="1"/>
  <c r="O181" i="1"/>
  <c r="K181" i="1"/>
  <c r="O183" i="1"/>
  <c r="P183" i="1" s="1"/>
  <c r="K183" i="1"/>
  <c r="L183" i="1" s="1"/>
  <c r="H259" i="1"/>
  <c r="H40" i="1"/>
  <c r="K38" i="1"/>
  <c r="L38" i="1" s="1"/>
  <c r="O38" i="1"/>
  <c r="P38" i="1" s="1"/>
  <c r="H44" i="1"/>
  <c r="K42" i="1"/>
  <c r="L42" i="1" s="1"/>
  <c r="O42" i="1"/>
  <c r="P42" i="1" s="1"/>
  <c r="O197" i="1"/>
  <c r="P197" i="1" s="1"/>
  <c r="K197" i="1"/>
  <c r="L197" i="1" s="1"/>
  <c r="O180" i="1"/>
  <c r="P180" i="1" s="1"/>
  <c r="K180" i="1"/>
  <c r="L180" i="1" s="1"/>
  <c r="H186" i="1"/>
  <c r="A57" i="1"/>
  <c r="A58" i="1" s="1"/>
  <c r="L92" i="29" l="1"/>
  <c r="K93" i="29"/>
  <c r="K213" i="1"/>
  <c r="O213" i="1"/>
  <c r="K186" i="1"/>
  <c r="L186" i="1" s="1"/>
  <c r="O186" i="1"/>
  <c r="P186" i="1" s="1"/>
  <c r="O44" i="1"/>
  <c r="P44" i="1" s="1"/>
  <c r="K44" i="1"/>
  <c r="L44" i="1" s="1"/>
  <c r="H25" i="1"/>
  <c r="O23" i="1"/>
  <c r="P23" i="1" s="1"/>
  <c r="K23" i="1"/>
  <c r="L23" i="1" s="1"/>
  <c r="O170" i="1"/>
  <c r="P170" i="1" s="1"/>
  <c r="H177" i="1"/>
  <c r="H212" i="1" s="1"/>
  <c r="I19" i="10" s="1"/>
  <c r="K170" i="1"/>
  <c r="L170" i="1" s="1"/>
  <c r="O40" i="1"/>
  <c r="P40" i="1" s="1"/>
  <c r="H282" i="1"/>
  <c r="H273" i="1"/>
  <c r="K40" i="1"/>
  <c r="L40" i="1" s="1"/>
  <c r="O119" i="1"/>
  <c r="K119" i="1"/>
  <c r="K132" i="1"/>
  <c r="L132" i="1" s="1"/>
  <c r="O132" i="1"/>
  <c r="P132" i="1" s="1"/>
  <c r="O58" i="1"/>
  <c r="P58" i="1" s="1"/>
  <c r="K58" i="1"/>
  <c r="L58" i="1" s="1"/>
  <c r="H201" i="1"/>
  <c r="O195" i="1"/>
  <c r="P195" i="1" s="1"/>
  <c r="K195" i="1"/>
  <c r="L195" i="1" s="1"/>
  <c r="O259" i="1"/>
  <c r="P259" i="1" s="1"/>
  <c r="K259" i="1"/>
  <c r="L259" i="1" s="1"/>
  <c r="A59" i="1"/>
  <c r="A60" i="1" s="1"/>
  <c r="F58" i="1"/>
  <c r="L93" i="29" l="1"/>
  <c r="K94" i="29"/>
  <c r="K212" i="1"/>
  <c r="O212" i="1"/>
  <c r="K201" i="1"/>
  <c r="L201" i="1" s="1"/>
  <c r="O201" i="1"/>
  <c r="P201" i="1" s="1"/>
  <c r="H204" i="1"/>
  <c r="O273" i="1"/>
  <c r="P273" i="1" s="1"/>
  <c r="K273" i="1"/>
  <c r="L273" i="1" s="1"/>
  <c r="O25" i="1"/>
  <c r="P25" i="1" s="1"/>
  <c r="K25" i="1"/>
  <c r="L25" i="1" s="1"/>
  <c r="H27" i="1"/>
  <c r="K282" i="1"/>
  <c r="L282" i="1" s="1"/>
  <c r="O282" i="1"/>
  <c r="P282" i="1" s="1"/>
  <c r="O177" i="1"/>
  <c r="P177" i="1" s="1"/>
  <c r="K177" i="1"/>
  <c r="L177" i="1" s="1"/>
  <c r="A62" i="1"/>
  <c r="F62" i="1"/>
  <c r="F60" i="1"/>
  <c r="L94" i="29" l="1"/>
  <c r="K95" i="29"/>
  <c r="O204" i="1"/>
  <c r="P204" i="1" s="1"/>
  <c r="H209" i="1"/>
  <c r="I17" i="10" s="1"/>
  <c r="I25" i="10" s="1"/>
  <c r="K204" i="1"/>
  <c r="L204" i="1" s="1"/>
  <c r="H208" i="1"/>
  <c r="I16" i="10" s="1"/>
  <c r="I24" i="10" s="1"/>
  <c r="H207" i="1"/>
  <c r="I15" i="10" s="1"/>
  <c r="I23" i="10" s="1"/>
  <c r="O27" i="1"/>
  <c r="P27" i="1" s="1"/>
  <c r="K27" i="1"/>
  <c r="L27" i="1" s="1"/>
  <c r="A64" i="1"/>
  <c r="F64" i="1"/>
  <c r="I26" i="10" l="1"/>
  <c r="L95" i="29"/>
  <c r="K96" i="29"/>
  <c r="M94" i="29"/>
  <c r="H40" i="11" s="1"/>
  <c r="H41" i="11" s="1"/>
  <c r="K208" i="1"/>
  <c r="H218" i="1"/>
  <c r="O208" i="1"/>
  <c r="K209" i="1"/>
  <c r="H219" i="1"/>
  <c r="O209" i="1"/>
  <c r="O207" i="1"/>
  <c r="K207" i="1"/>
  <c r="H217" i="1"/>
  <c r="F246" i="1"/>
  <c r="A69" i="1"/>
  <c r="A70" i="1" s="1"/>
  <c r="F32" i="1"/>
  <c r="K97" i="29" l="1"/>
  <c r="L96" i="29"/>
  <c r="H220" i="1"/>
  <c r="K220" i="1" s="1"/>
  <c r="A73" i="1"/>
  <c r="P47" i="9" l="1"/>
  <c r="G53" i="9"/>
  <c r="G23" i="9"/>
  <c r="G66" i="9"/>
  <c r="G61" i="9"/>
  <c r="G50" i="9"/>
  <c r="L97" i="29"/>
  <c r="K98" i="29"/>
  <c r="O220" i="1"/>
  <c r="A76" i="1"/>
  <c r="A165" i="8" s="1"/>
  <c r="F282" i="1"/>
  <c r="F273" i="1"/>
  <c r="L98" i="29" l="1"/>
  <c r="K99" i="29"/>
  <c r="A79" i="1"/>
  <c r="A82" i="1" s="1"/>
  <c r="A85" i="1" s="1"/>
  <c r="A88" i="1" s="1"/>
  <c r="A143" i="8" s="1"/>
  <c r="L99" i="29" l="1"/>
  <c r="K100" i="29"/>
  <c r="A89" i="1"/>
  <c r="A90" i="1" s="1"/>
  <c r="K101" i="29" l="1"/>
  <c r="L100" i="29"/>
  <c r="A91" i="1"/>
  <c r="A147" i="8" s="1"/>
  <c r="F90" i="1"/>
  <c r="L101" i="29" l="1"/>
  <c r="K102" i="29"/>
  <c r="A92" i="1"/>
  <c r="A93" i="1" s="1"/>
  <c r="L102" i="29" l="1"/>
  <c r="K103" i="29"/>
  <c r="A94" i="1"/>
  <c r="F95" i="1"/>
  <c r="F93" i="1"/>
  <c r="A95" i="1" l="1"/>
  <c r="A151" i="8"/>
  <c r="L103" i="29"/>
  <c r="K104" i="29"/>
  <c r="A98" i="1"/>
  <c r="L104" i="29" l="1"/>
  <c r="K105" i="29"/>
  <c r="A99" i="1"/>
  <c r="H10" i="27"/>
  <c r="A100" i="1" l="1"/>
  <c r="L105" i="29"/>
  <c r="K106" i="29"/>
  <c r="F100" i="1"/>
  <c r="A103" i="1" l="1"/>
  <c r="F105" i="1" s="1"/>
  <c r="L106" i="29"/>
  <c r="K107" i="29"/>
  <c r="A295" i="8" l="1"/>
  <c r="A105" i="1"/>
  <c r="M106" i="29"/>
  <c r="H42" i="11" s="1"/>
  <c r="H43" i="11" s="1"/>
  <c r="L107" i="29"/>
  <c r="K108" i="29"/>
  <c r="F107" i="1" l="1"/>
  <c r="F247" i="1"/>
  <c r="A107" i="1"/>
  <c r="L108" i="29"/>
  <c r="K109" i="29"/>
  <c r="F248" i="1" l="1"/>
  <c r="A112" i="1"/>
  <c r="L109" i="29"/>
  <c r="K110" i="29"/>
  <c r="A267" i="8" l="1"/>
  <c r="A113" i="1"/>
  <c r="L110" i="29"/>
  <c r="K111" i="29"/>
  <c r="A114" i="1" l="1"/>
  <c r="A276" i="8"/>
  <c r="L111" i="29"/>
  <c r="K112" i="29"/>
  <c r="F115" i="1" l="1"/>
  <c r="A278" i="8"/>
  <c r="A115" i="1"/>
  <c r="A118" i="1" s="1"/>
  <c r="L112" i="29"/>
  <c r="K113" i="29"/>
  <c r="J73" i="27"/>
  <c r="A119" i="1" l="1"/>
  <c r="L113" i="29"/>
  <c r="K114" i="29"/>
  <c r="A120" i="1" l="1"/>
  <c r="A121" i="1" s="1"/>
  <c r="A122" i="1" s="1"/>
  <c r="A220" i="8"/>
  <c r="K115" i="29"/>
  <c r="L115" i="29" s="1"/>
  <c r="L114" i="29"/>
  <c r="J71" i="27"/>
  <c r="A326" i="8" l="1"/>
  <c r="A123" i="1"/>
  <c r="K116" i="29"/>
  <c r="J72" i="27"/>
  <c r="A124" i="1" l="1"/>
  <c r="L116" i="29"/>
  <c r="K117" i="29"/>
  <c r="F125" i="1" l="1"/>
  <c r="A125" i="1"/>
  <c r="A215" i="8"/>
  <c r="L117" i="29"/>
  <c r="K118" i="29"/>
  <c r="F127" i="1" l="1"/>
  <c r="A126" i="1"/>
  <c r="A127" i="1" s="1"/>
  <c r="A130" i="1" s="1"/>
  <c r="L118" i="29"/>
  <c r="K119" i="29"/>
  <c r="A131" i="1" l="1"/>
  <c r="F132" i="1" s="1"/>
  <c r="A239" i="8"/>
  <c r="L119" i="29"/>
  <c r="K120" i="29"/>
  <c r="M118" i="29"/>
  <c r="H44" i="11" s="1"/>
  <c r="A132" i="1" l="1"/>
  <c r="A134" i="1" s="1"/>
  <c r="A246" i="8"/>
  <c r="H45" i="11"/>
  <c r="L120" i="29"/>
  <c r="K121" i="29"/>
  <c r="A135" i="1" l="1"/>
  <c r="A224" i="8"/>
  <c r="F136" i="1"/>
  <c r="L121" i="29"/>
  <c r="K122" i="29"/>
  <c r="A253" i="8" l="1"/>
  <c r="A136" i="1"/>
  <c r="L122" i="29"/>
  <c r="K123" i="29"/>
  <c r="A137" i="1" l="1"/>
  <c r="A138" i="1" s="1"/>
  <c r="F138" i="1"/>
  <c r="L123" i="29"/>
  <c r="K124" i="29"/>
  <c r="A140" i="1" l="1"/>
  <c r="F140" i="1"/>
  <c r="L124" i="29"/>
  <c r="K125" i="29"/>
  <c r="A145" i="1" l="1"/>
  <c r="F250" i="1"/>
  <c r="F98" i="1"/>
  <c r="L125" i="29"/>
  <c r="K126" i="29"/>
  <c r="A305" i="8" l="1"/>
  <c r="A147" i="1"/>
  <c r="L126" i="29"/>
  <c r="K127" i="29"/>
  <c r="F149" i="1" l="1"/>
  <c r="A310" i="8"/>
  <c r="A148" i="1"/>
  <c r="K128" i="29"/>
  <c r="L127" i="29"/>
  <c r="A315" i="8" l="1"/>
  <c r="A149" i="1"/>
  <c r="L128" i="29"/>
  <c r="K129" i="29"/>
  <c r="A150" i="1" l="1"/>
  <c r="A151" i="1" s="1"/>
  <c r="F151" i="1"/>
  <c r="L129" i="29"/>
  <c r="K130" i="29"/>
  <c r="A153" i="1" l="1"/>
  <c r="A155" i="1" s="1"/>
  <c r="L130" i="29"/>
  <c r="K131" i="29"/>
  <c r="A159" i="1" l="1"/>
  <c r="F251" i="1"/>
  <c r="F155" i="1"/>
  <c r="M130" i="29"/>
  <c r="H46" i="11" s="1"/>
  <c r="H47" i="11" s="1"/>
  <c r="L131" i="29"/>
  <c r="K132" i="29"/>
  <c r="F161" i="1" l="1"/>
  <c r="A161" i="1"/>
  <c r="L132" i="29"/>
  <c r="K133" i="29"/>
  <c r="F252" i="1" l="1"/>
  <c r="A166" i="1"/>
  <c r="L133" i="29"/>
  <c r="K134" i="29"/>
  <c r="A167" i="1" l="1"/>
  <c r="A168" i="1" s="1"/>
  <c r="A169" i="1" s="1"/>
  <c r="A170" i="1" s="1"/>
  <c r="L134" i="29"/>
  <c r="K135" i="29"/>
  <c r="F170" i="1" l="1"/>
  <c r="A172" i="1"/>
  <c r="A173" i="1" s="1"/>
  <c r="A174" i="1" s="1"/>
  <c r="A175" i="1" s="1"/>
  <c r="A176" i="1" s="1"/>
  <c r="A177" i="1" s="1"/>
  <c r="A180" i="1" s="1"/>
  <c r="L135" i="29"/>
  <c r="K136" i="29"/>
  <c r="F177" i="1" l="1"/>
  <c r="A181" i="1"/>
  <c r="A182" i="1" s="1"/>
  <c r="A183" i="1" s="1"/>
  <c r="A184" i="1" s="1"/>
  <c r="A185" i="1" s="1"/>
  <c r="A186" i="1" s="1"/>
  <c r="F186" i="1"/>
  <c r="L136" i="29"/>
  <c r="K137" i="29"/>
  <c r="F212" i="1" l="1"/>
  <c r="G19" i="10" s="1"/>
  <c r="A189" i="1"/>
  <c r="L137" i="29"/>
  <c r="K138" i="29"/>
  <c r="A190" i="1" l="1"/>
  <c r="A191" i="1" s="1"/>
  <c r="A192" i="1" s="1"/>
  <c r="A193" i="1" s="1"/>
  <c r="A194" i="1" s="1"/>
  <c r="A195" i="1" s="1"/>
  <c r="F195" i="1"/>
  <c r="L138" i="29"/>
  <c r="K139" i="29"/>
  <c r="F201" i="1" l="1"/>
  <c r="A197" i="1"/>
  <c r="L139" i="29"/>
  <c r="K140" i="29"/>
  <c r="F213" i="1" l="1"/>
  <c r="G20" i="10" s="1"/>
  <c r="A200" i="1"/>
  <c r="L140" i="29"/>
  <c r="K141" i="29"/>
  <c r="A201" i="1" l="1"/>
  <c r="A202" i="1" s="1"/>
  <c r="A203" i="1" s="1"/>
  <c r="A204" i="1" s="1"/>
  <c r="F204" i="1"/>
  <c r="L141" i="29"/>
  <c r="K142" i="29"/>
  <c r="F207" i="1" l="1"/>
  <c r="G15" i="10" s="1"/>
  <c r="A207" i="1"/>
  <c r="F208" i="1"/>
  <c r="G16" i="10" s="1"/>
  <c r="F209" i="1"/>
  <c r="G17" i="10" s="1"/>
  <c r="L142" i="29"/>
  <c r="K143" i="29"/>
  <c r="M142" i="29"/>
  <c r="A15" i="10" l="1"/>
  <c r="A208" i="1"/>
  <c r="L143" i="29"/>
  <c r="K144" i="29"/>
  <c r="H48" i="11"/>
  <c r="A16" i="10" l="1"/>
  <c r="A209" i="1"/>
  <c r="L144" i="29"/>
  <c r="K145" i="29"/>
  <c r="H49" i="11"/>
  <c r="A17" i="10" l="1"/>
  <c r="A212" i="1"/>
  <c r="L145" i="29"/>
  <c r="K146" i="29"/>
  <c r="H7" i="27"/>
  <c r="A19" i="10" l="1"/>
  <c r="F217" i="1"/>
  <c r="G23" i="10" s="1"/>
  <c r="A213" i="1"/>
  <c r="L146" i="29"/>
  <c r="K147" i="29"/>
  <c r="A20" i="10" l="1"/>
  <c r="A214" i="1"/>
  <c r="F218" i="1"/>
  <c r="G24" i="10" s="1"/>
  <c r="L147" i="29"/>
  <c r="K148" i="29"/>
  <c r="A21" i="10" l="1"/>
  <c r="F219" i="1"/>
  <c r="G25" i="10" s="1"/>
  <c r="A217" i="1"/>
  <c r="L148" i="29"/>
  <c r="K149" i="29"/>
  <c r="A23" i="10" l="1"/>
  <c r="A218" i="1"/>
  <c r="L149" i="29"/>
  <c r="K150" i="29"/>
  <c r="A219" i="1" l="1"/>
  <c r="A24" i="10"/>
  <c r="L150" i="29"/>
  <c r="K151" i="29"/>
  <c r="A25" i="10" l="1"/>
  <c r="A220" i="1"/>
  <c r="F220" i="1"/>
  <c r="L151" i="29"/>
  <c r="K152" i="29"/>
  <c r="A222" i="1" l="1"/>
  <c r="F222" i="1"/>
  <c r="G28" i="10" s="1"/>
  <c r="A26" i="10"/>
  <c r="A28" i="10" s="1"/>
  <c r="A33" i="10" s="1"/>
  <c r="A34" i="10" s="1"/>
  <c r="A35" i="10" s="1"/>
  <c r="A36" i="10" s="1"/>
  <c r="A37" i="10" s="1"/>
  <c r="A38" i="10" s="1"/>
  <c r="A41" i="10" s="1"/>
  <c r="G26" i="10"/>
  <c r="L152" i="29"/>
  <c r="K153" i="29"/>
  <c r="A44" i="10" l="1"/>
  <c r="A48" i="10" s="1"/>
  <c r="A50" i="10" s="1"/>
  <c r="G8" i="10" s="1"/>
  <c r="G44" i="10"/>
  <c r="A227" i="1"/>
  <c r="A228" i="1" s="1"/>
  <c r="F253" i="1"/>
  <c r="L153" i="29"/>
  <c r="K154" i="29"/>
  <c r="L154" i="29" s="1"/>
  <c r="A260" i="8" l="1"/>
  <c r="A229" i="1"/>
  <c r="A230" i="1" s="1"/>
  <c r="A231" i="1" s="1"/>
  <c r="M154" i="29"/>
  <c r="A234" i="1" l="1"/>
  <c r="F237" i="1"/>
  <c r="H50" i="11"/>
  <c r="H51" i="11" s="1"/>
  <c r="H26" i="11"/>
  <c r="H27" i="11" s="1"/>
  <c r="A159" i="8" l="1"/>
  <c r="F235" i="1"/>
  <c r="A235" i="1"/>
  <c r="A237" i="1" l="1"/>
  <c r="A241" i="1" l="1"/>
  <c r="A239" i="1"/>
  <c r="F241" i="1" s="1"/>
  <c r="A238" i="1"/>
  <c r="F254" i="1" l="1"/>
  <c r="A246" i="1"/>
  <c r="A247" i="1" s="1"/>
  <c r="A248" i="1" s="1"/>
  <c r="A250" i="1" s="1"/>
  <c r="A251" i="1" l="1"/>
  <c r="A252" i="1" s="1"/>
  <c r="A253" i="1" s="1"/>
  <c r="A254" i="1" s="1"/>
  <c r="A256" i="1" s="1"/>
  <c r="F256" i="1"/>
  <c r="F263" i="1" l="1"/>
  <c r="A259" i="1"/>
  <c r="A260" i="1" l="1"/>
  <c r="A261" i="1" s="1"/>
  <c r="F261" i="1"/>
  <c r="E37" i="27"/>
  <c r="H103" i="8" s="1"/>
  <c r="E43" i="27"/>
  <c r="E30" i="27"/>
  <c r="E70" i="27"/>
  <c r="E29" i="27"/>
  <c r="E45" i="27"/>
  <c r="E41" i="27"/>
  <c r="E31" i="27"/>
  <c r="E28" i="27"/>
  <c r="E24" i="27"/>
  <c r="E39" i="27"/>
  <c r="E27" i="27"/>
  <c r="E23" i="27"/>
  <c r="E73" i="27"/>
  <c r="H118" i="1" s="1"/>
  <c r="H31" i="27"/>
  <c r="H28" i="27"/>
  <c r="H23" i="27"/>
  <c r="H24" i="27"/>
  <c r="H27" i="27"/>
  <c r="H30" i="27"/>
  <c r="H39" i="27"/>
  <c r="H29" i="27"/>
  <c r="F262" i="1" l="1"/>
  <c r="A262" i="1"/>
  <c r="H35" i="8"/>
  <c r="H44" i="8"/>
  <c r="H45" i="8"/>
  <c r="H61" i="8"/>
  <c r="H113" i="8"/>
  <c r="K118" i="1"/>
  <c r="L118" i="1" s="1"/>
  <c r="O118" i="1"/>
  <c r="P118" i="1" s="1"/>
  <c r="I223" i="8"/>
  <c r="H120" i="1"/>
  <c r="D47" i="6"/>
  <c r="H70" i="27"/>
  <c r="H73" i="27"/>
  <c r="H37" i="27"/>
  <c r="A263" i="1" l="1"/>
  <c r="F264" i="1" s="1"/>
  <c r="K120" i="1"/>
  <c r="L120" i="1" s="1"/>
  <c r="O120" i="1"/>
  <c r="P120" i="1" s="1"/>
  <c r="I224" i="8"/>
  <c r="H134" i="1" s="1"/>
  <c r="F279" i="1" l="1"/>
  <c r="F272" i="1"/>
  <c r="A264" i="1"/>
  <c r="C23" i="23"/>
  <c r="C27" i="23" s="1"/>
  <c r="H260" i="1" s="1"/>
  <c r="O134" i="1"/>
  <c r="P134" i="1" s="1"/>
  <c r="K134" i="1"/>
  <c r="L134" i="1" s="1"/>
  <c r="H136" i="1"/>
  <c r="A267" i="1" l="1"/>
  <c r="A269" i="1" s="1"/>
  <c r="D8" i="4"/>
  <c r="F269" i="1"/>
  <c r="O260" i="1"/>
  <c r="P260" i="1" s="1"/>
  <c r="K260" i="1"/>
  <c r="L260" i="1" s="1"/>
  <c r="H261" i="1"/>
  <c r="O136" i="1"/>
  <c r="P136" i="1" s="1"/>
  <c r="K136" i="1"/>
  <c r="L136" i="1" s="1"/>
  <c r="F286" i="1" l="1"/>
  <c r="A272" i="1"/>
  <c r="H262" i="1"/>
  <c r="K261" i="1"/>
  <c r="L261" i="1" s="1"/>
  <c r="O261" i="1"/>
  <c r="P261" i="1" s="1"/>
  <c r="A273" i="1" l="1"/>
  <c r="A274" i="1" s="1"/>
  <c r="A275" i="1" s="1"/>
  <c r="D9" i="11" l="1"/>
  <c r="A276" i="1"/>
  <c r="F274" i="1"/>
  <c r="F276" i="1"/>
  <c r="F275" i="1"/>
  <c r="D14" i="11" l="1"/>
  <c r="A279" i="1"/>
  <c r="A280" i="1" l="1"/>
  <c r="A281" i="1" s="1"/>
  <c r="F281" i="1" l="1"/>
  <c r="A282" i="1"/>
  <c r="A283" i="1" s="1"/>
  <c r="A284" i="1" s="1"/>
  <c r="F283" i="1"/>
  <c r="F284" i="1"/>
  <c r="D10" i="11" l="1"/>
  <c r="A286" i="1"/>
  <c r="A287" i="1" l="1"/>
  <c r="A285" i="8" l="1"/>
  <c r="A288" i="1"/>
  <c r="A289" i="1" s="1"/>
  <c r="A286" i="8" l="1"/>
  <c r="A290" i="1"/>
  <c r="F290" i="1"/>
  <c r="E63" i="27"/>
  <c r="E71" i="27"/>
  <c r="E55" i="27"/>
  <c r="E54" i="27"/>
  <c r="E78" i="27"/>
  <c r="E57" i="27"/>
  <c r="E36" i="27"/>
  <c r="E80" i="27"/>
  <c r="E79" i="27"/>
  <c r="E33" i="27"/>
  <c r="E25" i="27"/>
  <c r="E53" i="27"/>
  <c r="E74" i="27"/>
  <c r="E81" i="27"/>
  <c r="E22" i="27"/>
  <c r="E66" i="27"/>
  <c r="E76" i="27"/>
  <c r="E58" i="27"/>
  <c r="E67" i="27"/>
  <c r="E50" i="27"/>
  <c r="E65" i="27"/>
  <c r="E56" i="27"/>
  <c r="E17" i="27"/>
  <c r="E62" i="27"/>
  <c r="E82" i="27"/>
  <c r="E19" i="27"/>
  <c r="E34" i="27"/>
  <c r="H65" i="8" s="1"/>
  <c r="E64" i="27"/>
  <c r="E16" i="27"/>
  <c r="E52" i="27"/>
  <c r="E26" i="27"/>
  <c r="E61" i="27"/>
  <c r="E42" i="27"/>
  <c r="E48" i="27"/>
  <c r="E59" i="27"/>
  <c r="E49" i="27"/>
  <c r="E21" i="27"/>
  <c r="E44" i="27"/>
  <c r="E77" i="27"/>
  <c r="E72" i="27"/>
  <c r="E69" i="27"/>
  <c r="E75" i="27"/>
  <c r="H25" i="27"/>
  <c r="H56" i="27"/>
  <c r="H17" i="27"/>
  <c r="H16" i="27"/>
  <c r="H54" i="27"/>
  <c r="H59" i="27"/>
  <c r="H57" i="27"/>
  <c r="H58" i="27"/>
  <c r="H53" i="27"/>
  <c r="H55" i="27"/>
  <c r="H52" i="27"/>
  <c r="A293" i="1" l="1"/>
  <c r="F294" i="1" s="1"/>
  <c r="H267" i="8"/>
  <c r="J267" i="8" s="1"/>
  <c r="H112" i="1" s="1"/>
  <c r="H146" i="8"/>
  <c r="H147" i="8" s="1"/>
  <c r="H91" i="1" s="1"/>
  <c r="H173" i="8"/>
  <c r="J173" i="8" s="1"/>
  <c r="H14" i="1"/>
  <c r="H33" i="27"/>
  <c r="E18" i="27"/>
  <c r="E38" i="27"/>
  <c r="H123" i="1"/>
  <c r="H253" i="8"/>
  <c r="J253" i="8" s="1"/>
  <c r="H246" i="8"/>
  <c r="J246" i="8" s="1"/>
  <c r="H39" i="8"/>
  <c r="E46" i="27"/>
  <c r="H15" i="1"/>
  <c r="E10" i="2"/>
  <c r="H274" i="8"/>
  <c r="H303" i="8"/>
  <c r="H313" i="8"/>
  <c r="H309" i="8"/>
  <c r="H304" i="8"/>
  <c r="H150" i="8"/>
  <c r="H151" i="8" s="1"/>
  <c r="H94" i="1" s="1"/>
  <c r="H270" i="8"/>
  <c r="H273" i="8"/>
  <c r="E9" i="2"/>
  <c r="H271" i="8"/>
  <c r="E7" i="2"/>
  <c r="H142" i="8"/>
  <c r="H143" i="8" s="1"/>
  <c r="H88" i="1" s="1"/>
  <c r="E11" i="2"/>
  <c r="H275" i="8"/>
  <c r="H12" i="1"/>
  <c r="H122" i="1"/>
  <c r="H314" i="8"/>
  <c r="H19" i="8"/>
  <c r="H278" i="8"/>
  <c r="J278" i="8" s="1"/>
  <c r="H114" i="1" s="1"/>
  <c r="H40" i="8"/>
  <c r="H87" i="8"/>
  <c r="H308" i="8"/>
  <c r="H272" i="8"/>
  <c r="E8" i="2"/>
  <c r="H80" i="27"/>
  <c r="H81" i="27"/>
  <c r="H49" i="27"/>
  <c r="H77" i="27"/>
  <c r="H48" i="27"/>
  <c r="H79" i="27"/>
  <c r="H22" i="27"/>
  <c r="H76" i="27"/>
  <c r="H26" i="27"/>
  <c r="H69" i="27"/>
  <c r="H82" i="27"/>
  <c r="H21" i="27"/>
  <c r="H50" i="27"/>
  <c r="H78" i="27"/>
  <c r="H74" i="27"/>
  <c r="H66" i="27"/>
  <c r="H61" i="27"/>
  <c r="H62" i="27"/>
  <c r="H63" i="27"/>
  <c r="H64" i="27"/>
  <c r="H72" i="27"/>
  <c r="H67" i="27"/>
  <c r="H65" i="27"/>
  <c r="H19" i="27"/>
  <c r="H71" i="27"/>
  <c r="H75" i="27"/>
  <c r="H36" i="27"/>
  <c r="H38" i="27"/>
  <c r="D23" i="4" l="1"/>
  <c r="B47" i="7"/>
  <c r="A294" i="1"/>
  <c r="H310" i="8"/>
  <c r="H147" i="1" s="1"/>
  <c r="K147" i="1" s="1"/>
  <c r="L147" i="1" s="1"/>
  <c r="K94" i="1"/>
  <c r="L94" i="1" s="1"/>
  <c r="O94" i="1"/>
  <c r="P94" i="1" s="1"/>
  <c r="H305" i="8"/>
  <c r="H145" i="1" s="1"/>
  <c r="H125" i="1"/>
  <c r="K123" i="1"/>
  <c r="L123" i="1" s="1"/>
  <c r="O123" i="1"/>
  <c r="P123" i="1" s="1"/>
  <c r="O12" i="1"/>
  <c r="P12" i="1" s="1"/>
  <c r="K12" i="1"/>
  <c r="L12" i="1" s="1"/>
  <c r="K15" i="1"/>
  <c r="L15" i="1" s="1"/>
  <c r="O15" i="1"/>
  <c r="P15" i="1" s="1"/>
  <c r="K14" i="1"/>
  <c r="L14" i="1" s="1"/>
  <c r="O14" i="1"/>
  <c r="P14" i="1" s="1"/>
  <c r="H16" i="1"/>
  <c r="H18" i="1" s="1"/>
  <c r="O91" i="1"/>
  <c r="P91" i="1" s="1"/>
  <c r="K91" i="1"/>
  <c r="L91" i="1" s="1"/>
  <c r="K114" i="1"/>
  <c r="L114" i="1" s="1"/>
  <c r="O114" i="1"/>
  <c r="P114" i="1" s="1"/>
  <c r="K88" i="1"/>
  <c r="O88" i="1"/>
  <c r="H276" i="8"/>
  <c r="J276" i="8" s="1"/>
  <c r="H113" i="1" s="1"/>
  <c r="H315" i="8"/>
  <c r="H148" i="1" s="1"/>
  <c r="H129" i="8"/>
  <c r="H108" i="8"/>
  <c r="K122" i="1"/>
  <c r="L122" i="1" s="1"/>
  <c r="O122" i="1"/>
  <c r="P122" i="1" s="1"/>
  <c r="E12" i="2"/>
  <c r="E15" i="2" s="1"/>
  <c r="K112" i="1"/>
  <c r="L112" i="1" s="1"/>
  <c r="O112" i="1"/>
  <c r="P112" i="1" s="1"/>
  <c r="H46" i="27"/>
  <c r="H18" i="27"/>
  <c r="F296" i="1" l="1"/>
  <c r="A296" i="1"/>
  <c r="H149" i="1"/>
  <c r="K149" i="1" s="1"/>
  <c r="L149" i="1" s="1"/>
  <c r="O147" i="1"/>
  <c r="P147" i="1" s="1"/>
  <c r="H150" i="1"/>
  <c r="L58" i="20"/>
  <c r="L59" i="20" s="1"/>
  <c r="K18" i="1"/>
  <c r="L18" i="1" s="1"/>
  <c r="E35" i="7"/>
  <c r="E36" i="7" s="1"/>
  <c r="E11" i="7" s="1"/>
  <c r="E12" i="7" s="1"/>
  <c r="H126" i="1"/>
  <c r="H127" i="1" s="1"/>
  <c r="H92" i="1"/>
  <c r="H93" i="1" s="1"/>
  <c r="I15" i="3"/>
  <c r="I16" i="3" s="1"/>
  <c r="E19" i="6"/>
  <c r="F19" i="6" s="1"/>
  <c r="H89" i="1"/>
  <c r="O18" i="1"/>
  <c r="P18" i="1" s="1"/>
  <c r="H45" i="1"/>
  <c r="H46" i="1" s="1"/>
  <c r="AE77" i="24"/>
  <c r="AE78" i="24" s="1"/>
  <c r="H59" i="1"/>
  <c r="H60" i="1" s="1"/>
  <c r="I15" i="5"/>
  <c r="I16" i="5" s="1"/>
  <c r="I18" i="3" s="1"/>
  <c r="E23" i="2"/>
  <c r="E22" i="2"/>
  <c r="E21" i="2"/>
  <c r="H115" i="1"/>
  <c r="K113" i="1"/>
  <c r="L113" i="1" s="1"/>
  <c r="O113" i="1"/>
  <c r="P113" i="1" s="1"/>
  <c r="K125" i="1"/>
  <c r="L125" i="1" s="1"/>
  <c r="O125" i="1"/>
  <c r="P125" i="1" s="1"/>
  <c r="K148" i="1"/>
  <c r="L148" i="1" s="1"/>
  <c r="O148" i="1"/>
  <c r="P148" i="1" s="1"/>
  <c r="K145" i="1"/>
  <c r="L145" i="1" s="1"/>
  <c r="O145" i="1"/>
  <c r="P145" i="1" s="1"/>
  <c r="K16" i="1"/>
  <c r="L16" i="1" s="1"/>
  <c r="O16" i="1"/>
  <c r="P16" i="1" s="1"/>
  <c r="O149" i="1" l="1"/>
  <c r="P149" i="1" s="1"/>
  <c r="H151" i="1"/>
  <c r="K151" i="1" s="1"/>
  <c r="L151" i="1" s="1"/>
  <c r="H50" i="1"/>
  <c r="O46" i="1"/>
  <c r="P46" i="1" s="1"/>
  <c r="K46" i="1"/>
  <c r="L46" i="1" s="1"/>
  <c r="H155" i="1"/>
  <c r="E26" i="2"/>
  <c r="E29" i="2" s="1"/>
  <c r="E25" i="2"/>
  <c r="E28" i="2" s="1"/>
  <c r="O115" i="1"/>
  <c r="P115" i="1" s="1"/>
  <c r="K115" i="1"/>
  <c r="L115" i="1" s="1"/>
  <c r="O93" i="1"/>
  <c r="P93" i="1" s="1"/>
  <c r="K93" i="1"/>
  <c r="L93" i="1" s="1"/>
  <c r="O60" i="1"/>
  <c r="P60" i="1" s="1"/>
  <c r="K60" i="1"/>
  <c r="L60" i="1" s="1"/>
  <c r="H62" i="1"/>
  <c r="K89" i="1"/>
  <c r="L89" i="1" s="1"/>
  <c r="O89" i="1"/>
  <c r="P89" i="1" s="1"/>
  <c r="H90" i="1"/>
  <c r="O127" i="1"/>
  <c r="P127" i="1" s="1"/>
  <c r="K127" i="1"/>
  <c r="L127" i="1" s="1"/>
  <c r="F12" i="4"/>
  <c r="F14" i="4" s="1"/>
  <c r="E22" i="7"/>
  <c r="H267" i="1" s="1"/>
  <c r="O151" i="1" l="1"/>
  <c r="P151" i="1" s="1"/>
  <c r="K155" i="1"/>
  <c r="L155" i="1" s="1"/>
  <c r="H251" i="1"/>
  <c r="O155" i="1"/>
  <c r="P155" i="1" s="1"/>
  <c r="K62" i="1"/>
  <c r="L62" i="1" s="1"/>
  <c r="O62" i="1"/>
  <c r="P62" i="1" s="1"/>
  <c r="K90" i="1"/>
  <c r="H95" i="1"/>
  <c r="O90" i="1"/>
  <c r="K267" i="1"/>
  <c r="L267" i="1" s="1"/>
  <c r="O267" i="1"/>
  <c r="P267" i="1" s="1"/>
  <c r="K50" i="1"/>
  <c r="L50" i="1" s="1"/>
  <c r="O50" i="1"/>
  <c r="P50" i="1" s="1"/>
  <c r="H64" i="1"/>
  <c r="H29" i="1"/>
  <c r="O95" i="1" l="1"/>
  <c r="P95" i="1" s="1"/>
  <c r="K95" i="1"/>
  <c r="L95" i="1" s="1"/>
  <c r="K251" i="1"/>
  <c r="L251" i="1" s="1"/>
  <c r="O251" i="1"/>
  <c r="P251" i="1" s="1"/>
  <c r="H30" i="1"/>
  <c r="O29" i="1"/>
  <c r="P29" i="1" s="1"/>
  <c r="K29" i="1"/>
  <c r="L29" i="1" s="1"/>
  <c r="H246" i="1"/>
  <c r="K64" i="1"/>
  <c r="L64" i="1" s="1"/>
  <c r="O64" i="1"/>
  <c r="P64" i="1" s="1"/>
  <c r="H32" i="1"/>
  <c r="O246" i="1" l="1"/>
  <c r="P246" i="1" s="1"/>
  <c r="K246" i="1"/>
  <c r="L246" i="1" s="1"/>
  <c r="O32" i="1"/>
  <c r="P32" i="1" s="1"/>
  <c r="K32" i="1"/>
  <c r="L32" i="1" s="1"/>
  <c r="H33" i="1"/>
  <c r="AD77" i="24"/>
  <c r="AD78" i="24" s="1"/>
  <c r="AG78" i="24" s="1"/>
  <c r="AG80" i="24" s="1"/>
  <c r="H79" i="1" s="1"/>
  <c r="H137" i="1"/>
  <c r="H138" i="1" s="1"/>
  <c r="O30" i="1"/>
  <c r="P30" i="1" s="1"/>
  <c r="K30" i="1"/>
  <c r="L30" i="1" s="1"/>
  <c r="K138" i="1" l="1"/>
  <c r="L138" i="1" s="1"/>
  <c r="O138" i="1"/>
  <c r="P138" i="1" s="1"/>
  <c r="H140" i="1"/>
  <c r="O79" i="1"/>
  <c r="P79" i="1" s="1"/>
  <c r="K79" i="1"/>
  <c r="L79" i="1" s="1"/>
  <c r="K58" i="20"/>
  <c r="K59" i="20" s="1"/>
  <c r="H61" i="20" s="1"/>
  <c r="H82" i="1" s="1"/>
  <c r="O33" i="1"/>
  <c r="P33" i="1" s="1"/>
  <c r="H15" i="3"/>
  <c r="H16" i="3" s="1"/>
  <c r="J17" i="3" s="1"/>
  <c r="I165" i="8"/>
  <c r="J165" i="8" s="1"/>
  <c r="H76" i="1" s="1"/>
  <c r="H15" i="5"/>
  <c r="H16" i="5" s="1"/>
  <c r="I159" i="8"/>
  <c r="J159" i="8" s="1"/>
  <c r="H234" i="1" s="1"/>
  <c r="K33" i="1"/>
  <c r="L33" i="1" s="1"/>
  <c r="E25" i="6"/>
  <c r="F25" i="6" s="1"/>
  <c r="E12" i="6"/>
  <c r="F12" i="6" s="1"/>
  <c r="K234" i="1" l="1"/>
  <c r="L234" i="1" s="1"/>
  <c r="O234" i="1"/>
  <c r="P234" i="1" s="1"/>
  <c r="H235" i="1"/>
  <c r="I41" i="10"/>
  <c r="I44" i="10" s="1"/>
  <c r="H250" i="1"/>
  <c r="O140" i="1"/>
  <c r="P140" i="1" s="1"/>
  <c r="H98" i="1"/>
  <c r="K140" i="1"/>
  <c r="L140" i="1" s="1"/>
  <c r="H18" i="3"/>
  <c r="J19" i="5"/>
  <c r="J18" i="3" s="1"/>
  <c r="J19" i="3" s="1"/>
  <c r="H69" i="1" s="1"/>
  <c r="O82" i="1"/>
  <c r="P82" i="1" s="1"/>
  <c r="K82" i="1"/>
  <c r="L82" i="1" s="1"/>
  <c r="F27" i="6"/>
  <c r="H159" i="1" s="1"/>
  <c r="K76" i="1"/>
  <c r="L76" i="1" s="1"/>
  <c r="O76" i="1"/>
  <c r="P76" i="1" s="1"/>
  <c r="K69" i="1" l="1"/>
  <c r="L69" i="1" s="1"/>
  <c r="O69" i="1"/>
  <c r="P69" i="1" s="1"/>
  <c r="O98" i="1"/>
  <c r="P98" i="1" s="1"/>
  <c r="K98" i="1"/>
  <c r="L98" i="1" s="1"/>
  <c r="H100" i="1"/>
  <c r="O235" i="1"/>
  <c r="P235" i="1" s="1"/>
  <c r="K235" i="1"/>
  <c r="L235" i="1" s="1"/>
  <c r="K159" i="1"/>
  <c r="L159" i="1" s="1"/>
  <c r="H161" i="1"/>
  <c r="O159" i="1"/>
  <c r="P159" i="1" s="1"/>
  <c r="K250" i="1"/>
  <c r="L250" i="1" s="1"/>
  <c r="O250" i="1"/>
  <c r="P250" i="1" s="1"/>
  <c r="O161" i="1" l="1"/>
  <c r="P161" i="1" s="1"/>
  <c r="H252" i="1"/>
  <c r="K161" i="1"/>
  <c r="L161" i="1" s="1"/>
  <c r="K100" i="1"/>
  <c r="O100" i="1"/>
  <c r="H105" i="1"/>
  <c r="H107" i="1" l="1"/>
  <c r="K105" i="1"/>
  <c r="L105" i="1" s="1"/>
  <c r="O105" i="1"/>
  <c r="P105" i="1" s="1"/>
  <c r="H247" i="1"/>
  <c r="O252" i="1"/>
  <c r="P252" i="1" s="1"/>
  <c r="K252" i="1"/>
  <c r="L252" i="1" s="1"/>
  <c r="H222" i="1" l="1"/>
  <c r="H237" i="1" s="1"/>
  <c r="I28" i="10"/>
  <c r="I48" i="10" s="1"/>
  <c r="H248" i="1"/>
  <c r="O247" i="1"/>
  <c r="P247" i="1" s="1"/>
  <c r="K247" i="1"/>
  <c r="L247" i="1" s="1"/>
  <c r="K107" i="1"/>
  <c r="L107" i="1" s="1"/>
  <c r="O107" i="1"/>
  <c r="P107" i="1" s="1"/>
  <c r="I50" i="10" l="1"/>
  <c r="I8" i="10" s="1"/>
  <c r="H280" i="1" s="1"/>
  <c r="O222" i="1"/>
  <c r="P222" i="1" s="1"/>
  <c r="H253" i="1"/>
  <c r="K222" i="1"/>
  <c r="L222" i="1" s="1"/>
  <c r="O248" i="1"/>
  <c r="P248" i="1" s="1"/>
  <c r="K248" i="1"/>
  <c r="L248" i="1" s="1"/>
  <c r="K280" i="1" l="1"/>
  <c r="L280" i="1" s="1"/>
  <c r="O280" i="1"/>
  <c r="P280" i="1" s="1"/>
  <c r="K253" i="1"/>
  <c r="L253" i="1" s="1"/>
  <c r="O253" i="1"/>
  <c r="P253" i="1" s="1"/>
  <c r="H241" i="1"/>
  <c r="K237" i="1"/>
  <c r="L237" i="1" s="1"/>
  <c r="O237" i="1"/>
  <c r="P237" i="1" s="1"/>
  <c r="K241" i="1" l="1"/>
  <c r="L241" i="1" s="1"/>
  <c r="O241" i="1"/>
  <c r="P241" i="1" s="1"/>
  <c r="H254" i="1"/>
  <c r="O254" i="1" l="1"/>
  <c r="P254" i="1" s="1"/>
  <c r="K254" i="1"/>
  <c r="L254" i="1" s="1"/>
  <c r="H256" i="1"/>
  <c r="K256" i="1" l="1"/>
  <c r="L256" i="1" s="1"/>
  <c r="H263" i="1"/>
  <c r="O256" i="1"/>
  <c r="P256" i="1" s="1"/>
  <c r="H279" i="1" l="1"/>
  <c r="K263" i="1"/>
  <c r="L263" i="1" s="1"/>
  <c r="H264" i="1"/>
  <c r="O263" i="1"/>
  <c r="P263" i="1" s="1"/>
  <c r="H272" i="1"/>
  <c r="K264" i="1" l="1"/>
  <c r="L264" i="1" s="1"/>
  <c r="F8" i="4"/>
  <c r="O264" i="1"/>
  <c r="P264" i="1" s="1"/>
  <c r="H269" i="1"/>
  <c r="K272" i="1"/>
  <c r="L272" i="1" s="1"/>
  <c r="H274" i="1"/>
  <c r="H275" i="1"/>
  <c r="O272" i="1"/>
  <c r="P272" i="1" s="1"/>
  <c r="H276" i="1"/>
  <c r="H281" i="1"/>
  <c r="O279" i="1"/>
  <c r="P279" i="1" s="1"/>
  <c r="K279" i="1"/>
  <c r="L279" i="1" s="1"/>
  <c r="O269" i="1" l="1"/>
  <c r="P269" i="1" s="1"/>
  <c r="K269" i="1"/>
  <c r="L269" i="1" s="1"/>
  <c r="H286" i="1"/>
  <c r="K275" i="1"/>
  <c r="O275" i="1"/>
  <c r="M9" i="11"/>
  <c r="O281" i="1"/>
  <c r="P281" i="1" s="1"/>
  <c r="H284" i="1"/>
  <c r="M10" i="11" s="1"/>
  <c r="K281" i="1"/>
  <c r="L281" i="1" s="1"/>
  <c r="H283" i="1"/>
  <c r="K274" i="1"/>
  <c r="O274" i="1"/>
  <c r="K276" i="1"/>
  <c r="M14" i="11"/>
  <c r="O276" i="1"/>
  <c r="M11" i="11" l="1"/>
  <c r="N24" i="11"/>
  <c r="H24" i="11"/>
  <c r="E24" i="11"/>
  <c r="K24" i="11"/>
  <c r="K286" i="1"/>
  <c r="L286" i="1" s="1"/>
  <c r="O286" i="1"/>
  <c r="P286" i="1" s="1"/>
  <c r="N25" i="11" l="1"/>
  <c r="P57" i="11" s="1"/>
  <c r="H25" i="11"/>
  <c r="J49" i="11" s="1"/>
  <c r="M58" i="11"/>
  <c r="M66" i="11"/>
  <c r="M56" i="11"/>
  <c r="M34" i="11"/>
  <c r="M60" i="11"/>
  <c r="M36" i="11"/>
  <c r="M38" i="11"/>
  <c r="M48" i="11"/>
  <c r="M44" i="11"/>
  <c r="M68" i="11"/>
  <c r="M50" i="11"/>
  <c r="M62" i="11"/>
  <c r="M46" i="11"/>
  <c r="M54" i="11"/>
  <c r="M52" i="11"/>
  <c r="M64" i="11"/>
  <c r="M40" i="11"/>
  <c r="M42" i="11"/>
  <c r="M30" i="11"/>
  <c r="M32" i="11"/>
  <c r="K25" i="11"/>
  <c r="J40" i="11"/>
  <c r="J56" i="11"/>
  <c r="J62" i="11"/>
  <c r="J42" i="11"/>
  <c r="J52" i="11"/>
  <c r="J50" i="11"/>
  <c r="J46" i="11"/>
  <c r="J54" i="11"/>
  <c r="J30" i="11"/>
  <c r="J48" i="11"/>
  <c r="J64" i="11"/>
  <c r="J38" i="11"/>
  <c r="J44" i="11"/>
  <c r="J34" i="11"/>
  <c r="J32" i="11"/>
  <c r="J60" i="11"/>
  <c r="J58" i="11"/>
  <c r="J36" i="11"/>
  <c r="J68" i="11"/>
  <c r="J66" i="11"/>
  <c r="G36" i="11"/>
  <c r="G60" i="11"/>
  <c r="G34" i="11"/>
  <c r="G48" i="11"/>
  <c r="G56" i="11"/>
  <c r="G46" i="11"/>
  <c r="G38" i="11"/>
  <c r="G64" i="11"/>
  <c r="G32" i="11"/>
  <c r="G30" i="11"/>
  <c r="G44" i="11"/>
  <c r="G50" i="11"/>
  <c r="G58" i="11"/>
  <c r="G54" i="11"/>
  <c r="G68" i="11"/>
  <c r="G40" i="11"/>
  <c r="G42" i="11"/>
  <c r="G62" i="11"/>
  <c r="G52" i="11"/>
  <c r="G66" i="11"/>
  <c r="E25" i="11"/>
  <c r="P30" i="11"/>
  <c r="P50" i="11"/>
  <c r="P52" i="11"/>
  <c r="P48" i="11"/>
  <c r="P68" i="11"/>
  <c r="P32" i="11"/>
  <c r="P46" i="11"/>
  <c r="P42" i="11"/>
  <c r="P40" i="11"/>
  <c r="P54" i="11"/>
  <c r="P62" i="11"/>
  <c r="P38" i="11"/>
  <c r="P58" i="11"/>
  <c r="P34" i="11"/>
  <c r="P56" i="11"/>
  <c r="P36" i="11"/>
  <c r="P66" i="11"/>
  <c r="P64" i="11"/>
  <c r="P44" i="11"/>
  <c r="P60" i="11"/>
  <c r="P45" i="11" l="1"/>
  <c r="J55" i="11"/>
  <c r="J31" i="11"/>
  <c r="P37" i="11"/>
  <c r="J65" i="11"/>
  <c r="P47" i="11"/>
  <c r="P49" i="11"/>
  <c r="P67" i="11"/>
  <c r="P31" i="11"/>
  <c r="P59" i="11"/>
  <c r="P51" i="11"/>
  <c r="P65" i="11"/>
  <c r="P35" i="11"/>
  <c r="J45" i="11"/>
  <c r="J33" i="11"/>
  <c r="J51" i="11"/>
  <c r="J63" i="11"/>
  <c r="P69" i="11"/>
  <c r="P39" i="11"/>
  <c r="P61" i="11"/>
  <c r="P53" i="11"/>
  <c r="P55" i="11"/>
  <c r="J37" i="11"/>
  <c r="J57" i="11"/>
  <c r="J39" i="11"/>
  <c r="J47" i="11"/>
  <c r="P41" i="11"/>
  <c r="P43" i="11"/>
  <c r="P33" i="11"/>
  <c r="P63" i="11"/>
  <c r="J67" i="11"/>
  <c r="J41" i="11"/>
  <c r="J43" i="11"/>
  <c r="J35" i="11"/>
  <c r="J59" i="11"/>
  <c r="J69" i="11"/>
  <c r="J53" i="11"/>
  <c r="J61" i="11"/>
  <c r="Q68" i="11"/>
  <c r="S68" i="11" s="1"/>
  <c r="Q32" i="11"/>
  <c r="S32" i="11" s="1"/>
  <c r="Q64" i="11"/>
  <c r="S64" i="11" s="1"/>
  <c r="Q46" i="11"/>
  <c r="S46" i="11" s="1"/>
  <c r="Q62" i="11"/>
  <c r="S62" i="11" s="1"/>
  <c r="Q36" i="11"/>
  <c r="S36" i="11" s="1"/>
  <c r="Q34" i="11"/>
  <c r="S34" i="11" s="1"/>
  <c r="Q48" i="11"/>
  <c r="S48" i="11" s="1"/>
  <c r="Q50" i="11"/>
  <c r="S50" i="11" s="1"/>
  <c r="Q56" i="11"/>
  <c r="S56" i="11" s="1"/>
  <c r="G39" i="11"/>
  <c r="G47" i="11"/>
  <c r="G37" i="11"/>
  <c r="G63" i="11"/>
  <c r="G41" i="11"/>
  <c r="G51" i="11"/>
  <c r="G43" i="11"/>
  <c r="G31" i="11"/>
  <c r="G67" i="11"/>
  <c r="G65" i="11"/>
  <c r="G55" i="11"/>
  <c r="G61" i="11"/>
  <c r="G53" i="11"/>
  <c r="G33" i="11"/>
  <c r="G35" i="11"/>
  <c r="G57" i="11"/>
  <c r="G69" i="11"/>
  <c r="G59" i="11"/>
  <c r="G49" i="11"/>
  <c r="G45" i="11"/>
  <c r="Q58" i="11"/>
  <c r="S58" i="11" s="1"/>
  <c r="Q44" i="11"/>
  <c r="S44" i="11" s="1"/>
  <c r="Q30" i="11"/>
  <c r="S30" i="11" s="1"/>
  <c r="Q52" i="11"/>
  <c r="S52" i="11" s="1"/>
  <c r="Q40" i="11"/>
  <c r="S40" i="11" s="1"/>
  <c r="Q66" i="11"/>
  <c r="S66" i="11" s="1"/>
  <c r="Q60" i="11"/>
  <c r="S60" i="11" s="1"/>
  <c r="Q38" i="11"/>
  <c r="S38" i="11" s="1"/>
  <c r="Q54" i="11"/>
  <c r="S54" i="11" s="1"/>
  <c r="Q42" i="11"/>
  <c r="S42" i="11" s="1"/>
  <c r="M37" i="11"/>
  <c r="M63" i="11"/>
  <c r="M49" i="11"/>
  <c r="M57" i="11"/>
  <c r="M47" i="11"/>
  <c r="M33" i="11"/>
  <c r="M31" i="11"/>
  <c r="M53" i="11"/>
  <c r="M61" i="11"/>
  <c r="M39" i="11"/>
  <c r="M35" i="11"/>
  <c r="M67" i="11"/>
  <c r="M55" i="11"/>
  <c r="M43" i="11"/>
  <c r="M65" i="11"/>
  <c r="M51" i="11"/>
  <c r="M69" i="11"/>
  <c r="M45" i="11"/>
  <c r="M59" i="11"/>
  <c r="M41" i="11"/>
  <c r="Q55" i="11" l="1"/>
  <c r="R55" i="11" s="1"/>
  <c r="T55" i="11" s="1"/>
  <c r="Q43" i="11"/>
  <c r="R43" i="11" s="1"/>
  <c r="T43" i="11" s="1"/>
  <c r="Q65" i="11"/>
  <c r="R65" i="11" s="1"/>
  <c r="T65" i="11" s="1"/>
  <c r="Q47" i="11"/>
  <c r="R47" i="11" s="1"/>
  <c r="T47" i="11" s="1"/>
  <c r="Q69" i="11"/>
  <c r="R69" i="11" s="1"/>
  <c r="T69" i="11" s="1"/>
  <c r="Q41" i="11"/>
  <c r="R41" i="11" s="1"/>
  <c r="T41" i="11" s="1"/>
  <c r="Q57" i="11"/>
  <c r="R57" i="11" s="1"/>
  <c r="T57" i="11" s="1"/>
  <c r="Q67" i="11"/>
  <c r="R67" i="11" s="1"/>
  <c r="T67" i="11" s="1"/>
  <c r="Q39" i="11"/>
  <c r="R39" i="11" s="1"/>
  <c r="T39" i="11" s="1"/>
  <c r="Q59" i="11"/>
  <c r="R59" i="11" s="1"/>
  <c r="T59" i="11" s="1"/>
  <c r="Q33" i="11"/>
  <c r="R33" i="11" s="1"/>
  <c r="T33" i="11" s="1"/>
  <c r="Q53" i="11"/>
  <c r="R53" i="11" s="1"/>
  <c r="T53" i="11" s="1"/>
  <c r="Q45" i="11"/>
  <c r="R45" i="11" s="1"/>
  <c r="T45" i="11" s="1"/>
  <c r="Q61" i="11"/>
  <c r="R61" i="11" s="1"/>
  <c r="T61" i="11" s="1"/>
  <c r="Q31" i="11"/>
  <c r="R31" i="11" s="1"/>
  <c r="T31" i="11" s="1"/>
  <c r="Q63" i="11"/>
  <c r="R63" i="11" s="1"/>
  <c r="T63" i="11" s="1"/>
  <c r="Q51" i="11"/>
  <c r="R51" i="11" s="1"/>
  <c r="T51" i="11" s="1"/>
  <c r="Q49" i="11"/>
  <c r="R49" i="11" s="1"/>
  <c r="T49" i="11" s="1"/>
  <c r="Q35" i="11"/>
  <c r="R35" i="11" s="1"/>
  <c r="T35" i="11" s="1"/>
  <c r="Q37" i="11"/>
  <c r="R37" i="11" s="1"/>
  <c r="T37" i="11" s="1"/>
  <c r="H288" i="1" l="1"/>
  <c r="O288" i="1" s="1"/>
  <c r="P288" i="1" s="1"/>
  <c r="F19" i="4"/>
  <c r="F21" i="4" s="1"/>
  <c r="F28" i="4" s="1"/>
  <c r="F30" i="4" s="1"/>
  <c r="H290" i="1" l="1"/>
  <c r="H294" i="1" s="1"/>
  <c r="K288" i="1"/>
  <c r="L288" i="1" s="1"/>
  <c r="F32" i="4"/>
  <c r="F39" i="4" s="1"/>
  <c r="F46" i="4" s="1"/>
  <c r="K290" i="1" l="1"/>
  <c r="L290" i="1" s="1"/>
  <c r="O290" i="1"/>
  <c r="P290" i="1" s="1"/>
  <c r="F37" i="4"/>
  <c r="F44" i="4" s="1"/>
  <c r="K294" i="1"/>
  <c r="L294" i="1" s="1"/>
  <c r="H296" i="1"/>
  <c r="O294" i="1"/>
  <c r="P294" i="1" s="1"/>
  <c r="O296" i="1" l="1"/>
  <c r="P296" i="1" s="1"/>
  <c r="K296" i="1"/>
  <c r="L296" i="1" s="1"/>
</calcChain>
</file>

<file path=xl/comments1.xml><?xml version="1.0" encoding="utf-8"?>
<comments xmlns="http://schemas.openxmlformats.org/spreadsheetml/2006/main">
  <authors>
    <author>Kwitman, Eva</author>
  </authors>
  <commentList>
    <comment ref="C99" authorId="0" shapeId="0">
      <text>
        <r>
          <rPr>
            <sz val="9"/>
            <color indexed="81"/>
            <rFont val="Tahoma"/>
            <family val="2"/>
          </rPr>
          <t>The Utah “use” tax is a tax on goods/services purchases for the use/consumption in Utah</t>
        </r>
        <r>
          <rPr>
            <sz val="9"/>
            <color indexed="81"/>
            <rFont val="Tahoma"/>
            <family val="2"/>
          </rPr>
          <t xml:space="preserve">
</t>
        </r>
      </text>
    </comment>
  </commentList>
</comments>
</file>

<file path=xl/comments2.xml><?xml version="1.0" encoding="utf-8"?>
<comments xmlns="http://schemas.openxmlformats.org/spreadsheetml/2006/main">
  <authors>
    <author>Kwitman, Eva</author>
  </authors>
  <commentList>
    <comment ref="R27" authorId="0" shapeId="0">
      <text>
        <r>
          <rPr>
            <sz val="9"/>
            <color indexed="81"/>
            <rFont val="Tahoma"/>
            <family val="2"/>
          </rPr>
          <t xml:space="preserve">
Obsidian/SA 880 was the original customer. In December 2019, they reassigned SA 880 to LH Garrett/Garrett Solar as SA 966.</t>
        </r>
      </text>
    </comment>
  </commentList>
</comments>
</file>

<file path=xl/comments3.xml><?xml version="1.0" encoding="utf-8"?>
<comments xmlns="http://schemas.openxmlformats.org/spreadsheetml/2006/main">
  <authors>
    <author>Kwitman, Eva</author>
  </authors>
  <commentList>
    <comment ref="D88" authorId="0" shapeId="0">
      <text>
        <r>
          <rPr>
            <b/>
            <sz val="9"/>
            <color indexed="81"/>
            <rFont val="Tahoma"/>
            <family val="2"/>
          </rPr>
          <t>Kwitman, Eva:</t>
        </r>
        <r>
          <rPr>
            <sz val="9"/>
            <color indexed="81"/>
            <rFont val="Tahoma"/>
            <family val="2"/>
          </rPr>
          <t xml:space="preserve">
Brian Fritz confirmed 3/1/2019 that it is $0</t>
        </r>
      </text>
    </comment>
    <comment ref="E88" authorId="0" shapeId="0">
      <text>
        <r>
          <rPr>
            <b/>
            <sz val="9"/>
            <color indexed="81"/>
            <rFont val="Tahoma"/>
            <family val="2"/>
          </rPr>
          <t>Kwitman, Eva:</t>
        </r>
        <r>
          <rPr>
            <sz val="9"/>
            <color indexed="81"/>
            <rFont val="Tahoma"/>
            <family val="2"/>
          </rPr>
          <t xml:space="preserve">
Brian Fritz confirmed 4/7/2020 that it is $0</t>
        </r>
      </text>
    </comment>
    <comment ref="D90" authorId="0" shapeId="0">
      <text>
        <r>
          <rPr>
            <b/>
            <sz val="9"/>
            <color indexed="81"/>
            <rFont val="Tahoma"/>
            <family val="2"/>
          </rPr>
          <t>Kwitman, Eva:</t>
        </r>
        <r>
          <rPr>
            <sz val="9"/>
            <color indexed="81"/>
            <rFont val="Tahoma"/>
            <family val="2"/>
          </rPr>
          <t xml:space="preserve">
Either run SAP, or use Transmission billing backup</t>
        </r>
      </text>
    </comment>
    <comment ref="E90" authorId="0" shapeId="0">
      <text>
        <r>
          <rPr>
            <b/>
            <sz val="9"/>
            <color indexed="81"/>
            <rFont val="Tahoma"/>
            <family val="2"/>
          </rPr>
          <t>Kwitman, Eva:</t>
        </r>
        <r>
          <rPr>
            <sz val="9"/>
            <color indexed="81"/>
            <rFont val="Tahoma"/>
            <family val="2"/>
          </rPr>
          <t xml:space="preserve">
Either run SAP, or use Transmission billing backup</t>
        </r>
      </text>
    </comment>
    <comment ref="E92" authorId="0" shapeId="0">
      <text>
        <r>
          <rPr>
            <b/>
            <sz val="9"/>
            <color indexed="81"/>
            <rFont val="Tahoma"/>
            <family val="2"/>
          </rPr>
          <t>Kwitman, Eva:</t>
        </r>
        <r>
          <rPr>
            <sz val="9"/>
            <color indexed="81"/>
            <rFont val="Tahoma"/>
            <family val="2"/>
          </rPr>
          <t xml:space="preserve">
Susan confirmed 4.54% on  4/9/2020</t>
        </r>
      </text>
    </comment>
    <comment ref="D93" authorId="0" shapeId="0">
      <text>
        <r>
          <rPr>
            <b/>
            <sz val="9"/>
            <color indexed="81"/>
            <rFont val="Tahoma"/>
            <family val="2"/>
          </rPr>
          <t>Kwitman, Eva:</t>
        </r>
        <r>
          <rPr>
            <sz val="9"/>
            <color indexed="81"/>
            <rFont val="Tahoma"/>
            <family val="2"/>
          </rPr>
          <t xml:space="preserve">
Biran confirmed 0% on 3/14/19</t>
        </r>
      </text>
    </comment>
    <comment ref="E93" authorId="0" shapeId="0">
      <text>
        <r>
          <rPr>
            <b/>
            <sz val="9"/>
            <color indexed="81"/>
            <rFont val="Tahoma"/>
            <family val="2"/>
          </rPr>
          <t>Kwitman, Eva:</t>
        </r>
        <r>
          <rPr>
            <sz val="9"/>
            <color indexed="81"/>
            <rFont val="Tahoma"/>
            <family val="2"/>
          </rPr>
          <t xml:space="preserve">
Susan confirmed 0% on  4/9/2020</t>
        </r>
      </text>
    </comment>
    <comment ref="D94" authorId="0" shapeId="0">
      <text>
        <r>
          <rPr>
            <b/>
            <sz val="9"/>
            <color indexed="81"/>
            <rFont val="Tahoma"/>
            <family val="2"/>
          </rPr>
          <t>Kwitman, Eva:</t>
        </r>
        <r>
          <rPr>
            <sz val="9"/>
            <color indexed="81"/>
            <rFont val="Tahoma"/>
            <family val="2"/>
          </rPr>
          <t xml:space="preserve">
Either run SAP, or add up the two Fiber Optic items from Transmission billing spreadsheet (Fiber GL 301863 and Electric Light wave - GL 301872, PC 1192)</t>
        </r>
      </text>
    </comment>
    <comment ref="E94" authorId="0" shapeId="0">
      <text>
        <r>
          <rPr>
            <b/>
            <sz val="9"/>
            <color indexed="81"/>
            <rFont val="Tahoma"/>
            <family val="2"/>
          </rPr>
          <t>Kwitman, Eva:</t>
        </r>
        <r>
          <rPr>
            <sz val="9"/>
            <color indexed="81"/>
            <rFont val="Tahoma"/>
            <family val="2"/>
          </rPr>
          <t xml:space="preserve">
Either run SAP, or add up the two Fiber Optic items from Transmission billing spreadsheet (Fiber GL 301863 and Electric Light wave - GL 301872, PC 1192)</t>
        </r>
      </text>
    </comment>
    <comment ref="D97" authorId="0" shapeId="0">
      <text>
        <r>
          <rPr>
            <b/>
            <sz val="9"/>
            <color indexed="81"/>
            <rFont val="Tahoma"/>
            <family val="2"/>
          </rPr>
          <t>Kwitman, Eva:</t>
        </r>
        <r>
          <rPr>
            <sz val="9"/>
            <color indexed="81"/>
            <rFont val="Tahoma"/>
            <family val="2"/>
          </rPr>
          <t xml:space="preserve">
Received confirmation from Robert Meredith 2/28, no new studies since last year update.
Amount less than $250K in FF1. Received email from C. Docekal on 4/1/19 with amount $225,999 (see email backup)</t>
        </r>
      </text>
    </comment>
    <comment ref="E97" authorId="0" shapeId="0">
      <text>
        <r>
          <rPr>
            <b/>
            <sz val="9"/>
            <color indexed="81"/>
            <rFont val="Tahoma"/>
            <family val="2"/>
          </rPr>
          <t>Kwitman, Eva:</t>
        </r>
        <r>
          <rPr>
            <sz val="9"/>
            <color indexed="81"/>
            <rFont val="Tahoma"/>
            <family val="2"/>
          </rPr>
          <t xml:space="preserve">
New WY COS study filed March 2, 2020</t>
        </r>
      </text>
    </comment>
    <comment ref="D99" authorId="0" shapeId="0">
      <text>
        <r>
          <rPr>
            <sz val="9"/>
            <color indexed="81"/>
            <rFont val="Tahoma"/>
            <family val="2"/>
          </rPr>
          <t>Checked GL 505962 &amp; 505964 for FERC 566
Ernie 3/1/2019: Tariff change- We no longer have imbalance penalties so no revenue and no expense.</t>
        </r>
      </text>
    </comment>
    <comment ref="E99" authorId="0" shapeId="0">
      <text>
        <r>
          <rPr>
            <sz val="9"/>
            <color indexed="81"/>
            <rFont val="Tahoma"/>
            <family val="2"/>
          </rPr>
          <t>Checked GL 505962 &amp; 505964 for FERC 566
Ernie 3/1/2019: Tariff change- We no longer have imbalance penalties so no revenue and no expense.</t>
        </r>
      </text>
    </comment>
    <comment ref="H99" authorId="0" shapeId="0">
      <text>
        <r>
          <rPr>
            <b/>
            <sz val="9"/>
            <color indexed="81"/>
            <rFont val="Tahoma"/>
            <family val="2"/>
          </rPr>
          <t>Kwitman, Eva:</t>
        </r>
        <r>
          <rPr>
            <sz val="9"/>
            <color indexed="81"/>
            <rFont val="Tahoma"/>
            <family val="2"/>
          </rPr>
          <t xml:space="preserve">
See 2015 UAMPS-DGT 2.19 for more details</t>
        </r>
      </text>
    </comment>
    <comment ref="H103" authorId="0" shapeId="0">
      <text>
        <r>
          <rPr>
            <sz val="9"/>
            <color indexed="81"/>
            <rFont val="Tahoma"/>
            <family val="2"/>
          </rPr>
          <t>Transmission assets related to the construction of wind plants. These are principally for the collector substations and Transmission lines from the collector subs to interconnection points. My understanding of why they are excluded is that they largely benefit PacifiCorp’s Generation plants and not the Transmission system as a whole. All of the assets  are wholly owned by PacifiCorp.</t>
        </r>
        <r>
          <rPr>
            <b/>
            <sz val="9"/>
            <color indexed="81"/>
            <rFont val="Tahoma"/>
            <family val="2"/>
          </rPr>
          <t xml:space="preserve">
</t>
        </r>
        <r>
          <rPr>
            <sz val="9"/>
            <color indexed="81"/>
            <rFont val="Tahoma"/>
            <family val="2"/>
          </rPr>
          <t xml:space="preserve">
</t>
        </r>
      </text>
    </comment>
  </commentList>
</comments>
</file>

<file path=xl/comments4.xml><?xml version="1.0" encoding="utf-8"?>
<comments xmlns="http://schemas.openxmlformats.org/spreadsheetml/2006/main">
  <authors>
    <author>Kwitman, Eva</author>
  </authors>
  <commentList>
    <comment ref="K4" authorId="0" shapeId="0">
      <text>
        <r>
          <rPr>
            <sz val="9"/>
            <color indexed="81"/>
            <rFont val="Tahoma"/>
            <family val="2"/>
          </rPr>
          <t>Keep three years worth of data, with most current data in column K.
Shaded cells on this worksheet indicate adjusted values.  Refer to FERC Form No. 1, page 106b.</t>
        </r>
      </text>
    </comment>
  </commentList>
</comments>
</file>

<file path=xl/sharedStrings.xml><?xml version="1.0" encoding="utf-8"?>
<sst xmlns="http://schemas.openxmlformats.org/spreadsheetml/2006/main" count="5493" uniqueCount="2637">
  <si>
    <t>ATTACHMENT H-1</t>
  </si>
  <si>
    <t>.</t>
  </si>
  <si>
    <t>PacifiCorp</t>
  </si>
  <si>
    <t>Appendix A - Formula Rate</t>
  </si>
  <si>
    <t>Unprinted notes</t>
  </si>
  <si>
    <t>Shaded cells are inputs</t>
  </si>
  <si>
    <t>Notes</t>
  </si>
  <si>
    <r>
      <t xml:space="preserve">Reference </t>
    </r>
    <r>
      <rPr>
        <sz val="12"/>
        <rFont val="Arial"/>
        <family val="2"/>
      </rPr>
      <t>(FERC Form 1 reference, attachment, or instruction)</t>
    </r>
  </si>
  <si>
    <t>Absolute change</t>
  </si>
  <si>
    <t>Percent change</t>
  </si>
  <si>
    <r>
      <rPr>
        <b/>
        <sz val="10"/>
        <color rgb="FF0000FF"/>
        <rFont val="Garamond"/>
        <family val="1"/>
      </rPr>
      <t xml:space="preserve">&lt;-- </t>
    </r>
    <r>
      <rPr>
        <sz val="10"/>
        <color rgb="FF0000FF"/>
        <rFont val="Garamond"/>
        <family val="1"/>
      </rPr>
      <t>Form 1 data year</t>
    </r>
  </si>
  <si>
    <t>Projection</t>
  </si>
  <si>
    <r>
      <rPr>
        <b/>
        <sz val="10"/>
        <color rgb="FF0000FF"/>
        <rFont val="Garamond"/>
        <family val="1"/>
      </rPr>
      <t xml:space="preserve">&lt;&lt;-- </t>
    </r>
    <r>
      <rPr>
        <sz val="10"/>
        <color rgb="FF0000FF"/>
        <rFont val="Garamond"/>
        <family val="1"/>
      </rPr>
      <t>Toggle data</t>
    </r>
  </si>
  <si>
    <t>Allocators</t>
  </si>
  <si>
    <t>Wages &amp; Salary Allocation Factor</t>
  </si>
  <si>
    <t>Transmission Wages Expense</t>
  </si>
  <si>
    <t>354.21b</t>
  </si>
  <si>
    <t>Total Wages Expense</t>
  </si>
  <si>
    <t>354.28b</t>
  </si>
  <si>
    <t>Less A&amp;G Wages Expense</t>
  </si>
  <si>
    <t>354.27b</t>
  </si>
  <si>
    <t>Total Wages Less A&amp;G Wages Expense</t>
  </si>
  <si>
    <t>Wages &amp; Salary Allocator</t>
  </si>
  <si>
    <t>Plant Allocation Factors</t>
  </si>
  <si>
    <t>Electric Plant in Service</t>
  </si>
  <si>
    <t>Attachment 5</t>
  </si>
  <si>
    <t>Accumulated Depreciation (Total Electric Plant)</t>
  </si>
  <si>
    <t>Accumulated Amortization</t>
  </si>
  <si>
    <t>Total Accumulated Depreciation</t>
  </si>
  <si>
    <t>Net Plant</t>
  </si>
  <si>
    <t>Transmission Gross Plant (excluding Land Held for Future Use)</t>
  </si>
  <si>
    <t>Gross Plant Allocator</t>
  </si>
  <si>
    <t>Transmission Net Plant (excluding Land Held for Future Use)</t>
  </si>
  <si>
    <t>Net Plant Allocator</t>
  </si>
  <si>
    <t>Plant Calculations</t>
  </si>
  <si>
    <t>Plant In Service</t>
  </si>
  <si>
    <t>Transmission Plant In Service</t>
  </si>
  <si>
    <t>New Transmission Plant Additions for Current Calendar Year  (weighted by months in service)</t>
  </si>
  <si>
    <t>Attachment 6</t>
  </si>
  <si>
    <t>Total Transmission Plant</t>
  </si>
  <si>
    <t>General Plant</t>
  </si>
  <si>
    <t>Intangible Plant</t>
  </si>
  <si>
    <t>Total General and Intangible Plant</t>
  </si>
  <si>
    <t>Wage &amp; Salary Allocator</t>
  </si>
  <si>
    <t>General and Intangible Allocated to Transmission</t>
  </si>
  <si>
    <t>Land Held for Future Use</t>
  </si>
  <si>
    <t>Total Plant In Rate Base</t>
  </si>
  <si>
    <t>Accumulated Depreciation and Amortization</t>
  </si>
  <si>
    <t>Transmission Accumulated Depreciation</t>
  </si>
  <si>
    <t>Accumulated General Depreciation</t>
  </si>
  <si>
    <t xml:space="preserve">Accumulated General and Intangible Depreciation </t>
  </si>
  <si>
    <t>Subtotal General and Intangible Accum. Depreciation Allocated to Transmission</t>
  </si>
  <si>
    <t>Total Accumulated Depreciation and Amortization</t>
  </si>
  <si>
    <t>Total Net Property, Plant &amp; Equipment</t>
  </si>
  <si>
    <t>Adjustments To Rate Base</t>
  </si>
  <si>
    <t>Accumulated Deferred Income Taxes</t>
  </si>
  <si>
    <t>ADIT net of FASB 106 and 109</t>
  </si>
  <si>
    <t>Attachment 1A</t>
  </si>
  <si>
    <t xml:space="preserve">CWIP for Incentive Transmission Projects </t>
  </si>
  <si>
    <t xml:space="preserve">CWIP Balances for Current Rate Year  </t>
  </si>
  <si>
    <t>ITC Adjustment</t>
  </si>
  <si>
    <t>IRC 46(f)1 adjustment</t>
  </si>
  <si>
    <t>Unfunded Reserves</t>
  </si>
  <si>
    <t>Attachment 16</t>
  </si>
  <si>
    <t>Prepayments</t>
  </si>
  <si>
    <t>Attachment  11</t>
  </si>
  <si>
    <t>Abandoned Plant</t>
  </si>
  <si>
    <t xml:space="preserve">Unamortized Abandoned Plant </t>
  </si>
  <si>
    <t>Materials and Supplies</t>
  </si>
  <si>
    <t>Undistributed Stores Expense</t>
  </si>
  <si>
    <t>Total Undistributed Stores Expense Allocated to Transmission</t>
  </si>
  <si>
    <t>Construction Materials &amp; Supplies</t>
  </si>
  <si>
    <t>Construction Materials &amp; Supplies Allocated to Transmission</t>
  </si>
  <si>
    <t>Transmission Materials &amp; Supplies</t>
  </si>
  <si>
    <t>Total Materials &amp; Supplies Allocated to Transmission</t>
  </si>
  <si>
    <t>Cash Working Capital</t>
  </si>
  <si>
    <t>Operation &amp; Maintenance Expense</t>
  </si>
  <si>
    <t>1/8th Rule</t>
  </si>
  <si>
    <t xml:space="preserve">  Zero</t>
  </si>
  <si>
    <t>Total Cash Working Capital Allocated to Transmission</t>
  </si>
  <si>
    <t>Network Upgrade Balance</t>
  </si>
  <si>
    <t>Total Adjustment to Rate Base</t>
  </si>
  <si>
    <t>Rate Base</t>
  </si>
  <si>
    <t>Operations &amp; Maintenance Expense</t>
  </si>
  <si>
    <t>Transmission O&amp;M</t>
  </si>
  <si>
    <t xml:space="preserve">     Less: Cost of Providing Ancillary Services Accounts 561.0-5</t>
  </si>
  <si>
    <t xml:space="preserve">     Less: Account 565</t>
  </si>
  <si>
    <t>Allocated Administrative &amp; General Expenses</t>
  </si>
  <si>
    <t>Total A&amp;G</t>
  </si>
  <si>
    <t>323.197b</t>
  </si>
  <si>
    <t xml:space="preserve">    Less Actual PBOP Expense Adjustment</t>
  </si>
  <si>
    <t xml:space="preserve">    Less Property Insurance Account 924</t>
  </si>
  <si>
    <t>323.185b</t>
  </si>
  <si>
    <t xml:space="preserve">    Less Regulatory Asset Amortizations Account 930.2</t>
  </si>
  <si>
    <t xml:space="preserve">    Less Regulatory Commission Exp Account 928</t>
  </si>
  <si>
    <t>323.189b</t>
  </si>
  <si>
    <t xml:space="preserve">    Less General Advertising Exp Account 930.1</t>
  </si>
  <si>
    <t>323.191b</t>
  </si>
  <si>
    <t xml:space="preserve">    Less Membership Dues</t>
  </si>
  <si>
    <t>Administrative &amp; General Expenses</t>
  </si>
  <si>
    <t>Administrative &amp; General Expenses Allocated to Transmission</t>
  </si>
  <si>
    <t>Directly Assigned A&amp;G</t>
  </si>
  <si>
    <t>Regulatory Commission Exp Account 928</t>
  </si>
  <si>
    <t xml:space="preserve">General Advertising Exp Account 930.1 - Safety-related Advertising </t>
  </si>
  <si>
    <t>Subtotal - Accounts 928 and 930.1 - Transmission Related</t>
  </si>
  <si>
    <t>Property Insurance Account 924</t>
  </si>
  <si>
    <t xml:space="preserve">General Advertising Exp Account 930.1 - Education and Outreach </t>
  </si>
  <si>
    <t>Total Accounts 924 and 930.1 - General</t>
  </si>
  <si>
    <t>A&amp;G Directly Assigned to Transmission</t>
  </si>
  <si>
    <t>Total Transmission O&amp;M</t>
  </si>
  <si>
    <t>Depreciation &amp; Amortization Expense</t>
  </si>
  <si>
    <t>Depreciation Expense</t>
  </si>
  <si>
    <t>Transmission Depreciation Expense Including Amortization of Limited Term Plant</t>
  </si>
  <si>
    <t>General Depreciation Expense Including Amortization of Limited Term Plant</t>
  </si>
  <si>
    <t>Intangible Amortization</t>
  </si>
  <si>
    <t>Total</t>
  </si>
  <si>
    <t>General Depreciation and Intangible Amortization Functionalized to Transmission</t>
  </si>
  <si>
    <t>Abandoned Plant Amortization</t>
  </si>
  <si>
    <t>Total Transmission Depreciation &amp; Amortization</t>
  </si>
  <si>
    <t>Taxes Other Than Income</t>
  </si>
  <si>
    <t>Taxes Other than Income Taxes</t>
  </si>
  <si>
    <t>Attachment 2</t>
  </si>
  <si>
    <t>Total Taxes Other than Income Taxes</t>
  </si>
  <si>
    <t>Return \ Capitalization Calculations</t>
  </si>
  <si>
    <t>Long-Term Debt</t>
  </si>
  <si>
    <t>Account 221 Bonds</t>
  </si>
  <si>
    <t>Attachment 14</t>
  </si>
  <si>
    <t>Less Account 222 Reacquired Bonds</t>
  </si>
  <si>
    <t>Account 223 Long-term Advances from Associated Cos.</t>
  </si>
  <si>
    <t>Account 224 Other Long-term Debt</t>
  </si>
  <si>
    <t>Gross Proceeds Outstanding Long-term Debt</t>
  </si>
  <si>
    <t>Less Account 226 Unamortized Discount</t>
  </si>
  <si>
    <t>Less Account 181 Unamortized Debt Expense</t>
  </si>
  <si>
    <t>Less Account 189 Unamortized Loss on Reacquired Debt</t>
  </si>
  <si>
    <t>Plus Account 225 Unamortized Premium</t>
  </si>
  <si>
    <t>Plus Account 257 Unamortized Gain on Reacquired Debt</t>
  </si>
  <si>
    <t>Net Proceeds Long Term Debt</t>
  </si>
  <si>
    <t>Long Term Debt Cost</t>
  </si>
  <si>
    <t>Accounts 427 and 430 Long Term Interest Expense</t>
  </si>
  <si>
    <t>Less Hedging Expense</t>
  </si>
  <si>
    <t>Account 428 Amortized Debt Discount and Expense</t>
  </si>
  <si>
    <t>Account 428.1 Amortized Loss on Reacquired Debt</t>
  </si>
  <si>
    <t>Less Account 429 Amortized Premium</t>
  </si>
  <si>
    <t>Less Account 429.1 Amortized Gain on Reacquired Debt</t>
  </si>
  <si>
    <t>Total Long Term Debt Cost</t>
  </si>
  <si>
    <t>Preferred Stock and Dividend</t>
  </si>
  <si>
    <t>Account 204 Preferred Stock Issued</t>
  </si>
  <si>
    <t>Less Account 217 Reacquired Capital Stock (preferred)</t>
  </si>
  <si>
    <t>Account 207 Premium on Preferred Stock</t>
  </si>
  <si>
    <t>Account 207-208 Other Paid-In Capital (preferred)</t>
  </si>
  <si>
    <t>Less Account 213 Discount on Capital Stock (preferred)</t>
  </si>
  <si>
    <t>Less Account 214 Capital Stock Expense (preferred)</t>
  </si>
  <si>
    <t xml:space="preserve">Total Preferred Stock </t>
  </si>
  <si>
    <t>Preferred Dividend</t>
  </si>
  <si>
    <t>(Enter positive)</t>
  </si>
  <si>
    <t>Common Stock</t>
  </si>
  <si>
    <t>Proprietary Capital</t>
  </si>
  <si>
    <t>Less: Total Preferred Stock</t>
  </si>
  <si>
    <t>Less: Account 216.1 Unappropriated Undistributed Subsidiary Earnings</t>
  </si>
  <si>
    <t>Less: Account 219</t>
  </si>
  <si>
    <t>Total Common Stock</t>
  </si>
  <si>
    <t>Debt percent</t>
  </si>
  <si>
    <t>Total Long Term Debt</t>
  </si>
  <si>
    <t>Preferred percent</t>
  </si>
  <si>
    <t>Preferred Stock</t>
  </si>
  <si>
    <t>Common percent</t>
  </si>
  <si>
    <t>Debt Cost</t>
  </si>
  <si>
    <t>Long Term Debt Cost = 
Long Term Debt Cost / 
Net Proceeds Long Term Debt</t>
  </si>
  <si>
    <t>Preferred Cost</t>
  </si>
  <si>
    <t>Preferred Stock cost  =  Preferred Dividends / 
Total Preferred Stock</t>
  </si>
  <si>
    <t>Common Cost</t>
  </si>
  <si>
    <t>Fixed</t>
  </si>
  <si>
    <t>Weighted Cost of Debt</t>
  </si>
  <si>
    <t>Total Long Term Debt (WCLTD)</t>
  </si>
  <si>
    <t>Weighted Cost of Preferred</t>
  </si>
  <si>
    <t>Weighted Cost of Common</t>
  </si>
  <si>
    <t>Rate of Return on Rate Base ( ROR )</t>
  </si>
  <si>
    <t>Investment Return = Rate Base * Rate of Return</t>
  </si>
  <si>
    <t xml:space="preserve">Composite Income Taxes                                                                                                       </t>
  </si>
  <si>
    <t xml:space="preserve"> </t>
  </si>
  <si>
    <t>Income Tax Rates</t>
  </si>
  <si>
    <t>FIT = Federal Income Tax Rate</t>
  </si>
  <si>
    <t>SIT = State Income Tax Rate or Composite</t>
  </si>
  <si>
    <t>p</t>
  </si>
  <si>
    <t>(percent of federal income tax deductible for state purposes)</t>
  </si>
  <si>
    <t>Per state tax code</t>
  </si>
  <si>
    <t>T</t>
  </si>
  <si>
    <t>T = 1 - {[(1 - SIT) * (1 - FIT)] / (1 - SIT * FIT * p)} =</t>
  </si>
  <si>
    <t>T / (1-T)</t>
  </si>
  <si>
    <t>Amortized Investment Tax Credit - Transmission Related</t>
  </si>
  <si>
    <t>ITC Adjust. Allocated to Trans. - Grossed Up</t>
  </si>
  <si>
    <t>ITC Adjustment x 1 / (1-T)</t>
  </si>
  <si>
    <t xml:space="preserve">Income Tax Component = </t>
  </si>
  <si>
    <t>(T/1-T) * Investment Return * (1-(WCLTD/ROR)) =</t>
  </si>
  <si>
    <t>Total Income Taxes</t>
  </si>
  <si>
    <t>Revenue Requirement</t>
  </si>
  <si>
    <t>Summary</t>
  </si>
  <si>
    <t>Net Property, Plant &amp; Equipment</t>
  </si>
  <si>
    <t>Taxes Other than Income</t>
  </si>
  <si>
    <t>Investment Return</t>
  </si>
  <si>
    <t>Income Taxes</t>
  </si>
  <si>
    <t>Gross Revenue Requirement</t>
  </si>
  <si>
    <t>Adjustment to Remove Revenue Requirements Associated with Excluded Transmission Facilities</t>
  </si>
  <si>
    <t>Excluded Transmission Facilities</t>
  </si>
  <si>
    <t>Attachment 15</t>
  </si>
  <si>
    <t>Included Transmission Facilities</t>
  </si>
  <si>
    <t>Inclusion Ratio</t>
  </si>
  <si>
    <t>Adjusted Gross Revenue Requirement</t>
  </si>
  <si>
    <t>Revenue Credits</t>
  </si>
  <si>
    <t>Attachment 3</t>
  </si>
  <si>
    <t>Net Revenue Requirement</t>
  </si>
  <si>
    <t>Net Plant Carrying Charge</t>
  </si>
  <si>
    <t xml:space="preserve">Net Transmission Plant </t>
  </si>
  <si>
    <t xml:space="preserve">Net Plant Carrying Charge </t>
  </si>
  <si>
    <t>Net Plant Carrying Charge without Depreciation</t>
  </si>
  <si>
    <t>Net Plant Carrying Charge without Depreciation, Return, nor Income Taxes</t>
  </si>
  <si>
    <t>Net Plant Carrying Charge Calculation per 100 Basis Point increase in ROE</t>
  </si>
  <si>
    <t>Gross Revenue Requirement Less Return and Taxes</t>
  </si>
  <si>
    <t>Increased Return and Taxes</t>
  </si>
  <si>
    <t>Attachment 4</t>
  </si>
  <si>
    <t>Net Revenue Requirement per 100 Basis Point increase in ROE</t>
  </si>
  <si>
    <t>Net Plant Carrying Charge per 100 Basis Point increase in ROE</t>
  </si>
  <si>
    <t>Net Plant Carrying Charge per 100 Basis Point in ROE without Depreciation</t>
  </si>
  <si>
    <t xml:space="preserve">Facility Credits under Section 30.9 of the OATT </t>
  </si>
  <si>
    <t xml:space="preserve">Attachment 5 </t>
  </si>
  <si>
    <t>Transmission Incentive Credit</t>
  </si>
  <si>
    <t>Attachment 7</t>
  </si>
  <si>
    <t>Interest on Network Upgrade Facilities</t>
  </si>
  <si>
    <t>Net Zonal Revenue Requirement</t>
  </si>
  <si>
    <t>Network Service Rate</t>
  </si>
  <si>
    <t>12 CP Monthly Peak (MW)</t>
  </si>
  <si>
    <t>Attachment 9a/9b</t>
  </si>
  <si>
    <t>Rate ($/MW-year)</t>
  </si>
  <si>
    <r>
      <t xml:space="preserve">Network Service Rate </t>
    </r>
    <r>
      <rPr>
        <sz val="14"/>
        <rFont val="Arial"/>
        <family val="2"/>
      </rPr>
      <t>($/MW-year)</t>
    </r>
  </si>
  <si>
    <t>A</t>
  </si>
  <si>
    <t xml:space="preserve">with plant expected to be energized and placed in service (as defined by the Uniform System of Accounts) in that month.  The True-Up Adjustment will reflect the actual </t>
  </si>
  <si>
    <t xml:space="preserve">date the plant was energized and placed in service. </t>
  </si>
  <si>
    <t>B</t>
  </si>
  <si>
    <t xml:space="preserve">Includes Transmission portion only.  </t>
  </si>
  <si>
    <t>C</t>
  </si>
  <si>
    <t>D</t>
  </si>
  <si>
    <t>Includes all Regulatory Commission Expenses.</t>
  </si>
  <si>
    <t>E</t>
  </si>
  <si>
    <t>Includes Regulatory Commission Expenses directly related to transmission service.</t>
  </si>
  <si>
    <t>F</t>
  </si>
  <si>
    <t>Property Insurance excludes prior period adjustment in the first year of the formula's operation and reconciliation for the first year.</t>
  </si>
  <si>
    <t>G</t>
  </si>
  <si>
    <t>The calculation of the Reconciliation revenue requirement according to Step 7 of Attachment 6 ("Estimate and Reconciliation Worksheet") shall reflect the</t>
  </si>
  <si>
    <t xml:space="preserve">actual tax rates in effect for the Rate Year, as defined in Attachment H-2, being reconciled ("Test Year").  When statutory marginal tax rates change during such Test Year, </t>
  </si>
  <si>
    <t xml:space="preserve">the effective tax rates used in the formula shall be weighted by the number of days each such rate was in effect.  For example, a 35% rate in effect for 120 days superseded </t>
  </si>
  <si>
    <t>by a 40% rate in effect for the remainder of the year will be calculated as: ((.3500 x 120) + (.4000 x 245))/365 = .3836.</t>
  </si>
  <si>
    <t>H</t>
  </si>
  <si>
    <t>No change in ROE will be made absent a filing at FERC.</t>
  </si>
  <si>
    <t>PacifiCorp will include actual PBOP expense until changed as the result of a filing at FERC. PacifiCorp will include in the Annual Update Informational Filing its annual actuarial valuation report to support its actual PBOP expense.</t>
  </si>
  <si>
    <t xml:space="preserve">Depreciation rates shown in Attachment 8 are fixed until changed as the result of a filing at FERC. </t>
  </si>
  <si>
    <t>I</t>
  </si>
  <si>
    <t xml:space="preserve">The 12 CP monthly peak is the average of the 12 monthly system peaks calculated as the Network customers Monthly Network Load (Section 34.2 of the OATT) plus the </t>
  </si>
  <si>
    <t>reserve capacity of all long term firm point-to-point customers.</t>
  </si>
  <si>
    <t>J</t>
  </si>
  <si>
    <t>Amount of transmission plant excluded from rates per Attachment 15.</t>
  </si>
  <si>
    <t>K</t>
  </si>
  <si>
    <t>Adjustment reflects exclusion of tax receivables due to 2008 NOLs, which resulted in MidAmerican Energy Holdings Company delivering refund to PacifiCorp.</t>
  </si>
  <si>
    <t>L</t>
  </si>
  <si>
    <t xml:space="preserve">Any gain from the sale of land included in Land Held for Future Use in the Formula Rate received during the Rate Year, as defined in Attachment H-2,  </t>
  </si>
  <si>
    <t>shall be used to reduce the ATRR in the Rate Year.  The Formula Rate shall not include any losses on sales of such land.</t>
  </si>
  <si>
    <t>M</t>
  </si>
  <si>
    <t>The Update uses end of year balances and the True-up uses 13 monthly averages shown on Attachment 5.</t>
  </si>
  <si>
    <t>N</t>
  </si>
  <si>
    <t>The Update uses end of year balances and the True-up uses the average of beginning of year and end of year balances shown on Attachments.</t>
  </si>
  <si>
    <t>O</t>
  </si>
  <si>
    <t>Placeholder that is zero until PacifiCorp receives authorization by FERC to include amounts.</t>
  </si>
  <si>
    <t>P</t>
  </si>
  <si>
    <t>Projected capital additions will include only the capital costs associated with plant expected to be energized and placed in service (as defined by the Uniform System of Accounts) in that month.  The True-Up Adjustment will reflect the actual date the plant was energized and placed in service.</t>
  </si>
  <si>
    <t>Q</t>
  </si>
  <si>
    <t>The equity ratio is capped at 53%, and if the actual equity ratio exceeds 53%, then the debt ratio will be equal to 1 minus the preferred stock ratio minus 53%.</t>
  </si>
  <si>
    <t>R</t>
  </si>
  <si>
    <t>PacifiCorp will include only the gains and losses on interest rate locks for new debt issuances. Attachment 14 – Cost of Capital Detail will list the unamortized balance and annual amortization for all gains and losses on hedges.</t>
  </si>
  <si>
    <t>S</t>
  </si>
  <si>
    <t xml:space="preserve">PacifiCorp shall use FERC’s 1/8th method for cash working capital subject to the following limitations: </t>
  </si>
  <si>
    <t xml:space="preserve">(a) PacifiCorp shall be required to file a lead-lag study justifying the appropriate cash working capital allowance to be effective, subject to refund, as of June 1, 2014; provided, however, that if PacifiCorp does not file a study in the time required, the amount of cash working capital allowance includable in the calculation of the ATRR under the Formula shall be zero dollars ($0.00)  as of June 1, 2014, and shall remain at zero until such time as the Commission, in response to a PacifiCorp filing of a lead-lag study, authorizes a cash working capital allowance;  </t>
  </si>
  <si>
    <t xml:space="preserve">(b) PacifiCorp shall provide a draft to the other Parties of any such lead-lag study at least sixty (60) days prior to making any filing described in (a) with the Commission; and </t>
  </si>
  <si>
    <t>(c) Filing of the lead-lag study in (a) above, but not any subsequent filing affecting or relating to PacifiCorp’s cash working capital allowance as permitted in subsection (a) above, may be a single issue FPA Section 205 filing.</t>
  </si>
  <si>
    <t>These line items will include only the balances associated with long-term debt and shall exclude balances associated with short-term debt.</t>
  </si>
  <si>
    <t>Toggle list</t>
  </si>
  <si>
    <t>True-up</t>
  </si>
  <si>
    <t>Appendix B - Schedule 1: Scheduling, System Control and Dispatch Service</t>
  </si>
  <si>
    <r>
      <t>Calculated from historical data</t>
    </r>
    <r>
      <rPr>
        <sz val="10"/>
        <color rgb="FF0000FF"/>
        <rFont val="Calibri"/>
        <family val="2"/>
      </rPr>
      <t>—</t>
    </r>
    <r>
      <rPr>
        <sz val="10"/>
        <color rgb="FF0000FF"/>
        <rFont val="Arial"/>
        <family val="2"/>
      </rPr>
      <t>no true-up</t>
    </r>
  </si>
  <si>
    <t>Line</t>
  </si>
  <si>
    <t>Description</t>
  </si>
  <si>
    <t>FERC Form 1 page # / Reference</t>
  </si>
  <si>
    <t>Amount</t>
  </si>
  <si>
    <t>(561.1) Load Dispatch-Reliability</t>
  </si>
  <si>
    <t>321.85b</t>
  </si>
  <si>
    <t>(561.2) Load Dispatch-Monitor and Operate Transmission System</t>
  </si>
  <si>
    <t>321.86b</t>
  </si>
  <si>
    <t>(561.3) Load Dispatch-Transmission Service and Scheduling</t>
  </si>
  <si>
    <t>321.87b</t>
  </si>
  <si>
    <t>(561.4) Scheduling, System Control and Dispatch Services</t>
  </si>
  <si>
    <t>321.88b</t>
  </si>
  <si>
    <t>(561.5) Reliability, Planning and Standards Development</t>
  </si>
  <si>
    <t>321.89b</t>
  </si>
  <si>
    <t>Total 561 Costs for Schedule 1 Annual Revenue Requirement</t>
  </si>
  <si>
    <t>Schedule 1 Annual Revenue Requirement</t>
  </si>
  <si>
    <t>Schedule 1 - Rate Calculations</t>
  </si>
  <si>
    <t>Average 12-Month Demand - Current Year (kW)</t>
  </si>
  <si>
    <t>Divisor</t>
  </si>
  <si>
    <t>Rate in $/kW - Yearly</t>
  </si>
  <si>
    <t>Rate in $/kW - Monthly</t>
  </si>
  <si>
    <t>Rate in $/kW - Weekly</t>
  </si>
  <si>
    <t>Rate in $/kW - Daily On-Peak</t>
  </si>
  <si>
    <t>Rate in $/kW - Daily Off-Peak</t>
  </si>
  <si>
    <t>Rate in $/MW - Hourly On-Peak</t>
  </si>
  <si>
    <t>Rate in $/MW - Hourly Off-Peak</t>
  </si>
  <si>
    <t>OATT Transmission Rate Formula Template Using Form 1 Data</t>
  </si>
  <si>
    <t>Summary of Rates</t>
  </si>
  <si>
    <t xml:space="preserve">Line </t>
  </si>
  <si>
    <t>Reference</t>
  </si>
  <si>
    <t>Revenue Credits:</t>
  </si>
  <si>
    <t>Acct 454 - Allocable to Transmission</t>
  </si>
  <si>
    <t xml:space="preserve">Acct 456 - Allocable to Transmission </t>
  </si>
  <si>
    <t>Total Revenue Credits</t>
  </si>
  <si>
    <t>Interest on Network Upgrades</t>
  </si>
  <si>
    <t>Annual Transmission Revenue Requirement</t>
  </si>
  <si>
    <t>Line 1 - Line 4 + Line 5 + Line 6</t>
  </si>
  <si>
    <t>Divisor - 12 Month Average Transmission Peak (MW)</t>
  </si>
  <si>
    <t>Rates:</t>
  </si>
  <si>
    <t xml:space="preserve">Transmission Rate ($/kW-year) </t>
  </si>
  <si>
    <t xml:space="preserve">Transmission Rate ($/kW-month) </t>
  </si>
  <si>
    <t xml:space="preserve">Weekly Firm/Non-Firm Rate ($/kW-week) </t>
  </si>
  <si>
    <t>Daily Firm/Non-Firm Rates:</t>
  </si>
  <si>
    <t>On-Peak Days ($/kW)</t>
  </si>
  <si>
    <t>Off-Peak Days ($/kW)</t>
  </si>
  <si>
    <t>Non-Firm Hourly Rates:</t>
  </si>
  <si>
    <t>On-Peak Hours ($/MWh)</t>
  </si>
  <si>
    <t>Off-Peak Hours ($/MWh)</t>
  </si>
  <si>
    <t>Attachment 1 - Accumulated Deferred Income Taxes (ADIT) Worksheet</t>
  </si>
  <si>
    <t>Beginning of Current Year</t>
  </si>
  <si>
    <t>Total Company</t>
  </si>
  <si>
    <t>Gas, Prod., Dist., or Other</t>
  </si>
  <si>
    <t>Transmission Related</t>
  </si>
  <si>
    <t>Plant Related</t>
  </si>
  <si>
    <t>Labor Related</t>
  </si>
  <si>
    <t>Total Transmission ADIT</t>
  </si>
  <si>
    <t>(A)</t>
  </si>
  <si>
    <t>(B)</t>
  </si>
  <si>
    <t>(C)</t>
  </si>
  <si>
    <t>(D)</t>
  </si>
  <si>
    <t>(E)</t>
  </si>
  <si>
    <t>(F)</t>
  </si>
  <si>
    <t>ADIT-282</t>
  </si>
  <si>
    <t>Sch. 282 Below</t>
  </si>
  <si>
    <t>ADIT-281</t>
  </si>
  <si>
    <t>Sch. 281 Below</t>
  </si>
  <si>
    <t>ADIT-283</t>
  </si>
  <si>
    <t>Sch. 283 Below</t>
  </si>
  <si>
    <t>ADIT-190</t>
  </si>
  <si>
    <t>Sch. 190 Below</t>
  </si>
  <si>
    <t>Subtotal ADIT</t>
  </si>
  <si>
    <t>Sum (Lines 1 to 4)</t>
  </si>
  <si>
    <t>Allocator (100% Transmission; Net Plant; Wages &amp; Salary)</t>
  </si>
  <si>
    <t>Appendix A</t>
  </si>
  <si>
    <t>Sub-total Transmission Related ADIT</t>
  </si>
  <si>
    <t>Sum Cols. (C), (D), (E)</t>
  </si>
  <si>
    <t xml:space="preserve">Attachment 1a input --&gt; </t>
  </si>
  <si>
    <t>In filling out this attachment, a full and complete description of each item and justification for the allocation to Columns B-F and each separate ADIT item will be listed,</t>
  </si>
  <si>
    <t>dissimilar items with amounts exceeding $100,000 will be listed separately.</t>
  </si>
  <si>
    <t>Schedule ADIT-190</t>
  </si>
  <si>
    <t>Gas, Prod,</t>
  </si>
  <si>
    <t>Dist Or Other</t>
  </si>
  <si>
    <t>Transmission</t>
  </si>
  <si>
    <t xml:space="preserve">Plant </t>
  </si>
  <si>
    <t>Labor</t>
  </si>
  <si>
    <t>Form 1 Reference</t>
  </si>
  <si>
    <t>Company</t>
  </si>
  <si>
    <t>Related</t>
  </si>
  <si>
    <t>Justification</t>
  </si>
  <si>
    <t>Account 190</t>
  </si>
  <si>
    <t>Employee Benefits</t>
  </si>
  <si>
    <t xml:space="preserve">Pension </t>
  </si>
  <si>
    <t>Regulatory liability established to record a pension liability for the Energy West Mining UMWA pension trust withdrawal obligation.</t>
  </si>
  <si>
    <t>LTIP - non current</t>
  </si>
  <si>
    <t>Regulatory liability established to record the long-term portion of the BHE incentive plan liability related to PacifiCorp employees.</t>
  </si>
  <si>
    <t>Bonus Liab. Elec. - Cash Basis (2.5 mos)</t>
  </si>
  <si>
    <t xml:space="preserve">Accrued expenses recorded for book purposes under PacifiCorp's Annual Incentive Plan (AIP), 401(k) match of AIP, payroll tax (employer portion), and LTI. </t>
  </si>
  <si>
    <t>Deferred Comp. Accrual</t>
  </si>
  <si>
    <t>Non-qualified deferred compensation plan under IRC Subsection 409A.</t>
  </si>
  <si>
    <t>Severance Accrual - Cash Basis</t>
  </si>
  <si>
    <t>Severance accruals related to regular employment downsizing. Amounts contained in these accounts represent accruals for both departing executives and rank and file employees.</t>
  </si>
  <si>
    <t>Pension/Retirement Accrual</t>
  </si>
  <si>
    <t>Accrued retiree payment obligations outside of the regular PacifiCorp retirement plan, most constituting payments made above the IRC Subsection 415 limitations.</t>
  </si>
  <si>
    <t>Vacation Accrual-Cash Basis (2.5 mos)</t>
  </si>
  <si>
    <t>Accruals recorded for book purposes for unused vacation and sick leave due to employees in future periods or upon termination.</t>
  </si>
  <si>
    <t>Wasach workers comp reserve</t>
  </si>
  <si>
    <t>Accrued liability for the expected claims related to workers compensation previously held by Wasatch Crest.  PacifiCorp holds this liability due to the insolvency of Wasatch Crest.</t>
  </si>
  <si>
    <t>FAS 112 Book Reserve - Post</t>
  </si>
  <si>
    <t>Accrued liability for worker's compensation benefits pursuant to FASB Statement No. 112.</t>
  </si>
  <si>
    <t>Western Coal Carr Ret Med Accrual</t>
  </si>
  <si>
    <t>Accrued post-retirement liabilityies pursuant to FASB Statement No. 106 for Western Coal Carriers, a third-party carrier service that contracted with PacifiCorp to haul coal from the Trail Mountain Mine to the Hunter plant.</t>
  </si>
  <si>
    <t>FAS 158 Pension Liability</t>
  </si>
  <si>
    <t>Total unfunded pension liability as required under FAS 158.</t>
  </si>
  <si>
    <t>FAS 158 Post-Retirement Liability</t>
  </si>
  <si>
    <t>FAS 158 SERP Liability</t>
  </si>
  <si>
    <t>Total Supplemental Executive Retirement Plan (SERP) obligations, as required by FAS 158.</t>
  </si>
  <si>
    <t>FAS 133 Derivatives:</t>
  </si>
  <si>
    <t>FAS 133 Derivatives - Book</t>
  </si>
  <si>
    <t>Unrealized derivative gains and losses under FASB Statement No. 133 which requires that certain financial instruments be valued at FMV for book purposes.</t>
  </si>
  <si>
    <t>NonCurr Liab - Frozen MTM</t>
  </si>
  <si>
    <t>Reclass non-current liability from derivative regulatory liability to an other regulatory liability for frozen derivative.</t>
  </si>
  <si>
    <t>Regulatory Liabilities:</t>
  </si>
  <si>
    <t>415.710</t>
  </si>
  <si>
    <t>RL - WA Accelerated Depreciation</t>
  </si>
  <si>
    <t>Regulatory Liability established to record difference between the approved accelerated depreciation in the 2015 WA GRC and the current depreciation amounts from the last depreciation study for all units at the Jim Bridger Plant and Colstrip Unit 4.</t>
  </si>
  <si>
    <t>RL - Energy Savings Assistance (ESA) - CA</t>
  </si>
  <si>
    <t xml:space="preserve">Regulatory Liability established to record Energy Savings Assistance (ESA) Program activities (ESA collections from California offset by ESA program expenditures incurred) in a regulatory liability balancing account for California. </t>
  </si>
  <si>
    <t>RL - OR Direct Access 5 Yr Opt out</t>
  </si>
  <si>
    <t xml:space="preserve">Regulatory Liability established per Order No. 15-060 in Docket UE267, PacifiCorp is required to implement a 5 year customer opt-out plan. Customers that elect to go on the opt-out program and leave PacifiCorp's system will be required to pay an opt-out charge for up to 5 years. </t>
  </si>
  <si>
    <t>RL - BPA Balance Act - ID</t>
  </si>
  <si>
    <t>Regulatory liability established as a balancing account for a pass-through benefit to Idaho customers from BPA (Bonneville Power Administration) under the Northwest Power Act where qualifying customers receive a credit to their bill.</t>
  </si>
  <si>
    <t>ARO/Reg Diff - Trojan - WA</t>
  </si>
  <si>
    <t>This account is created to record a contra regulatory liability for Washington's share of the ARO regulatory difference on Trojan unrecovered plant and decommissioning costs . The reason for this contra account is that substantially all Trojan - related costs were disallowed in Washington; therefore, the Washington portion of any decommissioning costs associated with Trojan should be reflected below-the-line.</t>
  </si>
  <si>
    <t>RL UT Solar Feed-in Tariff - NC</t>
  </si>
  <si>
    <t>RL CA Solar Feed-in Tariff - NC</t>
  </si>
  <si>
    <t>RL - Deferred Excess NPC - WY - Noncurrent</t>
  </si>
  <si>
    <t>RL WA Def NPC - Noncurrent</t>
  </si>
  <si>
    <t>Regulatory liability established to record WA Def NPC.</t>
  </si>
  <si>
    <t>RL - Deferred Excess NPC - UT - Noncurrent</t>
  </si>
  <si>
    <t>RL - Deferred Excess NPC - OR - noncurrent</t>
  </si>
  <si>
    <t>Regulatory liability established for noncurrent portion of recoverable net power costs in Oregon pursuant to an energy cost adjustment mechanism.</t>
  </si>
  <si>
    <t>RL-Noncurrent Reclass-Other</t>
  </si>
  <si>
    <t>RL - CA GHG Allowance Rev</t>
  </si>
  <si>
    <t>Regulatory liability established to record noncurrent portion of reg liability for purchase of California greenhouse gas pollution emission allowances .</t>
  </si>
  <si>
    <t>Reg Lia - OR Inj &amp; Dam Reserve</t>
  </si>
  <si>
    <t>Regulatory liability used to record the Oregon allocation of injury and damage insurance recovered in excess of insurance claims incurred.</t>
  </si>
  <si>
    <t>Regulatory liability used to record the Oregon allocation of storm-related property damage recovered in excess of insurance claims incurred.</t>
  </si>
  <si>
    <t>Reg Lia - ID Property Ins Reserve</t>
  </si>
  <si>
    <t>Regulatory liability used to record the Idaho allocation of storm-related property damage recovered in excess of insurance claims incurred.</t>
  </si>
  <si>
    <t>Reg Lia - UT Property Ins Reserve</t>
  </si>
  <si>
    <t>Regulatory liability used to record the Utah allocation of storm-related property damage recovered in excess of insurances claims incurred.</t>
  </si>
  <si>
    <t>RL - Property Insurance Reserve - WY</t>
  </si>
  <si>
    <t>Regulatory liability used to record the Wyoming allocation of storm-related property damage recovered in excess of insurance claims incurred.</t>
  </si>
  <si>
    <t>RL ITC</t>
  </si>
  <si>
    <t>Income tax gross-up on unamortized Investment Tax Credits pursuant to IRC Subsection 46(f)(2).</t>
  </si>
  <si>
    <t>RL - 50% Bonus Tax Depr - WY</t>
  </si>
  <si>
    <t xml:space="preserve">Regulatory liability for a Wyoming revenue requirement adjustment related to bonus tax depreciation.  </t>
  </si>
  <si>
    <t>Reg Liability-Other - Balance Reclass</t>
  </si>
  <si>
    <t>Reclass of miscellaneous regulatory assets/liabilityies that have flipped to debit/credit balances.</t>
  </si>
  <si>
    <t>RL - OR Energy Conserv Chrg</t>
  </si>
  <si>
    <t xml:space="preserve">Regulatory liability established to record the Oregon Energy Conservation Charge and related expenses which are predominantly remitted to the Energy Trust of Oregon (ETO) for energy efficiency programs.  </t>
  </si>
  <si>
    <t>OR Reg Asset/Liab Cons</t>
  </si>
  <si>
    <t>Regulatory liability established to consolidate small inactive Oregon specific regulatory balances, which are then amortized into book income per approved rate order or tariff.</t>
  </si>
  <si>
    <t>ARO Reg Liabilities</t>
  </si>
  <si>
    <t>Regulatory liability used to record the depreciation/accretion associated with FAS 143 asset retirement obligations.</t>
  </si>
  <si>
    <t>NW Power Act - WA</t>
  </si>
  <si>
    <t>Income Tax WA Flow-through</t>
  </si>
  <si>
    <t>Regulatory liability established for flow-through accounting of income taxes required by the state of Washington on certain non-property related temporary book-tax differences.</t>
  </si>
  <si>
    <t>RL- DSM Balance Reclass</t>
  </si>
  <si>
    <t>Trojan Decom Cost-Regulatory Asset</t>
  </si>
  <si>
    <t xml:space="preserve">Regulatory asset/liability established for the Asset Retirement Obligation (ARO) Liability representing future reclamation costs associated with the decommissioning of the Trojan Nuclear Plant that are in excess of those approved for recovery by regulatory authorities.   </t>
  </si>
  <si>
    <t>RL - UT Home Energy LifeLine</t>
  </si>
  <si>
    <t xml:space="preserve">Regulatory liability established to record revenues received from customers which are then granted to qualifying low income recipients through bill credits. </t>
  </si>
  <si>
    <t>RL - WA Low Energy Program</t>
  </si>
  <si>
    <t>RL - Blue Sky Program OR</t>
  </si>
  <si>
    <t xml:space="preserve">Regulatory liability established to record revenues received from customers participating in the company's Blue Sky renewable energy program, which are then used to purchase renewable energy certificates. </t>
  </si>
  <si>
    <t>RL - Blue Sky Program WA</t>
  </si>
  <si>
    <t>RL - Blue Sky Program CA</t>
  </si>
  <si>
    <t>RL - Blue Sky Program UT</t>
  </si>
  <si>
    <t>RL - Blue Sky Program ID</t>
  </si>
  <si>
    <t>RL - Blue Sky Program WY</t>
  </si>
  <si>
    <t>Regulatory liability established to record revenues received from customers participating in the company's Blue Sky renewable energy program, which are then used to purchase renewable energy certificates.</t>
  </si>
  <si>
    <t>RL - Depre</t>
  </si>
  <si>
    <t>Regulatory liability established to record Oregon's share of the deferral of decreased depreciation due to the implementation of new rates on January 1, 2014.</t>
  </si>
  <si>
    <t xml:space="preserve">Regulatory liability established to record Washington's share of the deferral of decreased depreciation due to the implementation of new rates on January 1, 2014. </t>
  </si>
  <si>
    <t xml:space="preserve"> State Carryforwards</t>
  </si>
  <si>
    <t>DTA State Charitable Contribution Limit</t>
  </si>
  <si>
    <t>Charitable contribution carryforward for state income tax purposes.</t>
  </si>
  <si>
    <t xml:space="preserve">DTA Net Operating Loss Carryforwrd-State </t>
  </si>
  <si>
    <t>State net operating loss carryforward for income tax purposes.</t>
  </si>
  <si>
    <t>DTA Federal Detriment of State NOL</t>
  </si>
  <si>
    <t>Federal income benefit for the deduction state taxes associated with state net operating loss carryforward.</t>
  </si>
  <si>
    <t>DTA 930.100 Oregon BETC Credits</t>
  </si>
  <si>
    <t xml:space="preserve">Accrued liability for purchased Oregon Business Energy Tax Credits (BETC's).                                                                                                                                                                                                                                                                                                                                                                                    </t>
  </si>
  <si>
    <t>DTA BETC Purchased Credits</t>
  </si>
  <si>
    <t>Oregon state income tax credit carryforward.</t>
  </si>
  <si>
    <t>DTA BETC Purchased Gain</t>
  </si>
  <si>
    <t xml:space="preserve">Book-tax difference related to the Gain on purchased Business Energy Tax Credits.                                                                                                                                                                                                                                                                                                                                                                                                                                                     </t>
  </si>
  <si>
    <t>DTA Idaho ITC Carryforward</t>
  </si>
  <si>
    <t>Idaho state income tax credit carryforward.</t>
  </si>
  <si>
    <t>DTA Colorado Tax Credit Carryforward</t>
  </si>
  <si>
    <t>Colorado state income tax credit carryforward.</t>
  </si>
  <si>
    <t>DTA CA AMT Credit Carryforward</t>
  </si>
  <si>
    <t>California state income tax credit carryforward.</t>
  </si>
  <si>
    <t>Loss Contingencies</t>
  </si>
  <si>
    <t>Ins Rec Accrual</t>
  </si>
  <si>
    <t>Injuries &amp; Damages</t>
  </si>
  <si>
    <t>Accrued liability established as a reserve for anticipated injury and damage expense.</t>
  </si>
  <si>
    <t>Asset Retirement Obligations</t>
  </si>
  <si>
    <t>FAS 143 ARO Liability</t>
  </si>
  <si>
    <t>Asset Retirement Obligation liability accrued pursuant to FASB Statement No. 143.</t>
  </si>
  <si>
    <t>Other Deferred Assets:</t>
  </si>
  <si>
    <t>Sales &amp; Use Tax Audit Exp</t>
  </si>
  <si>
    <t>Deferred Revenue - Other</t>
  </si>
  <si>
    <t>Advanced payments recognized for tax and not for book.</t>
  </si>
  <si>
    <t>Contra Rec Joint Owners</t>
  </si>
  <si>
    <t>Reserve against receivable due from joint owners.</t>
  </si>
  <si>
    <t>Trapper Mine Contract Oblig</t>
  </si>
  <si>
    <t>Accrued final reclamation expenditures for the Trapper mine.</t>
  </si>
  <si>
    <t>LTIP Mark to Mkt Gain/Loss</t>
  </si>
  <si>
    <t xml:space="preserve">To record unrealized gains/losses from the long term incentive plan. </t>
  </si>
  <si>
    <t>Eagle Mountain contract liabilities not currently deductible for income tax purposes.</t>
  </si>
  <si>
    <t>Chehalis Mitigation Oblig</t>
  </si>
  <si>
    <t>Accrued liabilities related to the purchase of the Chehalis plant not currently deductible for income tax purposes.</t>
  </si>
  <si>
    <t>Environmental Liab- Reg</t>
  </si>
  <si>
    <t>Regulated environmental remediation costs required at various abandoned/closed mines and other work sites.</t>
  </si>
  <si>
    <t>Environmental Liab- NonReg</t>
  </si>
  <si>
    <t>Non-regulated environmental remediation costs required at various abandoned/closed mines and other work sites.</t>
  </si>
  <si>
    <t>- - - - -</t>
  </si>
  <si>
    <t xml:space="preserve">Valuation Allowance for DTA </t>
  </si>
  <si>
    <t>Valuation allowance against items that may not be realized before they expire.</t>
  </si>
  <si>
    <t>Rogue River-Habitat Enhance</t>
  </si>
  <si>
    <t>Accrued liability associated with the acceptance of the Rogue River (Prospects 1, 2, &amp; 4) FERC license, PacifiCorp is obligated to pay the Oregon Department of Fish and Wildlife $1,000,000, escalated, over a period of 9 years for habitat enhancement.</t>
  </si>
  <si>
    <t>Lewis River- LWD Fund Liab</t>
  </si>
  <si>
    <t>Accrued liability associated with the acceptance of the Lewis River FERC license for habitat enhancement.</t>
  </si>
  <si>
    <t>Deferred Revenue - Citibank</t>
  </si>
  <si>
    <t>ERC Impairment Reserve</t>
  </si>
  <si>
    <t>ITC</t>
  </si>
  <si>
    <t>Unamortized Investment Tax Credits pursuant to IRC Subsection 46(f)(2).</t>
  </si>
  <si>
    <t>MCI F.O.G. Wire Lease</t>
  </si>
  <si>
    <t>Accrued liability for paid, but unearned lease revenue. The lease revenue is recognized ratably over the annual service agreement period.</t>
  </si>
  <si>
    <t>Def Reg Asset-Transmission</t>
  </si>
  <si>
    <t>Accrued liability for refundable cash deposits received from customers who wish to reserve transmission line services.  These deposits are fully refundable.  The deposits are recognized as income when the service contract is fulfilled.</t>
  </si>
  <si>
    <t>Bad Debts Allowance - Cash Basis</t>
  </si>
  <si>
    <t xml:space="preserve">Accrued liability established to reserve for accounts receivable for which collection is not expected. </t>
  </si>
  <si>
    <t>Misc Current &amp; Accrued Liab</t>
  </si>
  <si>
    <t>Miscellaneous accrued liabilities related to PacifiCorp.</t>
  </si>
  <si>
    <t>Unearned Joint Use Pole Con</t>
  </si>
  <si>
    <t>Accrued liability for prepaid rents on company owned utility poles.</t>
  </si>
  <si>
    <t>N Umpqua Settlement Agmt</t>
  </si>
  <si>
    <t xml:space="preserve">Accrued liability associated with the acceptance of the North Umpqua FERC license for habitat enhancement. </t>
  </si>
  <si>
    <t>Bear River Settlement Agreement</t>
  </si>
  <si>
    <t>Accrued liability associated with the acceptance of the Bear River FERC license for various settlement obligations.</t>
  </si>
  <si>
    <t>Tenant Lease Allowances</t>
  </si>
  <si>
    <t>Cash received for improvements to the Lloyd Center Mall Learning Center leased by PacifiCorp will be amortized as expenses are incurred.</t>
  </si>
  <si>
    <t>M&amp;S Inventory Write-off</t>
  </si>
  <si>
    <t>Accrued liability for estimated obsolete or excess inventory that will be sold for scrap.</t>
  </si>
  <si>
    <t>Reverse Accrued Final Reclamation</t>
  </si>
  <si>
    <t>Accrued liability for various reclamation costs for the site reclamation of the closed mines.</t>
  </si>
  <si>
    <t>Accrued Royalties</t>
  </si>
  <si>
    <t xml:space="preserve">Accrued liability for royalty payments to the Mineral Management Service on coal production. </t>
  </si>
  <si>
    <t>Safe Harbor Leases - Cholla</t>
  </si>
  <si>
    <t>Book-tax difference for safe harbor lease agreement between PacifiCorp and General Electric Credit Corp for the Cholla generation plant.</t>
  </si>
  <si>
    <t>PMI Fuel Cost Adjustment</t>
  </si>
  <si>
    <t>Deseret Settlement Rec</t>
  </si>
  <si>
    <t>Non-curr def fed tax cor ben of int</t>
  </si>
  <si>
    <t>Non-current federal benefit of interest on corrections.</t>
  </si>
  <si>
    <t>Non-curr def fed unc tax pos ben of int</t>
  </si>
  <si>
    <t>Non-current federal benefit of interest on uncertain positions.</t>
  </si>
  <si>
    <t>Non-curr def sta tax cor ben of int</t>
  </si>
  <si>
    <t>Non-current state benefit of interest on corrections.</t>
  </si>
  <si>
    <t>Non-curr def sta unc tax pos ben of int</t>
  </si>
  <si>
    <t>Non-current state benefit of interest on uncertain positions.</t>
  </si>
  <si>
    <t>Rounding</t>
  </si>
  <si>
    <t>Subtotal - p234</t>
  </si>
  <si>
    <t>Less FASB 109 Above if not separately removed</t>
  </si>
  <si>
    <t>Less FASB 106 Above if not separately removed</t>
  </si>
  <si>
    <t>Instructions for Account 190:</t>
  </si>
  <si>
    <t>1.  ADIT items related only to Non-Electric Operations (e.g., Gas, Water, Sewer) or Production are directly assigned to Column C</t>
  </si>
  <si>
    <t>2.  ADIT items related only to Transmission are directly assigned to Column D</t>
  </si>
  <si>
    <t>3.  ADIT items related to Plant and not in Columns C &amp; D are included in Column E</t>
  </si>
  <si>
    <t>4.  ADIT items related to labor and not in Columns C &amp; D are included in Column F</t>
  </si>
  <si>
    <t>5. Deferred income taxes arise when items are included in taxable income in different periods than they are included in rates, therefore if the item giving rise to the ADIT is not included in the formula, the associated ADIT amount shall be excluded.</t>
  </si>
  <si>
    <t>Attachment 1A - Accumulated Deferred Income Taxes (ADIT) Worksheet</t>
  </si>
  <si>
    <t>Schedule ADIT-281</t>
  </si>
  <si>
    <t>Account 281</t>
  </si>
  <si>
    <t>Electric:</t>
  </si>
  <si>
    <t>Accelerated Pollution Control Facilities Depreciation</t>
  </si>
  <si>
    <t>Depreciation on pollution control facilities.</t>
  </si>
  <si>
    <t>Instructions for Account 281:</t>
  </si>
  <si>
    <t>Schedule ADIT-282</t>
  </si>
  <si>
    <t>Account 282</t>
  </si>
  <si>
    <t>§1031 Exchange</t>
  </si>
  <si>
    <t>Book-tax difference for a taxable gain or loss that is deferred pursuant to Internal Revenue Code Section 1031, otherwise knows as a "like-kind exchange."</t>
  </si>
  <si>
    <t>§1031 &amp; 1033 Exchange Normalization Adjustment</t>
  </si>
  <si>
    <t>Exclusion of ADIT from §1031 &amp; 1033 Exchanges pursuant to the income tax normalization rules.</t>
  </si>
  <si>
    <t>Amortization NOPAs 99-00 RAR</t>
  </si>
  <si>
    <t>Book-tax difference for the capitalization and depreciation of legal fees associated with the re-licensing of specific hydro generation facilities.</t>
  </si>
  <si>
    <t>ARO Removal Costs</t>
  </si>
  <si>
    <t>Regulatory liability related to removal costs.</t>
  </si>
  <si>
    <t xml:space="preserve">Avoided Costs </t>
  </si>
  <si>
    <t>Book-tax basis difference for the capitalization of interest for income tax purposes.</t>
  </si>
  <si>
    <t>Basis Intangible Difference</t>
  </si>
  <si>
    <t>Book-tax basis difference for the capitalization of interest for income tax purposes specifically related to hydro-relicensing costs transferred to plant-in-service.</t>
  </si>
  <si>
    <t>Book-tax difference related to different methods for computing deductible periodic depletion for book and tax purposes.</t>
  </si>
  <si>
    <t>Book Depreciation</t>
  </si>
  <si>
    <t>Book-tax difference for book depreciation.</t>
  </si>
  <si>
    <t>Book Fixed Asset Gain/Loss</t>
  </si>
  <si>
    <t>Book-tax difference related to land sales.</t>
  </si>
  <si>
    <t>Capitalization of Test Energy</t>
  </si>
  <si>
    <t>Book-tax basis difference related to test energy revenues which are received/earned for power produced by generating plants during the construction period and sold or used by the utility.</t>
  </si>
  <si>
    <t>Capitalized Depreciation</t>
  </si>
  <si>
    <t>Book-tax basis difference for the capitalization of vehicle depreciation.</t>
  </si>
  <si>
    <t xml:space="preserve">Capitalized labor and benefit costs </t>
  </si>
  <si>
    <t>Book-tax basis difference related to the amount of labor costs capitalized to fixed assets.</t>
  </si>
  <si>
    <t>Capitalized labor costs - Medicare Subsidy</t>
  </si>
  <si>
    <t>Book-tax basis difference related to the amount of labor overhead costs capitalized to fixed assets.</t>
  </si>
  <si>
    <t>Direct Assignment: Transmission Fixed Assets</t>
  </si>
  <si>
    <t>PowerTax Report #257: Transmission Book Allocation Group.</t>
  </si>
  <si>
    <t>Direct Assignment: Intangible Fixed Assets</t>
  </si>
  <si>
    <t>PowerTax Report #257: Intangible Book Allocation Group.</t>
  </si>
  <si>
    <t>Direct Assignment: General Fixed Assets</t>
  </si>
  <si>
    <t>PowerTax Report #257: General Book Allocation Group.</t>
  </si>
  <si>
    <t>Cholla SHL (Amortization of SHL Gain)</t>
  </si>
  <si>
    <t>Cholla SHL NOPA (Lease Amortization)</t>
  </si>
  <si>
    <t xml:space="preserve">Book-tax difference for safe harbor lease agreement between PacifiCorp and General Electric Credit Corp for the Cholla generation plant. </t>
  </si>
  <si>
    <t>Coal Mine Development</t>
  </si>
  <si>
    <t>Coal Mine Extension Costs</t>
  </si>
  <si>
    <t>Contract LiabilityBasis Adj - Chehalis</t>
  </si>
  <si>
    <t>Contract LiabilityBasis Adj - Eagle Mountain</t>
  </si>
  <si>
    <t>Contribution in Aid of Construction</t>
  </si>
  <si>
    <t>Book-tax basis difference related to contributions in aid of construction.</t>
  </si>
  <si>
    <t>Cost of Removal</t>
  </si>
  <si>
    <t>Book-tax difference for removal costs, which are applied to the depreciation/depreciation reserve for book purposes and are deductible for income tax purposes in the year paid and incurred.</t>
  </si>
  <si>
    <t>CWIP Reserve</t>
  </si>
  <si>
    <t xml:space="preserve">PacifiCorp will open a customer work order for construction of a capital project and capitalize various costs incurred on these utility-related projects (i.e., generation facilities, transmission and distribution facilities, mining operations and corporate operations) for book purposes. Projects with less than 5% activity within the prior 6-month period are deemed inactive.   Those inactive projects with capitalized costs are analyzed for potential recovery. For the amounts not expected to be recovered, a reserve is established, CWIP Reserve.  </t>
  </si>
  <si>
    <t>Debt AFUDC</t>
  </si>
  <si>
    <t>Book-tax basis difference related to the Allowance for Funds Used During Construction, which consists of a debt and equity component.  Equity is not capitalizable or deductible for income tax purposes, and the Internal Revenue Code requires a different formula related to the capitalization of interest on debt.</t>
  </si>
  <si>
    <t>Effects of Ratemaking - Fixed Assets Flowthrough</t>
  </si>
  <si>
    <t>Equity AFUDC</t>
  </si>
  <si>
    <t>Hydro Relicensing Obligation</t>
  </si>
  <si>
    <t>PacifiCorp accrues a liability for various stream enhancement obligations entered into for the new North Umpqua FERC license pursuant to Financial Accounting Standard 143.</t>
  </si>
  <si>
    <t>Tax Depreciation</t>
  </si>
  <si>
    <t>Book-tax difference for tax depreciation.</t>
  </si>
  <si>
    <t>Tax Fixed Asset Gain/Loss</t>
  </si>
  <si>
    <t>book-tax difference related to the disposition of capital assets.</t>
  </si>
  <si>
    <t>Fixed Assets - State Modifications</t>
  </si>
  <si>
    <t>Tax adjustment to account for the difference between federal and state depreciation methodologies; primarily resulting from states that have not adopted bonus depreciation.</t>
  </si>
  <si>
    <t>Mine Safety Sec. 179E Election</t>
  </si>
  <si>
    <t>Book-tax basis difference for qualified advanced mine safety equipment, 50% of which is deductible in the period paid and incurred for income tax purposes.</t>
  </si>
  <si>
    <t>Non-ARO Removal Costs</t>
  </si>
  <si>
    <t>R &amp; E - Sec.174 Deduction</t>
  </si>
  <si>
    <t>Book-tax difference for eligible costs under Internal Revenue Code Section 174 for internally developed software which are deductible in the period paid and incurred for income tax purposes.  These costs are capitalized for book purposes.</t>
  </si>
  <si>
    <t>RA- Solar ITC Basis Adj. - Fixed Assets</t>
  </si>
  <si>
    <t>PacifiCorp installed solar arrays. The projects are qualified for the 30% solar investment tax credit (ITC). The tax basis of the solar arrays needs to be reduced by one-half of the solar ITC, therefore creating basis differences between book basis and tax basis for the solar arrays.</t>
  </si>
  <si>
    <t>Reclass to §1031 &amp; 1033 Exchange Normalization Adj - General Fixed Assets</t>
  </si>
  <si>
    <t>Reclass to separately state the exclusion of ADIT from §1031 &amp; 1033 Exchanges pursuant to the income tax normalization rules.</t>
  </si>
  <si>
    <t>Reclass to §1031 &amp;1033 Exchange Normalization Adj - Transmission</t>
  </si>
  <si>
    <t>Reclass to Pollution Control Facilities Depreciation</t>
  </si>
  <si>
    <t>Reclassification of pollution controls facilities depreciation from FERC account 282 to FERC account 281.</t>
  </si>
  <si>
    <t>Reimbursements</t>
  </si>
  <si>
    <t>Book-tax basis difference related to relocation reimbursements, which depending on whether or not the benefit of the relocation is for the benefit of the general public may or may not be taxable and depreciable for income tax purposes.</t>
  </si>
  <si>
    <t>Repairs Deduction</t>
  </si>
  <si>
    <t>Book-tax basis difference for expenditures which are capitalized and depreciation for book purposes and for income tax  purposes are deductible in the period they are paid and incurred.</t>
  </si>
  <si>
    <t>RL - Contra-Carbon Decommissioning - ID</t>
  </si>
  <si>
    <t>This account was set up to record a contra regulatory liability for Idaho's share of Carbon Plant's decommissioning accrual that was directed to be a regulatory asset per the Idaho general rate order/stipulation (Docket PAC-E-13-04).</t>
  </si>
  <si>
    <t>RL - Contra-Carbon Decommissioning - UT</t>
  </si>
  <si>
    <t>This account was set up to record a contra regulatory liability for Utah's share of Carbon Plant's decommissioning accrual that was directed to be a regulatory asset per the Utah general rate order/stipulation (Docket 11-035-200).</t>
  </si>
  <si>
    <t>RL - Contra-Carbon Decommissioning - WY</t>
  </si>
  <si>
    <t>This account was set up to record a contra regulatory liability for Wyoming's share of Carbon Plant's decommissioning accrual that was directed to be a regulatory asset per the Wyoming general rate order/stipulation (Docket 20000-405-ER11).</t>
  </si>
  <si>
    <t>RL - Non-ARO Liability</t>
  </si>
  <si>
    <t>Safe Harbor Lease Rate Differential</t>
  </si>
  <si>
    <t>Book-tax basis difference related to safe harbor lease rate differential.  (Federal ONLY vs. Federal + State).</t>
  </si>
  <si>
    <t>Sec. 481a Adjustment - Repair Deduction</t>
  </si>
  <si>
    <t>Book-tax difference related to a one-time adjustment required by the Internal Revenue Code for a change in accounting method for income tax purposes.  In 2008, PacifiCorp changed its method of accounting for income tax purposes for certain expenditures which were previously being capitalized and depreciated.  Under the new method of accounting, the expenditures are deductible for income tax purposes in the period they are paid and incurred.</t>
  </si>
  <si>
    <t>Solar ITC Basis Adjustment</t>
  </si>
  <si>
    <t xml:space="preserve"> The projects are qualified for the 30% solar investment tax credit (ITC). The tax basis of the solar arrays needs to be reduced by one-half of the solar ITC, therefore creating basis differences between book basis and tax basis for the solar arrays.</t>
  </si>
  <si>
    <t>Tax Depletion-SRC</t>
  </si>
  <si>
    <t>UT Klamath Relicensing Costs</t>
  </si>
  <si>
    <t xml:space="preserve">Subtotal - p275  </t>
  </si>
  <si>
    <t>Instructions for Account 282:</t>
  </si>
  <si>
    <t>Schedule ADIT-283</t>
  </si>
  <si>
    <t>Account 283</t>
  </si>
  <si>
    <t>FERC 283 - Regulatory Assets</t>
  </si>
  <si>
    <t>Contra RA -  Deer Creek Abandonment</t>
  </si>
  <si>
    <t xml:space="preserve"> Regulatory asset used to record a contra regulatory asset for Deer Creek abandonment.</t>
  </si>
  <si>
    <t>Contra RA -  Deer Creek Abandonment - CA</t>
  </si>
  <si>
    <t xml:space="preserve"> Regulatory asset to record CA contra regulatory asset for Deer Creek abandonment.</t>
  </si>
  <si>
    <t>Contra RA -  Deer Creek Abandonment - ID</t>
  </si>
  <si>
    <t xml:space="preserve"> Regulatory asset to record ID contra regulatory asset for Deer Creek abandonment.</t>
  </si>
  <si>
    <t>Contra RA -  Deer Creek Abandonment - OR</t>
  </si>
  <si>
    <t xml:space="preserve"> Regulatory asset to record OR contra regulatory asset for Deer Creek abandonment.</t>
  </si>
  <si>
    <t>Contra RA -  Deer Creek Abandonment - UT</t>
  </si>
  <si>
    <t xml:space="preserve"> Regulatory asset to record UT contra regulatory asset for Deer Creek abandonment.</t>
  </si>
  <si>
    <t>Contra RA -  Deer Creek Abandonment - WA</t>
  </si>
  <si>
    <t xml:space="preserve"> Regulatory asset to record WA contra regulatory asset for Deer Creek abandonment.</t>
  </si>
  <si>
    <t>Contra RA -  Deer Creek Abandonment - WY</t>
  </si>
  <si>
    <t xml:space="preserve"> Regulatory asset to record WY contra regulatory asset for Deer Creek abandonment.</t>
  </si>
  <si>
    <t>Contra RA - UMWA Pension</t>
  </si>
  <si>
    <t xml:space="preserve">Contra regulatory asset for all the recovery (amortization) and other adjustments to the UMWA pension trust withdrawal obligation regulatory asset included in the Deer Creek Mine disposition. </t>
  </si>
  <si>
    <t>Contra RA - UMWA Pension - CA</t>
  </si>
  <si>
    <t xml:space="preserve">Contra regulatory asset for all the CA related recovery (amortization) and other adjustments to the UMWA pension trust withdrawal obligation regulatory asset included in the Deer Creek Mine disposition. </t>
  </si>
  <si>
    <t>Contra RA - UMWA Pension - WA</t>
  </si>
  <si>
    <t xml:space="preserve">Contra regulatory asset for all the WA related recovery (amortization) and other adjustments to the UMWA pension trust withdrawal obligation regulatory asset included in the Deer Creek Mine disposition. </t>
  </si>
  <si>
    <t>RA - Alt Rate for Energy Program (CARE) - CA</t>
  </si>
  <si>
    <t>Regulatory asset to record benefits and administrative costs related to the California Alternative Rate for Energy, or CARE, program.</t>
  </si>
  <si>
    <t>RA - ARO</t>
  </si>
  <si>
    <t>Regulatory asset used to record the depreciation/accretion associated with FAS 143 asset retirement obligations.</t>
  </si>
  <si>
    <t>RA - BPA Balancing Account - OR</t>
  </si>
  <si>
    <t xml:space="preserve"> Regulatory asset to record the pass-through benefit to Oregon customers from the BPA. Qualifying customers, such as those who meet specified reductions in energy use during peak hours, are rewarded with a credit to their bill. Moved from 2014 account 137332.</t>
  </si>
  <si>
    <t>RA - CA Mobile Home Park Conversion</t>
  </si>
  <si>
    <t xml:space="preserve">Balancing account to record the program costs for the conversion of master metered mobile home parks to direct utility service. </t>
  </si>
  <si>
    <t xml:space="preserve">RA - Carbon Plant Decomm/Inventory </t>
  </si>
  <si>
    <t>Regulatory asset established to record the deferral of Carbon Plant's write off and sales proceeds of inventory from decommissioning.</t>
  </si>
  <si>
    <t xml:space="preserve">RA - Carbon Plant Decomm/Inventory - CA </t>
  </si>
  <si>
    <t>Regulatory asset established to record CA's share of the deferral of Carbon Plant's write off and sales proceeds of inventory from decommissioning.</t>
  </si>
  <si>
    <t>RA - Carbon Plant Decomm/Inventory - WA</t>
  </si>
  <si>
    <t>Regulatory asset established to record WA's share of the deferral of Carbon Plant's write off and sales proceeds of inventory from decommissioning.</t>
  </si>
  <si>
    <t>RA - Carbon Unrecovered Plant - ID</t>
  </si>
  <si>
    <t>Regulatory asset established to record Idaho's share of the deferral of Carbon Plant's increased depreciation due to the implementation of new rates on January 1, 2014.</t>
  </si>
  <si>
    <t>RA - Carbon Unrecovered Plant - UT</t>
  </si>
  <si>
    <t>Regulatory asset established to record Utah's share of the deferral of Carbon Plant's increased depreciation due to the implementation of new rates on January 1, 2014.</t>
  </si>
  <si>
    <t>RA - Carbon Unrecovered Plant - WY</t>
  </si>
  <si>
    <t>Regulatory asset established to record Wyoming's share of the deferral of Carbon Plant's increased depreciation due to the implementation of new rates on January 1, 2014.</t>
  </si>
  <si>
    <t>RA - Contra Pension MMT &amp; CTG - CA</t>
  </si>
  <si>
    <t>RA - Contra Pension MMT &amp; CTG - OR</t>
  </si>
  <si>
    <t>RA - Contra RA - Pension Plan CTG</t>
  </si>
  <si>
    <t>RA - Deferred Excess NPC - CA - Noncurrent</t>
  </si>
  <si>
    <t>Regulatory asset established for reclass non-current portion of CA Deferred Excess NPC.</t>
  </si>
  <si>
    <t>RA - Deferred Excess NPC - ID - Noncurrent</t>
  </si>
  <si>
    <t>Regulatory asset established for noncurrent portion of recoverable net power costs in Idaho pursuant to an energy cost adjustment mechanism.</t>
  </si>
  <si>
    <t>RA - Deferred Excess NPC - UT - Noncurrent</t>
  </si>
  <si>
    <t xml:space="preserve">Regulatory asset established for noncurrent portion of recoverable net power costs in Utah pursuant to an energy cost adjustment clause.
</t>
  </si>
  <si>
    <t>RA - Deferred Excess NPC - WY '09 &amp; After - Noncurrent</t>
  </si>
  <si>
    <t>Regulatory asset established for noncurrent portion of recoverable net power costs in Wyoming pursuant to a power costs adjustment mechanism.</t>
  </si>
  <si>
    <t>RA - Deferred Independent Evaluator Fee - UT</t>
  </si>
  <si>
    <t>Regulatory asset established for the Utah allocated share of evaluator fees and costs related to a request for proposal for new generation.</t>
  </si>
  <si>
    <t>RA - Deferred Intervenor Funding Grants - CA</t>
  </si>
  <si>
    <t>Regulatory asset/liability established to record funding for qualifying intervenors that are collected from customers through California rates.</t>
  </si>
  <si>
    <t>RA - Deferred Intervenor Funding Grants - ID</t>
  </si>
  <si>
    <t>Regulatory asset/liability established to record funding for qualifying intervenors that are collected from customers through Idaho rates.</t>
  </si>
  <si>
    <t>RA - Deferred Intervenor Funding Grants - OR</t>
  </si>
  <si>
    <t>Regulatory asset/liability established to record funding for qualifying intervenors that are collected from customers through Oregon rates.</t>
  </si>
  <si>
    <t>RA - Deferred Overburden Costs - ID</t>
  </si>
  <si>
    <t>Regulatory asset established for the Idaho allocated portion of overburden costs pursuant to a regulatory order.</t>
  </si>
  <si>
    <t>RA - Deferred Overburden Costs - WY</t>
  </si>
  <si>
    <t>Regulatory asset established for the Wyoming allocated portion of overburden costs pursuant to a regulatory order.</t>
  </si>
  <si>
    <t>RA - Demand Side Management - Noncurrent</t>
  </si>
  <si>
    <t xml:space="preserve">Regulatory asset established to record costs incurred for demand side management which are amortized according to guidelines established by each state regulatory jurisdiction.                                                                                                                                                                                   
</t>
  </si>
  <si>
    <t>RA - Depreciation Increase - Idaho</t>
  </si>
  <si>
    <t>Regulatory asset  established to record Idaho's share of the deferral of increased depreciation due to the implementation of new rates on January 1, 2014.</t>
  </si>
  <si>
    <t>RA - Depreciation Increase - Utah</t>
  </si>
  <si>
    <t xml:space="preserve"> Regulatory asset  established to record Utah's share of the deferral of increased depreciation due to the implementation of new rates on January 1, 2014.</t>
  </si>
  <si>
    <t>RA - Depreciation Increase - Wyoming</t>
  </si>
  <si>
    <t>Regulatory asset  established to record Wyoming's share of the deferral of increased depreciation due to the implementation of new rates on January 1, 2014.</t>
  </si>
  <si>
    <t>RA - DSM Balance Reclass</t>
  </si>
  <si>
    <t>RA - Energy West Mining</t>
  </si>
  <si>
    <t>In December 2014, abandonment costs were recorded in connection with the anticipated closure of the Deer Creek mine in Emery County, UT. The Company filed a deferred accounting application with the applicable state commissions.</t>
  </si>
  <si>
    <t>RA - Environmental Costs</t>
  </si>
  <si>
    <t>Regulatory asset established to record costs incurred for environmental clean-up, which are amortized over a ten-year period for state regulatory purposes.</t>
  </si>
  <si>
    <t>RA - Environmental Costs - WA</t>
  </si>
  <si>
    <t>Regulatory liability established for the portion of environmental remediation costs for which the state of Washington does not allow deferred treatment.</t>
  </si>
  <si>
    <t>RA - FAS 158 Pension Liability</t>
  </si>
  <si>
    <t>Regulatory asset established to track the recoverable expenses associated with pension liability.</t>
  </si>
  <si>
    <t>RA - FAS 158 Post Retirement Liability</t>
  </si>
  <si>
    <t>Regulatory asset established to track the recoverable expenses associated with post-retirement benefits liability.</t>
  </si>
  <si>
    <t>RA - Goodnoe Hills Settlement - WY</t>
  </si>
  <si>
    <t>Regulatory asset for the Wyoming allocated portion of a settlement associated with damages sustained at the Goodnoe Hills generating plant.</t>
  </si>
  <si>
    <t>RA - Klamath Hydroelectric Relicensing Costs - UT</t>
  </si>
  <si>
    <t>The book-tax difference resulting from this regulatory asset.</t>
  </si>
  <si>
    <t>RA - Lake Side Settlement - WY</t>
  </si>
  <si>
    <t>Regulatory asset for the Wyoming allocated portion of a settlement associated with damages sustained at the Lake Side generating plant.</t>
  </si>
  <si>
    <t>RA - Liquidation Damages - N2 - WY</t>
  </si>
  <si>
    <t>Regulatory asset established to record Wyoming's share of liquidating damages on outages at Naughton 2 that are being returned to Wyoming customers on an accelerated basis through the 2013 Energy Cost Adjustment Mechanism (ECAM).</t>
  </si>
  <si>
    <t>RA - Noncurrent Reclass - Other</t>
  </si>
  <si>
    <t>SAP account used for financial statement presentation purposes to reclass the current and noncurrent portion of regulatory assets to liabilities when the balance of the regulatory assets result in a credit balance.</t>
  </si>
  <si>
    <t>RA - OR Asset Sale Gain GB - Noncurrent</t>
  </si>
  <si>
    <t xml:space="preserve"> Regulatory asset established to reclass noncurrent portion of OR asset sale gain giveback</t>
  </si>
  <si>
    <t>RA - Other - Balance Reclass</t>
  </si>
  <si>
    <t>RA - Post Employment Costs</t>
  </si>
  <si>
    <t>Regulatory asset established as an offset to the increase in post-employment obligations.</t>
  </si>
  <si>
    <t xml:space="preserve">RA - Post Merger Loss - Reacquired Debt </t>
  </si>
  <si>
    <t>Asset accrued for required debt, amortized for book purposes over the remaining life of the original issuance, or over the life of the new issuance if the original issuance was refinanced.</t>
  </si>
  <si>
    <t>RA - Post-Ret MMT - CA</t>
  </si>
  <si>
    <t>RA - Post-Ret MMT - OR</t>
  </si>
  <si>
    <t>RA - Powerdale Decommissioning - ID</t>
  </si>
  <si>
    <t>Regulatory asset established for the unrecovered portion of the Powerdale hydroelectric generating facility and decommissioning costs allocable to Idaho. The Powerdale hydroelectric facility was severely damaged by flooding and the related debris flow and is being removed rather than being repaired.</t>
  </si>
  <si>
    <t>RA - Preferred Stock Redemption - WY</t>
  </si>
  <si>
    <t>Reg Asset - WY - Preferred Stock Redemption Cost was set up in August 2014 to record Utah's portion of redemption cost.</t>
  </si>
  <si>
    <t>RA - Preferred Stock Redemption Loss - UT</t>
  </si>
  <si>
    <t>Reg Asset - UT - Preferred Stock Redemption Cost was set up in August 2014 to record Utah's portion of redemption cost.</t>
  </si>
  <si>
    <t>RA - Preferred Stock Redemption Loss - WA</t>
  </si>
  <si>
    <t>Reg Asset established to record Washington's portion of stock redemption costs.</t>
  </si>
  <si>
    <t>RA - REC Sales Deferral - OR - Noncurrent</t>
  </si>
  <si>
    <t>RA - REC Sales Deferral - UT - Noncurrent</t>
  </si>
  <si>
    <t>RA - REC Sales Deferral - WA - Noncurrent</t>
  </si>
  <si>
    <t>Regulatory asset established to capture the noncurrent portion of the difference between renewable energy credits (RECs) included in rates and actual RECs for the Washington jurisdiction.</t>
  </si>
  <si>
    <t>RA - REC Sales Deferral - WY - Noncurrent</t>
  </si>
  <si>
    <t>Regulatory asset established for the noncurrent portion of Wyoming renewable energy credits included in rates that differ from actual renewable energy credits.</t>
  </si>
  <si>
    <t>RA - Solar Feed-In Tariff Deferral - OR - Noncurrent</t>
  </si>
  <si>
    <t>Regulatory asset established for the noncurrent portion of costs incurred with an Oregon photovoltaic feed-in tariff program (Oregon House Bill 3039).</t>
  </si>
  <si>
    <t>RA - Storm Damage Deferral - CA</t>
  </si>
  <si>
    <t>RA - UT Liquidation Damages</t>
  </si>
  <si>
    <t>Regulatory asset established for Utah portion of liquidated damages payments for outages at Jim Bridger Unit4, Naughton Unit 1 and Unit 2.</t>
  </si>
  <si>
    <t>RA - UT Subscriber Solar Program</t>
  </si>
  <si>
    <t>Regulatory asset established for the UT Subscriber Solar Program.</t>
  </si>
  <si>
    <t>RA - WA Colstrip #3</t>
  </si>
  <si>
    <t>Regulatory asset established for the Washington disallowed portion of AFUDC on the Colstrip #3 generating plant.</t>
  </si>
  <si>
    <t>RA - WA Merwin Project</t>
  </si>
  <si>
    <t>RA - Post Retirement Settlement Loss</t>
  </si>
  <si>
    <t>Regulatory asset established to record a FAS 106 regulatory asset for the settlement loss on retiree medical obligations.</t>
  </si>
  <si>
    <t>RA - Post Retirement Settlement Loss CC - UT</t>
  </si>
  <si>
    <t>RA - Post Retirement Settlement Loss - CC -WY</t>
  </si>
  <si>
    <t>RL - Property Insurance Reserve - OR</t>
  </si>
  <si>
    <t>RA - FAS133 Unrealized Gain/Loss</t>
  </si>
  <si>
    <t>Regulatory assets established to record the effects of the accounting pursuant to FASB Statement No. 133, which requires that certain financial instruments be valued at FMV for book purposes.</t>
  </si>
  <si>
    <t>RA - Frozen MTM</t>
  </si>
  <si>
    <t>Reclass of regulatory asset from derivative regulatory asset to an other regulatory asset for frozen derivative.</t>
  </si>
  <si>
    <t>FERC 283 - Other</t>
  </si>
  <si>
    <t>Coal Pile Inventory Adjustment</t>
  </si>
  <si>
    <t>Hermiston Swap</t>
  </si>
  <si>
    <t>Asset accrued for a deferred expense related to a termination fee incurred by PacifiCorp when it acquired a 50% interest in the Hermiston generating plant.  For book purposes, the cost is being amortized over the remaining life of the plant.</t>
  </si>
  <si>
    <t>Joseph Settlement</t>
  </si>
  <si>
    <t>Asset accrued for a deferred expense related to costs incurred for the termination of a power purchase agreement. For book purposes, the costs are being amortized over the remaining life of the original contract.</t>
  </si>
  <si>
    <t>Prepaid Membership Fees</t>
  </si>
  <si>
    <t>Asset accrued for prepaid membership fees, amortized for book purposes over a period of 12 months or less.</t>
  </si>
  <si>
    <t>Prepaid Taxes - ID PUC</t>
  </si>
  <si>
    <t>Asset accrued for prepaid Idaho commission fee, amortized for book purposes over a period of 12 months or less.</t>
  </si>
  <si>
    <t>Prepaid Taxes - OR PUC</t>
  </si>
  <si>
    <t>Asset accrued for prepaid Oregon commission fee, amortized for book purposes over a period of 12 months or less.</t>
  </si>
  <si>
    <t xml:space="preserve">Prepaid Taxes - Property Taxes </t>
  </si>
  <si>
    <t>Book-tax difference associated with the timing of deductibility of property taxes.</t>
  </si>
  <si>
    <t>Prepaid Taxes - UT PUC</t>
  </si>
  <si>
    <t>Asset accrued for prepaid Utah commission fee, amortized for book purposes over a period of 12 months or less.</t>
  </si>
  <si>
    <t>Prepaid Water Rights</t>
  </si>
  <si>
    <t xml:space="preserve"> Regulatory asset accrued for prepaid water rights and water fees. Moved from 2014 account 137511.</t>
  </si>
  <si>
    <t xml:space="preserve"> The projects are qualified for the 30% solar investment tax credit (ITC). The tax basis of the solar arrays needs to be reduced by one-half of the solar ITC, therefore creating basis differences between book basis and tax basis for the solar arrays.  This is the revenue requirement gross-up for that difference.</t>
  </si>
  <si>
    <t>TGS Buyout</t>
  </si>
  <si>
    <t>Trapper Mining Stock Basis</t>
  </si>
  <si>
    <t xml:space="preserve">Equity earnings for Trapper Mine.  The equity method of accounting does not apply for income tax purposes.                                                                                                                                                                                                                                                                                           </t>
  </si>
  <si>
    <t>Noncurrent Asset - Frozen MTM</t>
  </si>
  <si>
    <t>Regulatory liability established to record the reclass of a derivative regulatory asset to an other regulatory asset for frozen derivative.</t>
  </si>
  <si>
    <t>OR BETC - Purchased Credits - Non-Cash</t>
  </si>
  <si>
    <t xml:space="preserve">Book-tax difference related to the Gain on purchased Business Energy Tax Credits.                                                                                                                                                                                                                                                                                                                                                                                                                                                         </t>
  </si>
  <si>
    <t xml:space="preserve">Subtotal - p277  </t>
  </si>
  <si>
    <t>Instructions for Account 283:</t>
  </si>
  <si>
    <t>End of Current Year for Projection and Average of Beginning and End of Current Year for True-up</t>
  </si>
  <si>
    <t>Total End of Year Transmission ADIT</t>
  </si>
  <si>
    <t>Beginning of Year Total  (Attachment 1)</t>
  </si>
  <si>
    <t>Appendix A, line 33 input</t>
  </si>
  <si>
    <t>Accrued Retention Bonus</t>
  </si>
  <si>
    <t xml:space="preserve">The amounts recorded in this account represent retention bonuses accrued for various employees. </t>
  </si>
  <si>
    <t>100.121</t>
  </si>
  <si>
    <t>RL Income Tax Property Flowthru</t>
  </si>
  <si>
    <t>RL Income Tax Property Flowthru - PMI</t>
  </si>
  <si>
    <t>RL Excess Deferred Income Taxes - CA</t>
  </si>
  <si>
    <t>A regulatory liability established with respect to the excess deferred income taxes associated with the non-property accumulated deferred income taxes allocable to California resulting from the change in the income tax rate.</t>
  </si>
  <si>
    <t>RL Excess Deferred Income Taxes - ID</t>
  </si>
  <si>
    <t>A regulatory liability established with respect to the excess deferred income taxes associated with the non-property accumulated deferred income taxes allocable to Idaho resulting from the change in the income tax rate.</t>
  </si>
  <si>
    <t xml:space="preserve"> RL Excess Deferred Income Taxes - OR</t>
  </si>
  <si>
    <t>RL Excess Deferred Income Taxes - UT</t>
  </si>
  <si>
    <t>RL Excess Deferred Income Taxes - WA</t>
  </si>
  <si>
    <t>A regulatory liability established with respect to the excess deferred income taxes associated with the non-property accumulated deferred income taxes allocable to Washington resulting from the change in the income tax rate.</t>
  </si>
  <si>
    <t>RL Excess Deferred Income Taxes - WY</t>
  </si>
  <si>
    <t>A regulatory liability established with respect to the excess deferred income taxes associated with the non-property accumulated deferred income taxes allocable to Wyoming resulting from the change in the income tax rate.</t>
  </si>
  <si>
    <t>RL Excess Deferred Income Taxes - FERC</t>
  </si>
  <si>
    <t>RL FAS 158 Post-Retirement</t>
  </si>
  <si>
    <t xml:space="preserve">A regulatory liability used to track future revenue associated with recoverable post-retirement welfare expenses. </t>
  </si>
  <si>
    <t xml:space="preserve">RL WA Decoupling Mechanism </t>
  </si>
  <si>
    <t>A regulatory liability with respect to the Washington decoupling mechanism.</t>
  </si>
  <si>
    <t>Valuation Allowance for State Credit DTA</t>
  </si>
  <si>
    <t>Valuation allowance against state income tax credits that may not be realized before they expire.</t>
  </si>
  <si>
    <t>Bad Debt</t>
  </si>
  <si>
    <t>Effects of Ratemaking - Fixed Assets Fed only - PMI</t>
  </si>
  <si>
    <t>PP&amp;E FIN 48 Balances</t>
  </si>
  <si>
    <t>RL - Effects of Ratemaking - Fixed Assets - PMI Fed Only</t>
  </si>
  <si>
    <t xml:space="preserve">RL - Effects of Ratemaking - Fixed Assets </t>
  </si>
  <si>
    <t>RA - Solar Incentive Program - UT - Noncurrent</t>
  </si>
  <si>
    <t>Regulatory asset established for the UT Solar incentive program costs.</t>
  </si>
  <si>
    <t>RA - UT 2017 Protocol - MSP Deferral</t>
  </si>
  <si>
    <t xml:space="preserve">Regulatory asset established to record the Utah multi-state protocol deferral assumed in 2017 and 2018. </t>
  </si>
  <si>
    <t>RA - Utah STEP Pilot Program Balance Account</t>
  </si>
  <si>
    <t xml:space="preserve">To record a regulatory asset balancing account for the costs and collections of the Utah  Sustainable Transportation and Energy Plan (STEP) Pilot Programs. 
</t>
  </si>
  <si>
    <t>RA - WY 2017 Protocol - MSP Deferral</t>
  </si>
  <si>
    <t xml:space="preserve">Regulatory asset established to record the Wyoming multi-state protocol deferral assumed in 2017 and 2018. </t>
  </si>
  <si>
    <t>FAS 158 Post-Retirement Asset</t>
  </si>
  <si>
    <t xml:space="preserve">The total overfunded Other Post-Employment Benefit Obligations (OPEB) asset, excluding Medicare subsidy, required under FAS 158.  </t>
  </si>
  <si>
    <t>Prepaid Aircraft Maintenance</t>
  </si>
  <si>
    <t>Regulatory asset established for prepaid aircraft maintenance costs.</t>
  </si>
  <si>
    <t>Prepaid Taxes - Property Tax FIN 48</t>
  </si>
  <si>
    <t>Def Comp Mark to Market Gain/Loss - Income Statement</t>
  </si>
  <si>
    <t xml:space="preserve">Deferred compensation plan investments are being treated as "trading securities" where they are invested based upon the plan participants' personal investment elections. Starting in July 2010, the investments are reflected at fair market value and any unrealized gains or losses are reflected in earnings.  </t>
  </si>
  <si>
    <t>Attachment 2 - Taxes Other Than Income Worksheet</t>
  </si>
  <si>
    <t>Other Taxes</t>
  </si>
  <si>
    <t>Page 263, 
Col (i)</t>
  </si>
  <si>
    <t>Allocator</t>
  </si>
  <si>
    <t>Allocated Amount</t>
  </si>
  <si>
    <t>Real Property</t>
  </si>
  <si>
    <t>Possessory taxes</t>
  </si>
  <si>
    <t>Total Plant Related</t>
  </si>
  <si>
    <t>Federal FICA</t>
  </si>
  <si>
    <t>Federal Unemployment</t>
  </si>
  <si>
    <t>State Unemployment</t>
  </si>
  <si>
    <t>Total Labor Related</t>
  </si>
  <si>
    <t>Other Included</t>
  </si>
  <si>
    <t>Annual Report</t>
  </si>
  <si>
    <t xml:space="preserve">  </t>
  </si>
  <si>
    <t>Total Other Included</t>
  </si>
  <si>
    <t>&lt;--Appendix A input</t>
  </si>
  <si>
    <t>Currently Excluded</t>
  </si>
  <si>
    <t>Subtotal Excluded Taxes</t>
  </si>
  <si>
    <t>Total Other Taxes</t>
  </si>
  <si>
    <t>114.14c</t>
  </si>
  <si>
    <t>&lt;--should indicate only rounding error</t>
  </si>
  <si>
    <t>Criteria for Allocation:</t>
  </si>
  <si>
    <t xml:space="preserve">Other taxes that are incurred through ownership of plant, including transmission plant, will be allocated based on the Net Plant </t>
  </si>
  <si>
    <t>Allocator.  If the taxes are 100% recovered at retail, they shall not be included.</t>
  </si>
  <si>
    <t>Other taxes that are incurred through ownership of only general or intangible plant will be allocated based on the Wages and Salary</t>
  </si>
  <si>
    <t>Other taxes that are assessed based on labor will be allocated based on the Wages and Salary Allocator.</t>
  </si>
  <si>
    <t xml:space="preserve">Other taxes, except as provided for in A, B and C above, which are incurred and (1) are not fully recovered at retail or (2) are </t>
  </si>
  <si>
    <t xml:space="preserve">directly or indirectly related to transmission service, will be allocated based on the Net Plant Allocator; provided, however, that </t>
  </si>
  <si>
    <t xml:space="preserve">overheads shall be treated, as described in footnote B above. </t>
  </si>
  <si>
    <t>Excludes prior period adjustments in the first year of the formula's operation and reconciliation for the first year.</t>
  </si>
  <si>
    <t xml:space="preserve">Attachment 2 (Other Taxes) Supporting Details </t>
  </si>
  <si>
    <t>Page</t>
  </si>
  <si>
    <t>Column</t>
  </si>
  <si>
    <t>Form 1 data</t>
  </si>
  <si>
    <t>Real Property (Arizona)</t>
  </si>
  <si>
    <t>i</t>
  </si>
  <si>
    <t>Real Property (California)</t>
  </si>
  <si>
    <t>Real Property (Colorado)</t>
  </si>
  <si>
    <t>Real Property (Idaho)</t>
  </si>
  <si>
    <t>Real Property (Montana)</t>
  </si>
  <si>
    <t>Real Property (New Mexico)</t>
  </si>
  <si>
    <t>Real Property (Oregon)</t>
  </si>
  <si>
    <t>Real Property (Utah)</t>
  </si>
  <si>
    <t>Real Property (Washington)</t>
  </si>
  <si>
    <t>Real Property (Wyoming)</t>
  </si>
  <si>
    <t>Possessory - Goshute</t>
  </si>
  <si>
    <t>Possessory - Sho-Ban</t>
  </si>
  <si>
    <t>Possessory - Navajo</t>
  </si>
  <si>
    <t>Possessory - Ute</t>
  </si>
  <si>
    <t>Possessory - Crow</t>
  </si>
  <si>
    <t>Possessory - Umatilla</t>
  </si>
  <si>
    <t>Annual Report - Wyoming</t>
  </si>
  <si>
    <t>Items not related to wholesale transactions</t>
  </si>
  <si>
    <t>Local Franchise</t>
  </si>
  <si>
    <t>see detail</t>
  </si>
  <si>
    <t>…</t>
  </si>
  <si>
    <t>City fees based on retail revenue to the end customers served</t>
  </si>
  <si>
    <t>Local Franchise (California)</t>
  </si>
  <si>
    <t>City fees based on retail revenue to the end customers served CA</t>
  </si>
  <si>
    <t>Local Franchise (Oregon)</t>
  </si>
  <si>
    <t>City fees based on retail revenue to the end customers served OR</t>
  </si>
  <si>
    <t>Local Franchise (Wyoming)</t>
  </si>
  <si>
    <t>City fees based on retail revenue to the end customers served WY</t>
  </si>
  <si>
    <t>Montana Energy License</t>
  </si>
  <si>
    <t>Montana taxes based on generation from the Colstrip and Big Fork plants</t>
  </si>
  <si>
    <t>Montana Wholesale Energy</t>
  </si>
  <si>
    <t>Idaho Generation Tax (KWh)</t>
  </si>
  <si>
    <t>Idaho tax based on generation</t>
  </si>
  <si>
    <t>Oregon Department of Energy</t>
  </si>
  <si>
    <t>Oregon tax assessed by the state Department of Energy, based primarily on retail sales to our customers in the state</t>
  </si>
  <si>
    <t>Wyoming Wind Generation Tax</t>
  </si>
  <si>
    <t>WY tax based on mwh of production from WY wind turbines</t>
  </si>
  <si>
    <t>Washington Public Utility Tax</t>
  </si>
  <si>
    <t>Washington tax based on retail revenue to end customers</t>
  </si>
  <si>
    <t>Miscellaneous taxes, audit settlements, and other charges unrelated to wholesale transactions</t>
  </si>
  <si>
    <t>WA Bus &amp; Occup</t>
  </si>
  <si>
    <t>Nevada Commerce Tax</t>
  </si>
  <si>
    <t>Attachment 3 - Revenue Credit Worksheet</t>
  </si>
  <si>
    <t>Value</t>
  </si>
  <si>
    <t>Account 454 - Rent from Electric Property</t>
  </si>
  <si>
    <t xml:space="preserve">Rent from Electric Property - Transmission Related </t>
  </si>
  <si>
    <t>Pole Attachments - Transmission Related</t>
  </si>
  <si>
    <t>Distribution Underbuild - Transmission Related</t>
  </si>
  <si>
    <t>detail below</t>
  </si>
  <si>
    <t>Various Rents - Transmission Related</t>
  </si>
  <si>
    <t>Miscellaneous General Revenues</t>
  </si>
  <si>
    <t>Account 454 subtotal</t>
  </si>
  <si>
    <t>&lt;-- 'Summary of Rates' input</t>
  </si>
  <si>
    <t>Account 456 - Other Electric Revenues (Note 1)</t>
  </si>
  <si>
    <t>Transmission for Others</t>
  </si>
  <si>
    <t>Attachment 13</t>
  </si>
  <si>
    <t>Net revenues associated with Network Integration Transmission Service (NITS) for which the load is not included in the divisor</t>
  </si>
  <si>
    <t>Short-term firm and non-firm service revenues for which the load is not included in the divisor received by Transmission Owner</t>
  </si>
  <si>
    <t>Facilities Charges including Interconnection Agreements</t>
  </si>
  <si>
    <t>&lt;--linked to 'Inputs' adjustments</t>
  </si>
  <si>
    <t xml:space="preserve">Transmission maintenance revenue </t>
  </si>
  <si>
    <t>Account 456.2</t>
  </si>
  <si>
    <t>Account 456 subtotal</t>
  </si>
  <si>
    <r>
      <rPr>
        <sz val="10"/>
        <rFont val="Arial"/>
        <family val="2"/>
      </rPr>
      <t xml:space="preserve">Appendix A input: </t>
    </r>
    <r>
      <rPr>
        <b/>
        <sz val="10"/>
        <rFont val="Arial"/>
        <family val="2"/>
      </rPr>
      <t>Gross Revenue Credits</t>
    </r>
  </si>
  <si>
    <t>&lt;--'Appendix A' input</t>
  </si>
  <si>
    <t>Detail for selected items above</t>
  </si>
  <si>
    <t>Rents - General</t>
  </si>
  <si>
    <t>One Utah Center and North Temple office subleases</t>
  </si>
  <si>
    <t>Parking Rent: Lloyd Center, Portland, Oregon</t>
  </si>
  <si>
    <t>Rents - Common Affiliate - Kern River</t>
  </si>
  <si>
    <t>Rents - Non-Common</t>
  </si>
  <si>
    <t>Total Miscellaneous General Revenue</t>
  </si>
  <si>
    <t>Total Allocated Miscellaneous General Revenue</t>
  </si>
  <si>
    <t>Distribution Underbuild</t>
  </si>
  <si>
    <t>Third party attachments</t>
  </si>
  <si>
    <t>Common pole location fixed annual revenue credit</t>
  </si>
  <si>
    <t xml:space="preserve">fixed </t>
  </si>
  <si>
    <t>&lt;--fixed</t>
  </si>
  <si>
    <t>Distribution Underbuild - Transmission related</t>
  </si>
  <si>
    <t>Note 1</t>
  </si>
  <si>
    <t>Note 2</t>
  </si>
  <si>
    <t>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</si>
  <si>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t>Note 3</t>
  </si>
  <si>
    <t>If the facilities associated with the revenues are not included in the formula, the revenue is shown here, but not included in the total above and explained in the Cost Support, (e.g., revenues associated with distribution facilities).</t>
  </si>
  <si>
    <t>Attachment 4 - Calculation of 100 Basis Point Increase in ROE</t>
  </si>
  <si>
    <t>Return and Taxes with 100 Basis Point increase in ROE</t>
  </si>
  <si>
    <t>100 Basis Point increase in ROE and Income Taxes</t>
  </si>
  <si>
    <t>Return Calculation</t>
  </si>
  <si>
    <r>
      <t xml:space="preserve">Reference </t>
    </r>
    <r>
      <rPr>
        <sz val="12"/>
        <rFont val="Arial"/>
        <family val="2"/>
      </rPr>
      <t>(Appendix A Line or Source)</t>
    </r>
  </si>
  <si>
    <t>Composite Income Taxes</t>
  </si>
  <si>
    <t>p = percent of federal income tax deductible for state purposes</t>
  </si>
  <si>
    <t>CIT = T / (1-T)</t>
  </si>
  <si>
    <t>1 / (1-T)</t>
  </si>
  <si>
    <t>Amortized Investment Tax Credit</t>
  </si>
  <si>
    <t>CIT = (T/1-T) * Investment Return * (1-(WCLTD/R)) =</t>
  </si>
  <si>
    <t>Attachment 5 - Cost Support</t>
  </si>
  <si>
    <t>Plant in Service Worksheet</t>
  </si>
  <si>
    <t>Attachment A Line #s, Descriptions, Notes, Form 1 Page #s and Instructions</t>
  </si>
  <si>
    <t>Detail/notes</t>
  </si>
  <si>
    <t>Calculation of Transmission  Plant In Service</t>
  </si>
  <si>
    <t>Source</t>
  </si>
  <si>
    <t>Footnotes</t>
  </si>
  <si>
    <t>Year</t>
  </si>
  <si>
    <t>Balance</t>
  </si>
  <si>
    <t>December</t>
  </si>
  <si>
    <t>206.58b</t>
  </si>
  <si>
    <t>January</t>
  </si>
  <si>
    <t>Monthly Balances</t>
  </si>
  <si>
    <t>February</t>
  </si>
  <si>
    <t>March</t>
  </si>
  <si>
    <t>April</t>
  </si>
  <si>
    <t>May</t>
  </si>
  <si>
    <t xml:space="preserve">June </t>
  </si>
  <si>
    <t>July</t>
  </si>
  <si>
    <t>August</t>
  </si>
  <si>
    <t>September</t>
  </si>
  <si>
    <t xml:space="preserve">October </t>
  </si>
  <si>
    <t>November</t>
  </si>
  <si>
    <t>207.58g</t>
  </si>
  <si>
    <t>Appendix A input</t>
  </si>
  <si>
    <t>Calculation of Distribution Plant In Service</t>
  </si>
  <si>
    <t>206.75b</t>
  </si>
  <si>
    <t>October</t>
  </si>
  <si>
    <t>206.75g</t>
  </si>
  <si>
    <t>Distribution Plant In Service</t>
  </si>
  <si>
    <t>Calculation of Intangible Plant In Service</t>
  </si>
  <si>
    <t>204.5b</t>
  </si>
  <si>
    <t>204.5g</t>
  </si>
  <si>
    <t>Intangible Plant In Service</t>
  </si>
  <si>
    <t>Calculation of General Plant In Service</t>
  </si>
  <si>
    <t>206.99b</t>
  </si>
  <si>
    <t>207.99g</t>
  </si>
  <si>
    <t>General Plant In Service</t>
  </si>
  <si>
    <t>Calculation of Production Plant In Service</t>
  </si>
  <si>
    <t>204.46b</t>
  </si>
  <si>
    <t>204.46g</t>
  </si>
  <si>
    <t>Production Plant In Service</t>
  </si>
  <si>
    <t>Electric Plant Sold</t>
  </si>
  <si>
    <t>207.102g</t>
  </si>
  <si>
    <t>Total Plant In Service</t>
  </si>
  <si>
    <t>Accumulated Depreciation Worksheet</t>
  </si>
  <si>
    <t>Calculation of Transmission Accumulated Depreciation</t>
  </si>
  <si>
    <t>Prior year 219.25c</t>
  </si>
  <si>
    <t>219.25c</t>
  </si>
  <si>
    <t>Calculation of Distribution Accumulated Depreciation</t>
  </si>
  <si>
    <t>Prior year 219.26c</t>
  </si>
  <si>
    <t>219.26c</t>
  </si>
  <si>
    <t>Distribution Accumulated Depreciation</t>
  </si>
  <si>
    <t>Calculation of Intangible Accumulated Depreciation</t>
  </si>
  <si>
    <t>Prior year 200.21c</t>
  </si>
  <si>
    <t>200.21c</t>
  </si>
  <si>
    <t>Accumulated Intangible Depreciation</t>
  </si>
  <si>
    <t>Calculation of General Accumulated Depreciation</t>
  </si>
  <si>
    <t>Prior year 219.28c</t>
  </si>
  <si>
    <t>219.28c</t>
  </si>
  <si>
    <t>Calculation of Production Accumulated Depreciation</t>
  </si>
  <si>
    <t>Prior year 219.20 through 219.24</t>
  </si>
  <si>
    <t>219.20 through 219.24</t>
  </si>
  <si>
    <t>Production Accumulated Depreciation</t>
  </si>
  <si>
    <t>Materials &amp; Supplies</t>
  </si>
  <si>
    <t>Appendix A Line #s, Descriptions, Notes, Form No. 1 Page #s and Instructions</t>
  </si>
  <si>
    <t>Form No. 1 Amount</t>
  </si>
  <si>
    <t>Prior Year</t>
  </si>
  <si>
    <t>227.16c</t>
  </si>
  <si>
    <t>formula</t>
  </si>
  <si>
    <t>Current Year</t>
  </si>
  <si>
    <t>227.5c</t>
  </si>
  <si>
    <t>227.8c</t>
  </si>
  <si>
    <t>Transmission related portion</t>
  </si>
  <si>
    <t xml:space="preserve">Appendix A input  </t>
  </si>
  <si>
    <t>Details</t>
  </si>
  <si>
    <t>Utility Investment Tax Credit Adj. - Net (411.4)</t>
  </si>
  <si>
    <t>114.19c</t>
  </si>
  <si>
    <t>Rate Base Adjustment</t>
  </si>
  <si>
    <t>Internal Revenue Code (IRC) 46(f)(1) adjustment to rate base</t>
  </si>
  <si>
    <t>Current beg of year balance</t>
  </si>
  <si>
    <t>266 footnotes</t>
  </si>
  <si>
    <t>Current end of year balance</t>
  </si>
  <si>
    <t>Average</t>
  </si>
  <si>
    <t>(enter negative in Appendix A)</t>
  </si>
  <si>
    <t>Transmission / Non-transmission Cost Support</t>
  </si>
  <si>
    <t>Non-transmission Related</t>
  </si>
  <si>
    <t>214.47d</t>
  </si>
  <si>
    <t>Detail for transmission-related value on Attachment 12</t>
  </si>
  <si>
    <t>Adjustments to A &amp; G Expense</t>
  </si>
  <si>
    <t>Adjusted Total</t>
  </si>
  <si>
    <t>Excluded Membership Dues Expense</t>
  </si>
  <si>
    <t>Included</t>
  </si>
  <si>
    <t>Excluded</t>
  </si>
  <si>
    <t>Page 335, Line 1 (Industry Association Dues)</t>
  </si>
  <si>
    <t>Centre for Energy Advancement through Technological Innovation (CEATI)</t>
  </si>
  <si>
    <t>component of 335 Ln 1b</t>
  </si>
  <si>
    <t xml:space="preserve">Edison Electric Institute (EEI) </t>
  </si>
  <si>
    <t>National Automated Clearing House</t>
  </si>
  <si>
    <t>National Electric Energy Testing Research and Application Center (NEETRAC)</t>
  </si>
  <si>
    <t>National Joint Utilities Notification System</t>
  </si>
  <si>
    <t>North American Transmission Forum, Inc.</t>
  </si>
  <si>
    <t>Northwest Hydroelectric Association</t>
  </si>
  <si>
    <t>Page 335, Line 1 Subtotal</t>
  </si>
  <si>
    <t>Other (Individually less than $5,000)</t>
  </si>
  <si>
    <t>Rating Agency and Trustee Fees</t>
  </si>
  <si>
    <t>General: Other</t>
  </si>
  <si>
    <t>Appendix A Input</t>
  </si>
  <si>
    <t>PBOP</t>
  </si>
  <si>
    <t>Annual Update Informational Filing</t>
  </si>
  <si>
    <t>Actual PBOP expense</t>
  </si>
  <si>
    <t>Authorized Filled Expense minus Actual Expense</t>
  </si>
  <si>
    <t>Property Insurance</t>
  </si>
  <si>
    <t>Regulatory Expense Related to Transmission Cost Support</t>
  </si>
  <si>
    <r>
      <t xml:space="preserve">Transmission Related 
</t>
    </r>
    <r>
      <rPr>
        <b/>
        <sz val="12"/>
        <color theme="0"/>
        <rFont val="Arial"/>
        <family val="2"/>
      </rPr>
      <t>Appendix A input</t>
    </r>
  </si>
  <si>
    <t>Specific Transmission related Regulatory Expenses</t>
  </si>
  <si>
    <t>Federal Energy Regulatory Commission:</t>
  </si>
  <si>
    <t>Annual Fee</t>
  </si>
  <si>
    <t>350.37d</t>
  </si>
  <si>
    <t xml:space="preserve">Annual Fee - hydro </t>
  </si>
  <si>
    <t>350.38d</t>
  </si>
  <si>
    <t>Transmission Rate Case</t>
  </si>
  <si>
    <t>350.39d</t>
  </si>
  <si>
    <t>Other Regulatory</t>
  </si>
  <si>
    <t>350.40d</t>
  </si>
  <si>
    <t>sum</t>
  </si>
  <si>
    <t>Safety Related Advertising Cost Support</t>
  </si>
  <si>
    <r>
      <t xml:space="preserve">Safety Related </t>
    </r>
    <r>
      <rPr>
        <b/>
        <sz val="12"/>
        <color theme="0"/>
        <rFont val="Arial"/>
        <family val="2"/>
      </rPr>
      <t>Appendix A Input</t>
    </r>
  </si>
  <si>
    <t>Non-safety Related</t>
  </si>
  <si>
    <t>Based on FERC 930.1 download</t>
  </si>
  <si>
    <t>Education and Out Reach Cost Support</t>
  </si>
  <si>
    <r>
      <t xml:space="preserve">Education &amp; Outreach </t>
    </r>
    <r>
      <rPr>
        <b/>
        <sz val="12"/>
        <color theme="0"/>
        <rFont val="Arial"/>
        <family val="2"/>
      </rPr>
      <t>Appendix A Input</t>
    </r>
  </si>
  <si>
    <t>Other</t>
  </si>
  <si>
    <t>Multistate worksheet</t>
  </si>
  <si>
    <t>Enter Average State Income Tax Rate</t>
  </si>
  <si>
    <t>Adjustments to Transmission O&amp;M</t>
  </si>
  <si>
    <t>Plus adjustments</t>
  </si>
  <si>
    <t>321.112b</t>
  </si>
  <si>
    <t>Adjustment for Ancillary Services Accounts 561-561.5</t>
  </si>
  <si>
    <t>(561) Load Dispatching</t>
  </si>
  <si>
    <t>321.84b</t>
  </si>
  <si>
    <t>321.96b</t>
  </si>
  <si>
    <t>Appendix A Line #s, Descriptions, Notes, Form 1 Page #s and Instructions</t>
  </si>
  <si>
    <t xml:space="preserve">Description &amp; Documentation </t>
  </si>
  <si>
    <t>Other adjustments to rate base</t>
  </si>
  <si>
    <t>Enter negative</t>
  </si>
  <si>
    <t>Transmission Plant</t>
  </si>
  <si>
    <t>Depreciation expense (403)</t>
  </si>
  <si>
    <t>336.7b</t>
  </si>
  <si>
    <t>Amortization of limited term electric plant (404)</t>
  </si>
  <si>
    <t>336.7d</t>
  </si>
  <si>
    <t>336.10b</t>
  </si>
  <si>
    <t>336.10d</t>
  </si>
  <si>
    <t>Intangible plant</t>
  </si>
  <si>
    <t>336.1d</t>
  </si>
  <si>
    <t>Amortization of other electric plant (405)</t>
  </si>
  <si>
    <t>336.1e</t>
  </si>
  <si>
    <t>Total Intangible Amortization</t>
  </si>
  <si>
    <t>Less Regulatory Asset Amortizations Account 930.2</t>
  </si>
  <si>
    <t>for a discussion of the items previously included in this section.</t>
  </si>
  <si>
    <t>Attachment 6 - Estimate and Reconciliation Worksheet</t>
  </si>
  <si>
    <t>Instruction Summary</t>
  </si>
  <si>
    <t>Step</t>
  </si>
  <si>
    <t>Month</t>
  </si>
  <si>
    <t>Action</t>
  </si>
  <si>
    <t>Year 2</t>
  </si>
  <si>
    <t>TO populates the formula with Year 1 data from FERC Form No. 1 data for Year 1 (e.g., 2010)</t>
  </si>
  <si>
    <t>TO estimates all transmission Cap Adds and CWIP for Year 2 weighted based on Months expected to be in service in Year 2 (e.g., 2011)</t>
  </si>
  <si>
    <t>TO adds weighted Cap Adds to plant in service in Formula</t>
  </si>
  <si>
    <t>Post results of Step 3</t>
  </si>
  <si>
    <t>June</t>
  </si>
  <si>
    <t>Results of Step 3 go into effect for the Rate Year 1 (e.g., June 1, 2011 - May 31, 2012)</t>
  </si>
  <si>
    <t>Year 3</t>
  </si>
  <si>
    <t>TO populates the formula with Year 2 data from FERC Form No. 1 for Year 2 (e.g., 2011)</t>
  </si>
  <si>
    <t>Reconciliation - actual data</t>
  </si>
  <si>
    <t>TO estimates Cap Adds and CWIP during Year 3 weighted based on Months expected to be in service in Year 3 (e.g., 2012)</t>
  </si>
  <si>
    <t xml:space="preserve">Worksheet </t>
  </si>
  <si>
    <t>Rev Req based on Year 1 data</t>
  </si>
  <si>
    <t>TO estimates all transmission Cap Adds and CWIP for Year 2 weighted based on Months expected to be in service in Year 2 (e.g., 2011) in projection and populates for actuals as inputs to Attachment 7 (but not Appendix A) for true up.</t>
  </si>
  <si>
    <t>CWIP</t>
  </si>
  <si>
    <t>(G)</t>
  </si>
  <si>
    <t>(H)</t>
  </si>
  <si>
    <t>(I)</t>
  </si>
  <si>
    <t>(J)</t>
  </si>
  <si>
    <t>(K)</t>
  </si>
  <si>
    <t>(L)</t>
  </si>
  <si>
    <t>(M)</t>
  </si>
  <si>
    <t>(N)</t>
  </si>
  <si>
    <t>(O)</t>
  </si>
  <si>
    <t>(P)</t>
  </si>
  <si>
    <t>(Q)</t>
  </si>
  <si>
    <t>(R)</t>
  </si>
  <si>
    <t>(S)</t>
  </si>
  <si>
    <t>Monthly Additions</t>
  </si>
  <si>
    <t>Input/Total</t>
  </si>
  <si>
    <t>Other Transmission PIS</t>
  </si>
  <si>
    <t>Energy Gateway</t>
  </si>
  <si>
    <t>Transmission CWIP</t>
  </si>
  <si>
    <t>Weighting</t>
  </si>
  <si>
    <t>Amount (A x L)</t>
  </si>
  <si>
    <t>Amount (J x L)</t>
  </si>
  <si>
    <t>(M / 13)</t>
  </si>
  <si>
    <t>(N / 13)</t>
  </si>
  <si>
    <t>Amount (K x L)</t>
  </si>
  <si>
    <t>(O / 13)</t>
  </si>
  <si>
    <t>(Excl Energy Gateway)</t>
  </si>
  <si>
    <t>Segment B</t>
  </si>
  <si>
    <t>Segment C</t>
  </si>
  <si>
    <t>Segment D</t>
  </si>
  <si>
    <t>Segment E</t>
  </si>
  <si>
    <t>Segment F</t>
  </si>
  <si>
    <t>Segment G</t>
  </si>
  <si>
    <t>Segment H</t>
  </si>
  <si>
    <t>Total (Segments B-H)</t>
  </si>
  <si>
    <t>(Gateway only)</t>
  </si>
  <si>
    <t>CWIP Balance Dec (prior year)</t>
  </si>
  <si>
    <t>Jan</t>
  </si>
  <si>
    <t>Feb</t>
  </si>
  <si>
    <t>Mar</t>
  </si>
  <si>
    <t>Apr</t>
  </si>
  <si>
    <t>Jun</t>
  </si>
  <si>
    <t>Jul</t>
  </si>
  <si>
    <t>Aug</t>
  </si>
  <si>
    <t>Sep</t>
  </si>
  <si>
    <t>Oct</t>
  </si>
  <si>
    <t>Nov</t>
  </si>
  <si>
    <t>Dec</t>
  </si>
  <si>
    <t>New Transmission Plant Additions  and CWIP (weighted by months in service)</t>
  </si>
  <si>
    <t>Estimated Life</t>
  </si>
  <si>
    <t>Estimated Depreciation for Attachment 7</t>
  </si>
  <si>
    <t>Rev Req based on Prior Year data</t>
  </si>
  <si>
    <t>Total  Estimated Depreciation for Attachment 7</t>
  </si>
  <si>
    <t>Result of Formula for Reconciliation</t>
  </si>
  <si>
    <t xml:space="preserve">Schedule 1 Reconciliation </t>
  </si>
  <si>
    <t>Attachment 7 - Transmission Enhancement Charge Worksheet</t>
  </si>
  <si>
    <t>New Plant Carrying Charge</t>
  </si>
  <si>
    <t>Fixed Charge Rate (FCR) if not Contributions in Aid of Construction (CIAC)</t>
  </si>
  <si>
    <t>Formula Line</t>
  </si>
  <si>
    <t xml:space="preserve">Line B less Line A </t>
  </si>
  <si>
    <t>FCR if CIAC</t>
  </si>
  <si>
    <t>The FCR resulting from Formula in a given year is used for that year only.</t>
  </si>
  <si>
    <t>Therefore actual revenues collected in a year do not change based on cost data for subsequent years</t>
  </si>
  <si>
    <t>In the True-up, the actual depreciation expense will be used.</t>
  </si>
  <si>
    <t>Columns and rows may be added to accommodate more projects</t>
  </si>
  <si>
    <r>
      <t xml:space="preserve">Transmission CWIP 
</t>
    </r>
    <r>
      <rPr>
        <sz val="10"/>
        <rFont val="Arial Narrow"/>
        <family val="2"/>
      </rPr>
      <t>(Energy Gateway only)</t>
    </r>
  </si>
  <si>
    <r>
      <t xml:space="preserve">Transmission PIS Actuals 
</t>
    </r>
    <r>
      <rPr>
        <sz val="10"/>
        <rFont val="Arial Narrow"/>
        <family val="2"/>
      </rPr>
      <t xml:space="preserve">(Energy Gateway Segment B-H) </t>
    </r>
  </si>
  <si>
    <r>
      <t xml:space="preserve">Transmission PIS Projection
 </t>
    </r>
    <r>
      <rPr>
        <sz val="10"/>
        <rFont val="Arial Narrow"/>
        <family val="2"/>
      </rPr>
      <t>(Energy Gateway Segment B-H)</t>
    </r>
    <r>
      <rPr>
        <b/>
        <sz val="10"/>
        <rFont val="Arial Narrow"/>
        <family val="2"/>
      </rPr>
      <t xml:space="preserve"> </t>
    </r>
  </si>
  <si>
    <t>Useful life of the project</t>
  </si>
  <si>
    <t>Life</t>
  </si>
  <si>
    <t>"Yes" if the customer has paid a lumpsum payment in the amount of the investment on line 29, Otherwise "No"</t>
  </si>
  <si>
    <t>CIAC</t>
  </si>
  <si>
    <t>(Yes or No)</t>
  </si>
  <si>
    <t>No</t>
  </si>
  <si>
    <t>Input the allowed increase in ROE</t>
  </si>
  <si>
    <t>Increased ROE (basis points)</t>
  </si>
  <si>
    <t xml:space="preserve">Docket no. EL08-75-000, Order No. 125 (2008), FERC Stats. &amp; Regs. ¶61,076. </t>
  </si>
  <si>
    <t>From line 3 above if "No" on line 13 and from line 7 above if "Yes" on line 13</t>
  </si>
  <si>
    <t>Line 14 plus (line 5 times line 13)/100</t>
  </si>
  <si>
    <t>FCR for This Project</t>
  </si>
  <si>
    <t>13 Month Net Plant or CWIP Balance</t>
  </si>
  <si>
    <t>Investment</t>
  </si>
  <si>
    <t>Actual or estimated depreciation expense</t>
  </si>
  <si>
    <t>Annual Depreciation Expense</t>
  </si>
  <si>
    <t>Invest Yr</t>
  </si>
  <si>
    <t>Depreciation</t>
  </si>
  <si>
    <t>Revenue</t>
  </si>
  <si>
    <t>Incentive Charged</t>
  </si>
  <si>
    <t>Without Incentive</t>
  </si>
  <si>
    <r>
      <rPr>
        <b/>
        <sz val="10"/>
        <rFont val="Arial Narrow"/>
        <family val="2"/>
      </rPr>
      <t xml:space="preserve">Transmission Incentive Credit
</t>
    </r>
    <r>
      <rPr>
        <sz val="10"/>
        <rFont val="Arial Narrow"/>
        <family val="2"/>
      </rPr>
      <t>(incentive minus without)</t>
    </r>
  </si>
  <si>
    <t>W Increased ROE</t>
  </si>
  <si>
    <t>….</t>
  </si>
  <si>
    <t>…..</t>
  </si>
  <si>
    <t>Attachment 8 - Depreciation Rates</t>
  </si>
  <si>
    <t>Oregon</t>
  </si>
  <si>
    <t>Washington</t>
  </si>
  <si>
    <t>California</t>
  </si>
  <si>
    <t>Utah</t>
  </si>
  <si>
    <t>Wyoming</t>
  </si>
  <si>
    <t>AZ, CO, MT, NM</t>
  </si>
  <si>
    <t>Idaho</t>
  </si>
  <si>
    <t>Row</t>
  </si>
  <si>
    <t>A/C</t>
  </si>
  <si>
    <t> Rate</t>
  </si>
  <si>
    <t>Rate</t>
  </si>
  <si>
    <t>(a)</t>
  </si>
  <si>
    <t>(b)</t>
  </si>
  <si>
    <t>( c )</t>
  </si>
  <si>
    <t>( d)</t>
  </si>
  <si>
    <t>(e)</t>
  </si>
  <si>
    <t>(f)</t>
  </si>
  <si>
    <t>( g )</t>
  </si>
  <si>
    <t>( h)</t>
  </si>
  <si>
    <t>(i)</t>
  </si>
  <si>
    <t>(j)</t>
  </si>
  <si>
    <t>(k)</t>
  </si>
  <si>
    <t>(l)</t>
  </si>
  <si>
    <t>(m)</t>
  </si>
  <si>
    <t>(n)</t>
  </si>
  <si>
    <t>(o)</t>
  </si>
  <si>
    <t>Land Rights</t>
  </si>
  <si>
    <t>Structures and Improvements</t>
  </si>
  <si>
    <t>Station Equipment</t>
  </si>
  <si>
    <t>Supervisory Equipment</t>
  </si>
  <si>
    <t>Towers and Fixtures</t>
  </si>
  <si>
    <t>Poles and Fixtures</t>
  </si>
  <si>
    <t>Overhead Conductors and Devices</t>
  </si>
  <si>
    <t>Clearing &amp; Grading</t>
  </si>
  <si>
    <t>Underground Conduit</t>
  </si>
  <si>
    <t>Underground Conductors and Devices</t>
  </si>
  <si>
    <t>Roads &amp; Trails</t>
  </si>
  <si>
    <t>Unclassified Transmission</t>
  </si>
  <si>
    <t>Structures and Improvements - Office Panels</t>
  </si>
  <si>
    <t>Office Furniture and Equipment</t>
  </si>
  <si>
    <t>Office Furniture and Equipment - Personal Computers</t>
  </si>
  <si>
    <t>Store Equipment</t>
  </si>
  <si>
    <t>Tools, Shop and Garage Equipment</t>
  </si>
  <si>
    <t>Laboratory Equipment</t>
  </si>
  <si>
    <t>Communication Equipment</t>
  </si>
  <si>
    <t>Communication Equipment - Mobile Radio Equipment</t>
  </si>
  <si>
    <t>Miscellaneous Equipment</t>
  </si>
  <si>
    <t>Unclassified General</t>
  </si>
  <si>
    <t>Franchises and Consents</t>
  </si>
  <si>
    <t>Miscellaneous Intangible Plant</t>
  </si>
  <si>
    <t>Leasehold Improvements - Gen</t>
  </si>
  <si>
    <t xml:space="preserve">Depreciation Rates shown in rows 1 through 24 were approved by each of the Company's respective state jurisdictions during the last depreciation study. </t>
  </si>
  <si>
    <t>The columns labeled "Balance" are the amount of investment physically located in each state.</t>
  </si>
  <si>
    <t>The plant balance is updated each month as new plant is added.</t>
  </si>
  <si>
    <t>The balances to be reported in the columns labeled "Balances" in any update are the weighted 13-month average balances for the rate year.</t>
  </si>
  <si>
    <t>"Company Rate" shows the depreciation rate approved by all of the jurisdictions on a total company basis.</t>
  </si>
  <si>
    <t xml:space="preserve">Unclassified Transmission represents the transmission additions placed in service but not yet classified to a FERC level account. Monthly depreciation is calculated by multiplying the month's beginning unclassified balance by the monthly transmission composite depreciation rate. </t>
  </si>
  <si>
    <t xml:space="preserve">Unclassified General represents the general plant additions placed in service but not yet classified to a FERC level account. Monthly depreciation is calculated by multiplying the month's beginning unclassified balance by the monthly state general plant composite depreciation rate. </t>
  </si>
  <si>
    <t>Transfers into the General amortized accounts (rows 15 through 20, 22, and 23) are depreciated over the remaining life based on the account life.</t>
  </si>
  <si>
    <t>Depreciation expense for General plant is decreased by the amount that is billed to joint owners for computer hardware.</t>
  </si>
  <si>
    <t>Intangible and Leasehold Improvements (rows 25 through 27) are composite rates based on the 13 month average balance divided into the 2016 amortization expense for each account.</t>
  </si>
  <si>
    <t>Amortization expense for Intangible is decreased by the amount that is billed to joint owners for computer software.</t>
  </si>
  <si>
    <t>If the depreciation rates shown differ from the depreciation rates used to calculate the depreciation expense reported in FN1, then PacifiCorp is required to file under Section 205 for a modification of this Attachment or the calculation of depreciation expense and accumulated depreciation under this formula</t>
  </si>
  <si>
    <t>Some intangible assets in FERC accounts 302 and 303 have been excluded from balances in the calculation of composite Company depreciation rates: Hydro License Settlement Obligations, Gas Plant Intangibles, and Mining Intangibles.</t>
  </si>
  <si>
    <t>Attachment 9a - Load Divisor for Projection</t>
  </si>
  <si>
    <t>OATT (Part III - Network Service) - Average of current year and prior two years</t>
  </si>
  <si>
    <t>Other Service</t>
  </si>
  <si>
    <t>e</t>
  </si>
  <si>
    <t>f1</t>
  </si>
  <si>
    <t>f2</t>
  </si>
  <si>
    <t>f3</t>
  </si>
  <si>
    <t>f4</t>
  </si>
  <si>
    <t>f5</t>
  </si>
  <si>
    <t>f6</t>
  </si>
  <si>
    <t>f7</t>
  </si>
  <si>
    <t>f8</t>
  </si>
  <si>
    <t>f9</t>
  </si>
  <si>
    <t>f10</t>
  </si>
  <si>
    <t>f11</t>
  </si>
  <si>
    <t>f12</t>
  </si>
  <si>
    <t>f13</t>
  </si>
  <si>
    <t>f14</t>
  </si>
  <si>
    <t>f15</t>
  </si>
  <si>
    <t>f16</t>
  </si>
  <si>
    <t>f17</t>
  </si>
  <si>
    <t>f</t>
  </si>
  <si>
    <t>j1</t>
  </si>
  <si>
    <t>j2</t>
  </si>
  <si>
    <t>j3</t>
  </si>
  <si>
    <t>j4</t>
  </si>
  <si>
    <t>j</t>
  </si>
  <si>
    <t>Customer</t>
  </si>
  <si>
    <t>UAMPS</t>
  </si>
  <si>
    <t>UMPA</t>
  </si>
  <si>
    <t>Deseret</t>
  </si>
  <si>
    <t>Western Area Power Administration</t>
  </si>
  <si>
    <t>Class</t>
  </si>
  <si>
    <t>NFS</t>
  </si>
  <si>
    <t>NFO</t>
  </si>
  <si>
    <t>Total NFO</t>
  </si>
  <si>
    <t>OS</t>
  </si>
  <si>
    <t>Total OS</t>
  </si>
  <si>
    <t>RS / SA</t>
  </si>
  <si>
    <t>RS 297</t>
  </si>
  <si>
    <t>RS 637</t>
  </si>
  <si>
    <t>RS 280</t>
  </si>
  <si>
    <t>RS 262/263</t>
  </si>
  <si>
    <t xml:space="preserve">Jul </t>
  </si>
  <si>
    <t>Sept</t>
  </si>
  <si>
    <t>Avg 12CP</t>
  </si>
  <si>
    <t>OATT (Part II Long-Term Firm Point-to-Point Transmission Service) - Projection</t>
  </si>
  <si>
    <t>g1</t>
  </si>
  <si>
    <t>g2</t>
  </si>
  <si>
    <t>g3</t>
  </si>
  <si>
    <t>g4</t>
  </si>
  <si>
    <t>g5</t>
  </si>
  <si>
    <t>g6</t>
  </si>
  <si>
    <t>g7</t>
  </si>
  <si>
    <t>g8</t>
  </si>
  <si>
    <t>g9</t>
  </si>
  <si>
    <t>g10</t>
  </si>
  <si>
    <t>g11</t>
  </si>
  <si>
    <t>g12</t>
  </si>
  <si>
    <t>g13</t>
  </si>
  <si>
    <t>g14</t>
  </si>
  <si>
    <t>g15</t>
  </si>
  <si>
    <t>g16</t>
  </si>
  <si>
    <t>g17</t>
  </si>
  <si>
    <t>g18</t>
  </si>
  <si>
    <t>g19</t>
  </si>
  <si>
    <t>g20</t>
  </si>
  <si>
    <t>g21</t>
  </si>
  <si>
    <t>g22</t>
  </si>
  <si>
    <t>g</t>
  </si>
  <si>
    <t>LTP</t>
  </si>
  <si>
    <t>Total LTP</t>
  </si>
  <si>
    <t>Total Network</t>
  </si>
  <si>
    <t xml:space="preserve">Behind-the </t>
  </si>
  <si>
    <t xml:space="preserve">Total Network </t>
  </si>
  <si>
    <t>Network + OS + LTP</t>
  </si>
  <si>
    <t>Various</t>
  </si>
  <si>
    <t>&amp; OS</t>
  </si>
  <si>
    <t>growth</t>
  </si>
  <si>
    <t>Meter</t>
  </si>
  <si>
    <t>Load</t>
  </si>
  <si>
    <r>
      <t xml:space="preserve">Attachment 9a1 - Load </t>
    </r>
    <r>
      <rPr>
        <sz val="12"/>
        <color theme="1"/>
        <rFont val="Arial"/>
        <family val="2"/>
      </rPr>
      <t>(Current Year)</t>
    </r>
  </si>
  <si>
    <t>OATT (Part III - Network Service)</t>
  </si>
  <si>
    <t>Day</t>
  </si>
  <si>
    <t>Time</t>
  </si>
  <si>
    <r>
      <t xml:space="preserve">Attachment 9a2 - Load </t>
    </r>
    <r>
      <rPr>
        <sz val="12"/>
        <color theme="1"/>
        <rFont val="Arial"/>
        <family val="2"/>
      </rPr>
      <t>(One Year Prior)</t>
    </r>
  </si>
  <si>
    <r>
      <t xml:space="preserve">Attachment 9a3 - Load </t>
    </r>
    <r>
      <rPr>
        <sz val="12"/>
        <color theme="1"/>
        <rFont val="Arial"/>
        <family val="2"/>
      </rPr>
      <t>(Two Years Prior)</t>
    </r>
  </si>
  <si>
    <t>Attachment 9b - Load Divisor for True up</t>
  </si>
  <si>
    <t>j5</t>
  </si>
  <si>
    <t>-</t>
  </si>
  <si>
    <t>OATT Part II Long-Term Firm Point-to-Point Transmission Service</t>
  </si>
  <si>
    <t>Attachment 10 - Accumulated Amortization of Plant in Service</t>
  </si>
  <si>
    <t>Plant in Service - Accumulated Amortization Detail</t>
  </si>
  <si>
    <t>FERC Account</t>
  </si>
  <si>
    <t>Account Number</t>
  </si>
  <si>
    <t>A/Amort-Soft Dev</t>
  </si>
  <si>
    <t>A/Amort-Oth Intang</t>
  </si>
  <si>
    <t>A/Amort-Hydr-Klamath</t>
  </si>
  <si>
    <t>A/Amort-Oth Lic/Hydr</t>
  </si>
  <si>
    <t>A/Amort-LsHld Imprmt</t>
  </si>
  <si>
    <r>
      <rPr>
        <sz val="10"/>
        <rFont val="Arial"/>
        <family val="2"/>
      </rPr>
      <t xml:space="preserve">Attachment 5 input: </t>
    </r>
    <r>
      <rPr>
        <b/>
        <sz val="10"/>
        <rFont val="Arial"/>
        <family val="2"/>
      </rPr>
      <t>Total Accumulated Amortization</t>
    </r>
  </si>
  <si>
    <t>Attachment 11 - Prepayments</t>
  </si>
  <si>
    <t>Account Description</t>
  </si>
  <si>
    <t>Category</t>
  </si>
  <si>
    <t>BoY-EoY Average</t>
  </si>
  <si>
    <t>100% Transmission</t>
  </si>
  <si>
    <t>Plant-related</t>
  </si>
  <si>
    <t>Labor-related</t>
  </si>
  <si>
    <t>Total Prepayments</t>
  </si>
  <si>
    <t>Total Allocated to Transmission by Category</t>
  </si>
  <si>
    <r>
      <rPr>
        <sz val="10"/>
        <color theme="1"/>
        <rFont val="Arial"/>
        <family val="2"/>
      </rPr>
      <t xml:space="preserve">Appendix A input: </t>
    </r>
    <r>
      <rPr>
        <b/>
        <sz val="10"/>
        <color theme="1"/>
        <rFont val="Arial"/>
        <family val="2"/>
      </rPr>
      <t>Total Allocated to Transmission</t>
    </r>
  </si>
  <si>
    <t>Attachment 12 - Plant Held for Future Use</t>
  </si>
  <si>
    <t>Prior year</t>
  </si>
  <si>
    <t>Current year</t>
  </si>
  <si>
    <t>&lt;-- Item is included in FF1 214.20d, Miscellaneous, each under $250,000</t>
  </si>
  <si>
    <r>
      <rPr>
        <sz val="10"/>
        <rFont val="Arial"/>
        <family val="2"/>
      </rPr>
      <t xml:space="preserve">Attachment 5 input: </t>
    </r>
    <r>
      <rPr>
        <b/>
        <sz val="10"/>
        <rFont val="Arial"/>
        <family val="2"/>
      </rPr>
      <t>Total - Transmission</t>
    </r>
  </si>
  <si>
    <t>Total - PacifiCorp</t>
  </si>
  <si>
    <t>Attachment 13 - Revenue Credit Detail</t>
  </si>
  <si>
    <t>Revenue Credit Detail</t>
  </si>
  <si>
    <t>Other Service (OS) contracts</t>
  </si>
  <si>
    <t>MW</t>
  </si>
  <si>
    <r>
      <t xml:space="preserve">As Filed 
</t>
    </r>
    <r>
      <rPr>
        <sz val="11"/>
        <color theme="1"/>
        <rFont val="As Filed "/>
      </rPr>
      <t>1=Revenue credit 
0=Denominator Treatment</t>
    </r>
  </si>
  <si>
    <t>n/a</t>
  </si>
  <si>
    <t>&lt;-- Contractual value of zero (included in PacifiCorp ESM amount)</t>
  </si>
  <si>
    <t>&lt;-- MW value from Att 9b</t>
  </si>
  <si>
    <t>&lt;-- unreserved use</t>
  </si>
  <si>
    <r>
      <rPr>
        <sz val="11"/>
        <rFont val="Arial"/>
        <family val="2"/>
      </rPr>
      <t xml:space="preserve">Att 3 input: </t>
    </r>
    <r>
      <rPr>
        <b/>
        <sz val="11"/>
        <rFont val="Arial"/>
        <family val="2"/>
      </rPr>
      <t>Total OS contract revenue credits</t>
    </r>
  </si>
  <si>
    <t>&lt;-- Attachment 3 input</t>
  </si>
  <si>
    <t>Short-term revenue</t>
  </si>
  <si>
    <t>Short-term firm</t>
  </si>
  <si>
    <t>PacifiCorp Commercial and Trading (C&amp;T)</t>
  </si>
  <si>
    <t>Third parties</t>
  </si>
  <si>
    <t>Total short-term firm</t>
  </si>
  <si>
    <t>Short-term non-firm</t>
  </si>
  <si>
    <t>Total short-term non-firm</t>
  </si>
  <si>
    <t>Short term firm and non-firm</t>
  </si>
  <si>
    <r>
      <rPr>
        <sz val="11"/>
        <color theme="1"/>
        <rFont val="Arial"/>
        <family val="2"/>
      </rPr>
      <t xml:space="preserve">Att. 3 input: </t>
    </r>
    <r>
      <rPr>
        <b/>
        <sz val="11"/>
        <color theme="1"/>
        <rFont val="Arial"/>
        <family val="2"/>
      </rPr>
      <t>Total short term-firm and non-firm revenue</t>
    </r>
  </si>
  <si>
    <t>Attachment 14 - Cost of Capital Detail</t>
  </si>
  <si>
    <r>
      <rPr>
        <b/>
        <sz val="10"/>
        <rFont val="Arial"/>
        <family val="2"/>
      </rPr>
      <t>Prior Year</t>
    </r>
    <r>
      <rPr>
        <sz val="10"/>
        <rFont val="Arial"/>
        <family val="2"/>
      </rPr>
      <t xml:space="preserve"> (month end)</t>
    </r>
  </si>
  <si>
    <r>
      <rPr>
        <b/>
        <sz val="10"/>
        <rFont val="Arial"/>
        <family val="2"/>
      </rPr>
      <t xml:space="preserve">Current Year </t>
    </r>
    <r>
      <rPr>
        <sz val="10"/>
        <rFont val="Arial"/>
        <family val="2"/>
      </rPr>
      <t>(month end)</t>
    </r>
  </si>
  <si>
    <t>Appendix A Line</t>
  </si>
  <si>
    <r>
      <t xml:space="preserve">Operation 
</t>
    </r>
    <r>
      <rPr>
        <sz val="10"/>
        <rFont val="Arial"/>
        <family val="2"/>
      </rPr>
      <t>to apply to monthly input columns at right</t>
    </r>
  </si>
  <si>
    <r>
      <t xml:space="preserve">Appendix A input value 
</t>
    </r>
    <r>
      <rPr>
        <sz val="10"/>
        <rFont val="Arial"/>
        <family val="2"/>
      </rPr>
      <t>(result of operation specified in column to left on monthly data)</t>
    </r>
  </si>
  <si>
    <r>
      <t xml:space="preserve">Description </t>
    </r>
    <r>
      <rPr>
        <sz val="10"/>
        <rFont val="Arial"/>
        <family val="2"/>
      </rPr>
      <t>(Account)</t>
    </r>
  </si>
  <si>
    <t>13-month average</t>
  </si>
  <si>
    <t>Bonds (221)</t>
  </si>
  <si>
    <t>Form 1, pg 112, ln 18 c,d</t>
  </si>
  <si>
    <t>Reacquired Bonds (222)</t>
  </si>
  <si>
    <t>Form 1, pg 112, ln 19 c,d</t>
  </si>
  <si>
    <t>Advances from Associated Companies (223)</t>
  </si>
  <si>
    <t>Form 1, pg 256, various ln, col a,b</t>
  </si>
  <si>
    <t>Other Long-Term Debt (224)</t>
  </si>
  <si>
    <t>Form 1, pg 112, ln 21 c,d</t>
  </si>
  <si>
    <t>Unamortized Discount (226)</t>
  </si>
  <si>
    <t>Form 1, pg 112, ln 23 c,d</t>
  </si>
  <si>
    <t>Unamortized Debt Expense (181)</t>
  </si>
  <si>
    <t>Form 1, pg 111, ln 69 c,d</t>
  </si>
  <si>
    <t>Unamortized Loss On Reacquired Debt (189)</t>
  </si>
  <si>
    <t>Form 1, pg 111, ln 81 c,d</t>
  </si>
  <si>
    <t>Unamortized Premium (225)</t>
  </si>
  <si>
    <t>Form 1, pg 112, ln 22 c,d</t>
  </si>
  <si>
    <t>Unamortized Gain On Reacquired Debt (257)</t>
  </si>
  <si>
    <t>Form 1, pg 113, ln 61 c,d</t>
  </si>
  <si>
    <t>12-month sum</t>
  </si>
  <si>
    <r>
      <t xml:space="preserve">Interest on Long Term (427) and Associated Companies (430) 
</t>
    </r>
    <r>
      <rPr>
        <b/>
        <sz val="10"/>
        <color rgb="FFFF0000"/>
        <rFont val="Arial"/>
        <family val="2"/>
      </rPr>
      <t>LONG TERM ONLY</t>
    </r>
  </si>
  <si>
    <t>Form 1, pg 257, ln 33 i</t>
  </si>
  <si>
    <t>Hedging Expense (as noted in Appendix A, Note R)</t>
  </si>
  <si>
    <t>Company records</t>
  </si>
  <si>
    <t>Amort Debt Discount and Expense (428)</t>
  </si>
  <si>
    <t>Form 1, pg 117, ln 63 c (portion)</t>
  </si>
  <si>
    <t>Amort Loss on Reacquired Debt (428.1)</t>
  </si>
  <si>
    <t>Form 1, pg 117, ln 64 c (portion)</t>
  </si>
  <si>
    <t>Amort Premium (429)</t>
  </si>
  <si>
    <t>Form 1, pg 117, ln 65 c (portion)</t>
  </si>
  <si>
    <t>Amort Gain on Reacquired Debt (429.1)</t>
  </si>
  <si>
    <t>Form 1, pg 117, ln 66 c (portion)</t>
  </si>
  <si>
    <t>Preferred Stock Issued (204)</t>
  </si>
  <si>
    <t>Form 1, pg 112, ln 3 c, d</t>
  </si>
  <si>
    <r>
      <t xml:space="preserve">Reacquired Capital Stock (217) </t>
    </r>
    <r>
      <rPr>
        <b/>
        <sz val="10"/>
        <color rgb="FFFF0000"/>
        <rFont val="Arial"/>
        <family val="2"/>
      </rPr>
      <t>PREFERRED ONLY</t>
    </r>
  </si>
  <si>
    <t>Form 1, pg 112, ln 13 c, d (portion)</t>
  </si>
  <si>
    <t>Premium on Preferred Stock (207)</t>
  </si>
  <si>
    <t>Form 1, pg 112, ln 6 c, d (portion)</t>
  </si>
  <si>
    <r>
      <t xml:space="preserve">Other Paid-In Capital (207-208) </t>
    </r>
    <r>
      <rPr>
        <b/>
        <sz val="10"/>
        <color rgb="FFFF0000"/>
        <rFont val="Arial"/>
        <family val="2"/>
      </rPr>
      <t>PREFERRED ONLY</t>
    </r>
  </si>
  <si>
    <t>Form 1, pg 112, ln 7 c, d (portion)</t>
  </si>
  <si>
    <r>
      <t xml:space="preserve">Discount on Capital Stock (213) </t>
    </r>
    <r>
      <rPr>
        <b/>
        <sz val="10"/>
        <color rgb="FFFF0000"/>
        <rFont val="Arial"/>
        <family val="2"/>
      </rPr>
      <t>PREFERRED ONLY</t>
    </r>
  </si>
  <si>
    <t>Form 1, pg 112, ln 9 c, d (portion)</t>
  </si>
  <si>
    <r>
      <t xml:space="preserve">Capital Stock Expense (214) </t>
    </r>
    <r>
      <rPr>
        <b/>
        <sz val="10"/>
        <color rgb="FFFF0000"/>
        <rFont val="Arial"/>
        <family val="2"/>
      </rPr>
      <t>PREFERRED ONLY</t>
    </r>
  </si>
  <si>
    <t>Form 1, pg 112, ln 10 c, d (portion)</t>
  </si>
  <si>
    <t>12-month sum 
(enter positive)</t>
  </si>
  <si>
    <t>Form 1, pg 118, ln 29 c</t>
  </si>
  <si>
    <t>Total Proprietary Capital</t>
  </si>
  <si>
    <t>Form 1, pg 112, ln 16 c,d</t>
  </si>
  <si>
    <t>Unappropriated Undistributed Subsidiary Earnings (216.1)</t>
  </si>
  <si>
    <t>Form 1, pg 112, ln 12 c, d</t>
  </si>
  <si>
    <t>13-month average 
(enter negative)</t>
  </si>
  <si>
    <t>Accumulated Other Comprehensive Income (219)</t>
  </si>
  <si>
    <t>Form 1, pg 112, ln 15 c, d</t>
  </si>
  <si>
    <t>Common Stock Issued (201)</t>
  </si>
  <si>
    <t>Other Paid-In Capital (211)</t>
  </si>
  <si>
    <t>Interest Locks</t>
  </si>
  <si>
    <t>Unamortized balance for gains and losses on hedges.</t>
  </si>
  <si>
    <t>(Note R)</t>
  </si>
  <si>
    <t>Annual amortization for gains and losses on hedges.</t>
  </si>
  <si>
    <t>Attachment 15 - GSU and Associated Equipment</t>
  </si>
  <si>
    <t>Asset Class 353.40 - GSU (generator step-up) and Associated Equipment &amp; 
Asset Class 345 - Accessory Electrical Equipment</t>
  </si>
  <si>
    <t>353.4 Class Assets</t>
  </si>
  <si>
    <t>Acquisition value</t>
  </si>
  <si>
    <t>Total 353.4 Class Assets</t>
  </si>
  <si>
    <t xml:space="preserve">Wind Generation Facilities </t>
  </si>
  <si>
    <t>&lt;-- This item includes all Interconnection Customer Interconnection Facilities (ICIFs) and EIM assets that should be excluded from the rate base.</t>
  </si>
  <si>
    <t>34.5 kV Facilities</t>
  </si>
  <si>
    <r>
      <rPr>
        <sz val="10"/>
        <rFont val="Arial"/>
        <family val="2"/>
      </rPr>
      <t xml:space="preserve">Appendix A input: </t>
    </r>
    <r>
      <rPr>
        <b/>
        <sz val="10"/>
        <rFont val="Arial"/>
        <family val="2"/>
      </rPr>
      <t>Total Assets to Exclude</t>
    </r>
  </si>
  <si>
    <t>&lt;-- Appendix A input.</t>
  </si>
  <si>
    <t>Attachment 16 - Unfunded Reserves</t>
  </si>
  <si>
    <t>Accounts with Unfunded Reserve Balances contributed by customers</t>
  </si>
  <si>
    <t>(Dollar values in millions)</t>
  </si>
  <si>
    <t>Accrued Liability:</t>
  </si>
  <si>
    <t>Charged to:</t>
  </si>
  <si>
    <t xml:space="preserve">Prior year </t>
  </si>
  <si>
    <t>Current Year &gt;&gt;</t>
  </si>
  <si>
    <t>By Category</t>
  </si>
  <si>
    <t>Account Calculation</t>
  </si>
  <si>
    <t>Reserve type</t>
  </si>
  <si>
    <t>SAP Account</t>
  </si>
  <si>
    <r>
      <t xml:space="preserve">December 
</t>
    </r>
    <r>
      <rPr>
        <sz val="10"/>
        <rFont val="Arial"/>
        <family val="2"/>
      </rPr>
      <t>month end</t>
    </r>
  </si>
  <si>
    <r>
      <t xml:space="preserve">January 
</t>
    </r>
    <r>
      <rPr>
        <sz val="10"/>
        <rFont val="Arial"/>
        <family val="2"/>
      </rPr>
      <t>month end</t>
    </r>
  </si>
  <si>
    <r>
      <t xml:space="preserve">February 
</t>
    </r>
    <r>
      <rPr>
        <sz val="10"/>
        <rFont val="Arial"/>
        <family val="2"/>
      </rPr>
      <t>month end</t>
    </r>
  </si>
  <si>
    <r>
      <t xml:space="preserve">March 
</t>
    </r>
    <r>
      <rPr>
        <sz val="10"/>
        <rFont val="Arial"/>
        <family val="2"/>
      </rPr>
      <t>month end</t>
    </r>
  </si>
  <si>
    <r>
      <t xml:space="preserve">April 
</t>
    </r>
    <r>
      <rPr>
        <sz val="10"/>
        <rFont val="Arial"/>
        <family val="2"/>
      </rPr>
      <t>month end</t>
    </r>
  </si>
  <si>
    <r>
      <t xml:space="preserve">May 
</t>
    </r>
    <r>
      <rPr>
        <sz val="10"/>
        <rFont val="Arial"/>
        <family val="2"/>
      </rPr>
      <t>month end</t>
    </r>
  </si>
  <si>
    <r>
      <t xml:space="preserve">June 
</t>
    </r>
    <r>
      <rPr>
        <sz val="10"/>
        <rFont val="Arial"/>
        <family val="2"/>
      </rPr>
      <t>month end</t>
    </r>
  </si>
  <si>
    <r>
      <t xml:space="preserve">July 
</t>
    </r>
    <r>
      <rPr>
        <sz val="10"/>
        <rFont val="Arial"/>
        <family val="2"/>
      </rPr>
      <t>month end</t>
    </r>
  </si>
  <si>
    <r>
      <t xml:space="preserve">August 
</t>
    </r>
    <r>
      <rPr>
        <sz val="10"/>
        <rFont val="Arial"/>
        <family val="2"/>
      </rPr>
      <t>month end</t>
    </r>
  </si>
  <si>
    <r>
      <t xml:space="preserve">September
</t>
    </r>
    <r>
      <rPr>
        <sz val="10"/>
        <rFont val="Arial"/>
        <family val="2"/>
      </rPr>
      <t>month end</t>
    </r>
  </si>
  <si>
    <r>
      <t xml:space="preserve">October
</t>
    </r>
    <r>
      <rPr>
        <sz val="10"/>
        <rFont val="Arial"/>
        <family val="2"/>
      </rPr>
      <t>month end</t>
    </r>
  </si>
  <si>
    <r>
      <t xml:space="preserve">November 
</t>
    </r>
    <r>
      <rPr>
        <sz val="10"/>
        <rFont val="Arial"/>
        <family val="2"/>
      </rPr>
      <t>month end</t>
    </r>
  </si>
  <si>
    <t>Plant</t>
  </si>
  <si>
    <t>Total Transmission-related Unfunded Reserves</t>
  </si>
  <si>
    <t>Totals</t>
  </si>
  <si>
    <t>Total ($ millions)</t>
  </si>
  <si>
    <r>
      <t xml:space="preserve">Attachment 17 - Post-Retirement Benefits Other Than Pensions </t>
    </r>
    <r>
      <rPr>
        <sz val="12"/>
        <rFont val="Arial"/>
        <family val="2"/>
      </rPr>
      <t>(PBOP)</t>
    </r>
  </si>
  <si>
    <t>FERC Acct</t>
  </si>
  <si>
    <r>
      <rPr>
        <sz val="10"/>
        <rFont val="Arial"/>
        <family val="2"/>
      </rPr>
      <t xml:space="preserve">Attachment 5 input: </t>
    </r>
    <r>
      <rPr>
        <b/>
        <sz val="10"/>
        <rFont val="Arial"/>
        <family val="2"/>
      </rPr>
      <t>Total PBOP</t>
    </r>
  </si>
  <si>
    <t>Notes:</t>
  </si>
  <si>
    <t>Amounts are net of joint-venture cutback, do not</t>
  </si>
  <si>
    <t>include expenses for the mining companies and do</t>
  </si>
  <si>
    <t>not reflect amounts capitalized through activity rates</t>
  </si>
  <si>
    <t>or capital surcharge.</t>
  </si>
  <si>
    <t>assumptions.</t>
  </si>
  <si>
    <t xml:space="preserve">Plant-in-service additions by month </t>
  </si>
  <si>
    <t>Total (Segments A-H)</t>
  </si>
  <si>
    <t>Energy Gateway Projects (IR=NN)</t>
  </si>
  <si>
    <t>FERC BS Account : 101/ 106 only</t>
  </si>
  <si>
    <t>Excludes $714,679.22 written off October 2011 for TORM/2008/C/002/10037321=Hemingway Capt Jack PG&amp;E Agreement</t>
  </si>
  <si>
    <t>Excludes TORM/2008/C/002-"Hemingway Capt Jack Transmission Line" Mar-Apr 2013 account 106 acivity</t>
  </si>
  <si>
    <t>Montlhly dep rate</t>
  </si>
  <si>
    <t>Mo</t>
  </si>
  <si>
    <t>Energy Gateway (EG) Transmission</t>
  </si>
  <si>
    <t>Distribution</t>
  </si>
  <si>
    <t>Intangible</t>
  </si>
  <si>
    <t>Grand Total</t>
  </si>
  <si>
    <t>Cumulative EG transmission total</t>
  </si>
  <si>
    <t>EG depreciation expense</t>
  </si>
  <si>
    <t>EG accumulated depreciation</t>
  </si>
  <si>
    <t>EG net plant</t>
  </si>
  <si>
    <t>EG 13-month balance</t>
  </si>
  <si>
    <t xml:space="preserve">Inputs  
</t>
  </si>
  <si>
    <t xml:space="preserve">Fixed Inputs </t>
  </si>
  <si>
    <t>Description, account, classification</t>
  </si>
  <si>
    <t>Linked description, account, classification</t>
  </si>
  <si>
    <t>Input value</t>
  </si>
  <si>
    <t>Location in model</t>
  </si>
  <si>
    <t>Line number/
cell reference</t>
  </si>
  <si>
    <t>Worksheet</t>
  </si>
  <si>
    <t>Common cost of equity</t>
  </si>
  <si>
    <t>fixed</t>
  </si>
  <si>
    <t>'Appendix A'!$H$212</t>
  </si>
  <si>
    <t>Fixed settlement value</t>
  </si>
  <si>
    <t>ROE basis point adder for Energy Gateway projects</t>
  </si>
  <si>
    <t>='Att 7 - Trans Enhance Charge'</t>
  </si>
  <si>
    <t>Att 7 - Transmission Enhancement Charge</t>
  </si>
  <si>
    <t>Docket No. EL08-75-00 (10/21/2008)</t>
  </si>
  <si>
    <t>='Att 3 - Revenue Credits'!$E$41</t>
  </si>
  <si>
    <t>Att 3 - Revenue Credits</t>
  </si>
  <si>
    <t>Fixed settlement value and a product of PacifiCorp underbuild attachments to transmission poles or towers of 46,314 multiplied by $12.00 per pole.</t>
  </si>
  <si>
    <t>Cash Working Capital - 1/8 rule</t>
  </si>
  <si>
    <t>'Appendix A'!$H$98</t>
  </si>
  <si>
    <t>Settlement value: 1/8 now zero absent filed lead-lag study</t>
  </si>
  <si>
    <t>FERC Form No. 1 Data</t>
  </si>
  <si>
    <t>FERC Form 1 reference</t>
  </si>
  <si>
    <t>Check</t>
  </si>
  <si>
    <t>Model worksheet</t>
  </si>
  <si>
    <t>Label</t>
  </si>
  <si>
    <t>Data_description</t>
  </si>
  <si>
    <t>Inputs_EndYrBal_prior</t>
  </si>
  <si>
    <t>Inputs_EndYrBal</t>
  </si>
  <si>
    <t>Inputs_FF1_Map</t>
  </si>
  <si>
    <t>Address where used</t>
  </si>
  <si>
    <t>Value/reference check</t>
  </si>
  <si>
    <t>='ATT 2 - Other Taxes'!$D$45</t>
  </si>
  <si>
    <t>Att 2 - Other Taxes</t>
  </si>
  <si>
    <t xml:space="preserve">Informational. </t>
  </si>
  <si>
    <t>='ATT 5 - Cost Support'!$H$159</t>
  </si>
  <si>
    <t>Att 5 - Cost Support</t>
  </si>
  <si>
    <t>='Att 10 - Acc Amort of PIS'!$E$13</t>
  </si>
  <si>
    <t>Att 10 - Acc Amort of PIS</t>
  </si>
  <si>
    <t>Change sign</t>
  </si>
  <si>
    <t>Plant Held for Future Use (Account 105)</t>
  </si>
  <si>
    <t>='Att 12 - Plant Held Future Use'!$E$20</t>
  </si>
  <si>
    <t>Att 5 - Cost Support, Att 12 - Plant held for future use</t>
  </si>
  <si>
    <t>Total is informational only</t>
  </si>
  <si>
    <t>='ATT 5 - Cost Support'!$G$39</t>
  </si>
  <si>
    <t>ATT 5 - Cost Support</t>
  </si>
  <si>
    <t>Used as check for input value</t>
  </si>
  <si>
    <t>='ATT 5 - Cost Support'!$G$40</t>
  </si>
  <si>
    <t>='ATT 5 - Cost Support'!$G$49</t>
  </si>
  <si>
    <t>='ATT 5 - Cost Support'!$G$61</t>
  </si>
  <si>
    <t>='ATT 5 - Cost Support'!$G$7</t>
  </si>
  <si>
    <t>='ATT 5 - Cost Support'!$G$19</t>
  </si>
  <si>
    <t>='ATT 5 - Cost Support'!$G$23</t>
  </si>
  <si>
    <t>='ATT 5 - Cost Support'!$G$35</t>
  </si>
  <si>
    <t>='ATT 5 - Cost Support'!$G$44</t>
  </si>
  <si>
    <t>='ATT 5 - Cost Support'!$G$45</t>
  </si>
  <si>
    <t>206.104g</t>
  </si>
  <si>
    <t>='ATT 5 - Cost Support'!$G$68</t>
  </si>
  <si>
    <r>
      <t>Used as check (</t>
    </r>
    <r>
      <rPr>
        <b/>
        <sz val="10"/>
        <color rgb="FF0000FF"/>
        <rFont val="Arial"/>
        <family val="2"/>
      </rPr>
      <t>valid for Projection only</t>
    </r>
    <r>
      <rPr>
        <sz val="10"/>
        <color rgb="FF0000FF"/>
        <rFont val="Arial"/>
        <family val="2"/>
      </rPr>
      <t>)</t>
    </r>
  </si>
  <si>
    <t>Electric Plant Purchased</t>
  </si>
  <si>
    <t>206.101g</t>
  </si>
  <si>
    <t>='ATT 5 - Cost Support'!$G$64</t>
  </si>
  <si>
    <t>206.102g</t>
  </si>
  <si>
    <t>='ATT 5 - Cost Support'!$G$65</t>
  </si>
  <si>
    <t>='ATT 5 - Cost Support'!$G$87</t>
  </si>
  <si>
    <t>='ATT 5 - Cost Support'!$G$103</t>
  </si>
  <si>
    <t>='ATT 5 - Cost Support'!$G$108</t>
  </si>
  <si>
    <t>='ATT 5 - Cost Support'!$G$113</t>
  </si>
  <si>
    <t>219.20c</t>
  </si>
  <si>
    <t>Component of total below</t>
  </si>
  <si>
    <t>219.21c</t>
  </si>
  <si>
    <t>219.22c</t>
  </si>
  <si>
    <t>219.23c</t>
  </si>
  <si>
    <t>219.24c</t>
  </si>
  <si>
    <t>='ATT 5 - Cost Support'!$G$129</t>
  </si>
  <si>
    <t xml:space="preserve">Used as check </t>
  </si>
  <si>
    <t>='ATT 5 - Cost Support'!$H$146</t>
  </si>
  <si>
    <t>Materials and Supplies section</t>
  </si>
  <si>
    <t>='ATT 5 - Cost Support'!$H$150</t>
  </si>
  <si>
    <t>='ATT 5 - Cost Support'!$H$142</t>
  </si>
  <si>
    <t>Account 190 Subtotal - p234</t>
  </si>
  <si>
    <t>234.18b</t>
  </si>
  <si>
    <t>Att 1</t>
  </si>
  <si>
    <t>Used as check for input values.  Asset on BS.</t>
  </si>
  <si>
    <t>234.18c</t>
  </si>
  <si>
    <t>Att 1a</t>
  </si>
  <si>
    <t>272.17b</t>
  </si>
  <si>
    <t>Used as check for input values.  Liability on BS =&gt; change sign.</t>
  </si>
  <si>
    <t>272.17k</t>
  </si>
  <si>
    <t>274.9b</t>
  </si>
  <si>
    <t>274.9k</t>
  </si>
  <si>
    <t>276.19b</t>
  </si>
  <si>
    <t>276.19k</t>
  </si>
  <si>
    <t>='ATT 5 - Cost Support'!$H$267</t>
  </si>
  <si>
    <t>Adj to transmission O&amp;M section</t>
  </si>
  <si>
    <t>='ATT 5 - Cost Support'!$H$270</t>
  </si>
  <si>
    <t>='ATT 5 - Cost Support'!$H$271</t>
  </si>
  <si>
    <t>='ATT 5 - Cost Support'!$H$272</t>
  </si>
  <si>
    <t>='ATT 5 - Cost Support'!$H$275</t>
  </si>
  <si>
    <t>Adj to A&amp;G expense section</t>
  </si>
  <si>
    <t>='Appendix A'!$H$122</t>
  </si>
  <si>
    <t>Depreciation Expense section</t>
  </si>
  <si>
    <t>='Appendix A'!$H$12</t>
  </si>
  <si>
    <t>='Appendix A'!$H$14</t>
  </si>
  <si>
    <t>='Appendix A'!$H$15</t>
  </si>
  <si>
    <r>
      <t xml:space="preserve">Data from Company records </t>
    </r>
    <r>
      <rPr>
        <sz val="11"/>
        <color indexed="10"/>
        <rFont val="Arial"/>
        <family val="2"/>
      </rPr>
      <t>(Manual Input)</t>
    </r>
  </si>
  <si>
    <t>Model worksheet input</t>
  </si>
  <si>
    <t>Prior year values</t>
  </si>
  <si>
    <t>Current year values</t>
  </si>
  <si>
    <t>Facility Credits under Section 30.9</t>
  </si>
  <si>
    <t>Att 5 - Cost Support, Line 166 "Facility Credits under Section 30.9 of the OATT"</t>
  </si>
  <si>
    <t>Interest on Network Upgrade Balance</t>
  </si>
  <si>
    <t>Att 5 - Cost Support, Line 168 "Interest on Network Upgrade Facilities"</t>
  </si>
  <si>
    <t>Company Records: Sum of SAP GL  585914 (Interest Expense - Transmission Deposits (third party) and 385914 (ESM).</t>
  </si>
  <si>
    <t>Att 5 - Cost Support, Line 50 "Network Upgrade Balance"</t>
  </si>
  <si>
    <t>Company Records: Sum of SAP GL accounts #285461 (Transm Interconnection Deposits - w/ third Party ) and #285460 (Transm interconnetion Deposits ESM).</t>
  </si>
  <si>
    <t>Federal income tax rate</t>
  </si>
  <si>
    <t>Attachment A, Line 128 "FIT = Federal Income Tax Rate"</t>
  </si>
  <si>
    <t>State income tax rate</t>
  </si>
  <si>
    <t>Attachment A, Line 129 "SIT = State Income Tax Rate or Composite"</t>
  </si>
  <si>
    <t>Percent of federal income tax deductible for state purposes</t>
  </si>
  <si>
    <t>Attachment A, Line 130</t>
  </si>
  <si>
    <t>Attachment 3, Line 1 "Rent from Electric Property - Transmission Related "</t>
  </si>
  <si>
    <t>Company Records: Sum of SAP GL accounts #301863 and #301872 (PC 1192).</t>
  </si>
  <si>
    <t>Fiber Optic Leases</t>
  </si>
  <si>
    <t>WECC phase shifting fee (Form No. 1: 300.21b footnote)</t>
  </si>
  <si>
    <t>Attachment 3, Line 10 "Facilities Charges including Interconnection Agreements"</t>
  </si>
  <si>
    <t xml:space="preserve">Based on the Resolution of Preliminary Challenges to 2013 Annual Update, PacifiCorp agreed to include the WECC phase shifting fees for a reduction of loop flows on transmission assets as a revenue credit on Attachment 3 of the Formula. </t>
  </si>
  <si>
    <t>Gen Interconnect and TSR study revenues(Form No. 1: 300.21b footnote)</t>
  </si>
  <si>
    <t>Based on the Resolution of Preliminary Challenges to 2013 Annual Update, PacifiCorp agreed to include as a revenue credit on Attachment 3 of the Formula the reimbursements for generator interconnection studies booked to Account 456 as the associated costs are booked to Account 561.7 and recovered in transmission ATRR.</t>
  </si>
  <si>
    <t>WY Service territory fixed cost recovery fee (Form No. 1: 300.21b footnote)</t>
  </si>
  <si>
    <t xml:space="preserve">Based on the Resolution of Preliminary Challenges to 2013 Annual Update, PacifiCorp agreed to include a portion of the service territory fixed cost recovery fee received from a former retail customer in Wyoming as a revenue credit on Attachment 3 of the Formula. The FERC Form No. 1 value in footnotes to page 300  for the service territory fixed cost recovery fee is multiplied by a share of target revenue requirement functionalized to transmission in Wyoming.  </t>
  </si>
  <si>
    <t>Adjustment to exclude the write-offs that were booked to Account 573</t>
  </si>
  <si>
    <t>Att 5 - Cost Support, Line 53 "Transmission O&amp;M adjustment"</t>
  </si>
  <si>
    <t xml:space="preserve">Based on the Resolution of Preliminary Challenges to the 2013 Annual Update, PacifiCorp agreed to exclude the write-offs that were booked to FERC Account 573 from the transmission revenue requirement. </t>
  </si>
  <si>
    <t>Transmission imbalance penalty refunds in FERC 566</t>
  </si>
  <si>
    <t>Company Records: Sum of SAP GL 505962 &amp; 505964 (FERC 566).</t>
  </si>
  <si>
    <t>Based on the Resolution of Preliminary Challenges to 2013 Annual Update, PacifiCorp agreed to exclude the expenses associated with the refunds for transmission imbalance penalties booked to FERC Account 566 from the transmission ATRR.</t>
  </si>
  <si>
    <t>EIM: Capital Cost of upgrade of substation and power plant meters to 5-min memory capability.</t>
  </si>
  <si>
    <t>Attachment 15 - GSU and Associated Equipment, "Wind Generation Facilities adjustment"</t>
  </si>
  <si>
    <t>Company Records: FERC Account 353 details</t>
  </si>
  <si>
    <t>During the stakeholder process in PacifiCorp’s EIM filing in Docket No. ER14-1578, PacifiCorp agreed to remove the EIM-related capital costs for substation and power plant meter upgrades to five-minute memory capability booked to FERC Account 353 from its transmission rate base. This capital cost is added to the list of assets which are excluded from the transmission plant in-service on line 147 of Appendix A of the Formula.</t>
  </si>
  <si>
    <t>EIM: Transmission allocation of General (FERC accounts 391 and 397) and Intangible (FERC account 303) assets attributable to ESM participation in EIM and excluded from ATRR.</t>
  </si>
  <si>
    <t xml:space="preserve">Company Records: EIM assets </t>
  </si>
  <si>
    <t xml:space="preserve">Transmission allocation of general and intangible assets (acquisition value times labor allocator) attributable to ESM participation in EIM ad excluded from ATRR.  FERC accounts 303, 391, and 397.  </t>
  </si>
  <si>
    <t>Interconnection Customer Interconnection Facilities (ICIFs).</t>
  </si>
  <si>
    <t>Exclude transmission facilities from Transmission Plant in-Service as these charges are directly assigned to non-transmission customers.</t>
  </si>
  <si>
    <t>FERC Form 1 Data Consolidation</t>
  </si>
  <si>
    <t>ID</t>
  </si>
  <si>
    <t>ff1_page</t>
  </si>
  <si>
    <t>ff1_line</t>
  </si>
  <si>
    <t>ff1_col</t>
  </si>
  <si>
    <t>ff1_map</t>
  </si>
  <si>
    <t>column_name</t>
  </si>
  <si>
    <t>FERC 408.1  - Taxes Other than Income</t>
  </si>
  <si>
    <t>c</t>
  </si>
  <si>
    <t>current_yr_total</t>
  </si>
  <si>
    <t>FERC 411.4 - Net ITC adjustment</t>
  </si>
  <si>
    <t xml:space="preserve"> Amort of Other Utility Plant</t>
  </si>
  <si>
    <t>amt2</t>
  </si>
  <si>
    <t>FERC 303 - Misc intangible plant (BoY)</t>
  </si>
  <si>
    <t>b</t>
  </si>
  <si>
    <t>begin_yr_bal</t>
  </si>
  <si>
    <t>FERC 303 - Misc intangible plant (EoY)</t>
  </si>
  <si>
    <t>yr_end_bal</t>
  </si>
  <si>
    <t>Total production plant (BoY)</t>
  </si>
  <si>
    <t>Total production plant (EoY)</t>
  </si>
  <si>
    <t>Total transmission plant (BoY)</t>
  </si>
  <si>
    <t>Total transmission plant (EoY)</t>
  </si>
  <si>
    <t>Total distribution plant (BoY)</t>
  </si>
  <si>
    <t>Total distribution plant (EoY)</t>
  </si>
  <si>
    <t>Total general plant (BoY)</t>
  </si>
  <si>
    <t>Total general plant (EoY)</t>
  </si>
  <si>
    <t>Electric plant sold</t>
  </si>
  <si>
    <t>Total electric plant in service (BoY)</t>
  </si>
  <si>
    <t>Total electric plant in service (EoY)</t>
  </si>
  <si>
    <t>Electric plant held for future use</t>
  </si>
  <si>
    <t>d</t>
  </si>
  <si>
    <t>balance</t>
  </si>
  <si>
    <t>Accum Dep - Steam production</t>
  </si>
  <si>
    <t>electric_plant</t>
  </si>
  <si>
    <t>Accum Dep - Nuclear production</t>
  </si>
  <si>
    <t>Accum Dep - Hydro (conventional) production</t>
  </si>
  <si>
    <t>Accum Dep - Hydro (pumped storage) production</t>
  </si>
  <si>
    <t>Accum Dep - Other production</t>
  </si>
  <si>
    <t>Accum Dep - Transmission</t>
  </si>
  <si>
    <t>Accum Dep - Distribution</t>
  </si>
  <si>
    <t>Accum Dep - General</t>
  </si>
  <si>
    <t>Accum Dep - Total</t>
  </si>
  <si>
    <t>Materials and supplies - est construction (EoY)</t>
  </si>
  <si>
    <t>Materials and supplies - transmission (EoY)</t>
  </si>
  <si>
    <t>FERC 163 - Undistributed stores expense</t>
  </si>
  <si>
    <t>FERC 190 - ADIT (BoY)</t>
  </si>
  <si>
    <t>FERC 190 - ADIT (EoY)</t>
  </si>
  <si>
    <t>FERC 281 - ADIT (BoY)</t>
  </si>
  <si>
    <t>bgn_yr_bal</t>
  </si>
  <si>
    <t>FERC 281 - ADIT (EoY)</t>
  </si>
  <si>
    <t>k</t>
  </si>
  <si>
    <t>end_yr_bal</t>
  </si>
  <si>
    <t>FERC 282 - ADIT (BoY)</t>
  </si>
  <si>
    <t>FERC 282 - ADIT (EoY)</t>
  </si>
  <si>
    <t>FERC 283 - ADIT (BoY)</t>
  </si>
  <si>
    <t>FERC 283 - ADIT (EoY)</t>
  </si>
  <si>
    <t>FERC 561 - Load Dispatch (LD)</t>
  </si>
  <si>
    <t>crnt_yr_amt</t>
  </si>
  <si>
    <t>FERC 561.1 - LD reliability</t>
  </si>
  <si>
    <t>FERC 561.2 - LD monitor operate</t>
  </si>
  <si>
    <t>FERC 561.3 - LD service scheduling</t>
  </si>
  <si>
    <t>FERC 561.4 - Sched, sys control, dispatch</t>
  </si>
  <si>
    <t>FERC 561.5 - Reliability, plan, standards</t>
  </si>
  <si>
    <t>FERC 561.8 - Reliability, plan, standards services</t>
  </si>
  <si>
    <t>FERC 565  - Transmission by others</t>
  </si>
  <si>
    <t>Total Transmission Expenses</t>
  </si>
  <si>
    <t>FERC 924 - Property Insurance</t>
  </si>
  <si>
    <t>FERC 928 - Regulatory Commission Expenses</t>
  </si>
  <si>
    <t>FERC 930.1 - General Advertising Expenses</t>
  </si>
  <si>
    <t>Total A&amp;G Expenses</t>
  </si>
  <si>
    <t>Industry association dues</t>
  </si>
  <si>
    <t>amount</t>
  </si>
  <si>
    <t>Amort - Intangible, ltd term (FERC 404)</t>
  </si>
  <si>
    <t>limterm_elc_plnt</t>
  </si>
  <si>
    <t>Amort exp - Intangible (FERC 405)</t>
  </si>
  <si>
    <t>othr_elc_plnt</t>
  </si>
  <si>
    <t>Dep exp - Transmission (FERC 403)</t>
  </si>
  <si>
    <t>depr_expn</t>
  </si>
  <si>
    <t>Dep exp - Transmission, ltd term (FERC 404)</t>
  </si>
  <si>
    <t>Dep exp - General (FERC 403)</t>
  </si>
  <si>
    <t>Dep exp - General, ltd term (FERC 404)</t>
  </si>
  <si>
    <t>Transmisison wages and salaries</t>
  </si>
  <si>
    <t>drct_pyrl_dstrbt</t>
  </si>
  <si>
    <t>A&amp;G wages and salaries</t>
  </si>
  <si>
    <t>Total O&amp;M salaries</t>
  </si>
  <si>
    <t xml:space="preserve">2017 data in Settlement model </t>
  </si>
  <si>
    <t>Company Records: SAP FERC 573 details (enter negative value)</t>
  </si>
  <si>
    <t>American Wind Energy Association</t>
  </si>
  <si>
    <t>Pacific Northwest Utilities Conference Committee</t>
  </si>
  <si>
    <t>Rocky Mountain Electrical League</t>
  </si>
  <si>
    <t>Smart Electric Power Alliance</t>
  </si>
  <si>
    <t>Western Energy Supply Transmission Associates</t>
  </si>
  <si>
    <t>Page 335, Lines 9 - 31</t>
  </si>
  <si>
    <t>Page 335, Line 32</t>
  </si>
  <si>
    <t>Lines 9 - 31</t>
  </si>
  <si>
    <t>Page 335, Lines 35-40</t>
  </si>
  <si>
    <t>Page 335, Lines 9 - 32 (Business/Economic Dev. and Corp. Memberships &amp; Subscriptions)</t>
  </si>
  <si>
    <t>FERC Form No. 1 page 335</t>
  </si>
  <si>
    <t xml:space="preserve">Please refer to the 'Material Changes Summary' filed with 2018 annual update </t>
  </si>
  <si>
    <t>Total expense was a net benefit (negative) for 2014-2017.</t>
  </si>
  <si>
    <t>Ties to SAP company code 1000 - accounts 501153-501158. Excludes 501144 (State Situs) and 501149 (Western Coal Carrier-Other power supply actuarial costs).</t>
  </si>
  <si>
    <t>2018 Year-end Balance</t>
  </si>
  <si>
    <t>705.340</t>
  </si>
  <si>
    <t>RL Income Tax Deferral - CA</t>
  </si>
  <si>
    <t>RL Income Tax Deferral - ID</t>
  </si>
  <si>
    <t>RL Income Tax Deferral - OR</t>
  </si>
  <si>
    <t>RL Income Tax Deferral - UT</t>
  </si>
  <si>
    <t>RL Income Tax Deferral - WA</t>
  </si>
  <si>
    <t>RL Income Tax Deferral -  WY</t>
  </si>
  <si>
    <t>CA - Protected PP&amp;E ARAM</t>
  </si>
  <si>
    <t>ID - Protected PP&amp;E ARAM</t>
  </si>
  <si>
    <t>OR - Protected PP&amp;E ARAM</t>
  </si>
  <si>
    <t>UT - Protected PP&amp;E ARAM</t>
  </si>
  <si>
    <t>WA - Protected PP&amp;E ARAM</t>
  </si>
  <si>
    <t>WY - Protected PP&amp;E ARAM</t>
  </si>
  <si>
    <t>RL OR Clean Fuels Program</t>
  </si>
  <si>
    <t>As ordered by the Oregon Public Utility Commission (OPUC), PacifiCorp registered as an aggregator of residential Clean Fuels Program credits generated by customers in our Oregon service area. As an aggregator, PacifiCorp is allocated credits generated by residential customers who own electric cars on an annual basis by the Oregon Department of Environmental Quality (DEQ).  PacifiCorp may then sell the credits to “regulated parties” that are required to comply with the regulations of the Clean Fuels Program through the purchase of such credits, in a manner that is consistent with the monetization principles adopted by the OPUC in December of 2017. Regulatory Liability Account 288190 was set up in 2018 for sales of credits to regulated parties.</t>
  </si>
  <si>
    <t>RL Non Protected PP&amp;E EDIT - Gross Up</t>
  </si>
  <si>
    <t>NonProtected PP&amp;E EDIT - CA</t>
  </si>
  <si>
    <t>NonProtected PP&amp;E EDIT - FERC</t>
  </si>
  <si>
    <t>NonProtected PP&amp;E EDIT - ID</t>
  </si>
  <si>
    <t>NonProtected PP&amp;E EDIT - OR</t>
  </si>
  <si>
    <t>NonProtected PP&amp;E EDIT - WA</t>
  </si>
  <si>
    <t>NonProtected PP&amp;E EDIT - WY</t>
  </si>
  <si>
    <t>Reclass to §1031 &amp;1033 Exchange Normalization Adj - Other Property</t>
  </si>
  <si>
    <t>RL - NonProtected PP&amp;E EDIT - CA</t>
  </si>
  <si>
    <t>RL - NonProtected PP&amp;E EDIT - FERC</t>
  </si>
  <si>
    <t>RL - NonProtected PP&amp;E EDIT - ID</t>
  </si>
  <si>
    <t>RL - NonProtected PP&amp;E EDIT - OR</t>
  </si>
  <si>
    <t>RL - NonProtected PP&amp;E EDIT - WA</t>
  </si>
  <si>
    <t>RL - NonProtected PP&amp;E EDIT - WY</t>
  </si>
  <si>
    <t>RA - ID 2017 Protocol - MSP Deferral</t>
  </si>
  <si>
    <t xml:space="preserve">Regulatory asset established to record the Idaho multi-state protocol deferral assumed in 2018. </t>
  </si>
  <si>
    <t>RA - OR Trasnsportation Electrification Pilot</t>
  </si>
  <si>
    <t xml:space="preserve">Pilot Program set up in March 2018 to record costs and collect fees connected to Oregon transportation electrification pilot programs. </t>
  </si>
  <si>
    <t>RA - Solar ITC Basis Adjustment - Gross Up</t>
  </si>
  <si>
    <t>RA - Transportation Electrification Pilot - CA</t>
  </si>
  <si>
    <t>Fuel Cost Adjustment</t>
  </si>
  <si>
    <t>Beginning in May 2008, Bridger Coal/PMI earnings are recorded as a debit to investment in Bridger Coal and a credit to coal inventory.</t>
  </si>
  <si>
    <t>&lt;--billing demand from FF1 values-search for RS 262</t>
  </si>
  <si>
    <t>g23</t>
  </si>
  <si>
    <t>='Att 1a - ADIT'!$E$167</t>
  </si>
  <si>
    <t>='Att 1a - ADIT'!$E$193</t>
  </si>
  <si>
    <t>f18</t>
  </si>
  <si>
    <t>g24</t>
  </si>
  <si>
    <t>g25</t>
  </si>
  <si>
    <t>Direct Assignment: Transmission Fixed Assets - Deferred EDIT Amortizaton</t>
  </si>
  <si>
    <t>Direct Assignment: Intangible Fixed Assets - Deferred EDIT Amortizaion</t>
  </si>
  <si>
    <t>Direct Assignment: General Fixed Assets - Deferred EDIT Amortizaion</t>
  </si>
  <si>
    <t xml:space="preserve">Account 281 Subtotal - p272 </t>
  </si>
  <si>
    <t>Account 282 Subtotal - p274</t>
  </si>
  <si>
    <t xml:space="preserve">Account 282 Subtotal - p274 </t>
  </si>
  <si>
    <t>Account 283 Subtotal - p276</t>
  </si>
  <si>
    <t>Note: The reference is to FERC Form No. 1 page 273 in the Tariff</t>
  </si>
  <si>
    <t>2018 Projection (as-filed)</t>
  </si>
  <si>
    <t xml:space="preserve">2018 data in Settlement model </t>
  </si>
  <si>
    <t>2019 Projection (as-filed)</t>
  </si>
  <si>
    <t>Northwest Public Power Association</t>
  </si>
  <si>
    <t>Sustainable Electrified Transportation Center</t>
  </si>
  <si>
    <t>The National Hydropower Association, Inc.</t>
  </si>
  <si>
    <t>Directors' Fees - Regional Advisory Board</t>
  </si>
  <si>
    <t>2009-2019 Plant Additions including Unclassified Plant and Dec 2010 transfer of Goshen Cap Bank from 102 to 101</t>
  </si>
  <si>
    <t>Applied Depreciation Rates by State - 2019</t>
  </si>
  <si>
    <t xml:space="preserve"> &lt;-- Matches 2019 FERC Form No. 1, page 200.21c Footnote</t>
  </si>
  <si>
    <t>4265000</t>
  </si>
  <si>
    <t>OTHER DEDUCTIONS</t>
  </si>
  <si>
    <t>5020000</t>
  </si>
  <si>
    <t>STEAM EXPENSES</t>
  </si>
  <si>
    <t>5060000</t>
  </si>
  <si>
    <t>MISC STEAM PWR EXP</t>
  </si>
  <si>
    <t>5063000</t>
  </si>
  <si>
    <t>MISC STEAM JVA CR</t>
  </si>
  <si>
    <t>5120000</t>
  </si>
  <si>
    <t>MANT OF BOILR PLNT</t>
  </si>
  <si>
    <t>5140000</t>
  </si>
  <si>
    <t>MAINT MISC STM PLN</t>
  </si>
  <si>
    <t>5350000</t>
  </si>
  <si>
    <t>OPER SUPERV &amp; ENG</t>
  </si>
  <si>
    <t>5390000</t>
  </si>
  <si>
    <t>MSC HYD PWR GEN EX</t>
  </si>
  <si>
    <t>5480000</t>
  </si>
  <si>
    <t>GENERATION EXP</t>
  </si>
  <si>
    <t>5490000</t>
  </si>
  <si>
    <t>MIS OTH PWR GEN EX</t>
  </si>
  <si>
    <t>5530000</t>
  </si>
  <si>
    <t>MNT GEN &amp; ELEC PLT</t>
  </si>
  <si>
    <t>5560000</t>
  </si>
  <si>
    <t>SYS CTRL &amp; LD DISP</t>
  </si>
  <si>
    <t>5570000</t>
  </si>
  <si>
    <t>OTHER EXPENSES</t>
  </si>
  <si>
    <t>5600000</t>
  </si>
  <si>
    <t>5612000</t>
  </si>
  <si>
    <t>LD - MONITOR &amp; OPER</t>
  </si>
  <si>
    <t>5615000</t>
  </si>
  <si>
    <t>REL PLAN &amp; STDS DEV</t>
  </si>
  <si>
    <t>5680000</t>
  </si>
  <si>
    <t>MNT SUPERV &amp; ENG</t>
  </si>
  <si>
    <t>5700000</t>
  </si>
  <si>
    <t>MAINT STATION EQIP</t>
  </si>
  <si>
    <t>5710000</t>
  </si>
  <si>
    <t>MAINT OVHD LINES</t>
  </si>
  <si>
    <t>5800000</t>
  </si>
  <si>
    <t>5810000</t>
  </si>
  <si>
    <t>LOAD DISPATCHING</t>
  </si>
  <si>
    <t>5850000</t>
  </si>
  <si>
    <t>STRT LGHT-SGNL SYS</t>
  </si>
  <si>
    <t>5880000</t>
  </si>
  <si>
    <t>MSC DISTR EXPENSES</t>
  </si>
  <si>
    <t>5900000</t>
  </si>
  <si>
    <t>MAINT SUPERV &amp; ENG</t>
  </si>
  <si>
    <t>5920000</t>
  </si>
  <si>
    <t>MAINT STAT EQUIP</t>
  </si>
  <si>
    <t>5930000</t>
  </si>
  <si>
    <t>5950000</t>
  </si>
  <si>
    <t>MAINT LINE TRNSFRM</t>
  </si>
  <si>
    <t>5970000</t>
  </si>
  <si>
    <t>MNT OF METERS</t>
  </si>
  <si>
    <t>5980000</t>
  </si>
  <si>
    <t>MNT MISC DIST PLNT</t>
  </si>
  <si>
    <t>7071000</t>
  </si>
  <si>
    <t>LBR CLR - RMP</t>
  </si>
  <si>
    <t>7072000</t>
  </si>
  <si>
    <t>LBR CLR - PACPWR</t>
  </si>
  <si>
    <t>7081000</t>
  </si>
  <si>
    <t>Stores Exp CLR - RMP</t>
  </si>
  <si>
    <t>7082000</t>
  </si>
  <si>
    <t>Stores Exp CLR - PP</t>
  </si>
  <si>
    <t>9010000</t>
  </si>
  <si>
    <t>SUPRV (CUST ACCT)</t>
  </si>
  <si>
    <t>9020000</t>
  </si>
  <si>
    <t>METER READING EXP</t>
  </si>
  <si>
    <t>9030000</t>
  </si>
  <si>
    <t>CUST RCRD/COLL EXP</t>
  </si>
  <si>
    <t>9031000</t>
  </si>
  <si>
    <t>CUST RCRD/CUST SYS</t>
  </si>
  <si>
    <t>9032000</t>
  </si>
  <si>
    <t>CUST ACCTG/BILL</t>
  </si>
  <si>
    <t>9033000</t>
  </si>
  <si>
    <t>CUST ACCTG/COLL</t>
  </si>
  <si>
    <t>9036000</t>
  </si>
  <si>
    <t>CUST ACCTG/COMMON</t>
  </si>
  <si>
    <t>9070000</t>
  </si>
  <si>
    <t>SUPRV (CUST SERV)</t>
  </si>
  <si>
    <t>9084000</t>
  </si>
  <si>
    <t>DSM DIRECT</t>
  </si>
  <si>
    <t>9086000</t>
  </si>
  <si>
    <t>CUST SERV</t>
  </si>
  <si>
    <t>9090000</t>
  </si>
  <si>
    <t>INFOR/INSTRCT ADV</t>
  </si>
  <si>
    <t>9200000</t>
  </si>
  <si>
    <t>ADMIN &amp; GEN SALARY</t>
  </si>
  <si>
    <t>9350000</t>
  </si>
  <si>
    <t>MAINT GENERAL PLNT</t>
  </si>
  <si>
    <t>2019 Expense</t>
  </si>
  <si>
    <t>Total expense was a net debit for 2018 &amp; 2019</t>
  </si>
  <si>
    <t>The decrease in expense in 2019 as compared to</t>
  </si>
  <si>
    <t>2018 is primarily due to changes in actuarial</t>
  </si>
  <si>
    <r>
      <t xml:space="preserve">Plant/Land Held For Future Use </t>
    </r>
    <r>
      <rPr>
        <sz val="10"/>
        <color theme="1"/>
        <rFont val="Arial"/>
        <family val="2"/>
      </rPr>
      <t>- Assets associated with Transmission at December 31, 2018 and 2019</t>
    </r>
  </si>
  <si>
    <t>(At December 31, 2019)</t>
  </si>
  <si>
    <t>2019 FERC Form No.1, page 300.21b footnote</t>
  </si>
  <si>
    <t>PacifiCorp tax rate assumptions - 2019</t>
  </si>
  <si>
    <t>Local Franchise (Washington)</t>
  </si>
  <si>
    <t>City fees based on retail revenue to the end customers served WA</t>
  </si>
  <si>
    <t>2019 Year-end Balance</t>
  </si>
  <si>
    <t>Prepayments Detail - 2019</t>
  </si>
  <si>
    <t xml:space="preserve">Company Records: component of 2019 FERC Form No.1, page 300.21b </t>
  </si>
  <si>
    <t>&lt;--2019 value (FERC 408.1)</t>
  </si>
  <si>
    <t>Use</t>
  </si>
  <si>
    <t>='ATT 5 - Cost Support'!$H$278</t>
  </si>
  <si>
    <t>='ATT 5 - Cost Support'!$H$273</t>
  </si>
  <si>
    <t>='ATT 5 - Cost Support'!$H$274</t>
  </si>
  <si>
    <t>='ATT 5 - Cost Support'!$i$223</t>
  </si>
  <si>
    <t>='ATT 5 - Cost Support'!$H$313</t>
  </si>
  <si>
    <t>='ATT 5 - Cost Support'!$H$314</t>
  </si>
  <si>
    <t>='ATT 5 - Cost Support'!$H$303</t>
  </si>
  <si>
    <t>='ATT 5 - Cost Support'!$H$304</t>
  </si>
  <si>
    <t>='ATT 5 - Cost Support'!$H$308</t>
  </si>
  <si>
    <t>='ATT 5 - Cost Support'!$H$309</t>
  </si>
  <si>
    <t>C&amp;T (ESM) cost portion of Studies in FERC 561.6 and 561.7</t>
  </si>
  <si>
    <t>Company Records: Sum of order 228755 (FERC 561.6) &amp; 228756 (FERC 561.7). Enter as a negative value.</t>
  </si>
  <si>
    <t>Exclude C&amp;T's (ESM) expenses for studies from O&amp;M. Third party's expenses for studies are offset in revenue credits; ESM's expense portion needs to be excluded from O&amp;M.</t>
  </si>
  <si>
    <t>Page 335, Line 42</t>
  </si>
  <si>
    <t>Page 335, Line 44</t>
  </si>
  <si>
    <t>&lt;-- 2019</t>
  </si>
  <si>
    <t>Pension Liability UMWA Withdrawal</t>
  </si>
  <si>
    <t>Deferred Comp. Accrual - Cash Basis</t>
  </si>
  <si>
    <t>Pension/Retirement Accrual - Cash Basis</t>
  </si>
  <si>
    <t>Wasatch workers comp reserve</t>
  </si>
  <si>
    <t>FAS 112 Book Reserve - Post Employee Benefits</t>
  </si>
  <si>
    <t>FAS 133 Derivatives - Book Unrealized</t>
  </si>
  <si>
    <t>Regulatory liability established to record the deferral of retail revenue for excess income taxes in rates for California customers.  The Tax Cuts and Jobs Act was enacted on December 22, 2017 and reduced the federal income tax rate from 35% to 21%.</t>
  </si>
  <si>
    <t>Regulatory liability established to record the deferral of retail revenue for excess income taxes in rates for Idaho customers.  The Tax Cuts and Jobs Act was enacted on December 22, 2017 and reduced the federal income tax rate from 35% to 21%.</t>
  </si>
  <si>
    <t>Regulatory liability established to record the deferral of retail revenue for excess income taxes in rates for Oregon customers.  The Tax Cuts and Jobs Act was enacted on December 22, 2017 and reduced the federal income tax rate from 35% to 21%.</t>
  </si>
  <si>
    <t>Regulatory liability established to record the deferral of retail revenue for excess income taxes in rates for Utah customers.  The Tax Cuts and Jobs Act was enacted on December 22, 2017 and reduced the federal income tax rate from 35% to 21%.</t>
  </si>
  <si>
    <t>Regulatory liability established to record the deferral of retail revenue for excess income taxes in rates for Washington customers.  The Tax Cuts and Jobs Act was enacted on December 22, 2017 and reduced the federal income tax rate from 35% to 21%.</t>
  </si>
  <si>
    <t>Regulatory liability established to record the deferral of retail revenue for excess income taxes in rates for Wyoming customers.  The Tax Cuts and Jobs Act was enacted on December 22, 2017 and reduced the federal income tax rate from 35% to 21%.</t>
  </si>
  <si>
    <t>RL - Protected PP&amp;E EDIT Amortization - CA</t>
  </si>
  <si>
    <t>Regulatory liability established to record the deferral of protected property related EDIT amortization for return to California customers pursuant to regulatory order.</t>
  </si>
  <si>
    <t>RL - Protected PP&amp;E EDIT Amortization - ID</t>
  </si>
  <si>
    <t>Regulatory liability established to record the deferral of protected property related EDIT amortization for return to Idaho customers pursuant to regulatory order.</t>
  </si>
  <si>
    <t>RL - Protected PP&amp;E EDIT Amortization - OR</t>
  </si>
  <si>
    <t>Regulatory liability established to record the deferral of protected property related EDIT amortization for return to Oregon customers pursuant to regulatory order.</t>
  </si>
  <si>
    <t>RL - Protected PP&amp;E EDIT Amortization - UT</t>
  </si>
  <si>
    <t>Regulatory liability established to record the deferral of protected property related EDIT amortization for return to Utah customers pursuant to regulatory order.</t>
  </si>
  <si>
    <t>RL - Protected PP&amp;E EDIT Amortization - WA</t>
  </si>
  <si>
    <t>Regulatory liability established to record the deferral of protected property related EDIT amortization for return to Washington customers pursuant to regulatory order.</t>
  </si>
  <si>
    <t>RL - Protected PP&amp;E EDIT Amortization - WY</t>
  </si>
  <si>
    <t>Regulatory liability established to record the deferral of protected property related EDIT amortization for return to Wyoming customers pursuant to regulatory order.</t>
  </si>
  <si>
    <t>RL - Protected PP&amp;E EDIT - CA</t>
  </si>
  <si>
    <t>Regulatory liability established to defer California's portion of protected property related EDIT recorded as a result of the Tax Cuts and Jobs Act, which reduced the federal income tax rate from 35% to 21%.</t>
  </si>
  <si>
    <t>RL - Protected PP&amp;E EDIT - ID</t>
  </si>
  <si>
    <t>Regulatory liability established to defer Idaho's portion of protected property related EDIT recorded as a result of the Tax Cuts and Jobs Act, which reduced the federal income tax rate from 35% to 21%.</t>
  </si>
  <si>
    <t>RL - Protected PP&amp;E EDIT - OR</t>
  </si>
  <si>
    <t>Regulatory liability established to defer Oregon's portion of protected property related EDIT recorded as a result of the Tax Cuts and Jobs Act, which reduced the federal income tax rate from 35% to 21%.</t>
  </si>
  <si>
    <t>RL - Protected PP&amp;E EDIT - WA</t>
  </si>
  <si>
    <t>Regulatory liability established to defer Washington's portion of protected property related EDIT recorded as a result of the Tax Cuts and Jobs Act, which reduced the federal income tax rate from 35% to 21%.</t>
  </si>
  <si>
    <t>RL - Protected PP&amp;E EDIT - WY</t>
  </si>
  <si>
    <t>Regulatory liability established to defer Wyoming's portion of protected property related EDIT recorded as a result of the Tax Cuts and Jobs Act, which reduced the federal income tax rate from 35% to 21%.</t>
  </si>
  <si>
    <t>RL - Protected PP&amp;E EDIT - UT</t>
  </si>
  <si>
    <t>Regulatory liability established to defer Utah's portion of protected property related EDIT recorded as a result of the Tax Cuts and Jobs Act, which reduced the federal income tax rate from 35% to 21%.</t>
  </si>
  <si>
    <t>RL - Non Protected PP&amp;E  EDIT- CA</t>
  </si>
  <si>
    <t>Regulatory liability established to defer California's portion of non-protected property related EDIT recorded as a result of the Tax Cuts and Jobs Act, which reduced the federal income tax rate from 35% to 21%.</t>
  </si>
  <si>
    <t>RL - Non Protected PP&amp;E  EDIT- ID</t>
  </si>
  <si>
    <t>Regulatory liability established to defer Idaho's portion of non-protected property related EDIT recorded as a result of the Tax Cuts and Jobs Act, which reduced the federal income tax rate from 35% to 21%.</t>
  </si>
  <si>
    <t>RL - Non Protected PP&amp;E  EDIT- WA</t>
  </si>
  <si>
    <t>Regulatory liability established to defer Washington's portion of non-protected property related EDIT recorded as a result of the Tax Cuts and Jobs Act, which reduced the federal income tax rate from 35% to 21%.</t>
  </si>
  <si>
    <t>RL - Non Protected PP&amp;E  EDIT- WY</t>
  </si>
  <si>
    <t>Regulatory liability established to defer Wyoming's portion of non-protected property related EDIT recorded as a result of the Tax Cuts and Jobs Act, which reduced the federal income tax rate from 35% to 21%.</t>
  </si>
  <si>
    <t>RL - Non Protected PP&amp;E  EDIT- UT</t>
  </si>
  <si>
    <t>Regulatory liability established to defer Utah's portion of non-protected property related EDIT recorded as a result of the Tax Cuts and Jobs Act, which reduced the federal income tax rate from 35% to 21%.</t>
  </si>
  <si>
    <t xml:space="preserve">A regulatory liability with respect to the excess deferred income taxes associated with the effects of flow through from PP&amp;E book/tax differences and other deferred items that do not have current provision impacts. </t>
  </si>
  <si>
    <t>Regulatory liability established to account for the deferral of protected property-related EDIT for PMI's portion of Bridger Coal Company fixed assets</t>
  </si>
  <si>
    <t>RL Non-Property EDIT - CA</t>
  </si>
  <si>
    <t>RL Non-Property EDIT - ID</t>
  </si>
  <si>
    <t>RL Non-Property EDIT - WA</t>
  </si>
  <si>
    <t>RL Non-Property EDIT - WY</t>
  </si>
  <si>
    <t>ARO/Regulatory Difference - Trojan - WA</t>
  </si>
  <si>
    <t xml:space="preserve">Regulatory liability established to record UT solar Feed in Tariff. </t>
  </si>
  <si>
    <t>Regulatory liability established to record CA solar Feed in Tariff.</t>
  </si>
  <si>
    <t>RL OR Def NPC - Noncurrent</t>
  </si>
  <si>
    <t>This account is to reclass the noncurrent portion of regulatory assets for insurance reserves and intervenor fees to liabilities when the balance of the regulatory assets result in a credit balance instead of a debit balance, or vice versa.</t>
  </si>
  <si>
    <t>RL - CA GHG Allowance Revenue</t>
  </si>
  <si>
    <t>Reg Lia - OR Injuries &amp; Damages Reserve</t>
  </si>
  <si>
    <t>Reg Lia - ID Property Insurance Reserve</t>
  </si>
  <si>
    <t>Reg Lia - UT Property Insurance Reserve</t>
  </si>
  <si>
    <t>RL - 50% Bonus Tax Depreciation - WY</t>
  </si>
  <si>
    <t>RL - Sale of RECs - UT</t>
  </si>
  <si>
    <t>Regulatory Liability, a Revenue Balancing Account, or RBA, was established to track the difference between REC revenue included in rates and Utah’s allocation of the actual REC revenue received by the Company.</t>
  </si>
  <si>
    <t>RL - Sale of RECs - WY</t>
  </si>
  <si>
    <t>Regulatory Liability established to track the difference between REC revenue included in rates and Wyoming’s allocation of the actual REC revenue received by the Company.</t>
  </si>
  <si>
    <t>RL - Sale of RECs - OR</t>
  </si>
  <si>
    <t>Regulatory Liability established to track the difference between REC revenue included in rates and Oregon’s allocation of the actual REC revenue received by the Company.</t>
  </si>
  <si>
    <t>Reclass of miscellaneous regulatory assets/liabilities that have flipped to debit/credit balances.</t>
  </si>
  <si>
    <t>RL - OR Energy Conservation Charge</t>
  </si>
  <si>
    <t xml:space="preserve">RL- DSM Balance </t>
  </si>
  <si>
    <t>Trojan Decommissioning Cost-Regulatory Asset</t>
  </si>
  <si>
    <t>RL - Depreciation Decrease - OR</t>
  </si>
  <si>
    <t>RL - Depreciation Decrease - WA</t>
  </si>
  <si>
    <t xml:space="preserve">DTA Net Operating Loss Carryforward-State </t>
  </si>
  <si>
    <t>Injuries &amp; Damages Accrual - Cash Basis</t>
  </si>
  <si>
    <t>205.201</t>
  </si>
  <si>
    <t>Inventory Reserve - Cholla Unit 4</t>
  </si>
  <si>
    <t xml:space="preserve">Accrued liability for estimated obsolete or excess inventory associated with the Cholla U4 closure.  </t>
  </si>
  <si>
    <t>505.105</t>
  </si>
  <si>
    <t>Liquidated Damages - Cholla Unit 4</t>
  </si>
  <si>
    <t xml:space="preserve">Liability account established to record liquidated damages payable to Peabody Coal due the announced closure of Cholla Unit 4 in 2020. </t>
  </si>
  <si>
    <t>425.160</t>
  </si>
  <si>
    <t>Lease Liability (Operating Lease)</t>
  </si>
  <si>
    <t>Operating lease liabilities established pursuant to the new leasing accounting standards under ASC 842.</t>
  </si>
  <si>
    <t>Accrued liability established to reserve for accounts receivable for which collection is not expected and for which the accumulated deferred income tax liability is expected to be reversed upon audit by the Internal Revenue Service.</t>
  </si>
  <si>
    <t>Contra Receivable Joint Owners</t>
  </si>
  <si>
    <t>Trapper Mine Contract Obligation</t>
  </si>
  <si>
    <t>Chehalis Mitigation Obligation</t>
  </si>
  <si>
    <t>Environmental Liability - Regulation</t>
  </si>
  <si>
    <t>Environmental Liability- Non Regulation</t>
  </si>
  <si>
    <t xml:space="preserve">Deferred Revenue </t>
  </si>
  <si>
    <t>Accrued liability used to signing bonuses from credit card providers that are deferred until such time as it is known that requisite spending thresholds have been met and PacifiCorp is entitled to the credits.</t>
  </si>
  <si>
    <t>The reserve was established to record the impairment loss of PacifiCorp Energy write off $2.0M of emission reduction credit.</t>
  </si>
  <si>
    <t>Deferred  Regulatory Asset-Transmission Service Deposit</t>
  </si>
  <si>
    <t>Miscellaneous Current &amp; Accrued Liability</t>
  </si>
  <si>
    <t>Unearned Joint Use Pole Contract Revenue</t>
  </si>
  <si>
    <t xml:space="preserve">N Umpqua Settlement Agreement </t>
  </si>
  <si>
    <t>Tenant Lease Allowances - PSU Cal</t>
  </si>
  <si>
    <t>FERC Transmission Allocable Excess Deferred Income Tax</t>
  </si>
  <si>
    <t>Contra PP&amp;E Cholla U4 Closure</t>
  </si>
  <si>
    <t>Contra PP&amp;E accounts established in order to record the impairment of Cholla U4 assets for non-recoverable jurisdictions.</t>
  </si>
  <si>
    <t>Contract Liability Basis Adj - Chehalis</t>
  </si>
  <si>
    <t>Contract Liability Basis Adj - Eagle Mountain</t>
  </si>
  <si>
    <t>Deferred tax balance associated with the protected property-related excess deferred income tax balances for PMI's portion of Bridger Coal Company's fixed assets.</t>
  </si>
  <si>
    <t>Accounting adjustment to record the amount of deferred tax expense associated with fixed assets that have been previously been paid by customers at a tax rate higher than the current tax rate and are probable of being refunded as the temporary book-tax differences reverse and the amount of tax benefits associated with fixed assets that have previously been flowed through to customers and are probable of recovery as the temporary book-tax differences reverse and result in higher taxable income as compared to book income.</t>
  </si>
  <si>
    <t>PP&amp;E book to tax differences for which the accumulated deferred income tax liability is expected to be reversed upon audit by the Internal Revenue Service.</t>
  </si>
  <si>
    <t>RA - Lease Depreciation - Timing Difference</t>
  </si>
  <si>
    <t xml:space="preserve">Regulatory asset established to account for the cumulative GAAP to FERC timing difference in depreciation expense, by finance lease agreement. GAAP reflects monthly depreciation straight line over the term of the lease vs. FERC where monthly depreciation expense is derived by the net of the lease payment less accrued lease interest.  
</t>
  </si>
  <si>
    <t>ROU Asset (Operating Lease)</t>
  </si>
  <si>
    <t>Operating lease assets established pursuant to the new leasing accounting standards under ASC 842.</t>
  </si>
  <si>
    <t>Book-tax difference related to relicensing cost for Klamath Dam.</t>
  </si>
  <si>
    <t>Contra RA - Cholla U4 Closure WA/FERC</t>
  </si>
  <si>
    <t>Contra regulatory asset established to account for the estimate of unrecoverable amounts in the Cholla U4 Regulatory asset (415.725)</t>
  </si>
  <si>
    <t>RA - BPA Balancing Account - WA</t>
  </si>
  <si>
    <t xml:space="preserve">Regulatory asset to record the pass-through benefit to Washington customers from the BPA. Qualifying customers, such as those who meet specified reductions in energy use during peak hours, are rewarded with a credit to their bill. </t>
  </si>
  <si>
    <t>RA - Cholla U4 Closure</t>
  </si>
  <si>
    <t>Regulatory asset established to account for the estimate of recoverable amounts related to the Cholla U4 closure.</t>
  </si>
  <si>
    <t>RA - Community Solar - OR</t>
  </si>
  <si>
    <t>Regulatory asset established to account for the deferral of costs related to the Oregon Community Solar Program.</t>
  </si>
  <si>
    <t>RA - Deferred Excess NPC - OR - Noncurrent</t>
  </si>
  <si>
    <t>RA - Fire Risk Mitigation - CA</t>
  </si>
  <si>
    <t>Regulatory asset established for the defer costs related to the California Fire Risk Mitigation Memorandum Account pursuant to Docket 19-05-042.</t>
  </si>
  <si>
    <t>RA - OR Transportation Electrification Pilot</t>
  </si>
  <si>
    <t>RA - Pension Settlement - WA</t>
  </si>
  <si>
    <t xml:space="preserve">Regulatory asset established to recover Washington's portion of a $22m pension settlement that occurred in 2018.  </t>
  </si>
  <si>
    <t xml:space="preserve">Regulatory Asset established based on CA Decision 16-03-015 which provided for a surcharge to recover $545,000 of costs recorded related to a storm in California.                                                                                                                                                                                                                                                                                                                                                            </t>
  </si>
  <si>
    <t xml:space="preserve">Pilot Program approved in September 2018 to record costs and collect fees connected to transportation electrification pilot programs. </t>
  </si>
  <si>
    <t>RA - Transportation Electrification Pilot - WA</t>
  </si>
  <si>
    <t>Regulatory asset established to record the deferral of the Merwin Project costs approved by the Washington Utility and Transportation Commission (WUTC).</t>
  </si>
  <si>
    <t>Regulatory asset established to segregate the accumulated Utah carrying charges to be recovered on Utah's allocable share of the post-retirement medical settlement loss.</t>
  </si>
  <si>
    <t>Prepaid - FSA O&amp;M - East</t>
  </si>
  <si>
    <t xml:space="preserve">Prepaid account established to record prepaid operating and maintenance advance payments for the east side repowered wind facilities.  </t>
  </si>
  <si>
    <t>Prepaid property tax book to tax differences for which the accumulated deferred income tax liability is expected to be reversed upon audit by the Internal Revenue Service.</t>
  </si>
  <si>
    <t>FERC Acct.</t>
  </si>
  <si>
    <t>Protected</t>
  </si>
  <si>
    <t>Non-Protected</t>
  </si>
  <si>
    <t>Accum. Deferred Income Tax Asset</t>
  </si>
  <si>
    <t>Accum. Deferred Income Tax Liability: Accelerated Amortization Property</t>
  </si>
  <si>
    <t>Accum. Deferred Income Tax Liability: Other Property</t>
  </si>
  <si>
    <t>Accum. Deferred Income Tax Liability: Other</t>
  </si>
  <si>
    <t>Subtotal: Accumulated Deferred Income Tax</t>
  </si>
  <si>
    <t>Other Regulatory Assets</t>
  </si>
  <si>
    <t>Other Regulatory Liabilities</t>
  </si>
  <si>
    <t>Total Excess Deferred Income Tax</t>
  </si>
  <si>
    <t>Gross-Up</t>
  </si>
  <si>
    <t>Excess Deferred Income Tax Regulatory Liability</t>
  </si>
  <si>
    <t>Total Excess Deferred Income Tax Before Gross-Up</t>
  </si>
  <si>
    <t>Protected Excess Deferred Income Tax is being amortized using the Reverse South Georgia Method over the remaining regulatory life of the assets.</t>
  </si>
  <si>
    <t>Non-Protected Excess Deferred Income Tax is being amortized over a five-year period.</t>
  </si>
  <si>
    <t>Formula Rate Inputs</t>
  </si>
  <si>
    <t>Remaining</t>
  </si>
  <si>
    <t>Regulatory</t>
  </si>
  <si>
    <t>#</t>
  </si>
  <si>
    <t>Amort.</t>
  </si>
  <si>
    <t>End. Balance</t>
  </si>
  <si>
    <t>12/31/2018</t>
  </si>
  <si>
    <t>12/31/2019</t>
  </si>
  <si>
    <t>12/31/2020</t>
  </si>
  <si>
    <t>12/31/2021</t>
  </si>
  <si>
    <t>12/31/2022</t>
  </si>
  <si>
    <t>12/31/2023</t>
  </si>
  <si>
    <t>12/31/2024</t>
  </si>
  <si>
    <t>12/31/2025</t>
  </si>
  <si>
    <t>12/31/2026</t>
  </si>
  <si>
    <t>12/31/2027</t>
  </si>
  <si>
    <t>12/31/2028</t>
  </si>
  <si>
    <t>12/31/2029</t>
  </si>
  <si>
    <t>12/31/2030</t>
  </si>
  <si>
    <t>12/31/2031</t>
  </si>
  <si>
    <t>12/31/2032</t>
  </si>
  <si>
    <t>12/31/2033</t>
  </si>
  <si>
    <t>12/31/2034</t>
  </si>
  <si>
    <t>12/31/2035</t>
  </si>
  <si>
    <t>12/31/2036</t>
  </si>
  <si>
    <t>12/31/2037</t>
  </si>
  <si>
    <t>12/31/2038</t>
  </si>
  <si>
    <t>12/31/2039</t>
  </si>
  <si>
    <t>12/31/2040</t>
  </si>
  <si>
    <t>12/31/2041</t>
  </si>
  <si>
    <t>12/31/2042</t>
  </si>
  <si>
    <t>12/31/2043</t>
  </si>
  <si>
    <t>12/31/2044</t>
  </si>
  <si>
    <t>12/31/2045</t>
  </si>
  <si>
    <t>12/31/2046</t>
  </si>
  <si>
    <t>12/31/2047</t>
  </si>
  <si>
    <t>12/31/2048</t>
  </si>
  <si>
    <t>12/31/2049</t>
  </si>
  <si>
    <t>12/31/2050</t>
  </si>
  <si>
    <t>12/31/2051</t>
  </si>
  <si>
    <t>12/31/2052</t>
  </si>
  <si>
    <t>12/31/2053</t>
  </si>
  <si>
    <t>12/31/2054</t>
  </si>
  <si>
    <t>12/31/2055</t>
  </si>
  <si>
    <t>12/31/2056</t>
  </si>
  <si>
    <t>12/31/2057</t>
  </si>
  <si>
    <t>12/31/2058</t>
  </si>
  <si>
    <t>12/31/2059</t>
  </si>
  <si>
    <t>12/31/2060</t>
  </si>
  <si>
    <t>12/31/2061</t>
  </si>
  <si>
    <t>12/31/2062</t>
  </si>
  <si>
    <t>12/31/2063</t>
  </si>
  <si>
    <t>12/31/2064</t>
  </si>
  <si>
    <t>12/31/2065</t>
  </si>
  <si>
    <t>12/31/2066</t>
  </si>
  <si>
    <t>12/31/2067</t>
  </si>
  <si>
    <t>12/31/2068</t>
  </si>
  <si>
    <t>Excess or Deficient ADIT Amortization</t>
  </si>
  <si>
    <t>Grossed up Excess or Deficient ADIT Amortization</t>
  </si>
  <si>
    <t>Attachment 1B</t>
  </si>
  <si>
    <t>Excess or Deficient ADIT Balance</t>
  </si>
  <si>
    <t>g26</t>
  </si>
  <si>
    <t>Company Records: Capital assets details</t>
  </si>
  <si>
    <t xml:space="preserve">&lt;-- 2019. This includes EIM Revenue Forecasting </t>
  </si>
  <si>
    <t>Excess or Deficient ADIT Amortization Adjustment * 1 / (1-T)</t>
  </si>
  <si>
    <t>Line 135b * 1 / (1-T)</t>
  </si>
  <si>
    <t>Annual</t>
  </si>
  <si>
    <t>Amortization</t>
  </si>
  <si>
    <t>ATT 1B - ADIT</t>
  </si>
  <si>
    <t>Adjustment</t>
  </si>
  <si>
    <t>Summary Table: (Excess) / Deficient ADIT</t>
  </si>
  <si>
    <t>Income Tax</t>
  </si>
  <si>
    <t>Allowance</t>
  </si>
  <si>
    <t>Appendix A, Line 33B</t>
  </si>
  <si>
    <t>Appendix A, Line 135b</t>
  </si>
  <si>
    <t>For the calendar year ended December 31, 2018, the balance is included in in FERC Acct. 282. Accordingly, it is excluded from the separately reported rate base adjustment in Appendix A to avoid being double counted.</t>
  </si>
  <si>
    <t>Att 1B - 2017 TCJA</t>
  </si>
  <si>
    <t>Excess deferred income taxes were reported in FERC Acct. 282 through 2018. Accordingly no separate rate base adjustment was reported in Appendix A.</t>
  </si>
  <si>
    <t>Attachment 1B - Summary Table: (Excess) / Deficient ADIT</t>
  </si>
  <si>
    <t>Attachment 1B - 2017 Tax Cuts and Jobs Act of 2017</t>
  </si>
  <si>
    <t xml:space="preserve">Total </t>
  </si>
  <si>
    <t>='Att 1 - ADIT'!$E$167</t>
  </si>
  <si>
    <t>='Att 1 - ADIT'!$E$193</t>
  </si>
  <si>
    <t>='Att 1 - ADIT'!$E$285</t>
  </si>
  <si>
    <t>='Att 1a - ADIT'!$E$271</t>
  </si>
  <si>
    <t>='Att 1a - ADIT'!$E$396</t>
  </si>
  <si>
    <t>='Att 1 - ADIT'!$E$409</t>
  </si>
  <si>
    <t>The net liability for excess deferred income tax is recorded in FERC Acct. 254 and is being amortized to FERC Acct. 411.1.</t>
  </si>
  <si>
    <t>='Appendix A'!$H$123</t>
  </si>
  <si>
    <t>='Appendix A'!$H$118</t>
  </si>
  <si>
    <t>Other (Business &amp; Occupation, Nevada Comm. Tax, Use)</t>
  </si>
  <si>
    <t>f19</t>
  </si>
  <si>
    <t>f20</t>
  </si>
  <si>
    <t>TABLE 1: Summary of Excess Deferred Income Tax by Account and Protected/Non-Protected Classification</t>
  </si>
  <si>
    <t>TABLE 2: Summary of Excess Deferred Income Tax by Function and Protected/Non-Protected Classification</t>
  </si>
  <si>
    <t>TABLE 3: Annual Tracking of (Excess) or Deficient ADIT</t>
  </si>
  <si>
    <t>136b</t>
  </si>
  <si>
    <t>Appendix A (Line 135c)</t>
  </si>
  <si>
    <t>g27</t>
  </si>
  <si>
    <t>RS 262/RS 263</t>
  </si>
  <si>
    <t>(see note)</t>
  </si>
  <si>
    <t>Protected EDIT (RSGM)</t>
  </si>
  <si>
    <t>Unamortized</t>
  </si>
  <si>
    <t>General</t>
  </si>
  <si>
    <t>Non-Protected EDIT</t>
  </si>
  <si>
    <t>(Excess) / Deficient ADIT</t>
  </si>
  <si>
    <t>- - -</t>
  </si>
  <si>
    <t>Total unfunded Other Post-Employment Benefit Obligation (OPEB) liability as required under FAS 158.</t>
  </si>
  <si>
    <t xml:space="preserve">On December 22, 2017, Tax Cuts and Jobs Act was signed into law by the President. One of the significant changes is the corporate income tax rate is reduced from 35% to 21%. The law becomes effective for taxable years beginning after December 31, 2017. As a result of the change in law, the revenue requirement was recalculated by using the new income tax rate and the reduced revenue requirement will be given back to customers.   </t>
  </si>
  <si>
    <t>On December 22, 2017, Tax Cuts and Jobs Act was signed into law by the President. One of the significant changes is the corporate income tax rate is reduced from 35% to 21%. The law becomes effective for taxable years beginning after December 31, 2017. As a result of the change in tax rate, excess deferred income taxes related to protected property are required to be amortized via the Average Rate Assumption Method, or ARAM.    Protected property differences are considered method/life depreciation differences on public utility property.   ARAM amortization for protected property began on January 1, 2018 and is calculated by the PowerTax Fixed Assets software.</t>
  </si>
  <si>
    <t>Gross Up of Nonprotected PP&amp;E EDIT</t>
  </si>
  <si>
    <t>The cash received by PacifiCorp for the sale of the credits will be used to fund programs consistent with the following six principles adopted by the OPUC: (1) support the goal of electrifying Oregon’s transportation sectors, (2) provide majority of benefits to residential customers, (3) provide benefits to traditionally underserved communities, (4) programs are designed to be independent from ratepayer support, (5) programs are developed collaboratively and transparently, and (6) maximize use of funds for implementation of programs. Revenue is to be recorded as “other revenue” using SAP Account 353001, OR Clean Fuel Credits Revenue. Amortization expense for program costs incurred for Oregon Clean Fuels program (offset in Clean Fuel Credits Revenue) is to be recorded to SAP Account 553475, OR Clean Fuel Program Amortz Expense.</t>
  </si>
  <si>
    <t xml:space="preserve">A regulatory liability with respect to the excess deferred income taxes associated with property accumulated deferred income taxes, the effects of flow through from PP&amp;E book/tax differences and other deferred items that do not have current provision impacts. </t>
  </si>
  <si>
    <t>A regulatory liability established with respect to the excess deferred income taxes associated with the non-property accumulated deferred income taxes allocable to Oregon resulting from the change in the income tax rate.</t>
  </si>
  <si>
    <t>A regulatory liability established with respect to the excess deferred income taxes associated with the non-property accumulated deferred income taxes allocable to Utah resulting from the change in the income tax rate.</t>
  </si>
  <si>
    <t>A regulatory liability established with respect to the excess deferred income taxes associated with the non-property accumulated deferred income taxes resulting from the change in the income tax rate.</t>
  </si>
  <si>
    <t xml:space="preserve">Regulatory liability established to record UT solar Feed in Tarriff. </t>
  </si>
  <si>
    <t>Regulatory liability established to record CA solar Feed in Tarriff.</t>
  </si>
  <si>
    <t xml:space="preserve">Regulatory Liability established to record the  costs in excess of base net power costs according to established calculations and were created to accommodate the recovery of excess net power costs through the Wyoming Energy Cost Adjustment Mechanism, or WY ECAM.  </t>
  </si>
  <si>
    <t xml:space="preserve">Regulatory Liability established to record the  costs in excess of base net power costs according to established calculations and were created to accommodate the recovery of excess net power costs through the UT Energy Cost Adjustment Mechanism, or UT ECAM.  </t>
  </si>
  <si>
    <t>This account is to reclass the noncurrent portion of regulatory assets for insurance reserves and intervenor fees to liabilityies when the balance of the regulatory assets result in a credit balance instead of a debit balance, or vice versa.</t>
  </si>
  <si>
    <t>NW Power Act is funded by Bonneville Power Administration (BPA).  Qualifying customers receive a benefit on their bill from the Company which is subsequently reimbursed by BPA. The Company receives a fixed monthly payment from BPA. The payment is deferred as a credit in this balancing account.</t>
  </si>
  <si>
    <t>Regulatroy asset established to segregate the accumulated Utah carrying charges to be recovered on Utah's allocable share of the post-retirement medical settlement loss.</t>
  </si>
  <si>
    <t>Regulatory asset established to segregate the accumulated Wyoming carrying charges to be recovered on Wyoming's allocable share of the post-retirement medical settlement loss.</t>
  </si>
  <si>
    <t>Regulatory asset established for the Oregon allocated share of a post-retirement benefits measurement date change transitional adjustment recorded in December 2008.</t>
  </si>
  <si>
    <t>Regulatory asset established for the California allocated share of a post-retirement benefits measurement date change transitional adjustment recorded in December 2008.</t>
  </si>
  <si>
    <t>Accrued liability established reserves (contingent liabilities) for anticipated injury and damage expenses.</t>
  </si>
  <si>
    <t>Accrued liability established to reserve for accounts receivable for which collection is not expected and for which the accumulated deferred income tax liablity is expected to be reversed upon audit by the Internal Revenue Service.</t>
  </si>
  <si>
    <t>Accrual to reserve for sales and use tax.</t>
  </si>
  <si>
    <t>Accrued liability used to defer credits for book purposes that are received from Citibank in connection with PacifiCorp's use of the Citibank One Card. The credits from Citibank are deferred until such time as it is known that requisite spending thresholds have been met and PacifiCorp is entitled to the credits.</t>
  </si>
  <si>
    <t>The reserve was established to record the impairment loss of PacifiCorp Energy write off $2.0M of emmission reduction credit.</t>
  </si>
  <si>
    <t>Book-tax difference related to the reporting of book income from Bridger Coal Company on the books of PacifiCorp.</t>
  </si>
  <si>
    <t>A settlement receivable from Deseret Generation and Transmission Cooperative (Deseret) regarding a payment dispute over pollution upgrades at the Hunter Unit 2 coal plant.</t>
  </si>
  <si>
    <t>PowerTax Report #169: Transmission Book Allocation Group - Deferred EDIT Amort</t>
  </si>
  <si>
    <t>PowerTax Report #169: Intangible Book Allocation Group - Deferred EDIT Amort</t>
  </si>
  <si>
    <t>PowerTax Report #169: General Book Allocation Group - Deferred EDIT Amort</t>
  </si>
  <si>
    <t>Book-tax basis difference for coal mine development costs, which are capitalized for book purposes. For income tax purposes, 70% of coal mine development costs are deductible in the year incurred and the remaining 30% are capitalized for tax and amortized over 60 months.</t>
  </si>
  <si>
    <t>Book-tax difference basis difference for costs incurred to maintain normal mine production in view of the recession of the working face of the mine.  For book purposes, these costs are capitalized.  For income tax purposes the costs are deductible in the period paid or incurred.</t>
  </si>
  <si>
    <t>Accounting adjustment to record the amount of deferred tax expense associated with fixed assets that have previously been paid by customers at a higher tax rate than the current tax rate and are probable of being refunded as the temporary book-tax differences reverse and result in higher taxable income as compared to book income.</t>
  </si>
  <si>
    <t>Accounting adjustment to record the amount of deferred tax expense associated with fixed assets that have been previously been paid by customers at a tax rate higher than the current tax rate and are probable of being refunded as the temporary book-tax differenes reverse and the amount of tax benefits associated with fixed assets that have previously been flowed through to customers and are probable of recovery as the temporary book-tax differences reverse and result in higher taxable income as compared to book income.</t>
  </si>
  <si>
    <t xml:space="preserve">On December 22, 2017, Tax Cuts and Jobs Act was signed into law by the President. One of the significant changes is the corporate income tax rate is reduced from 35% to 21%. For GAAP purposes, the new tax rate was effective on the date of enactment, or December 31, 2017.  As a result of the change in law, the deferred tax assets and liabilities were revalued at the new tax rate, which resulted in an amount referred to as Excess Deferred Income Taxes, or EDIT. </t>
  </si>
  <si>
    <t>PP&amp;E book to tax differences for which the accumulated deferred income tax liablity is expected to be reversed upon audit by the Internal Revenue Service.</t>
  </si>
  <si>
    <t>On December 22, 2017, Tax Cuts and Jobs Act was signed into law by the President. One of the significant changes is the corporate income tax rate is reduced from 35% to 21%. For GAAP purposes, the new tax rate was effective on the date of enactment, or December 31, 2017.  As a result of the change in law, the deferred tax assets and liabilities were revalued at the new tax rate, which resulted in an amount referred to as Excess Deferred Income Taxes, or EDIT.</t>
  </si>
  <si>
    <t>Book-tax difference related to relicensing cost for Klammath Dam.</t>
  </si>
  <si>
    <t>Regulatory asset established for the California allocated share of a pension curtailment gain and measurement date change transitional adjustment recorded in December 2008.</t>
  </si>
  <si>
    <t>Regulatory asset established for the  Oregon allocated share of a pension curtailment gain and measurement date change transitional adjustment recorded in December 2008.</t>
  </si>
  <si>
    <t xml:space="preserve">Regulatory assett established to record a contra regulatory asset for the curtailment gain/loss on the elimination of the cash balance option in the company pension plan. </t>
  </si>
  <si>
    <t>Regulatory asset established for noncurrent portion of deferral of Oregon prepaid renewable energy creidt purchases for Renewable Portfolio Standard compliance and the related interest income.</t>
  </si>
  <si>
    <t>Regulatory asset established for the noncurrent portion of Utah renewable energy credits included in rates that differ from actual renewable energy credits.</t>
  </si>
  <si>
    <t xml:space="preserve">Regulatory Asset established based on CA Decision 16-03-015 whcih provided for a surcharge to recover $545,000 of costs recorded related to a storm in California.                                                                                                                                                                                                                                                                                                                                                            </t>
  </si>
  <si>
    <t xml:space="preserve">Pilot Program approved in September 2018 to record costs and collect fees connected to Oregon transportation electrification pilot programs. </t>
  </si>
  <si>
    <t>Regulatory asset established torecord the deferral of the Merwin Project costs approved by the Washington Utility and Transportation Commission (WUTC).</t>
  </si>
  <si>
    <t>Regulaory asset established to reflect the book-tax difference in the cost of the Deer Creek and Trail Mountain coal inventory.</t>
  </si>
  <si>
    <t>Prepaid property tax book to tax differences for which the accumulated deferred income tax liablity is expected to be reversed upon audit by the Internal Revenue Service.</t>
  </si>
  <si>
    <t>Hazelwood Substation</t>
  </si>
  <si>
    <t>Harmony - W. Cedar ROW</t>
  </si>
  <si>
    <t>Terminal - Oquirrh 138 Kv Line</t>
  </si>
  <si>
    <t>Aeolus Substation</t>
  </si>
  <si>
    <t>Anticline Substation</t>
  </si>
  <si>
    <t>Bastion Property / Populus Substation</t>
  </si>
  <si>
    <t>Chimney Butte-Paradise 230kV ROW</t>
  </si>
  <si>
    <t>Helper Substation Expansion</t>
  </si>
  <si>
    <t>Arizona Public Service RS 436</t>
  </si>
  <si>
    <t>BPA: GTA West RS 237</t>
  </si>
  <si>
    <t>BPA Malin RS 368</t>
  </si>
  <si>
    <t>BPA GTA S. Idaho RS 299</t>
  </si>
  <si>
    <t>Cowlitz RS 234</t>
  </si>
  <si>
    <t>Deseret RS 280</t>
  </si>
  <si>
    <t>Enel Cove Deferral Fee</t>
  </si>
  <si>
    <t>Fall River RS 322</t>
  </si>
  <si>
    <t>Idaho RS 257 - Antelope Sub</t>
  </si>
  <si>
    <t>Idaho RS 203 - Jim Bridger Pumps</t>
  </si>
  <si>
    <t>Moon Lake RS 302</t>
  </si>
  <si>
    <t>Obsidian Deferral</t>
  </si>
  <si>
    <t>Pacific Gas and Electric RS 607</t>
  </si>
  <si>
    <t>Pacific Gas and Electric RS 298</t>
  </si>
  <si>
    <t>Portland General Electric</t>
  </si>
  <si>
    <t>Sierra Pacific Power RS 267</t>
  </si>
  <si>
    <t>Southern Cal Edison RS 298</t>
  </si>
  <si>
    <t>Tri-State RS 123</t>
  </si>
  <si>
    <t>USBR Crooked River RS 67</t>
  </si>
  <si>
    <t>USBR Weber Basin RS 286</t>
  </si>
  <si>
    <t>UAMPS RS 297</t>
  </si>
  <si>
    <t>UMPA RS 637</t>
  </si>
  <si>
    <t>Warm Springs RS 591</t>
  </si>
  <si>
    <t>WAPA RS 262</t>
  </si>
  <si>
    <t>WAPA RS 262-Fixed Fee</t>
  </si>
  <si>
    <t>WAPA RS 263</t>
  </si>
  <si>
    <t>Iberdrola Deferral Fee</t>
  </si>
  <si>
    <t>Sacramento Municipal Utility District Deferral Fee</t>
  </si>
  <si>
    <t>Additional OS Revenue Credit</t>
  </si>
  <si>
    <t xml:space="preserve">n/a </t>
  </si>
  <si>
    <t>Airbreak Switch</t>
  </si>
  <si>
    <t>Breaker</t>
  </si>
  <si>
    <t>Bus</t>
  </si>
  <si>
    <t>Fire Protection</t>
  </si>
  <si>
    <t>Foundation And Substructure</t>
  </si>
  <si>
    <t>Insulator</t>
  </si>
  <si>
    <t>Lightning Arrester</t>
  </si>
  <si>
    <t>Misc</t>
  </si>
  <si>
    <t>Relay And Control</t>
  </si>
  <si>
    <t>Steel Structure</t>
  </si>
  <si>
    <t>Step-Up Transformer</t>
  </si>
  <si>
    <t>CA GHG Retail Obligation</t>
  </si>
  <si>
    <t>Estimate by C&amp;T</t>
  </si>
  <si>
    <t>Unfunded</t>
  </si>
  <si>
    <t>CA GHG Wholesale Obligation</t>
  </si>
  <si>
    <t>Lidar (Wood Hollow)</t>
  </si>
  <si>
    <t>Estimate by PE Legal</t>
  </si>
  <si>
    <t>Employment Claims</t>
  </si>
  <si>
    <t>L-T Accrued Settlement Provision (USA Power Settlement)</t>
  </si>
  <si>
    <t>Deseret Physical Loss - Reserve for Dispute</t>
  </si>
  <si>
    <t>BPA Short Distance Discount (SDD)</t>
  </si>
  <si>
    <t>Accum Provision for Rate Refunds</t>
  </si>
  <si>
    <t>Estimate by PacTrans</t>
  </si>
  <si>
    <t xml:space="preserve">Trapper Mine Reclamation Obligation </t>
  </si>
  <si>
    <t>Estimate based upon 54¢ per ton of coal produced</t>
  </si>
  <si>
    <t>Accrued Right-of-Way Obligation (100% Transmission)</t>
  </si>
  <si>
    <t>Estimate by RMP Finance</t>
  </si>
  <si>
    <t>582300 (ORD 24019 &amp; 16950288)</t>
  </si>
  <si>
    <t>566, 567</t>
  </si>
  <si>
    <t>Accrued Right-of-Way Obligation (Other)</t>
  </si>
  <si>
    <t>582300 (ORD 240192 &amp; 240542)</t>
  </si>
  <si>
    <t>Injuries &amp; Damages Reserve Risk ("Labor")</t>
  </si>
  <si>
    <t>Estimates by Legal ("Labor")</t>
  </si>
  <si>
    <t>Injuries &amp; Damages Reserve Risk ("Other")</t>
  </si>
  <si>
    <t>Estimates by Legal ("Other")</t>
  </si>
  <si>
    <t>Injuries &amp; Damages Reserve Risk (Insurance Recovery-"Labor")</t>
  </si>
  <si>
    <t>Injuries &amp; Damages Reserve Risk (Insurance Recovery-"Other")</t>
  </si>
  <si>
    <t xml:space="preserve">Provision for Customer A/R (CSS)                                                  </t>
  </si>
  <si>
    <t>Calculated and Known Items</t>
  </si>
  <si>
    <t xml:space="preserve">Provision for Other A/R (OAR)   </t>
  </si>
  <si>
    <t>Provision for Other A/R (Joint Use)</t>
  </si>
  <si>
    <t>Accrual based on 100% of Fines &amp; Sanctions, Accommodations, Back Rent, and Reimbursements.   Pole Contact, Make Ready Capital, and reimbursements under contract are reserved at 10% of the outstanding balance in acct. 118157.  Decrease due to revisions mad</t>
  </si>
  <si>
    <t>Bad Debt Reserve - Pole Contracts</t>
  </si>
  <si>
    <t>Uncollectible pole contact revenue - customer specific.</t>
  </si>
  <si>
    <t>Provision for Doubtful Debts - Other</t>
  </si>
  <si>
    <t>Known</t>
  </si>
  <si>
    <t>Bad Debt Reserve - Transmission</t>
  </si>
  <si>
    <t>Provision for Unbilled Revenue PP</t>
  </si>
  <si>
    <t>Provision for Unbilled Revenue RMP</t>
  </si>
  <si>
    <t>Inventory Reserve - Power Supply</t>
  </si>
  <si>
    <t>Known - Calculated</t>
  </si>
  <si>
    <t>Inventory Reserve - RMP (T&amp;D)</t>
  </si>
  <si>
    <t>Calc by RMP Finance</t>
  </si>
  <si>
    <t>707.1 / 707.2</t>
  </si>
  <si>
    <t>Inventory Reserve - PP (T&amp;D)</t>
  </si>
  <si>
    <t>Calc by PP Finance</t>
  </si>
  <si>
    <t>Construction Work-in-Progress (CWIP) Reserve</t>
  </si>
  <si>
    <t>Calculated</t>
  </si>
  <si>
    <t>557 / 598</t>
  </si>
  <si>
    <t>CWIP Reserve-Disallowance Loss</t>
  </si>
  <si>
    <t>Contra PP&amp;E - Cholla U4 - CWIP</t>
  </si>
  <si>
    <t>Uncollectible Weatherization Loans Reserve</t>
  </si>
  <si>
    <t>Historical Trend Judgment</t>
  </si>
  <si>
    <t>Provision for Unbilled Severance Tax Cap (Chevron Mining Co.)</t>
  </si>
  <si>
    <t>Estimate by Mining</t>
  </si>
  <si>
    <t>Accrued Liquated Damages (Current) - Naughton</t>
  </si>
  <si>
    <t>Fuel Management</t>
  </si>
  <si>
    <t>Accrued Liquated Damages (Current) - Cholla</t>
  </si>
  <si>
    <t>Accrual - Severance Payments</t>
  </si>
  <si>
    <t>Annual Incentive Plan (AIP)</t>
  </si>
  <si>
    <t>Calculated plus CEO Discretion</t>
  </si>
  <si>
    <t>Follows Labor</t>
  </si>
  <si>
    <t>401(K) Discretionary 1% Company Match</t>
  </si>
  <si>
    <t>Safety Awards Payable</t>
  </si>
  <si>
    <t>Citi Card Signing Bonus &amp; Usage Bonus (Deferred Revenue)</t>
  </si>
  <si>
    <t>Estimate by A/P</t>
  </si>
  <si>
    <t>Prefunded</t>
  </si>
  <si>
    <t>Accrued Liquated Damages (NonCurrent) - Naughton</t>
  </si>
  <si>
    <t>Environmental Liabilities - Centralia Plant</t>
  </si>
  <si>
    <t>Estimate by Environmental Engrg</t>
  </si>
  <si>
    <t>Unfunded / Gains Given Back to Customers</t>
  </si>
  <si>
    <t>Environmental Liabilities - Centralia Mine (J.O.)</t>
  </si>
  <si>
    <t>Environmental Liabilities - Centralia Mine (PCorp)</t>
  </si>
  <si>
    <t>Vacation Accrual IBEW 57</t>
  </si>
  <si>
    <t>Calculated by Payroll</t>
  </si>
  <si>
    <t>Vacation Accrual IBEW 125</t>
  </si>
  <si>
    <t>Vacation Accrual IBEW 659</t>
  </si>
  <si>
    <t>Personal Time Accrual IBEW 57 - Laramie</t>
  </si>
  <si>
    <t>Personal Time Accrual UWUA 127</t>
  </si>
  <si>
    <t>Personal Time Accrual UWUA 197</t>
  </si>
  <si>
    <t>Personal Time Accrual Non-Union</t>
  </si>
  <si>
    <t>Sick Leave Accrual IBEW 57</t>
  </si>
  <si>
    <t>Supplemental Pension Benefits (Retirement Allowances)</t>
  </si>
  <si>
    <t>Pension - Known by HR/Payroll</t>
  </si>
  <si>
    <t>Pension - Local 57</t>
  </si>
  <si>
    <t>Pension - Calculated - Actuary</t>
  </si>
  <si>
    <t>SERP - Calculated - Actuary</t>
  </si>
  <si>
    <t>920 / 426.5</t>
  </si>
  <si>
    <t xml:space="preserve">FAS 158 SERP Accumulated Other Comprehensive Income </t>
  </si>
  <si>
    <t>Accum OCI/partially ofsetting unfunded SERP liability</t>
  </si>
  <si>
    <t>FAS 112 Book Reserve</t>
  </si>
  <si>
    <t>Post-Employ - Calculated - Actuary</t>
  </si>
  <si>
    <t>Wasatch Worker's Compensation Reserve</t>
  </si>
  <si>
    <t>BPA Yakama</t>
  </si>
  <si>
    <t>BPA Gazley</t>
  </si>
  <si>
    <t>BPA Clarke PUD</t>
  </si>
  <si>
    <t>BPA: Benton REA</t>
  </si>
  <si>
    <t>BPA Oregon Wind</t>
  </si>
  <si>
    <t>BPA CEC</t>
  </si>
  <si>
    <t xml:space="preserve"> Tri-State</t>
  </si>
  <si>
    <t>Calpine Energy Solutions LLC</t>
  </si>
  <si>
    <t>Basin Electric</t>
  </si>
  <si>
    <t>Black Hills</t>
  </si>
  <si>
    <t xml:space="preserve">USBR </t>
  </si>
  <si>
    <t>WAPA</t>
  </si>
  <si>
    <t>Avangrid Renewables, LLC</t>
  </si>
  <si>
    <t>Exelon</t>
  </si>
  <si>
    <t>BPA South East Idaho</t>
  </si>
  <si>
    <t>BPA Idaho Falls</t>
  </si>
  <si>
    <t>3 Phases Renewables Inc.</t>
  </si>
  <si>
    <t>NTUA</t>
  </si>
  <si>
    <t xml:space="preserve">BPA SVEC </t>
  </si>
  <si>
    <t>BPA
West Extension</t>
  </si>
  <si>
    <t>SA 328</t>
  </si>
  <si>
    <t>SA 229</t>
  </si>
  <si>
    <t>SA 735</t>
  </si>
  <si>
    <t>SA 539</t>
  </si>
  <si>
    <t>SA 538</t>
  </si>
  <si>
    <t>SA 827</t>
  </si>
  <si>
    <t>SA 628</t>
  </si>
  <si>
    <t>SA 299</t>
  </si>
  <si>
    <t>SA 505</t>
  </si>
  <si>
    <t>SA 347</t>
  </si>
  <si>
    <t>SA 506</t>
  </si>
  <si>
    <t>SA 175</t>
  </si>
  <si>
    <t>SA 742</t>
  </si>
  <si>
    <t>SA 943</t>
  </si>
  <si>
    <t>SA 746</t>
  </si>
  <si>
    <t>SA 747</t>
  </si>
  <si>
    <t>SA 876</t>
  </si>
  <si>
    <t>SA 894</t>
  </si>
  <si>
    <t>SA 865</t>
  </si>
  <si>
    <t>SA 975</t>
  </si>
  <si>
    <t>Black Hills, Inc.</t>
  </si>
  <si>
    <t>BPA</t>
  </si>
  <si>
    <t>Idaho Power</t>
  </si>
  <si>
    <t>Avangrid</t>
  </si>
  <si>
    <t>Thermo No. 1</t>
  </si>
  <si>
    <t>Powerex</t>
  </si>
  <si>
    <t xml:space="preserve">NextEra: </t>
  </si>
  <si>
    <t>State of SD</t>
  </si>
  <si>
    <t>Sacramento Muncipal Utility District</t>
  </si>
  <si>
    <t>Salt River Project</t>
  </si>
  <si>
    <t>Clatskanie People's Utilitiy District</t>
  </si>
  <si>
    <t>Evergreen Biopower, LLC</t>
  </si>
  <si>
    <t>Garrett Solar</t>
  </si>
  <si>
    <t>Airport Solar, LLC</t>
  </si>
  <si>
    <t>EWEB</t>
  </si>
  <si>
    <t>Falls Creek</t>
  </si>
  <si>
    <t>Losses</t>
  </si>
  <si>
    <t>City of Roseville</t>
  </si>
  <si>
    <t>Enyo Renewable Energy</t>
  </si>
  <si>
    <t>SA 67</t>
  </si>
  <si>
    <t>SA 179</t>
  </si>
  <si>
    <t>SA 656</t>
  </si>
  <si>
    <t>SA 212</t>
  </si>
  <si>
    <t>SA 895</t>
  </si>
  <si>
    <t>SA 568</t>
  </si>
  <si>
    <t>SA 169</t>
  </si>
  <si>
    <t>SA 733</t>
  </si>
  <si>
    <t>SA 779</t>
  </si>
  <si>
    <t>SA 863</t>
  </si>
  <si>
    <t>SA 809</t>
  </si>
  <si>
    <t>SA 899/ SA 901</t>
  </si>
  <si>
    <t>SA 874</t>
  </si>
  <si>
    <t>SA 966</t>
  </si>
  <si>
    <t>SA 965</t>
  </si>
  <si>
    <t>SA 605</t>
  </si>
  <si>
    <t>SA 868</t>
  </si>
  <si>
    <t>SA 700</t>
  </si>
  <si>
    <t>SA 701</t>
  </si>
  <si>
    <t>SA 702</t>
  </si>
  <si>
    <t>SA 748</t>
  </si>
  <si>
    <t>SA 749</t>
  </si>
  <si>
    <t>SA 881</t>
  </si>
  <si>
    <t>SA 873</t>
  </si>
  <si>
    <t>BPA Neff</t>
  </si>
  <si>
    <t>BPA S. Idaho</t>
  </si>
  <si>
    <t>BPA Airport Solar</t>
  </si>
  <si>
    <t>SA 836</t>
  </si>
  <si>
    <t>Clatskanie Peoples Utiliti District</t>
  </si>
  <si>
    <t>Evergreen Bio</t>
  </si>
  <si>
    <t>Thermo No 1 (CRYQ)</t>
  </si>
  <si>
    <t>Garrrett Solar</t>
  </si>
  <si>
    <t>Obsidian</t>
  </si>
  <si>
    <t>SA 899</t>
  </si>
  <si>
    <t>SA 900</t>
  </si>
  <si>
    <t>SA 901</t>
  </si>
  <si>
    <t>SA 880</t>
  </si>
  <si>
    <t>Prep Ins-Publ Liab &amp; Prop Damage</t>
  </si>
  <si>
    <t>Prep Ins-All Purpose Insurance</t>
  </si>
  <si>
    <t>Prep Ins-D&amp;O Liability</t>
  </si>
  <si>
    <t>Prep Ins-Minority Owned Plants</t>
  </si>
  <si>
    <t>Prepaid Workers Compensation</t>
  </si>
  <si>
    <t>Prepaid Employee Benefit Costs</t>
  </si>
  <si>
    <t>I/C Prepaid Captive Prop Insur - MEHC</t>
  </si>
  <si>
    <t>I/C Prepaid Captive Liab Insur - MEHC</t>
  </si>
  <si>
    <t>OR-Prepaid Property Tax</t>
  </si>
  <si>
    <t>Prepaid Taxes (Federal, State, Local)</t>
  </si>
  <si>
    <t>Other Prepayments - Oregon DOE Fee</t>
  </si>
  <si>
    <t>Prepaid Emissions Permit Fees (UT)</t>
  </si>
  <si>
    <t>Prepaid RECs for RPS (WA)</t>
  </si>
  <si>
    <t>Prepaid CA GHG Cap &amp; Trade Allowances Retail</t>
  </si>
  <si>
    <t>Prepaid CA GHG Cap &amp; Trade Allowances Wholesale</t>
  </si>
  <si>
    <t>Prepaid Rating Agency Fees</t>
  </si>
  <si>
    <t>Prepaid Surety Bond</t>
  </si>
  <si>
    <t>Prepaid Seven Mile I</t>
  </si>
  <si>
    <t>Prepaid Seven Mile II</t>
  </si>
  <si>
    <t>Other Prepay-Ashton Plant Land</t>
  </si>
  <si>
    <t>Other Prepay - Lease Commissions</t>
  </si>
  <si>
    <t>Prepayments - Water Rights Lease</t>
  </si>
  <si>
    <t>Prepayments - Water Rights (Ferron Canal)</t>
  </si>
  <si>
    <t>Prepayments - Water Rights (Hntngtn-Clev)</t>
  </si>
  <si>
    <t>Prepaid Lake Side CUWCD Water Fee</t>
  </si>
  <si>
    <t>Prepaid OR Renewal &amp; Habitat Restoration</t>
  </si>
  <si>
    <t>Prepaid Dues</t>
  </si>
  <si>
    <t>Prepaid Rent</t>
  </si>
  <si>
    <t>Prepaid Leaning Juniper</t>
  </si>
  <si>
    <t>Prepaid Pole Contact Rental</t>
  </si>
  <si>
    <t>Prepaid O&amp;M - Wind</t>
  </si>
  <si>
    <t>Prepaid Aircraft Maint</t>
  </si>
  <si>
    <t>Prepaid LGIA Transmission</t>
  </si>
  <si>
    <t>Prepaid BPA Transmission - Wine Country</t>
  </si>
  <si>
    <t>Prepayments - Other</t>
  </si>
  <si>
    <t>Prep Fees-Oregon Pub Util Commission</t>
  </si>
  <si>
    <t>Prep Fees-Utah Public Service Commission</t>
  </si>
  <si>
    <t>Prep Fees-Idaho Pub Util Commission</t>
  </si>
  <si>
    <t>Prepaid Vehicle Licensing Fees</t>
  </si>
  <si>
    <t>Prepayments - Hardware &amp; Software</t>
  </si>
  <si>
    <t>Prepaid Royalties</t>
  </si>
  <si>
    <t>Prepayments - Insurance - Reclass to L-T</t>
  </si>
  <si>
    <t>Prepayments - Reclass to Long-Term</t>
  </si>
  <si>
    <t>Long-Term Prepayments - Reclass from Current</t>
  </si>
  <si>
    <t>Prepaid Interest Company-Owned Life Ins</t>
  </si>
  <si>
    <t>Prepaid Interest - SERP Life Insurance</t>
  </si>
  <si>
    <t>Discount on Short-Term Securities</t>
  </si>
  <si>
    <t>Prepaid Mining Costs</t>
  </si>
  <si>
    <t>2020 projection</t>
  </si>
  <si>
    <t xml:space="preserve">Gateway plant-in-service detail (2020 projection) </t>
  </si>
  <si>
    <t>True-Up</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</si>
</sst>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 Form 1 data&quot;"/>
    <numFmt numFmtId="166" formatCode="0.0%"/>
    <numFmt numFmtId="167" formatCode="0.0000%"/>
    <numFmt numFmtId="168" formatCode="0.000%"/>
    <numFmt numFmtId="169" formatCode="0.0000"/>
    <numFmt numFmtId="170" formatCode="0.00000"/>
    <numFmt numFmtId="171" formatCode="&quot;$&quot;#,##0.00"/>
    <numFmt numFmtId="172" formatCode="General_)"/>
    <numFmt numFmtId="173" formatCode="#,##0.000000_);\(#,##0.000000\)"/>
    <numFmt numFmtId="174" formatCode="#,##0.00000_);\(#,##0.00000\)"/>
    <numFmt numFmtId="175" formatCode="&quot;$&quot;#,##0.000000_);\(&quot;$&quot;#,##0.000000\)"/>
    <numFmt numFmtId="176" formatCode="&quot;$&quot;#,##0.000_);\(&quot;$&quot;#,##0.000\)"/>
    <numFmt numFmtId="177" formatCode="0_)"/>
    <numFmt numFmtId="178" formatCode="0.000_)"/>
    <numFmt numFmtId="179" formatCode="0.00000%"/>
    <numFmt numFmtId="180" formatCode="_(&quot;$&quot;* #,##0_);_(&quot;$&quot;* \(#,##0\);_(&quot;$&quot;* &quot;-&quot;??_);_(@_)"/>
    <numFmt numFmtId="181" formatCode="_(* #,##0.000_);_(* \(#,##0.000\);_(* &quot;-&quot;??_);_(@_)"/>
    <numFmt numFmtId="182" formatCode="#,##0.0_);\(#,##0.0\)"/>
    <numFmt numFmtId="183" formatCode="0;[Red]0"/>
    <numFmt numFmtId="184" formatCode="mmm\ dd\,\ yyyy"/>
    <numFmt numFmtId="185" formatCode="#,##0.000_);\(#,##0.000\)"/>
    <numFmt numFmtId="186" formatCode="_(* #,##0.0_);_(* \(#,##0.0\);_(* &quot;-&quot;??_);_(@_)"/>
    <numFmt numFmtId="187" formatCode="mmmm\ d\,\ yyyy"/>
    <numFmt numFmtId="188" formatCode="mmm\ yyyy"/>
    <numFmt numFmtId="189" formatCode="&quot;Segment &quot;@"/>
    <numFmt numFmtId="190" formatCode="0.000000%"/>
    <numFmt numFmtId="191" formatCode="* #,##0;* \(#,##0\);* \-00"/>
    <numFmt numFmtId="192" formatCode="#."/>
    <numFmt numFmtId="193" formatCode="h:mm;@"/>
  </numFmts>
  <fonts count="137">
    <font>
      <sz val="11"/>
      <color theme="1"/>
      <name val="Calibri"/>
      <family val="2"/>
      <scheme val="minor"/>
    </font>
    <font>
      <sz val="11"/>
      <color theme="1"/>
      <name val="Calibri"/>
      <family val="2"/>
      <scheme val="minor"/>
    </font>
    <font>
      <b/>
      <sz val="14"/>
      <name val="Arial"/>
      <family val="2"/>
    </font>
    <font>
      <sz val="12"/>
      <name val="Arial"/>
      <family val="2"/>
    </font>
    <font>
      <sz val="10"/>
      <name val="Arial"/>
      <family val="2"/>
    </font>
    <font>
      <sz val="10"/>
      <name val="Garamond"/>
      <family val="1"/>
    </font>
    <font>
      <b/>
      <sz val="10"/>
      <color rgb="FFFF0000"/>
      <name val="Arial"/>
      <family val="2"/>
    </font>
    <font>
      <b/>
      <sz val="12"/>
      <name val="Arial"/>
      <family val="2"/>
    </font>
    <font>
      <b/>
      <sz val="12"/>
      <color rgb="FF0000FF"/>
      <name val="Arial"/>
      <family val="2"/>
    </font>
    <font>
      <sz val="10"/>
      <color rgb="FF0000FF"/>
      <name val="Arial"/>
      <family val="2"/>
    </font>
    <font>
      <b/>
      <sz val="10"/>
      <color rgb="FF0000FF"/>
      <name val="Arial"/>
      <family val="2"/>
    </font>
    <font>
      <b/>
      <sz val="10"/>
      <color rgb="FF0000FF"/>
      <name val="Garamond"/>
      <family val="1"/>
    </font>
    <font>
      <sz val="10"/>
      <color rgb="FF0000FF"/>
      <name val="Garamond"/>
      <family val="1"/>
    </font>
    <font>
      <sz val="10"/>
      <name val="Arial Narrow"/>
      <family val="2"/>
    </font>
    <font>
      <sz val="9"/>
      <name val="Arial Narrow"/>
      <family val="2"/>
    </font>
    <font>
      <b/>
      <sz val="12"/>
      <color theme="0"/>
      <name val="Arial"/>
      <family val="2"/>
    </font>
    <font>
      <b/>
      <sz val="12"/>
      <color indexed="13"/>
      <name val="Arial"/>
      <family val="2"/>
    </font>
    <font>
      <sz val="12"/>
      <color theme="0"/>
      <name val="Arial"/>
      <family val="2"/>
    </font>
    <font>
      <sz val="12"/>
      <name val="Garamond"/>
      <family val="1"/>
    </font>
    <font>
      <sz val="12"/>
      <color indexed="12"/>
      <name val="Arial"/>
      <family val="2"/>
    </font>
    <font>
      <sz val="12"/>
      <color rgb="FF0000FF"/>
      <name val="Arial"/>
      <family val="2"/>
    </font>
    <font>
      <sz val="12"/>
      <color indexed="13"/>
      <name val="Arial"/>
      <family val="2"/>
    </font>
    <font>
      <b/>
      <i/>
      <sz val="12"/>
      <color indexed="14"/>
      <name val="Arial"/>
      <family val="2"/>
    </font>
    <font>
      <b/>
      <u/>
      <sz val="12"/>
      <name val="Arial"/>
      <family val="2"/>
    </font>
    <font>
      <sz val="12"/>
      <color indexed="10"/>
      <name val="Arial"/>
      <family val="2"/>
    </font>
    <font>
      <b/>
      <sz val="12"/>
      <color indexed="12"/>
      <name val="Arial"/>
      <family val="2"/>
    </font>
    <font>
      <u/>
      <vertAlign val="superscript"/>
      <sz val="12"/>
      <name val="Arial"/>
      <family val="2"/>
    </font>
    <font>
      <vertAlign val="superscript"/>
      <sz val="12"/>
      <name val="Arial"/>
      <family val="2"/>
    </font>
    <font>
      <strike/>
      <sz val="12"/>
      <name val="Arial"/>
      <family val="2"/>
    </font>
    <font>
      <u/>
      <sz val="12"/>
      <name val="Arial"/>
      <family val="2"/>
    </font>
    <font>
      <sz val="11"/>
      <name val="Garamond"/>
      <family val="1"/>
    </font>
    <font>
      <b/>
      <sz val="12"/>
      <color indexed="10"/>
      <name val="Arial"/>
      <family val="2"/>
    </font>
    <font>
      <sz val="14"/>
      <name val="Arial"/>
      <family val="2"/>
    </font>
    <font>
      <b/>
      <sz val="12"/>
      <color rgb="FFFF0000"/>
      <name val="Arial"/>
      <family val="2"/>
    </font>
    <font>
      <sz val="12"/>
      <color indexed="43"/>
      <name val="Arial"/>
      <family val="2"/>
    </font>
    <font>
      <sz val="12"/>
      <color rgb="FFFF0000"/>
      <name val="Arial"/>
      <family val="2"/>
    </font>
    <font>
      <b/>
      <sz val="9"/>
      <color indexed="10"/>
      <name val="Arial"/>
      <family val="2"/>
    </font>
    <font>
      <b/>
      <sz val="16"/>
      <name val="Arial"/>
      <family val="2"/>
    </font>
    <font>
      <strike/>
      <sz val="14"/>
      <name val="Arial"/>
      <family val="2"/>
    </font>
    <font>
      <b/>
      <sz val="14"/>
      <color indexed="10"/>
      <name val="Arial"/>
      <family val="2"/>
    </font>
    <font>
      <sz val="16"/>
      <name val="Arial"/>
      <family val="2"/>
    </font>
    <font>
      <sz val="14"/>
      <color rgb="FF000000"/>
      <name val="Arial"/>
      <family val="2"/>
    </font>
    <font>
      <b/>
      <sz val="11"/>
      <color theme="1"/>
      <name val="Calibri"/>
      <family val="2"/>
      <scheme val="minor"/>
    </font>
    <font>
      <b/>
      <sz val="11"/>
      <name val="Arial"/>
      <family val="2"/>
    </font>
    <font>
      <sz val="10"/>
      <color rgb="FF0000FF"/>
      <name val="Calibri"/>
      <family val="2"/>
    </font>
    <font>
      <b/>
      <sz val="10"/>
      <color rgb="FF000000"/>
      <name val="Arial"/>
      <family val="2"/>
    </font>
    <font>
      <sz val="10"/>
      <color rgb="FF000000"/>
      <name val="Arial"/>
      <family val="2"/>
    </font>
    <font>
      <b/>
      <u/>
      <sz val="10"/>
      <color rgb="FF000000"/>
      <name val="Arial"/>
      <family val="2"/>
    </font>
    <font>
      <sz val="10"/>
      <name val="Times New Roman"/>
      <family val="1"/>
    </font>
    <font>
      <sz val="11"/>
      <name val="Arial"/>
      <family val="2"/>
    </font>
    <font>
      <b/>
      <i/>
      <sz val="11"/>
      <name val="Arial"/>
      <family val="2"/>
    </font>
    <font>
      <b/>
      <i/>
      <sz val="12"/>
      <name val="Arial"/>
      <family val="2"/>
    </font>
    <font>
      <b/>
      <sz val="10"/>
      <name val="Arial"/>
      <family val="2"/>
    </font>
    <font>
      <sz val="11"/>
      <color indexed="10"/>
      <name val="Arial"/>
      <family val="2"/>
    </font>
    <font>
      <sz val="11"/>
      <color rgb="FF0000FF"/>
      <name val="Arial"/>
      <family val="2"/>
    </font>
    <font>
      <b/>
      <i/>
      <sz val="10"/>
      <name val="Arial"/>
      <family val="2"/>
    </font>
    <font>
      <sz val="10"/>
      <color rgb="FF032EE3"/>
      <name val="Arial"/>
      <family val="2"/>
    </font>
    <font>
      <sz val="10"/>
      <color theme="1"/>
      <name val="Arial"/>
      <family val="2"/>
    </font>
    <font>
      <b/>
      <sz val="10"/>
      <color indexed="10"/>
      <name val="Arial"/>
      <family val="2"/>
    </font>
    <font>
      <sz val="10"/>
      <color indexed="10"/>
      <name val="Arial"/>
      <family val="2"/>
    </font>
    <font>
      <b/>
      <sz val="9"/>
      <name val="Arial"/>
      <family val="2"/>
    </font>
    <font>
      <sz val="10"/>
      <color indexed="12"/>
      <name val="Arial"/>
      <family val="2"/>
    </font>
    <font>
      <b/>
      <sz val="13"/>
      <name val="Arial"/>
      <family val="2"/>
    </font>
    <font>
      <sz val="10"/>
      <color rgb="FFFF0000"/>
      <name val="Arial"/>
      <family val="2"/>
    </font>
    <font>
      <b/>
      <u/>
      <sz val="10"/>
      <name val="Arial"/>
      <family val="2"/>
    </font>
    <font>
      <i/>
      <sz val="10"/>
      <color rgb="FF0000FF"/>
      <name val="Arial"/>
      <family val="2"/>
    </font>
    <font>
      <u/>
      <sz val="10"/>
      <name val="Arial"/>
      <family val="2"/>
    </font>
    <font>
      <sz val="10"/>
      <color theme="0"/>
      <name val="Arial"/>
      <family val="2"/>
    </font>
    <font>
      <b/>
      <sz val="10"/>
      <color theme="0"/>
      <name val="Arial"/>
      <family val="2"/>
    </font>
    <font>
      <b/>
      <sz val="10"/>
      <color indexed="14"/>
      <name val="Arial"/>
      <family val="2"/>
    </font>
    <font>
      <i/>
      <sz val="10"/>
      <name val="Arial"/>
      <family val="2"/>
    </font>
    <font>
      <b/>
      <u/>
      <sz val="10"/>
      <color theme="0"/>
      <name val="Arial"/>
      <family val="2"/>
    </font>
    <font>
      <sz val="12"/>
      <name val="Arial Narrow"/>
      <family val="2"/>
    </font>
    <font>
      <sz val="10"/>
      <color indexed="14"/>
      <name val="Arial"/>
      <family val="2"/>
    </font>
    <font>
      <sz val="10"/>
      <name val="MS Sans Serif"/>
      <family val="2"/>
    </font>
    <font>
      <sz val="8"/>
      <name val="Arial"/>
      <family val="2"/>
    </font>
    <font>
      <b/>
      <u val="singleAccounting"/>
      <sz val="8"/>
      <name val="Arial"/>
      <family val="2"/>
    </font>
    <font>
      <b/>
      <i/>
      <sz val="12"/>
      <color theme="1"/>
      <name val="Arial"/>
      <family val="2"/>
    </font>
    <font>
      <b/>
      <i/>
      <sz val="14"/>
      <name val="Arial Narrow"/>
      <family val="2"/>
    </font>
    <font>
      <b/>
      <i/>
      <sz val="11"/>
      <name val="Arial Narrow"/>
      <family val="2"/>
    </font>
    <font>
      <b/>
      <sz val="9"/>
      <name val="Arial Narrow"/>
      <family val="2"/>
    </font>
    <font>
      <sz val="9"/>
      <color indexed="10"/>
      <name val="Arial Narrow"/>
      <family val="2"/>
    </font>
    <font>
      <b/>
      <sz val="9"/>
      <color rgb="FFFF0000"/>
      <name val="Arial Narrow"/>
      <family val="2"/>
    </font>
    <font>
      <sz val="9"/>
      <color rgb="FF0000FF"/>
      <name val="Arial Narrow"/>
      <family val="2"/>
    </font>
    <font>
      <sz val="9"/>
      <name val="Arial"/>
      <family val="2"/>
    </font>
    <font>
      <sz val="9"/>
      <color rgb="FF0000FF"/>
      <name val="Arial"/>
      <family val="2"/>
    </font>
    <font>
      <b/>
      <i/>
      <sz val="12"/>
      <name val="Arial Narrow"/>
      <family val="2"/>
    </font>
    <font>
      <b/>
      <sz val="10"/>
      <name val="Arial Narrow"/>
      <family val="2"/>
    </font>
    <font>
      <sz val="8"/>
      <color indexed="10"/>
      <name val="Arial"/>
      <family val="2"/>
    </font>
    <font>
      <sz val="10"/>
      <color rgb="FF0000FF"/>
      <name val="Arial Narrow"/>
      <family val="2"/>
    </font>
    <font>
      <sz val="10"/>
      <color indexed="10"/>
      <name val="Arial Narrow"/>
      <family val="2"/>
    </font>
    <font>
      <sz val="8"/>
      <color indexed="10"/>
      <name val="Arial Narrow"/>
      <family val="2"/>
    </font>
    <font>
      <b/>
      <sz val="10"/>
      <color rgb="FF0000FF"/>
      <name val="Arial Narrow"/>
      <family val="2"/>
    </font>
    <font>
      <sz val="10"/>
      <color theme="1"/>
      <name val="Arial Narrow"/>
      <family val="2"/>
    </font>
    <font>
      <sz val="10"/>
      <name val="Calibri"/>
      <family val="2"/>
    </font>
    <font>
      <strike/>
      <sz val="10"/>
      <color rgb="FFFF0000"/>
      <name val="Arial"/>
      <family val="2"/>
    </font>
    <font>
      <b/>
      <sz val="12"/>
      <color theme="1"/>
      <name val="Arial Narrow"/>
      <family val="2"/>
    </font>
    <font>
      <sz val="12"/>
      <color theme="1"/>
      <name val="Arial Narrow"/>
      <family val="2"/>
    </font>
    <font>
      <b/>
      <sz val="12"/>
      <color rgb="FFFF0000"/>
      <name val="Arial Narrow"/>
      <family val="2"/>
    </font>
    <font>
      <sz val="12"/>
      <color rgb="FF0000FF"/>
      <name val="Arial Narrow"/>
      <family val="2"/>
    </font>
    <font>
      <b/>
      <sz val="12"/>
      <color theme="1"/>
      <name val="Arial"/>
      <family val="2"/>
    </font>
    <font>
      <sz val="12"/>
      <color theme="1"/>
      <name val="Arial"/>
      <family val="2"/>
    </font>
    <font>
      <sz val="11"/>
      <color theme="1"/>
      <name val="Arial"/>
      <family val="2"/>
    </font>
    <font>
      <b/>
      <i/>
      <sz val="10"/>
      <color rgb="FFFF0000"/>
      <name val="Arial"/>
      <family val="2"/>
    </font>
    <font>
      <b/>
      <sz val="10"/>
      <color theme="1"/>
      <name val="Arial"/>
      <family val="2"/>
    </font>
    <font>
      <b/>
      <sz val="11"/>
      <color theme="1"/>
      <name val="Arial"/>
      <family val="2"/>
    </font>
    <font>
      <b/>
      <sz val="10"/>
      <color indexed="8"/>
      <name val="Arial"/>
      <family val="2"/>
    </font>
    <font>
      <sz val="10"/>
      <color theme="1"/>
      <name val="Calibri"/>
      <family val="2"/>
      <scheme val="minor"/>
    </font>
    <font>
      <i/>
      <sz val="11"/>
      <color theme="1"/>
      <name val="Arial"/>
      <family val="2"/>
    </font>
    <font>
      <b/>
      <u/>
      <sz val="12"/>
      <color theme="1"/>
      <name val="Arial"/>
      <family val="2"/>
    </font>
    <font>
      <b/>
      <sz val="11"/>
      <color theme="1"/>
      <name val="As Filed "/>
    </font>
    <font>
      <sz val="11"/>
      <color theme="1"/>
      <name val="As Filed "/>
    </font>
    <font>
      <sz val="11"/>
      <color theme="4"/>
      <name val="Arial"/>
      <family val="2"/>
    </font>
    <font>
      <b/>
      <i/>
      <sz val="10"/>
      <color indexed="20"/>
      <name val="Arial"/>
      <family val="2"/>
    </font>
    <font>
      <i/>
      <sz val="10"/>
      <color indexed="10"/>
      <name val="Arial"/>
      <family val="2"/>
    </font>
    <font>
      <sz val="10"/>
      <color indexed="8"/>
      <name val="Arial"/>
      <family val="2"/>
    </font>
    <font>
      <sz val="10"/>
      <color rgb="FFFF00FF"/>
      <name val="Arial"/>
      <family val="2"/>
    </font>
    <font>
      <b/>
      <sz val="10"/>
      <color indexed="12"/>
      <name val="Arial"/>
      <family val="2"/>
    </font>
    <font>
      <b/>
      <sz val="10"/>
      <name val="Times New Roman"/>
      <family val="1"/>
    </font>
    <font>
      <b/>
      <sz val="10"/>
      <color indexed="12"/>
      <name val="Times New Roman"/>
      <family val="1"/>
    </font>
    <font>
      <sz val="10"/>
      <color indexed="8"/>
      <name val="Times New Roman"/>
      <family val="1"/>
    </font>
    <font>
      <sz val="18"/>
      <color rgb="FFFF0000"/>
      <name val="Calibri"/>
      <family val="2"/>
      <scheme val="minor"/>
    </font>
    <font>
      <b/>
      <sz val="11"/>
      <color rgb="FF0000FF"/>
      <name val="Arial"/>
      <family val="2"/>
    </font>
    <font>
      <sz val="11"/>
      <name val="Calibri"/>
      <family val="2"/>
      <scheme val="minor"/>
    </font>
    <font>
      <b/>
      <sz val="11"/>
      <color indexed="12"/>
      <name val="Arial"/>
      <family val="2"/>
    </font>
    <font>
      <b/>
      <sz val="8"/>
      <color theme="0" tint="-0.499984740745262"/>
      <name val="Arial"/>
      <family val="2"/>
    </font>
    <font>
      <sz val="9"/>
      <color theme="0" tint="-0.499984740745262"/>
      <name val="Arial"/>
      <family val="2"/>
    </font>
    <font>
      <sz val="8"/>
      <color theme="0" tint="-0.499984740745262"/>
      <name val="Arial"/>
      <family val="2"/>
    </font>
    <font>
      <b/>
      <sz val="9"/>
      <color indexed="81"/>
      <name val="Tahoma"/>
      <family val="2"/>
    </font>
    <font>
      <sz val="9"/>
      <color indexed="81"/>
      <name val="Tahoma"/>
      <family val="2"/>
    </font>
    <font>
      <b/>
      <sz val="10"/>
      <color indexed="53"/>
      <name val="Arial"/>
      <family val="2"/>
    </font>
    <font>
      <b/>
      <sz val="10"/>
      <color rgb="FFFF0000"/>
      <name val="MS Sans Serif"/>
      <family val="2"/>
    </font>
    <font>
      <b/>
      <sz val="11"/>
      <color rgb="FF000000"/>
      <name val="Calibri"/>
      <family val="2"/>
    </font>
    <font>
      <sz val="11"/>
      <color rgb="FF0000FF"/>
      <name val="Calibri"/>
      <family val="2"/>
    </font>
    <font>
      <sz val="11"/>
      <name val="Calibri"/>
      <family val="2"/>
    </font>
    <font>
      <sz val="11"/>
      <color rgb="FF1F497D"/>
      <name val="Calibri"/>
      <family val="2"/>
      <scheme val="minor"/>
    </font>
    <font>
      <sz val="10"/>
      <color rgb="FF0070C0"/>
      <name val="Arial"/>
      <family val="2"/>
    </font>
  </fonts>
  <fills count="19">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indexed="8"/>
        <bgColor indexed="64"/>
      </patternFill>
    </fill>
    <fill>
      <patternFill patternType="solid">
        <fgColor theme="4" tint="0.79998168889431442"/>
        <bgColor indexed="64"/>
      </patternFill>
    </fill>
    <fill>
      <patternFill patternType="solid">
        <fgColor theme="0"/>
        <bgColor indexed="64"/>
      </patternFill>
    </fill>
    <fill>
      <patternFill patternType="solid">
        <fgColor indexed="9"/>
        <bgColor indexed="64"/>
      </patternFill>
    </fill>
    <fill>
      <patternFill patternType="solid">
        <fgColor theme="1"/>
        <bgColor indexed="64"/>
      </patternFill>
    </fill>
    <fill>
      <patternFill patternType="solid">
        <fgColor theme="1" tint="0.499984740745262"/>
        <bgColor indexed="64"/>
      </patternFill>
    </fill>
    <fill>
      <patternFill patternType="solid">
        <fgColor theme="4" tint="0.59999389629810485"/>
        <bgColor indexed="64"/>
      </patternFill>
    </fill>
    <fill>
      <patternFill patternType="solid">
        <fgColor indexed="31"/>
        <bgColor indexed="64"/>
      </patternFill>
    </fill>
    <fill>
      <patternFill patternType="solid">
        <fgColor indexed="40"/>
      </patternFill>
    </fill>
    <fill>
      <patternFill patternType="solid">
        <fgColor theme="7" tint="0.79998168889431442"/>
        <bgColor indexed="64"/>
      </patternFill>
    </fill>
    <fill>
      <patternFill patternType="solid">
        <fgColor theme="0" tint="-0.499984740745262"/>
        <bgColor indexed="64"/>
      </patternFill>
    </fill>
    <fill>
      <patternFill patternType="solid">
        <fgColor rgb="FFC0C0C0"/>
        <bgColor rgb="FFC0C0C0"/>
      </patternFill>
    </fill>
    <fill>
      <patternFill patternType="solid">
        <fgColor rgb="FFCEC8E6"/>
        <bgColor indexed="64"/>
      </patternFill>
    </fill>
    <fill>
      <patternFill patternType="solid">
        <fgColor theme="5" tint="0.79998168889431442"/>
        <bgColor indexed="64"/>
      </patternFill>
    </fill>
    <fill>
      <patternFill patternType="solid">
        <fgColor theme="0" tint="-4.9989318521683403E-2"/>
        <bgColor indexed="64"/>
      </patternFill>
    </fill>
  </fills>
  <borders count="86">
    <border>
      <left/>
      <right/>
      <top/>
      <bottom/>
      <diagonal/>
    </border>
    <border>
      <left/>
      <right/>
      <top/>
      <bottom style="medium">
        <color auto="1"/>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thin">
        <color indexed="64"/>
      </top>
      <bottom/>
      <diagonal/>
    </border>
    <border>
      <left/>
      <right/>
      <top style="thin">
        <color indexed="64"/>
      </top>
      <bottom style="double">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bottom/>
      <diagonal/>
    </border>
    <border>
      <left/>
      <right style="medium">
        <color rgb="FF000000"/>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bottom style="thin">
        <color indexed="64"/>
      </bottom>
      <diagonal/>
    </border>
    <border>
      <left style="medium">
        <color indexed="64"/>
      </left>
      <right style="thin">
        <color indexed="64"/>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top style="thin">
        <color auto="1"/>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48"/>
      </left>
      <right style="thin">
        <color indexed="48"/>
      </right>
      <top style="thin">
        <color indexed="48"/>
      </top>
      <bottom style="thin">
        <color indexed="48"/>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thin">
        <color indexed="64"/>
      </top>
      <bottom style="thin">
        <color indexed="64"/>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right/>
      <top style="hair">
        <color auto="1"/>
      </top>
      <bottom/>
      <diagonal/>
    </border>
    <border>
      <left/>
      <right/>
      <top style="thin">
        <color auto="1"/>
      </top>
      <bottom style="hair">
        <color auto="1"/>
      </bottom>
      <diagonal/>
    </border>
  </borders>
  <cellStyleXfs count="5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 fillId="0" borderId="0"/>
    <xf numFmtId="43" fontId="4" fillId="0" borderId="0" applyFont="0" applyFill="0" applyBorder="0" applyAlignment="0" applyProtection="0"/>
    <xf numFmtId="172" fontId="3" fillId="0" borderId="0"/>
    <xf numFmtId="44" fontId="48" fillId="0" borderId="0" applyFont="0" applyFill="0" applyBorder="0" applyAlignment="0" applyProtection="0"/>
    <xf numFmtId="0" fontId="4" fillId="0" borderId="0"/>
    <xf numFmtId="0" fontId="4" fillId="0" borderId="0"/>
    <xf numFmtId="0" fontId="4" fillId="0" borderId="0"/>
    <xf numFmtId="0" fontId="1" fillId="0" borderId="0"/>
    <xf numFmtId="0" fontId="74" fillId="0" borderId="0"/>
    <xf numFmtId="43" fontId="4" fillId="0" borderId="0" applyNumberFormat="0" applyFill="0" applyBorder="0" applyAlignment="0" applyProtection="0"/>
    <xf numFmtId="0" fontId="1" fillId="0" borderId="0"/>
    <xf numFmtId="44" fontId="4" fillId="0" borderId="0" applyFont="0" applyFill="0" applyBorder="0" applyAlignment="0" applyProtection="0"/>
    <xf numFmtId="0" fontId="4" fillId="0" borderId="0"/>
    <xf numFmtId="0" fontId="4" fillId="0" borderId="0"/>
    <xf numFmtId="0" fontId="4"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4" fillId="11" borderId="60" applyNumberFormat="0" applyProtection="0">
      <alignment horizontal="left" vertical="center" indent="1"/>
    </xf>
    <xf numFmtId="0" fontId="4" fillId="11" borderId="60" applyNumberFormat="0" applyProtection="0">
      <alignment horizontal="left" vertical="center" indent="1"/>
    </xf>
    <xf numFmtId="0" fontId="4" fillId="11" borderId="60" applyNumberFormat="0" applyProtection="0">
      <alignment horizontal="left" vertical="center" indent="1"/>
    </xf>
    <xf numFmtId="0" fontId="1" fillId="0" borderId="0"/>
    <xf numFmtId="0" fontId="4" fillId="11" borderId="60" applyNumberFormat="0" applyProtection="0">
      <alignment horizontal="left" vertical="center" indent="1"/>
    </xf>
    <xf numFmtId="0" fontId="1" fillId="0" borderId="0"/>
    <xf numFmtId="0" fontId="4" fillId="11" borderId="60" applyNumberFormat="0" applyProtection="0">
      <alignment horizontal="left" vertical="center" indent="1"/>
    </xf>
    <xf numFmtId="0" fontId="4" fillId="11" borderId="60" applyNumberFormat="0" applyProtection="0">
      <alignment horizontal="left" vertical="center" indent="1"/>
    </xf>
    <xf numFmtId="0" fontId="1" fillId="0" borderId="0"/>
    <xf numFmtId="0" fontId="1" fillId="0" borderId="0"/>
    <xf numFmtId="0" fontId="1" fillId="0" borderId="0"/>
    <xf numFmtId="43" fontId="1" fillId="0" borderId="0" applyFont="0" applyFill="0" applyBorder="0" applyAlignment="0" applyProtection="0"/>
    <xf numFmtId="0" fontId="1" fillId="0" borderId="0"/>
    <xf numFmtId="4" fontId="115" fillId="12" borderId="70" applyNumberFormat="0" applyProtection="0">
      <alignment horizontal="left" vertical="center" indent="1"/>
    </xf>
    <xf numFmtId="43" fontId="1" fillId="0" borderId="0" applyFont="0" applyFill="0" applyBorder="0" applyAlignment="0" applyProtection="0"/>
    <xf numFmtId="0" fontId="1" fillId="0" borderId="0"/>
    <xf numFmtId="44" fontId="4" fillId="0" borderId="0" applyFont="0" applyFill="0" applyBorder="0" applyAlignment="0" applyProtection="0"/>
    <xf numFmtId="0" fontId="4" fillId="0" borderId="0"/>
    <xf numFmtId="43" fontId="1" fillId="0" borderId="0" applyFont="0" applyFill="0" applyBorder="0" applyAlignment="0" applyProtection="0"/>
    <xf numFmtId="43" fontId="4" fillId="0" borderId="0" applyFont="0" applyFill="0" applyBorder="0" applyAlignment="0" applyProtection="0"/>
    <xf numFmtId="0" fontId="102" fillId="0" borderId="0"/>
    <xf numFmtId="43" fontId="102" fillId="0" borderId="0" applyFont="0" applyFill="0" applyBorder="0" applyAlignment="0" applyProtection="0"/>
    <xf numFmtId="0" fontId="1" fillId="0" borderId="0"/>
    <xf numFmtId="9" fontId="1" fillId="0" borderId="0" applyFont="0" applyFill="0" applyBorder="0" applyAlignment="0" applyProtection="0"/>
    <xf numFmtId="0" fontId="102" fillId="0" borderId="0"/>
    <xf numFmtId="43" fontId="1" fillId="0" borderId="0" applyFont="0" applyFill="0" applyBorder="0" applyAlignment="0" applyProtection="0"/>
  </cellStyleXfs>
  <cellXfs count="2497">
    <xf numFmtId="0" fontId="0" fillId="0" borderId="0" xfId="0"/>
    <xf numFmtId="0" fontId="2" fillId="0" borderId="0" xfId="0" applyFont="1" applyAlignment="1">
      <alignment horizontal="centerContinuous"/>
    </xf>
    <xf numFmtId="0" fontId="3" fillId="0" borderId="0" xfId="0" applyFont="1"/>
    <xf numFmtId="164" fontId="2" fillId="0" borderId="0" xfId="1" applyNumberFormat="1" applyFont="1" applyAlignment="1">
      <alignment horizontal="centerContinuous"/>
    </xf>
    <xf numFmtId="0" fontId="5" fillId="0" borderId="0" xfId="0" applyFont="1"/>
    <xf numFmtId="0" fontId="6" fillId="0" borderId="0" xfId="0" applyFont="1" applyAlignment="1">
      <alignment horizontal="left"/>
    </xf>
    <xf numFmtId="0" fontId="6" fillId="0" borderId="1" xfId="0" applyFont="1" applyFill="1" applyBorder="1" applyAlignment="1">
      <alignment vertical="center"/>
    </xf>
    <xf numFmtId="0" fontId="7" fillId="0" borderId="1" xfId="0" applyFont="1" applyFill="1" applyBorder="1" applyAlignment="1">
      <alignment horizontal="center" vertical="center"/>
    </xf>
    <xf numFmtId="0" fontId="6" fillId="0" borderId="0" xfId="0" applyFont="1" applyFill="1" applyBorder="1" applyAlignment="1">
      <alignment vertical="center"/>
    </xf>
    <xf numFmtId="0" fontId="8" fillId="0" borderId="1" xfId="0" applyFont="1" applyFill="1" applyBorder="1" applyAlignment="1">
      <alignment horizontal="center" vertical="center"/>
    </xf>
    <xf numFmtId="164" fontId="6" fillId="0" borderId="0" xfId="1" applyNumberFormat="1" applyFont="1" applyFill="1" applyBorder="1" applyAlignment="1">
      <alignment vertical="center"/>
    </xf>
    <xf numFmtId="0" fontId="4" fillId="0" borderId="2" xfId="0" applyFont="1" applyBorder="1"/>
    <xf numFmtId="165" fontId="9" fillId="3" borderId="6"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165" fontId="9" fillId="3" borderId="7" xfId="0" applyNumberFormat="1"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7" fillId="0" borderId="0" xfId="0" applyFont="1"/>
    <xf numFmtId="164" fontId="10" fillId="0" borderId="0" xfId="1" applyNumberFormat="1" applyFont="1" applyFill="1" applyBorder="1" applyAlignment="1">
      <alignment horizontal="center" vertical="center" wrapText="1"/>
    </xf>
    <xf numFmtId="0" fontId="9" fillId="0" borderId="10" xfId="0" applyFont="1" applyBorder="1" applyAlignment="1">
      <alignment horizontal="left"/>
    </xf>
    <xf numFmtId="0" fontId="9" fillId="3" borderId="14" xfId="0" applyFont="1" applyFill="1" applyBorder="1" applyAlignment="1">
      <alignment horizontal="center" wrapText="1"/>
    </xf>
    <xf numFmtId="0" fontId="0" fillId="0" borderId="0" xfId="0" applyFill="1"/>
    <xf numFmtId="0" fontId="13" fillId="0" borderId="15" xfId="0" applyFont="1" applyBorder="1" applyAlignment="1">
      <alignment horizontal="center"/>
    </xf>
    <xf numFmtId="0" fontId="14" fillId="0" borderId="16" xfId="0" applyFont="1" applyBorder="1" applyAlignment="1">
      <alignment horizontal="center"/>
    </xf>
    <xf numFmtId="0" fontId="13" fillId="0" borderId="17" xfId="0" applyFont="1" applyBorder="1" applyAlignment="1">
      <alignment horizontal="center"/>
    </xf>
    <xf numFmtId="0" fontId="7" fillId="0" borderId="0" xfId="0" applyFont="1" applyFill="1"/>
    <xf numFmtId="164" fontId="0" fillId="0" borderId="0" xfId="1" applyNumberFormat="1" applyFont="1" applyFill="1"/>
    <xf numFmtId="0" fontId="9" fillId="0" borderId="14" xfId="0" applyFont="1" applyBorder="1" applyAlignment="1">
      <alignment horizontal="left"/>
    </xf>
    <xf numFmtId="164" fontId="0" fillId="0" borderId="0" xfId="1" applyNumberFormat="1" applyFont="1"/>
    <xf numFmtId="0" fontId="5" fillId="0" borderId="0" xfId="0" applyFont="1" applyBorder="1"/>
    <xf numFmtId="0" fontId="15" fillId="4" borderId="0" xfId="0" applyFont="1" applyFill="1" applyBorder="1" applyAlignment="1">
      <alignment horizontal="left"/>
    </xf>
    <xf numFmtId="0" fontId="16" fillId="4" borderId="0" xfId="0" applyFont="1" applyFill="1" applyBorder="1" applyAlignment="1"/>
    <xf numFmtId="0" fontId="3" fillId="4" borderId="0" xfId="0" applyFont="1" applyFill="1" applyBorder="1" applyAlignment="1"/>
    <xf numFmtId="0" fontId="15" fillId="4" borderId="0" xfId="0" applyNumberFormat="1" applyFont="1" applyFill="1" applyBorder="1" applyAlignment="1">
      <alignment horizontal="center"/>
    </xf>
    <xf numFmtId="0" fontId="17" fillId="4" borderId="0" xfId="0" applyFont="1" applyFill="1" applyBorder="1"/>
    <xf numFmtId="0" fontId="3" fillId="4" borderId="0" xfId="0" applyFont="1" applyFill="1" applyBorder="1"/>
    <xf numFmtId="0" fontId="15" fillId="4" borderId="0" xfId="0" applyFont="1" applyFill="1" applyBorder="1" applyAlignment="1">
      <alignment horizontal="center" wrapText="1"/>
    </xf>
    <xf numFmtId="0" fontId="3" fillId="0" borderId="0" xfId="0" applyFont="1" applyFill="1"/>
    <xf numFmtId="0" fontId="18" fillId="0" borderId="0" xfId="0" applyFont="1" applyFill="1" applyBorder="1"/>
    <xf numFmtId="0" fontId="3" fillId="0" borderId="0" xfId="0" applyFont="1" applyFill="1" applyBorder="1" applyAlignment="1">
      <alignment horizontal="left"/>
    </xf>
    <xf numFmtId="0" fontId="3" fillId="0" borderId="0" xfId="0" applyFont="1" applyFill="1" applyBorder="1" applyAlignment="1"/>
    <xf numFmtId="0" fontId="7" fillId="0" borderId="0" xfId="0" applyNumberFormat="1" applyFont="1" applyFill="1" applyBorder="1" applyAlignment="1">
      <alignment horizontal="center"/>
    </xf>
    <xf numFmtId="0" fontId="3" fillId="0" borderId="0" xfId="0" applyFont="1" applyFill="1" applyBorder="1"/>
    <xf numFmtId="0" fontId="3" fillId="0" borderId="0" xfId="0" applyFont="1" applyFill="1" applyBorder="1" applyAlignment="1">
      <alignment horizontal="center" wrapText="1"/>
    </xf>
    <xf numFmtId="0" fontId="7" fillId="0" borderId="0" xfId="0" applyNumberFormat="1" applyFont="1" applyFill="1" applyAlignment="1">
      <alignment horizontal="center"/>
    </xf>
    <xf numFmtId="0" fontId="7" fillId="0" borderId="0" xfId="0" applyNumberFormat="1" applyFont="1" applyFill="1" applyAlignment="1"/>
    <xf numFmtId="0" fontId="3" fillId="0" borderId="0" xfId="0" applyFont="1" applyAlignment="1"/>
    <xf numFmtId="3" fontId="3" fillId="0" borderId="0" xfId="0" applyNumberFormat="1" applyFont="1" applyAlignment="1">
      <alignment horizontal="center"/>
    </xf>
    <xf numFmtId="3" fontId="3" fillId="0" borderId="0" xfId="0" applyNumberFormat="1" applyFont="1" applyFill="1" applyAlignment="1"/>
    <xf numFmtId="3" fontId="3" fillId="0" borderId="0" xfId="0" applyNumberFormat="1" applyFont="1" applyAlignment="1"/>
    <xf numFmtId="0" fontId="3" fillId="0" borderId="0" xfId="0" applyNumberFormat="1" applyFont="1" applyAlignment="1">
      <alignment horizontal="center"/>
    </xf>
    <xf numFmtId="0" fontId="19" fillId="0" borderId="0" xfId="0" applyFont="1" applyFill="1" applyAlignment="1">
      <alignment horizontal="left"/>
    </xf>
    <xf numFmtId="0" fontId="3" fillId="0" borderId="0" xfId="0" applyFont="1" applyFill="1" applyAlignment="1">
      <alignment horizontal="center"/>
    </xf>
    <xf numFmtId="37" fontId="3" fillId="5" borderId="0" xfId="0" applyNumberFormat="1" applyFont="1" applyFill="1" applyAlignment="1"/>
    <xf numFmtId="166" fontId="0" fillId="0" borderId="0" xfId="3" applyNumberFormat="1" applyFont="1"/>
    <xf numFmtId="37" fontId="20" fillId="3" borderId="0" xfId="0" applyNumberFormat="1" applyFont="1" applyFill="1" applyAlignment="1"/>
    <xf numFmtId="10" fontId="3" fillId="5" borderId="0" xfId="3" applyNumberFormat="1" applyFont="1" applyFill="1" applyAlignment="1">
      <alignment horizontal="center"/>
    </xf>
    <xf numFmtId="0" fontId="3" fillId="0" borderId="0" xfId="0" applyFont="1" applyAlignment="1">
      <alignment horizontal="center"/>
    </xf>
    <xf numFmtId="37" fontId="3" fillId="0" borderId="0" xfId="0" applyNumberFormat="1" applyFont="1" applyFill="1"/>
    <xf numFmtId="166" fontId="0" fillId="0" borderId="0" xfId="0" applyNumberFormat="1"/>
    <xf numFmtId="0" fontId="3" fillId="0" borderId="0" xfId="0" applyFont="1" applyBorder="1" applyAlignment="1">
      <alignment horizontal="center"/>
    </xf>
    <xf numFmtId="0" fontId="3" fillId="0" borderId="18" xfId="0" applyNumberFormat="1" applyFont="1" applyFill="1" applyBorder="1" applyAlignment="1"/>
    <xf numFmtId="3" fontId="3" fillId="0" borderId="18" xfId="0" applyNumberFormat="1" applyFont="1" applyBorder="1" applyAlignment="1"/>
    <xf numFmtId="3" fontId="3" fillId="0" borderId="18" xfId="0" applyNumberFormat="1" applyFont="1" applyBorder="1" applyAlignment="1">
      <alignment horizontal="center"/>
    </xf>
    <xf numFmtId="3" fontId="3" fillId="0" borderId="18" xfId="0" applyNumberFormat="1" applyFont="1" applyFill="1" applyBorder="1" applyAlignment="1"/>
    <xf numFmtId="0" fontId="3" fillId="0" borderId="18" xfId="0" applyFont="1" applyBorder="1" applyAlignment="1"/>
    <xf numFmtId="37" fontId="3" fillId="0" borderId="18" xfId="0" applyNumberFormat="1" applyFont="1" applyFill="1" applyBorder="1" applyAlignment="1"/>
    <xf numFmtId="37" fontId="3" fillId="5" borderId="18" xfId="0" applyNumberFormat="1" applyFont="1" applyFill="1" applyBorder="1" applyAlignment="1"/>
    <xf numFmtId="10" fontId="3" fillId="5" borderId="18" xfId="3" applyNumberFormat="1" applyFont="1" applyFill="1" applyBorder="1" applyAlignment="1">
      <alignment horizontal="center"/>
    </xf>
    <xf numFmtId="0" fontId="3" fillId="0" borderId="0" xfId="0" applyNumberFormat="1" applyFont="1" applyAlignment="1"/>
    <xf numFmtId="0" fontId="3" fillId="0" borderId="0" xfId="0" applyFont="1" applyFill="1" applyAlignment="1"/>
    <xf numFmtId="0" fontId="3" fillId="0" borderId="0" xfId="0" applyNumberFormat="1" applyFont="1" applyFill="1" applyAlignment="1">
      <alignment horizontal="center"/>
    </xf>
    <xf numFmtId="0" fontId="7" fillId="0" borderId="19" xfId="0" applyNumberFormat="1" applyFont="1" applyFill="1" applyBorder="1" applyAlignment="1"/>
    <xf numFmtId="0" fontId="3" fillId="0" borderId="19" xfId="0" applyFont="1" applyFill="1" applyBorder="1" applyAlignment="1"/>
    <xf numFmtId="3" fontId="3" fillId="0" borderId="19" xfId="0" applyNumberFormat="1" applyFont="1" applyFill="1" applyBorder="1" applyAlignment="1">
      <alignment horizontal="center"/>
    </xf>
    <xf numFmtId="3" fontId="3" fillId="0" borderId="19" xfId="0" applyNumberFormat="1" applyFont="1" applyFill="1" applyBorder="1" applyAlignment="1"/>
    <xf numFmtId="0" fontId="3" fillId="0" borderId="19" xfId="0" applyFont="1" applyBorder="1" applyAlignment="1"/>
    <xf numFmtId="167" fontId="7" fillId="0" borderId="19" xfId="3" applyNumberFormat="1" applyFont="1" applyFill="1" applyBorder="1" applyAlignment="1"/>
    <xf numFmtId="167" fontId="7" fillId="5" borderId="19" xfId="3" applyNumberFormat="1" applyFont="1" applyFill="1" applyBorder="1" applyAlignment="1"/>
    <xf numFmtId="10" fontId="3" fillId="5" borderId="19" xfId="3" applyNumberFormat="1" applyFont="1" applyFill="1" applyBorder="1" applyAlignment="1">
      <alignment horizontal="center"/>
    </xf>
    <xf numFmtId="3" fontId="3" fillId="0" borderId="0" xfId="0" applyNumberFormat="1" applyFont="1" applyFill="1" applyAlignment="1">
      <alignment horizontal="center"/>
    </xf>
    <xf numFmtId="167" fontId="7" fillId="0" borderId="0" xfId="3" applyNumberFormat="1" applyFont="1" applyFill="1" applyAlignment="1"/>
    <xf numFmtId="0" fontId="19" fillId="0" borderId="0" xfId="0" applyFont="1" applyFill="1" applyBorder="1" applyAlignment="1">
      <alignment horizontal="center"/>
    </xf>
    <xf numFmtId="37" fontId="3" fillId="0" borderId="0" xfId="0" applyNumberFormat="1" applyFont="1" applyFill="1" applyAlignment="1"/>
    <xf numFmtId="37" fontId="20" fillId="0" borderId="0" xfId="0" applyNumberFormat="1" applyFont="1" applyFill="1" applyAlignment="1"/>
    <xf numFmtId="0" fontId="3" fillId="0" borderId="18" xfId="0" applyFont="1" applyFill="1" applyBorder="1"/>
    <xf numFmtId="0" fontId="3" fillId="0" borderId="18" xfId="0" applyFont="1" applyBorder="1" applyAlignment="1">
      <alignment horizontal="center"/>
    </xf>
    <xf numFmtId="0" fontId="3" fillId="0" borderId="18" xfId="0" applyFont="1" applyBorder="1"/>
    <xf numFmtId="3" fontId="3" fillId="0" borderId="20" xfId="0" applyNumberFormat="1" applyFont="1" applyFill="1" applyBorder="1" applyAlignment="1"/>
    <xf numFmtId="37" fontId="3" fillId="5" borderId="20" xfId="0" applyNumberFormat="1" applyFont="1" applyFill="1" applyBorder="1" applyAlignment="1"/>
    <xf numFmtId="10" fontId="3" fillId="5" borderId="20" xfId="3" applyNumberFormat="1" applyFont="1" applyFill="1" applyBorder="1" applyAlignment="1">
      <alignment horizontal="center"/>
    </xf>
    <xf numFmtId="0" fontId="7" fillId="0" borderId="19" xfId="0" applyFont="1" applyBorder="1"/>
    <xf numFmtId="0" fontId="3" fillId="0" borderId="19" xfId="0" applyFont="1" applyBorder="1"/>
    <xf numFmtId="0" fontId="3" fillId="0" borderId="19" xfId="0" applyFont="1" applyBorder="1" applyAlignment="1">
      <alignment horizontal="center"/>
    </xf>
    <xf numFmtId="0" fontId="3" fillId="0" borderId="0" xfId="0" applyNumberFormat="1" applyFont="1" applyFill="1" applyAlignment="1"/>
    <xf numFmtId="0" fontId="3" fillId="0" borderId="0" xfId="0" applyNumberFormat="1" applyFont="1" applyAlignment="1">
      <alignment horizontal="left"/>
    </xf>
    <xf numFmtId="0" fontId="7" fillId="4" borderId="0" xfId="0" applyNumberFormat="1" applyFont="1" applyFill="1" applyBorder="1" applyAlignment="1">
      <alignment horizontal="center"/>
    </xf>
    <xf numFmtId="0" fontId="3" fillId="4" borderId="0" xfId="0" applyFont="1" applyFill="1" applyBorder="1" applyAlignment="1">
      <alignment horizontal="center" wrapText="1"/>
    </xf>
    <xf numFmtId="0" fontId="21" fillId="0" borderId="0" xfId="0" applyFont="1" applyFill="1" applyBorder="1" applyAlignment="1">
      <alignment horizontal="center"/>
    </xf>
    <xf numFmtId="0" fontId="16" fillId="0" borderId="0" xfId="0" applyFont="1" applyFill="1" applyBorder="1" applyAlignment="1"/>
    <xf numFmtId="0" fontId="3" fillId="0" borderId="20" xfId="0" applyNumberFormat="1" applyFont="1" applyFill="1" applyBorder="1" applyAlignment="1"/>
    <xf numFmtId="0" fontId="3" fillId="0" borderId="20" xfId="0" applyFont="1" applyFill="1" applyBorder="1" applyAlignment="1"/>
    <xf numFmtId="0" fontId="19" fillId="0" borderId="20" xfId="0" applyFont="1" applyFill="1" applyBorder="1" applyAlignment="1">
      <alignment horizontal="center"/>
    </xf>
    <xf numFmtId="0" fontId="3" fillId="0" borderId="20" xfId="0" applyFont="1" applyFill="1" applyBorder="1" applyAlignment="1">
      <alignment horizontal="left"/>
    </xf>
    <xf numFmtId="0" fontId="3" fillId="0" borderId="20" xfId="0" applyFont="1" applyBorder="1" applyAlignment="1"/>
    <xf numFmtId="37" fontId="3" fillId="0" borderId="20" xfId="0" applyNumberFormat="1" applyFont="1" applyFill="1" applyBorder="1" applyAlignment="1"/>
    <xf numFmtId="37" fontId="20" fillId="3" borderId="20" xfId="0" applyNumberFormat="1" applyFont="1" applyFill="1" applyBorder="1" applyAlignment="1"/>
    <xf numFmtId="3" fontId="3" fillId="0" borderId="0" xfId="0" applyNumberFormat="1" applyFont="1" applyFill="1" applyBorder="1" applyAlignment="1"/>
    <xf numFmtId="37" fontId="7" fillId="0" borderId="0" xfId="0" applyNumberFormat="1" applyFont="1" applyFill="1" applyAlignment="1"/>
    <xf numFmtId="38" fontId="3" fillId="0" borderId="0" xfId="0" applyNumberFormat="1" applyFont="1" applyFill="1" applyAlignment="1">
      <alignment horizontal="center"/>
    </xf>
    <xf numFmtId="0" fontId="3" fillId="0" borderId="18" xfId="0" applyFont="1" applyFill="1" applyBorder="1" applyAlignment="1"/>
    <xf numFmtId="0" fontId="3" fillId="0" borderId="18" xfId="0" applyFont="1" applyFill="1" applyBorder="1" applyAlignment="1">
      <alignment horizontal="center"/>
    </xf>
    <xf numFmtId="0" fontId="3" fillId="0" borderId="20" xfId="0" applyNumberFormat="1" applyFont="1" applyFill="1" applyBorder="1" applyAlignment="1">
      <alignment horizontal="left"/>
    </xf>
    <xf numFmtId="0" fontId="7" fillId="0" borderId="0" xfId="0" applyNumberFormat="1" applyFont="1" applyFill="1" applyAlignment="1">
      <alignment horizontal="right"/>
    </xf>
    <xf numFmtId="167" fontId="3" fillId="0" borderId="0" xfId="3" applyNumberFormat="1" applyFont="1" applyFill="1" applyAlignment="1"/>
    <xf numFmtId="0" fontId="3" fillId="0" borderId="0" xfId="0" applyNumberFormat="1" applyFont="1" applyFill="1" applyBorder="1" applyAlignment="1"/>
    <xf numFmtId="3" fontId="3" fillId="0" borderId="18" xfId="0" applyNumberFormat="1" applyFont="1" applyFill="1" applyBorder="1" applyAlignment="1">
      <alignment horizontal="center"/>
    </xf>
    <xf numFmtId="0" fontId="3" fillId="0" borderId="20" xfId="0" applyFont="1" applyFill="1" applyBorder="1" applyAlignment="1">
      <alignment horizontal="center"/>
    </xf>
    <xf numFmtId="37" fontId="3" fillId="0" borderId="0" xfId="0" applyNumberFormat="1" applyFont="1" applyFill="1" applyBorder="1" applyAlignment="1"/>
    <xf numFmtId="0" fontId="7" fillId="0" borderId="18" xfId="0" applyNumberFormat="1" applyFont="1" applyFill="1" applyBorder="1" applyAlignment="1"/>
    <xf numFmtId="0" fontId="19" fillId="0" borderId="18" xfId="0" applyFont="1" applyFill="1" applyBorder="1" applyAlignment="1"/>
    <xf numFmtId="37" fontId="7" fillId="0" borderId="18" xfId="0" applyNumberFormat="1" applyFont="1" applyFill="1" applyBorder="1" applyAlignment="1"/>
    <xf numFmtId="37" fontId="8" fillId="3" borderId="18" xfId="0" applyNumberFormat="1" applyFont="1" applyFill="1" applyBorder="1" applyAlignment="1"/>
    <xf numFmtId="0" fontId="7" fillId="0" borderId="19" xfId="0" applyFont="1" applyFill="1" applyBorder="1"/>
    <xf numFmtId="0" fontId="7" fillId="0" borderId="19" xfId="0" applyFont="1" applyFill="1" applyBorder="1" applyAlignment="1">
      <alignment horizontal="center"/>
    </xf>
    <xf numFmtId="37" fontId="7" fillId="0" borderId="19" xfId="0" applyNumberFormat="1" applyFont="1" applyFill="1" applyBorder="1"/>
    <xf numFmtId="37" fontId="3" fillId="5" borderId="19" xfId="0" applyNumberFormat="1" applyFont="1" applyFill="1" applyBorder="1" applyAlignment="1"/>
    <xf numFmtId="168" fontId="3" fillId="0" borderId="0" xfId="0" applyNumberFormat="1" applyFont="1" applyAlignment="1">
      <alignment horizontal="center"/>
    </xf>
    <xf numFmtId="37" fontId="8" fillId="3" borderId="0" xfId="0" applyNumberFormat="1" applyFont="1" applyFill="1" applyAlignment="1"/>
    <xf numFmtId="37" fontId="20" fillId="3" borderId="0" xfId="0" applyNumberFormat="1" applyFont="1" applyFill="1" applyBorder="1" applyAlignment="1"/>
    <xf numFmtId="0" fontId="3" fillId="6" borderId="0" xfId="0" applyNumberFormat="1" applyFont="1" applyFill="1" applyAlignment="1">
      <alignment horizontal="center"/>
    </xf>
    <xf numFmtId="3" fontId="3" fillId="0" borderId="0" xfId="0" applyNumberFormat="1" applyFont="1" applyFill="1" applyBorder="1" applyAlignment="1">
      <alignment horizontal="center"/>
    </xf>
    <xf numFmtId="167" fontId="3" fillId="0" borderId="0" xfId="3" applyNumberFormat="1" applyFont="1" applyFill="1" applyBorder="1" applyAlignment="1"/>
    <xf numFmtId="37" fontId="3" fillId="0" borderId="0" xfId="0" applyNumberFormat="1" applyFont="1" applyFill="1" applyAlignment="1">
      <alignment horizontal="center"/>
    </xf>
    <xf numFmtId="0" fontId="3" fillId="0" borderId="19" xfId="0" applyFont="1" applyFill="1" applyBorder="1" applyAlignment="1">
      <alignment horizontal="left"/>
    </xf>
    <xf numFmtId="0" fontId="7" fillId="0" borderId="19" xfId="0" applyFont="1" applyBorder="1" applyAlignment="1">
      <alignment horizontal="left"/>
    </xf>
    <xf numFmtId="0" fontId="7" fillId="0" borderId="19" xfId="0" applyFont="1" applyBorder="1" applyAlignment="1">
      <alignment horizontal="center"/>
    </xf>
    <xf numFmtId="0" fontId="3" fillId="4" borderId="0" xfId="0" applyFont="1" applyFill="1"/>
    <xf numFmtId="0" fontId="22" fillId="0" borderId="0" xfId="0" applyFont="1" applyAlignment="1">
      <alignment horizontal="left"/>
    </xf>
    <xf numFmtId="0" fontId="22" fillId="0" borderId="0" xfId="0" applyFont="1"/>
    <xf numFmtId="0" fontId="7" fillId="0" borderId="0" xfId="0" applyNumberFormat="1" applyFont="1" applyFill="1" applyBorder="1" applyAlignment="1">
      <alignment horizontal="left"/>
    </xf>
    <xf numFmtId="0" fontId="3" fillId="0" borderId="0" xfId="0" applyFont="1" applyFill="1" applyAlignment="1">
      <alignment horizontal="right"/>
    </xf>
    <xf numFmtId="0" fontId="3" fillId="0" borderId="0" xfId="0" applyFont="1" applyFill="1" applyBorder="1" applyAlignment="1">
      <alignment horizontal="right"/>
    </xf>
    <xf numFmtId="0" fontId="3" fillId="0" borderId="0" xfId="0" applyFont="1" applyFill="1" applyAlignment="1">
      <alignment horizontal="left"/>
    </xf>
    <xf numFmtId="0" fontId="3" fillId="0" borderId="0" xfId="0" applyFont="1" applyFill="1" applyBorder="1" applyAlignment="1">
      <alignment horizontal="center"/>
    </xf>
    <xf numFmtId="0" fontId="3" fillId="0" borderId="0" xfId="0" applyFont="1" applyBorder="1"/>
    <xf numFmtId="37" fontId="3" fillId="0" borderId="0" xfId="0" applyNumberFormat="1" applyFont="1" applyFill="1" applyBorder="1" applyAlignment="1">
      <alignment horizontal="right"/>
    </xf>
    <xf numFmtId="37" fontId="7" fillId="0" borderId="0" xfId="0" applyNumberFormat="1" applyFont="1" applyFill="1" applyBorder="1" applyAlignment="1"/>
    <xf numFmtId="37" fontId="8" fillId="3" borderId="0" xfId="0" applyNumberFormat="1" applyFont="1" applyFill="1" applyBorder="1" applyAlignment="1"/>
    <xf numFmtId="0" fontId="4" fillId="0" borderId="0" xfId="0" applyNumberFormat="1" applyFont="1" applyFill="1" applyBorder="1" applyAlignment="1"/>
    <xf numFmtId="0" fontId="3" fillId="0" borderId="0" xfId="0" applyFont="1" applyBorder="1" applyAlignment="1"/>
    <xf numFmtId="37" fontId="7" fillId="0" borderId="0" xfId="0" applyNumberFormat="1" applyFont="1" applyFill="1"/>
    <xf numFmtId="37" fontId="8" fillId="3" borderId="0" xfId="0" applyNumberFormat="1" applyFont="1" applyFill="1"/>
    <xf numFmtId="0" fontId="7" fillId="0" borderId="0" xfId="0" applyNumberFormat="1" applyFont="1" applyFill="1" applyAlignment="1">
      <alignment horizontal="left"/>
    </xf>
    <xf numFmtId="0" fontId="3" fillId="0" borderId="0" xfId="0" applyNumberFormat="1" applyFont="1" applyFill="1" applyAlignment="1">
      <alignment horizontal="left"/>
    </xf>
    <xf numFmtId="4" fontId="19" fillId="0" borderId="0" xfId="0" applyNumberFormat="1" applyFont="1" applyFill="1" applyAlignment="1">
      <alignment horizontal="right"/>
    </xf>
    <xf numFmtId="3" fontId="19" fillId="0" borderId="0" xfId="0" applyNumberFormat="1" applyFont="1" applyAlignment="1">
      <alignment horizontal="right"/>
    </xf>
    <xf numFmtId="0" fontId="23" fillId="0" borderId="0" xfId="0" applyNumberFormat="1" applyFont="1" applyFill="1" applyAlignment="1">
      <alignment horizontal="left"/>
    </xf>
    <xf numFmtId="0" fontId="3" fillId="0" borderId="0" xfId="0" applyNumberFormat="1" applyFont="1" applyFill="1" applyBorder="1" applyAlignment="1">
      <alignment horizontal="left"/>
    </xf>
    <xf numFmtId="3" fontId="19" fillId="0" borderId="0" xfId="0" applyNumberFormat="1" applyFont="1" applyFill="1" applyAlignment="1">
      <alignment horizontal="right"/>
    </xf>
    <xf numFmtId="37" fontId="7" fillId="0" borderId="0" xfId="0" applyNumberFormat="1" applyFont="1" applyFill="1" applyAlignment="1">
      <alignment horizontal="right"/>
    </xf>
    <xf numFmtId="37" fontId="8" fillId="3" borderId="0" xfId="0" applyNumberFormat="1" applyFont="1" applyFill="1" applyAlignment="1">
      <alignment horizontal="right"/>
    </xf>
    <xf numFmtId="37" fontId="3" fillId="0" borderId="0" xfId="0" applyNumberFormat="1" applyFont="1"/>
    <xf numFmtId="37" fontId="20" fillId="3" borderId="0" xfId="1" applyNumberFormat="1" applyFont="1" applyFill="1" applyBorder="1" applyAlignment="1"/>
    <xf numFmtId="0" fontId="3" fillId="0" borderId="0" xfId="0" applyNumberFormat="1" applyFont="1" applyFill="1" applyAlignment="1">
      <alignment horizontal="right"/>
    </xf>
    <xf numFmtId="37" fontId="3" fillId="0" borderId="0" xfId="0" applyNumberFormat="1" applyFont="1" applyFill="1" applyAlignment="1">
      <alignment horizontal="right"/>
    </xf>
    <xf numFmtId="0" fontId="24" fillId="0" borderId="0" xfId="0" applyFont="1" applyFill="1" applyAlignment="1">
      <alignment horizontal="center"/>
    </xf>
    <xf numFmtId="0" fontId="3" fillId="0" borderId="20" xfId="0" applyNumberFormat="1" applyFont="1" applyFill="1" applyBorder="1" applyAlignment="1">
      <alignment horizontal="center"/>
    </xf>
    <xf numFmtId="3" fontId="19" fillId="0" borderId="20" xfId="0" applyNumberFormat="1" applyFont="1" applyBorder="1" applyAlignment="1">
      <alignment horizontal="right"/>
    </xf>
    <xf numFmtId="167" fontId="3" fillId="0" borderId="0" xfId="0" applyNumberFormat="1" applyFont="1" applyFill="1" applyAlignment="1">
      <alignment horizontal="right"/>
    </xf>
    <xf numFmtId="37" fontId="3" fillId="0" borderId="18" xfId="0" applyNumberFormat="1" applyFont="1" applyFill="1" applyBorder="1" applyAlignment="1">
      <alignment horizontal="right"/>
    </xf>
    <xf numFmtId="37" fontId="20" fillId="3" borderId="0" xfId="0" applyNumberFormat="1" applyFont="1" applyFill="1" applyBorder="1" applyAlignment="1">
      <alignment horizontal="right"/>
    </xf>
    <xf numFmtId="0" fontId="3" fillId="0" borderId="18" xfId="0" applyNumberFormat="1" applyFont="1" applyFill="1" applyBorder="1" applyAlignment="1">
      <alignment horizontal="left"/>
    </xf>
    <xf numFmtId="37" fontId="20" fillId="3" borderId="0" xfId="0" applyNumberFormat="1" applyFont="1" applyFill="1" applyAlignment="1">
      <alignment horizontal="right"/>
    </xf>
    <xf numFmtId="0" fontId="7" fillId="0" borderId="18" xfId="0" applyFont="1" applyFill="1" applyBorder="1"/>
    <xf numFmtId="0" fontId="7" fillId="0" borderId="18" xfId="0" applyFont="1" applyFill="1" applyBorder="1" applyAlignment="1"/>
    <xf numFmtId="0" fontId="7" fillId="0" borderId="18" xfId="0" applyNumberFormat="1" applyFont="1" applyBorder="1" applyAlignment="1">
      <alignment horizontal="center"/>
    </xf>
    <xf numFmtId="3" fontId="25" fillId="0" borderId="18" xfId="0" applyNumberFormat="1" applyFont="1" applyBorder="1" applyAlignment="1">
      <alignment horizontal="right"/>
    </xf>
    <xf numFmtId="37" fontId="7" fillId="0" borderId="18" xfId="0" applyNumberFormat="1" applyFont="1" applyFill="1" applyBorder="1"/>
    <xf numFmtId="0" fontId="3" fillId="3" borderId="20" xfId="0" applyNumberFormat="1" applyFont="1" applyFill="1" applyBorder="1" applyAlignment="1">
      <alignment horizontal="left"/>
    </xf>
    <xf numFmtId="166" fontId="3" fillId="3" borderId="0" xfId="3" applyNumberFormat="1" applyFont="1" applyFill="1" applyAlignment="1">
      <alignment horizontal="right"/>
    </xf>
    <xf numFmtId="166" fontId="20" fillId="3" borderId="0" xfId="3" applyNumberFormat="1" applyFont="1" applyFill="1" applyAlignment="1">
      <alignment horizontal="right"/>
    </xf>
    <xf numFmtId="166" fontId="3" fillId="0" borderId="0" xfId="3" applyNumberFormat="1" applyFont="1" applyFill="1" applyAlignment="1">
      <alignment horizontal="right"/>
    </xf>
    <xf numFmtId="0" fontId="7" fillId="0" borderId="18" xfId="0" applyNumberFormat="1" applyFont="1" applyFill="1" applyBorder="1" applyAlignment="1">
      <alignment horizontal="left"/>
    </xf>
    <xf numFmtId="0" fontId="7" fillId="0" borderId="18" xfId="0" applyFont="1" applyBorder="1" applyAlignment="1">
      <alignment horizontal="left"/>
    </xf>
    <xf numFmtId="0" fontId="7" fillId="0" borderId="18" xfId="0" applyFont="1" applyBorder="1" applyAlignment="1">
      <alignment horizontal="center"/>
    </xf>
    <xf numFmtId="0" fontId="7" fillId="0" borderId="18" xfId="0" applyFont="1" applyBorder="1"/>
    <xf numFmtId="37" fontId="7" fillId="0" borderId="18" xfId="0" applyNumberFormat="1" applyFont="1" applyFill="1" applyBorder="1" applyAlignment="1">
      <alignment horizontal="right"/>
    </xf>
    <xf numFmtId="0" fontId="7" fillId="0" borderId="0" xfId="0" applyFont="1" applyBorder="1" applyAlignment="1">
      <alignment horizontal="left"/>
    </xf>
    <xf numFmtId="0" fontId="7" fillId="0" borderId="0" xfId="0" applyFont="1" applyBorder="1" applyAlignment="1">
      <alignment horizontal="center"/>
    </xf>
    <xf numFmtId="0" fontId="7" fillId="0" borderId="0" xfId="0" applyFont="1" applyBorder="1"/>
    <xf numFmtId="37" fontId="7" fillId="0" borderId="0" xfId="0" applyNumberFormat="1" applyFont="1" applyFill="1" applyBorder="1" applyAlignment="1">
      <alignment horizontal="right"/>
    </xf>
    <xf numFmtId="0" fontId="7" fillId="7" borderId="0" xfId="0" applyFont="1" applyFill="1"/>
    <xf numFmtId="37" fontId="3" fillId="0" borderId="0" xfId="0" applyNumberFormat="1" applyFont="1" applyAlignment="1">
      <alignment horizontal="right"/>
    </xf>
    <xf numFmtId="37" fontId="7" fillId="0" borderId="19" xfId="0" applyNumberFormat="1" applyFont="1" applyBorder="1"/>
    <xf numFmtId="0" fontId="3" fillId="0" borderId="0" xfId="0" applyFont="1" applyAlignment="1">
      <alignment horizontal="left"/>
    </xf>
    <xf numFmtId="0" fontId="15" fillId="4" borderId="0" xfId="0" applyFont="1" applyFill="1" applyAlignment="1">
      <alignment horizontal="left"/>
    </xf>
    <xf numFmtId="0" fontId="16" fillId="4" borderId="0" xfId="0" applyFont="1" applyFill="1" applyAlignment="1"/>
    <xf numFmtId="0" fontId="7" fillId="4" borderId="0" xfId="0" applyNumberFormat="1" applyFont="1" applyFill="1" applyAlignment="1">
      <alignment horizontal="left"/>
    </xf>
    <xf numFmtId="0" fontId="3" fillId="4" borderId="0" xfId="0" applyFont="1" applyFill="1" applyAlignment="1"/>
    <xf numFmtId="0" fontId="7" fillId="4" borderId="0" xfId="0" applyNumberFormat="1" applyFont="1" applyFill="1" applyAlignment="1">
      <alignment horizontal="center"/>
    </xf>
    <xf numFmtId="37" fontId="7" fillId="0" borderId="0" xfId="3" applyNumberFormat="1" applyFont="1" applyFill="1" applyAlignment="1"/>
    <xf numFmtId="0" fontId="7" fillId="0" borderId="0" xfId="0" applyNumberFormat="1" applyFont="1" applyFill="1" applyBorder="1" applyAlignment="1"/>
    <xf numFmtId="3" fontId="3" fillId="0" borderId="0" xfId="0" applyNumberFormat="1" applyFont="1" applyBorder="1" applyAlignment="1">
      <alignment horizontal="center"/>
    </xf>
    <xf numFmtId="0" fontId="19" fillId="0" borderId="0" xfId="0" applyFont="1" applyFill="1" applyAlignment="1">
      <alignment horizontal="center"/>
    </xf>
    <xf numFmtId="0" fontId="19" fillId="0" borderId="20" xfId="0" applyFont="1" applyFill="1" applyBorder="1" applyAlignment="1"/>
    <xf numFmtId="0" fontId="3" fillId="0" borderId="20" xfId="0" applyFont="1" applyFill="1" applyBorder="1"/>
    <xf numFmtId="37" fontId="3" fillId="0" borderId="20" xfId="0" applyNumberFormat="1" applyFont="1" applyFill="1" applyBorder="1" applyAlignment="1">
      <alignment horizontal="right"/>
    </xf>
    <xf numFmtId="37" fontId="20" fillId="3" borderId="20" xfId="0" applyNumberFormat="1" applyFont="1" applyFill="1" applyBorder="1" applyAlignment="1">
      <alignment horizontal="right"/>
    </xf>
    <xf numFmtId="37" fontId="19" fillId="0" borderId="0" xfId="0" applyNumberFormat="1" applyFont="1" applyFill="1" applyAlignment="1">
      <alignment horizontal="right"/>
    </xf>
    <xf numFmtId="3" fontId="3" fillId="0" borderId="0" xfId="0" applyNumberFormat="1" applyFont="1" applyBorder="1" applyAlignment="1"/>
    <xf numFmtId="37" fontId="7" fillId="0" borderId="19" xfId="0" applyNumberFormat="1" applyFont="1" applyFill="1" applyBorder="1" applyAlignment="1"/>
    <xf numFmtId="37" fontId="7" fillId="0" borderId="0" xfId="3" applyNumberFormat="1" applyFont="1" applyAlignment="1"/>
    <xf numFmtId="37" fontId="3" fillId="4" borderId="0" xfId="0" applyNumberFormat="1" applyFont="1" applyFill="1" applyBorder="1" applyAlignment="1">
      <alignment horizontal="center" wrapText="1"/>
    </xf>
    <xf numFmtId="0" fontId="7" fillId="0" borderId="0" xfId="0" applyNumberFormat="1" applyFont="1" applyAlignment="1">
      <alignment horizontal="left"/>
    </xf>
    <xf numFmtId="0" fontId="3" fillId="0" borderId="0" xfId="0" applyFont="1" applyAlignment="1">
      <alignment horizontal="right"/>
    </xf>
    <xf numFmtId="37" fontId="19" fillId="0" borderId="0" xfId="0" applyNumberFormat="1" applyFont="1" applyAlignment="1">
      <alignment horizontal="right"/>
    </xf>
    <xf numFmtId="0" fontId="3" fillId="0" borderId="0" xfId="0" applyNumberFormat="1" applyFont="1" applyFill="1" applyBorder="1" applyAlignment="1">
      <alignment horizontal="center"/>
    </xf>
    <xf numFmtId="3" fontId="19" fillId="0" borderId="20" xfId="0" applyNumberFormat="1" applyFont="1" applyFill="1" applyBorder="1" applyAlignment="1">
      <alignment horizontal="right"/>
    </xf>
    <xf numFmtId="167" fontId="3" fillId="0" borderId="20" xfId="0" applyNumberFormat="1" applyFont="1" applyFill="1" applyBorder="1" applyAlignment="1">
      <alignment horizontal="right"/>
    </xf>
    <xf numFmtId="167" fontId="3" fillId="0" borderId="0" xfId="0" applyNumberFormat="1" applyFont="1" applyFill="1" applyBorder="1" applyAlignment="1">
      <alignment horizontal="right"/>
    </xf>
    <xf numFmtId="0" fontId="7" fillId="0" borderId="19" xfId="0" applyNumberFormat="1" applyFont="1" applyBorder="1" applyAlignment="1">
      <alignment horizontal="left"/>
    </xf>
    <xf numFmtId="0" fontId="7" fillId="0" borderId="19" xfId="0" applyFont="1" applyBorder="1" applyAlignment="1"/>
    <xf numFmtId="0" fontId="7" fillId="0" borderId="19" xfId="0" applyNumberFormat="1" applyFont="1" applyBorder="1" applyAlignment="1">
      <alignment horizontal="center"/>
    </xf>
    <xf numFmtId="3" fontId="3" fillId="0" borderId="19" xfId="0" applyNumberFormat="1" applyFont="1" applyBorder="1" applyAlignment="1"/>
    <xf numFmtId="0" fontId="7" fillId="0" borderId="19" xfId="0" applyFont="1" applyBorder="1" applyAlignment="1">
      <alignment horizontal="right"/>
    </xf>
    <xf numFmtId="37" fontId="7" fillId="0" borderId="19" xfId="0" applyNumberFormat="1" applyFont="1" applyBorder="1" applyAlignment="1">
      <alignment horizontal="right"/>
    </xf>
    <xf numFmtId="0" fontId="16" fillId="4" borderId="0" xfId="0" applyFont="1" applyFill="1" applyBorder="1" applyAlignment="1">
      <alignment horizontal="center"/>
    </xf>
    <xf numFmtId="37" fontId="7" fillId="0" borderId="0" xfId="1" applyNumberFormat="1" applyFont="1" applyFill="1"/>
    <xf numFmtId="37" fontId="8" fillId="3" borderId="0" xfId="1" applyNumberFormat="1" applyFont="1" applyFill="1"/>
    <xf numFmtId="37" fontId="3" fillId="0" borderId="0" xfId="4" applyNumberFormat="1" applyFont="1" applyFill="1" applyAlignment="1">
      <alignment vertical="center"/>
    </xf>
    <xf numFmtId="37" fontId="7" fillId="0" borderId="0" xfId="4" applyNumberFormat="1" applyFont="1"/>
    <xf numFmtId="37" fontId="26" fillId="0" borderId="0" xfId="4" applyNumberFormat="1" applyFont="1"/>
    <xf numFmtId="37" fontId="27" fillId="0" borderId="0" xfId="4" applyNumberFormat="1" applyFont="1" applyFill="1"/>
    <xf numFmtId="37" fontId="3" fillId="0" borderId="0" xfId="4" applyNumberFormat="1" applyFont="1"/>
    <xf numFmtId="37" fontId="3" fillId="0" borderId="0" xfId="4" applyNumberFormat="1" applyFont="1" applyFill="1" applyBorder="1" applyAlignment="1"/>
    <xf numFmtId="37" fontId="3" fillId="0" borderId="0" xfId="4" applyNumberFormat="1" applyFont="1" applyFill="1"/>
    <xf numFmtId="37" fontId="20" fillId="3" borderId="0" xfId="4" applyNumberFormat="1" applyFont="1" applyFill="1"/>
    <xf numFmtId="37" fontId="28" fillId="0" borderId="0" xfId="4" applyNumberFormat="1" applyFont="1"/>
    <xf numFmtId="37" fontId="7" fillId="0" borderId="18" xfId="4" applyNumberFormat="1" applyFont="1" applyBorder="1" applyAlignment="1">
      <alignment horizontal="left" indent="1"/>
    </xf>
    <xf numFmtId="37" fontId="3" fillId="0" borderId="18" xfId="4" applyNumberFormat="1" applyFont="1" applyBorder="1"/>
    <xf numFmtId="37" fontId="3" fillId="0" borderId="18" xfId="4" applyNumberFormat="1" applyFont="1" applyFill="1" applyBorder="1"/>
    <xf numFmtId="37" fontId="3" fillId="0" borderId="18" xfId="4" applyNumberFormat="1" applyFont="1" applyFill="1" applyBorder="1" applyAlignment="1"/>
    <xf numFmtId="37" fontId="7" fillId="0" borderId="18" xfId="4" applyNumberFormat="1" applyFont="1" applyFill="1" applyBorder="1"/>
    <xf numFmtId="37" fontId="29" fillId="0" borderId="0" xfId="4" applyNumberFormat="1" applyFont="1"/>
    <xf numFmtId="37" fontId="3" fillId="0" borderId="0" xfId="4" applyNumberFormat="1" applyFont="1" applyFill="1" applyBorder="1"/>
    <xf numFmtId="37" fontId="20" fillId="3" borderId="0" xfId="4" applyNumberFormat="1" applyFont="1" applyFill="1" applyBorder="1"/>
    <xf numFmtId="37" fontId="28" fillId="0" borderId="0" xfId="4" applyNumberFormat="1" applyFont="1" applyFill="1" applyAlignment="1">
      <alignment vertical="center"/>
    </xf>
    <xf numFmtId="37" fontId="0" fillId="0" borderId="0" xfId="0" applyNumberFormat="1"/>
    <xf numFmtId="37" fontId="3" fillId="0" borderId="18" xfId="4" applyNumberFormat="1" applyFont="1" applyFill="1" applyBorder="1" applyAlignment="1">
      <alignment wrapText="1"/>
    </xf>
    <xf numFmtId="37" fontId="8" fillId="3" borderId="18" xfId="4" applyNumberFormat="1" applyFont="1" applyFill="1" applyBorder="1"/>
    <xf numFmtId="37" fontId="3" fillId="3" borderId="0" xfId="4" applyNumberFormat="1" applyFont="1" applyFill="1"/>
    <xf numFmtId="37" fontId="3" fillId="0" borderId="0" xfId="4" applyNumberFormat="1" applyFont="1" applyFill="1" applyBorder="1" applyAlignment="1">
      <alignment wrapText="1"/>
    </xf>
    <xf numFmtId="0" fontId="7" fillId="0" borderId="1" xfId="0" applyNumberFormat="1" applyFont="1" applyFill="1" applyBorder="1" applyAlignment="1"/>
    <xf numFmtId="0" fontId="3" fillId="0" borderId="1" xfId="0" applyFont="1" applyBorder="1" applyAlignment="1"/>
    <xf numFmtId="0" fontId="3" fillId="0" borderId="1" xfId="0" applyFont="1" applyBorder="1" applyAlignment="1">
      <alignment horizontal="center"/>
    </xf>
    <xf numFmtId="3" fontId="3" fillId="0" borderId="1" xfId="0" applyNumberFormat="1" applyFont="1" applyFill="1" applyBorder="1" applyAlignment="1"/>
    <xf numFmtId="3" fontId="3" fillId="0" borderId="1" xfId="0" applyNumberFormat="1" applyFont="1" applyBorder="1" applyAlignment="1"/>
    <xf numFmtId="3" fontId="7" fillId="0" borderId="1" xfId="0" applyNumberFormat="1" applyFont="1" applyFill="1" applyBorder="1" applyAlignment="1"/>
    <xf numFmtId="3" fontId="7" fillId="0" borderId="0" xfId="0" applyNumberFormat="1" applyFont="1" applyFill="1" applyBorder="1" applyAlignment="1"/>
    <xf numFmtId="0" fontId="3" fillId="0" borderId="0" xfId="0" applyNumberFormat="1" applyFont="1" applyBorder="1" applyAlignment="1">
      <alignment horizontal="left"/>
    </xf>
    <xf numFmtId="10" fontId="3" fillId="0" borderId="0" xfId="0" applyNumberFormat="1" applyFont="1" applyFill="1" applyAlignment="1"/>
    <xf numFmtId="10" fontId="3" fillId="5" borderId="0" xfId="0" applyNumberFormat="1" applyFont="1" applyFill="1" applyAlignment="1"/>
    <xf numFmtId="0" fontId="3" fillId="0" borderId="0" xfId="0" applyNumberFormat="1" applyFont="1" applyBorder="1" applyAlignment="1">
      <alignment horizontal="center"/>
    </xf>
    <xf numFmtId="3" fontId="3" fillId="0" borderId="20" xfId="0" applyNumberFormat="1" applyFont="1" applyBorder="1" applyAlignment="1">
      <alignment horizontal="left"/>
    </xf>
    <xf numFmtId="10" fontId="3" fillId="0" borderId="20" xfId="0" applyNumberFormat="1" applyFont="1" applyFill="1" applyBorder="1" applyAlignment="1">
      <alignment horizontal="center"/>
    </xf>
    <xf numFmtId="10" fontId="3" fillId="0" borderId="0" xfId="0" applyNumberFormat="1" applyFont="1" applyFill="1" applyBorder="1" applyAlignment="1">
      <alignment horizontal="center"/>
    </xf>
    <xf numFmtId="3" fontId="3" fillId="0" borderId="0" xfId="0" applyNumberFormat="1" applyFont="1" applyBorder="1" applyAlignment="1">
      <alignment horizontal="left"/>
    </xf>
    <xf numFmtId="3" fontId="3" fillId="0" borderId="0" xfId="0" applyNumberFormat="1" applyFont="1" applyAlignment="1">
      <alignment horizontal="left"/>
    </xf>
    <xf numFmtId="0" fontId="3" fillId="0" borderId="0" xfId="0" quotePrefix="1" applyNumberFormat="1" applyFont="1" applyFill="1" applyBorder="1" applyAlignment="1">
      <alignment wrapText="1"/>
    </xf>
    <xf numFmtId="10" fontId="3" fillId="0" borderId="0" xfId="3" applyNumberFormat="1" applyFont="1" applyFill="1" applyAlignment="1"/>
    <xf numFmtId="0" fontId="3" fillId="0" borderId="0" xfId="0" quotePrefix="1" applyNumberFormat="1" applyFont="1" applyAlignment="1">
      <alignment wrapText="1"/>
    </xf>
    <xf numFmtId="10" fontId="20" fillId="5" borderId="0" xfId="3" applyNumberFormat="1" applyFont="1" applyFill="1" applyAlignment="1"/>
    <xf numFmtId="10" fontId="20" fillId="0" borderId="0" xfId="3" applyNumberFormat="1" applyFont="1" applyFill="1" applyAlignment="1"/>
    <xf numFmtId="0" fontId="3" fillId="0" borderId="20" xfId="0" applyNumberFormat="1" applyFont="1" applyBorder="1" applyAlignment="1"/>
    <xf numFmtId="10" fontId="3" fillId="0" borderId="20" xfId="3" applyNumberFormat="1" applyFont="1" applyFill="1" applyBorder="1" applyAlignment="1"/>
    <xf numFmtId="10" fontId="3" fillId="0" borderId="0" xfId="3" applyNumberFormat="1" applyFont="1" applyFill="1" applyBorder="1" applyAlignment="1"/>
    <xf numFmtId="10" fontId="3" fillId="0" borderId="0" xfId="0" applyNumberFormat="1" applyFont="1" applyFill="1" applyBorder="1" applyAlignment="1"/>
    <xf numFmtId="3" fontId="3" fillId="0" borderId="0" xfId="0" quotePrefix="1" applyNumberFormat="1" applyFont="1" applyAlignment="1">
      <alignment horizontal="right"/>
    </xf>
    <xf numFmtId="0" fontId="3" fillId="0" borderId="20" xfId="0" applyNumberFormat="1" applyFont="1" applyBorder="1" applyAlignment="1">
      <alignment horizontal="left"/>
    </xf>
    <xf numFmtId="0" fontId="3" fillId="0" borderId="20" xfId="0" applyFont="1" applyBorder="1" applyAlignment="1">
      <alignment horizontal="center"/>
    </xf>
    <xf numFmtId="3" fontId="3" fillId="0" borderId="20" xfId="0" applyNumberFormat="1" applyFont="1" applyBorder="1" applyAlignment="1">
      <alignment horizontal="right"/>
    </xf>
    <xf numFmtId="0" fontId="7" fillId="0" borderId="0" xfId="0" applyNumberFormat="1" applyFont="1" applyBorder="1" applyAlignment="1">
      <alignment horizontal="left" indent="1"/>
    </xf>
    <xf numFmtId="0" fontId="7" fillId="0" borderId="0" xfId="0" applyFont="1" applyBorder="1" applyAlignment="1"/>
    <xf numFmtId="3" fontId="7" fillId="0" borderId="0" xfId="0" quotePrefix="1" applyNumberFormat="1" applyFont="1" applyBorder="1" applyAlignment="1">
      <alignment horizontal="right"/>
    </xf>
    <xf numFmtId="167" fontId="7" fillId="0" borderId="0" xfId="3" applyNumberFormat="1" applyFont="1" applyAlignment="1"/>
    <xf numFmtId="10" fontId="7" fillId="0" borderId="0" xfId="3" applyNumberFormat="1" applyFont="1" applyAlignment="1"/>
    <xf numFmtId="10" fontId="7" fillId="5" borderId="18" xfId="3" applyNumberFormat="1" applyFont="1" applyFill="1" applyBorder="1" applyAlignment="1"/>
    <xf numFmtId="0" fontId="7" fillId="0" borderId="0" xfId="0" applyNumberFormat="1" applyFont="1" applyAlignment="1">
      <alignment horizontal="center"/>
    </xf>
    <xf numFmtId="0" fontId="7" fillId="0" borderId="0" xfId="0" applyNumberFormat="1" applyFont="1" applyBorder="1" applyAlignment="1"/>
    <xf numFmtId="169" fontId="7" fillId="0" borderId="0" xfId="0" applyNumberFormat="1" applyFont="1" applyAlignment="1"/>
    <xf numFmtId="168" fontId="7" fillId="0" borderId="19" xfId="0" applyNumberFormat="1" applyFont="1" applyBorder="1" applyAlignment="1">
      <alignment horizontal="left"/>
    </xf>
    <xf numFmtId="3" fontId="7" fillId="0" borderId="19" xfId="0" applyNumberFormat="1" applyFont="1" applyBorder="1" applyAlignment="1">
      <alignment horizontal="center"/>
    </xf>
    <xf numFmtId="170" fontId="7" fillId="0" borderId="19" xfId="0" applyNumberFormat="1" applyFont="1" applyBorder="1" applyAlignment="1">
      <alignment horizontal="center"/>
    </xf>
    <xf numFmtId="37" fontId="7" fillId="0" borderId="19" xfId="0" applyNumberFormat="1" applyFont="1" applyBorder="1" applyAlignment="1"/>
    <xf numFmtId="0" fontId="30" fillId="0" borderId="0" xfId="0" applyFont="1" applyFill="1"/>
    <xf numFmtId="169" fontId="3" fillId="0" borderId="0" xfId="0" applyNumberFormat="1" applyFont="1" applyAlignment="1"/>
    <xf numFmtId="168" fontId="7" fillId="0" borderId="0" xfId="0" applyNumberFormat="1" applyFont="1" applyBorder="1" applyAlignment="1">
      <alignment horizontal="left"/>
    </xf>
    <xf numFmtId="170" fontId="3" fillId="0" borderId="0" xfId="0" applyNumberFormat="1" applyFont="1" applyAlignment="1">
      <alignment horizontal="center"/>
    </xf>
    <xf numFmtId="0" fontId="3" fillId="0" borderId="0" xfId="0" applyNumberFormat="1" applyFont="1" applyFill="1"/>
    <xf numFmtId="10" fontId="3" fillId="5" borderId="0" xfId="3" applyNumberFormat="1" applyFont="1" applyFill="1" applyAlignment="1"/>
    <xf numFmtId="10" fontId="20" fillId="3" borderId="0" xfId="3" applyNumberFormat="1" applyFont="1" applyFill="1" applyAlignment="1"/>
    <xf numFmtId="171" fontId="3" fillId="0" borderId="0" xfId="0" applyNumberFormat="1" applyFont="1" applyAlignment="1"/>
    <xf numFmtId="168" fontId="3" fillId="0" borderId="0" xfId="0" applyNumberFormat="1" applyFont="1" applyFill="1" applyAlignment="1"/>
    <xf numFmtId="168" fontId="3" fillId="0" borderId="0" xfId="0" applyNumberFormat="1" applyFont="1" applyFill="1"/>
    <xf numFmtId="0" fontId="4" fillId="0" borderId="0" xfId="0" applyFont="1" applyFill="1"/>
    <xf numFmtId="168" fontId="3" fillId="0" borderId="0" xfId="0" applyNumberFormat="1" applyFont="1" applyAlignment="1">
      <alignment horizontal="left"/>
    </xf>
    <xf numFmtId="10" fontId="3" fillId="0" borderId="0" xfId="0" applyNumberFormat="1" applyFont="1" applyFill="1" applyAlignment="1">
      <alignment horizontal="right"/>
    </xf>
    <xf numFmtId="0" fontId="3" fillId="0" borderId="0" xfId="0" applyNumberFormat="1" applyFont="1" applyBorder="1" applyAlignment="1"/>
    <xf numFmtId="170" fontId="3" fillId="0" borderId="0" xfId="0" applyNumberFormat="1" applyFont="1" applyBorder="1" applyAlignment="1">
      <alignment horizontal="center"/>
    </xf>
    <xf numFmtId="0" fontId="7" fillId="0" borderId="0" xfId="0" applyNumberFormat="1" applyFont="1" applyBorder="1" applyAlignment="1">
      <alignment horizontal="left"/>
    </xf>
    <xf numFmtId="3" fontId="19" fillId="0" borderId="0" xfId="0" applyNumberFormat="1" applyFont="1" applyBorder="1" applyAlignment="1">
      <alignment horizontal="right"/>
    </xf>
    <xf numFmtId="168" fontId="3" fillId="0" borderId="0" xfId="0" applyNumberFormat="1" applyFont="1" applyFill="1" applyAlignment="1">
      <alignment horizontal="left"/>
    </xf>
    <xf numFmtId="37" fontId="31" fillId="0" borderId="0" xfId="0" applyNumberFormat="1" applyFont="1" applyFill="1" applyAlignment="1">
      <alignment horizontal="right"/>
    </xf>
    <xf numFmtId="37" fontId="7" fillId="0" borderId="0" xfId="1" applyNumberFormat="1" applyFont="1" applyFill="1" applyAlignment="1"/>
    <xf numFmtId="164" fontId="3" fillId="0" borderId="0" xfId="1" applyNumberFormat="1" applyFont="1"/>
    <xf numFmtId="37" fontId="3" fillId="0" borderId="0" xfId="0" applyNumberFormat="1" applyFont="1" applyBorder="1" applyAlignment="1">
      <alignment horizontal="right"/>
    </xf>
    <xf numFmtId="170" fontId="7" fillId="0" borderId="19" xfId="0" applyNumberFormat="1" applyFont="1" applyBorder="1" applyAlignment="1"/>
    <xf numFmtId="37" fontId="7" fillId="0" borderId="19" xfId="1" applyNumberFormat="1" applyFont="1" applyFill="1" applyBorder="1" applyAlignment="1">
      <alignment horizontal="right"/>
    </xf>
    <xf numFmtId="3" fontId="3" fillId="0" borderId="0" xfId="0" applyNumberFormat="1" applyFont="1" applyFill="1" applyAlignment="1">
      <alignment horizontal="right"/>
    </xf>
    <xf numFmtId="170" fontId="3" fillId="0" borderId="0" xfId="0" applyNumberFormat="1" applyFont="1" applyAlignment="1"/>
    <xf numFmtId="37" fontId="7" fillId="0" borderId="18" xfId="1" applyNumberFormat="1" applyFont="1" applyFill="1" applyBorder="1" applyAlignment="1">
      <alignment horizontal="right"/>
    </xf>
    <xf numFmtId="37" fontId="7" fillId="0" borderId="0" xfId="1" applyNumberFormat="1" applyFont="1" applyFill="1" applyBorder="1" applyAlignment="1">
      <alignment horizontal="right"/>
    </xf>
    <xf numFmtId="37" fontId="3" fillId="4" borderId="0" xfId="0" applyNumberFormat="1" applyFont="1" applyFill="1" applyBorder="1"/>
    <xf numFmtId="3" fontId="7" fillId="0" borderId="18" xfId="0" applyNumberFormat="1" applyFont="1" applyBorder="1" applyAlignment="1">
      <alignment horizontal="center"/>
    </xf>
    <xf numFmtId="0" fontId="7" fillId="0" borderId="18" xfId="0" applyFont="1" applyBorder="1" applyAlignment="1"/>
    <xf numFmtId="37" fontId="3" fillId="0" borderId="18" xfId="0" applyNumberFormat="1" applyFont="1" applyBorder="1"/>
    <xf numFmtId="168" fontId="3" fillId="0" borderId="0" xfId="0" applyNumberFormat="1" applyFont="1" applyBorder="1" applyAlignment="1">
      <alignment horizontal="left"/>
    </xf>
    <xf numFmtId="0" fontId="2" fillId="0" borderId="21" xfId="0" applyNumberFormat="1" applyFont="1" applyBorder="1" applyAlignment="1">
      <alignment horizontal="center"/>
    </xf>
    <xf numFmtId="0" fontId="32" fillId="0" borderId="22" xfId="0" applyNumberFormat="1" applyFont="1" applyBorder="1" applyAlignment="1">
      <alignment horizontal="center"/>
    </xf>
    <xf numFmtId="0" fontId="2" fillId="0" borderId="22" xfId="0" applyNumberFormat="1" applyFont="1" applyFill="1" applyBorder="1" applyAlignment="1"/>
    <xf numFmtId="0" fontId="2" fillId="0" borderId="22" xfId="0" applyFont="1" applyFill="1" applyBorder="1" applyAlignment="1"/>
    <xf numFmtId="3" fontId="2" fillId="0" borderId="22" xfId="0" applyNumberFormat="1" applyFont="1" applyBorder="1" applyAlignment="1">
      <alignment horizontal="center"/>
    </xf>
    <xf numFmtId="3" fontId="32" fillId="0" borderId="22" xfId="0" applyNumberFormat="1" applyFont="1" applyFill="1" applyBorder="1" applyAlignment="1"/>
    <xf numFmtId="0" fontId="32" fillId="0" borderId="22" xfId="0" applyFont="1" applyBorder="1" applyAlignment="1"/>
    <xf numFmtId="37" fontId="2" fillId="0" borderId="23" xfId="0" applyNumberFormat="1" applyFont="1" applyBorder="1"/>
    <xf numFmtId="37" fontId="2" fillId="0" borderId="24" xfId="0" applyNumberFormat="1" applyFont="1" applyBorder="1"/>
    <xf numFmtId="37" fontId="3" fillId="5" borderId="25" xfId="0" applyNumberFormat="1" applyFont="1" applyFill="1" applyBorder="1" applyAlignment="1"/>
    <xf numFmtId="10" fontId="3" fillId="5" borderId="26" xfId="3" applyNumberFormat="1" applyFont="1" applyFill="1" applyBorder="1" applyAlignment="1">
      <alignment horizontal="center"/>
    </xf>
    <xf numFmtId="164" fontId="4" fillId="0" borderId="0" xfId="1" applyNumberFormat="1" applyFont="1" applyFill="1"/>
    <xf numFmtId="0" fontId="2" fillId="0" borderId="0" xfId="0" applyNumberFormat="1" applyFont="1" applyBorder="1" applyAlignment="1">
      <alignment horizontal="center"/>
    </xf>
    <xf numFmtId="0" fontId="32" fillId="0" borderId="0" xfId="0" applyNumberFormat="1" applyFont="1" applyBorder="1" applyAlignment="1">
      <alignment horizontal="center"/>
    </xf>
    <xf numFmtId="0" fontId="2" fillId="0" borderId="0" xfId="0" applyNumberFormat="1" applyFont="1" applyFill="1" applyBorder="1" applyAlignment="1"/>
    <xf numFmtId="0" fontId="2" fillId="0" borderId="0" xfId="0" applyFont="1" applyFill="1" applyBorder="1" applyAlignment="1"/>
    <xf numFmtId="3" fontId="2" fillId="0" borderId="0" xfId="0" applyNumberFormat="1" applyFont="1" applyBorder="1" applyAlignment="1">
      <alignment horizontal="center"/>
    </xf>
    <xf numFmtId="3" fontId="7" fillId="0" borderId="0" xfId="0" applyNumberFormat="1" applyFont="1" applyBorder="1" applyAlignment="1"/>
    <xf numFmtId="0" fontId="32" fillId="0" borderId="0" xfId="0" applyFont="1" applyBorder="1" applyAlignment="1"/>
    <xf numFmtId="37" fontId="2" fillId="0" borderId="0" xfId="0" applyNumberFormat="1" applyFont="1" applyBorder="1"/>
    <xf numFmtId="37" fontId="2" fillId="0" borderId="0" xfId="0" applyNumberFormat="1" applyFont="1" applyFill="1" applyBorder="1"/>
    <xf numFmtId="37" fontId="3" fillId="0" borderId="0" xfId="0" applyNumberFormat="1" applyFont="1" applyFill="1" applyBorder="1"/>
    <xf numFmtId="0" fontId="2" fillId="0" borderId="20" xfId="0" applyFont="1" applyFill="1" applyBorder="1" applyAlignment="1"/>
    <xf numFmtId="0" fontId="32" fillId="0" borderId="20" xfId="0" applyFont="1" applyBorder="1" applyAlignment="1"/>
    <xf numFmtId="37" fontId="3" fillId="0" borderId="20" xfId="0" applyNumberFormat="1" applyFont="1" applyFill="1" applyBorder="1"/>
    <xf numFmtId="37" fontId="20" fillId="3" borderId="20" xfId="0" applyNumberFormat="1" applyFont="1" applyFill="1" applyBorder="1"/>
    <xf numFmtId="3" fontId="2" fillId="0" borderId="0" xfId="0" applyNumberFormat="1" applyFont="1" applyFill="1" applyBorder="1" applyAlignment="1">
      <alignment horizontal="center"/>
    </xf>
    <xf numFmtId="10" fontId="3" fillId="0" borderId="0" xfId="3" applyNumberFormat="1" applyFont="1" applyFill="1" applyBorder="1"/>
    <xf numFmtId="3" fontId="2" fillId="0" borderId="20" xfId="0" applyNumberFormat="1" applyFont="1" applyBorder="1" applyAlignment="1">
      <alignment horizontal="center"/>
    </xf>
    <xf numFmtId="37" fontId="7" fillId="0" borderId="0" xfId="0" applyNumberFormat="1" applyFont="1" applyFill="1" applyBorder="1"/>
    <xf numFmtId="0" fontId="24" fillId="0" borderId="0" xfId="0" applyFont="1" applyFill="1" applyBorder="1" applyAlignment="1"/>
    <xf numFmtId="3" fontId="33" fillId="0" borderId="0" xfId="0" applyNumberFormat="1" applyFont="1" applyAlignment="1">
      <alignment horizontal="right"/>
    </xf>
    <xf numFmtId="37" fontId="8" fillId="3" borderId="0" xfId="1" applyNumberFormat="1" applyFont="1" applyFill="1" applyAlignment="1"/>
    <xf numFmtId="0" fontId="7" fillId="0" borderId="22" xfId="0" applyFont="1" applyBorder="1"/>
    <xf numFmtId="0" fontId="2" fillId="0" borderId="22" xfId="0" applyNumberFormat="1" applyFont="1" applyBorder="1" applyAlignment="1">
      <alignment horizontal="left"/>
    </xf>
    <xf numFmtId="0" fontId="2" fillId="0" borderId="22" xfId="0" applyFont="1" applyFill="1" applyBorder="1"/>
    <xf numFmtId="0" fontId="2" fillId="0" borderId="22" xfId="0" applyFont="1" applyBorder="1" applyAlignment="1">
      <alignment horizontal="center"/>
    </xf>
    <xf numFmtId="3" fontId="32" fillId="0" borderId="22" xfId="0" applyNumberFormat="1" applyFont="1" applyBorder="1" applyAlignment="1"/>
    <xf numFmtId="0" fontId="2" fillId="0" borderId="22" xfId="0" applyFont="1" applyBorder="1" applyAlignment="1"/>
    <xf numFmtId="37" fontId="2" fillId="0" borderId="23" xfId="0" applyNumberFormat="1" applyFont="1" applyFill="1" applyBorder="1"/>
    <xf numFmtId="0" fontId="7" fillId="0" borderId="0" xfId="0" applyFont="1" applyFill="1" applyBorder="1"/>
    <xf numFmtId="37" fontId="3" fillId="0" borderId="0" xfId="1" applyNumberFormat="1" applyFont="1" applyAlignment="1"/>
    <xf numFmtId="37" fontId="3" fillId="0" borderId="0" xfId="5" applyNumberFormat="1" applyFont="1" applyFill="1" applyAlignment="1"/>
    <xf numFmtId="37" fontId="3" fillId="0" borderId="0" xfId="1" applyNumberFormat="1" applyFont="1" applyFill="1" applyAlignment="1"/>
    <xf numFmtId="37" fontId="20" fillId="3" borderId="0" xfId="1" applyNumberFormat="1" applyFont="1" applyFill="1" applyAlignment="1"/>
    <xf numFmtId="167" fontId="3" fillId="0" borderId="0" xfId="3" applyNumberFormat="1" applyFont="1" applyAlignment="1"/>
    <xf numFmtId="0" fontId="34" fillId="0" borderId="0" xfId="0" applyFont="1" applyFill="1" applyBorder="1"/>
    <xf numFmtId="0" fontId="35" fillId="0" borderId="0" xfId="0" applyFont="1" applyFill="1"/>
    <xf numFmtId="0" fontId="36" fillId="0" borderId="0" xfId="0" applyFont="1" applyFill="1" applyAlignment="1"/>
    <xf numFmtId="0" fontId="31" fillId="0" borderId="0" xfId="0" applyFont="1" applyFill="1" applyBorder="1" applyAlignment="1">
      <alignment horizontal="center"/>
    </xf>
    <xf numFmtId="37" fontId="3" fillId="0" borderId="0" xfId="0" applyNumberFormat="1" applyFont="1" applyBorder="1" applyAlignment="1">
      <alignment horizontal="left"/>
    </xf>
    <xf numFmtId="37" fontId="7" fillId="0" borderId="0" xfId="2" applyNumberFormat="1" applyFont="1" applyBorder="1" applyAlignment="1">
      <alignment horizontal="right"/>
    </xf>
    <xf numFmtId="0" fontId="31" fillId="0" borderId="0" xfId="0" applyFont="1" applyBorder="1" applyAlignment="1">
      <alignment horizontal="center"/>
    </xf>
    <xf numFmtId="37" fontId="3" fillId="0" borderId="0" xfId="0" applyNumberFormat="1" applyFont="1" applyFill="1" applyBorder="1" applyAlignment="1">
      <alignment horizontal="left"/>
    </xf>
    <xf numFmtId="37" fontId="7" fillId="0" borderId="0" xfId="0" applyNumberFormat="1" applyFont="1" applyBorder="1" applyAlignment="1">
      <alignment horizontal="right"/>
    </xf>
    <xf numFmtId="0" fontId="2" fillId="0" borderId="22" xfId="0" applyNumberFormat="1" applyFont="1" applyBorder="1" applyAlignment="1">
      <alignment horizontal="center"/>
    </xf>
    <xf numFmtId="0" fontId="2" fillId="0" borderId="22" xfId="0" applyNumberFormat="1" applyFont="1" applyFill="1" applyBorder="1" applyAlignment="1">
      <alignment horizontal="left"/>
    </xf>
    <xf numFmtId="0" fontId="2" fillId="0" borderId="22" xfId="0" applyNumberFormat="1" applyFont="1" applyFill="1" applyBorder="1" applyAlignment="1">
      <alignment horizontal="center"/>
    </xf>
    <xf numFmtId="0" fontId="32" fillId="0" borderId="22" xfId="0" applyNumberFormat="1" applyFont="1" applyFill="1" applyBorder="1" applyAlignment="1"/>
    <xf numFmtId="37" fontId="2" fillId="0" borderId="23" xfId="2" applyNumberFormat="1" applyFont="1" applyFill="1" applyBorder="1" applyAlignment="1"/>
    <xf numFmtId="0" fontId="37" fillId="0" borderId="0" xfId="0" applyNumberFormat="1" applyFont="1" applyFill="1" applyBorder="1" applyAlignment="1">
      <alignment horizontal="center"/>
    </xf>
    <xf numFmtId="0" fontId="32" fillId="0" borderId="0" xfId="0" applyNumberFormat="1" applyFont="1" applyFill="1" applyBorder="1" applyAlignment="1">
      <alignment horizontal="center"/>
    </xf>
    <xf numFmtId="0" fontId="38" fillId="0" borderId="0" xfId="0" applyFont="1" applyFill="1" applyBorder="1" applyAlignment="1"/>
    <xf numFmtId="0" fontId="32" fillId="0" borderId="0" xfId="0" applyFont="1" applyFill="1" applyBorder="1" applyAlignment="1"/>
    <xf numFmtId="0" fontId="39" fillId="0" borderId="0" xfId="0" applyFont="1" applyFill="1" applyBorder="1" applyAlignment="1">
      <alignment horizontal="center"/>
    </xf>
    <xf numFmtId="10" fontId="32" fillId="0" borderId="0" xfId="3" applyNumberFormat="1" applyFont="1" applyFill="1" applyBorder="1" applyAlignment="1">
      <alignment horizontal="left"/>
    </xf>
    <xf numFmtId="37" fontId="32" fillId="0" borderId="0" xfId="0" applyNumberFormat="1" applyFont="1" applyFill="1" applyBorder="1" applyAlignment="1">
      <alignment horizontal="left"/>
    </xf>
    <xf numFmtId="166" fontId="2" fillId="0" borderId="0" xfId="3" applyNumberFormat="1" applyFont="1" applyFill="1" applyBorder="1" applyAlignment="1">
      <alignment horizontal="right"/>
    </xf>
    <xf numFmtId="0" fontId="32" fillId="0" borderId="0" xfId="0" applyFont="1" applyFill="1" applyAlignment="1">
      <alignment horizontal="left"/>
    </xf>
    <xf numFmtId="37" fontId="2" fillId="0" borderId="0" xfId="0" applyNumberFormat="1" applyFont="1" applyFill="1" applyBorder="1" applyAlignment="1">
      <alignment horizontal="right"/>
    </xf>
    <xf numFmtId="0" fontId="32" fillId="0" borderId="0" xfId="0" applyNumberFormat="1" applyFont="1" applyFill="1" applyBorder="1"/>
    <xf numFmtId="0" fontId="33" fillId="0" borderId="0" xfId="0" applyFont="1" applyFill="1" applyBorder="1"/>
    <xf numFmtId="0" fontId="32" fillId="0" borderId="0" xfId="0" applyNumberFormat="1" applyFont="1" applyFill="1" applyAlignment="1"/>
    <xf numFmtId="0" fontId="32" fillId="0" borderId="0" xfId="0" applyNumberFormat="1" applyFont="1" applyFill="1" applyAlignment="1">
      <alignment wrapText="1"/>
    </xf>
    <xf numFmtId="0" fontId="35" fillId="0" borderId="0" xfId="0" applyFont="1" applyFill="1" applyBorder="1"/>
    <xf numFmtId="0" fontId="32" fillId="0" borderId="0" xfId="0" applyFont="1" applyFill="1" applyAlignment="1"/>
    <xf numFmtId="0" fontId="32" fillId="0" borderId="0" xfId="0" applyNumberFormat="1" applyFont="1" applyFill="1"/>
    <xf numFmtId="0" fontId="32" fillId="0" borderId="0" xfId="0" quotePrefix="1" applyNumberFormat="1" applyFont="1" applyFill="1" applyAlignment="1">
      <alignment horizontal="left"/>
    </xf>
    <xf numFmtId="0" fontId="32" fillId="0" borderId="0" xfId="0" applyNumberFormat="1" applyFont="1" applyFill="1" applyAlignment="1">
      <alignment horizontal="left"/>
    </xf>
    <xf numFmtId="0" fontId="32" fillId="0" borderId="0" xfId="0" applyNumberFormat="1" applyFont="1" applyFill="1" applyAlignment="1">
      <alignment horizontal="center"/>
    </xf>
    <xf numFmtId="0" fontId="32" fillId="0" borderId="0" xfId="0" applyFont="1" applyFill="1" applyAlignment="1">
      <alignment horizontal="center"/>
    </xf>
    <xf numFmtId="0" fontId="32" fillId="0" borderId="0" xfId="0" applyFont="1" applyFill="1"/>
    <xf numFmtId="0" fontId="40" fillId="0" borderId="0" xfId="0" applyNumberFormat="1" applyFont="1" applyFill="1" applyAlignment="1">
      <alignment horizontal="center"/>
    </xf>
    <xf numFmtId="0" fontId="41" fillId="0" borderId="0" xfId="0" applyFont="1" applyFill="1" applyAlignment="1">
      <alignment horizontal="left" wrapText="1"/>
    </xf>
    <xf numFmtId="0" fontId="40" fillId="0" borderId="0" xfId="0" applyFont="1" applyFill="1" applyAlignment="1">
      <alignment horizontal="left"/>
    </xf>
    <xf numFmtId="0" fontId="41" fillId="0" borderId="0" xfId="0" applyFont="1" applyFill="1" applyAlignment="1">
      <alignment horizontal="left" vertical="top"/>
    </xf>
    <xf numFmtId="0" fontId="41" fillId="0" borderId="0" xfId="0" applyFont="1" applyFill="1" applyAlignment="1">
      <alignment horizontal="left" vertical="top" wrapText="1"/>
    </xf>
    <xf numFmtId="0" fontId="40" fillId="0" borderId="1" xfId="0" applyFont="1" applyFill="1" applyBorder="1" applyAlignment="1">
      <alignment horizontal="left"/>
    </xf>
    <xf numFmtId="0" fontId="32" fillId="0" borderId="1" xfId="0" applyFont="1" applyFill="1" applyBorder="1" applyAlignment="1"/>
    <xf numFmtId="0" fontId="32" fillId="0" borderId="1" xfId="0" applyFont="1" applyBorder="1"/>
    <xf numFmtId="0" fontId="32" fillId="0" borderId="1" xfId="0" applyFont="1" applyFill="1" applyBorder="1" applyAlignment="1">
      <alignment horizontal="center"/>
    </xf>
    <xf numFmtId="0" fontId="32" fillId="0" borderId="1" xfId="0" applyFont="1" applyFill="1" applyBorder="1"/>
    <xf numFmtId="0" fontId="32" fillId="0" borderId="0" xfId="0" applyFont="1" applyBorder="1"/>
    <xf numFmtId="172" fontId="7" fillId="0" borderId="0" xfId="6" applyFont="1" applyFill="1" applyAlignment="1">
      <alignment horizontal="centerContinuous"/>
    </xf>
    <xf numFmtId="172" fontId="43" fillId="0" borderId="0" xfId="6" applyFont="1" applyFill="1" applyAlignment="1">
      <alignment horizontal="centerContinuous"/>
    </xf>
    <xf numFmtId="172" fontId="43" fillId="0" borderId="0" xfId="6" applyFont="1" applyFill="1" applyAlignment="1">
      <alignment horizontal="center"/>
    </xf>
    <xf numFmtId="172" fontId="9" fillId="0" borderId="0" xfId="6" applyFont="1" applyFill="1" applyAlignment="1">
      <alignment horizontal="centerContinuous"/>
    </xf>
    <xf numFmtId="172" fontId="4" fillId="0" borderId="0" xfId="6" applyFont="1" applyFill="1" applyAlignment="1">
      <alignment horizontal="center"/>
    </xf>
    <xf numFmtId="0" fontId="45" fillId="0" borderId="1" xfId="4" applyFont="1" applyFill="1" applyBorder="1" applyAlignment="1">
      <alignment horizontal="center"/>
    </xf>
    <xf numFmtId="0" fontId="45" fillId="0" borderId="1" xfId="4" applyFont="1" applyFill="1" applyBorder="1" applyAlignment="1"/>
    <xf numFmtId="172" fontId="4" fillId="0" borderId="1" xfId="6" applyFont="1" applyFill="1" applyBorder="1" applyAlignment="1">
      <alignment horizontal="center"/>
    </xf>
    <xf numFmtId="0" fontId="46" fillId="0" borderId="0" xfId="4" applyFont="1" applyFill="1" applyAlignment="1">
      <alignment horizontal="center"/>
    </xf>
    <xf numFmtId="0" fontId="46" fillId="0" borderId="0" xfId="4" applyFont="1" applyFill="1"/>
    <xf numFmtId="172" fontId="4" fillId="0" borderId="0" xfId="6" applyFont="1" applyFill="1"/>
    <xf numFmtId="0" fontId="46" fillId="0" borderId="0" xfId="4" applyFont="1" applyFill="1" applyAlignment="1"/>
    <xf numFmtId="37" fontId="9" fillId="3" borderId="0" xfId="5" applyNumberFormat="1" applyFont="1" applyFill="1"/>
    <xf numFmtId="37" fontId="9" fillId="3" borderId="20" xfId="5" applyNumberFormat="1" applyFont="1" applyFill="1" applyBorder="1"/>
    <xf numFmtId="0" fontId="46" fillId="0" borderId="0" xfId="4" applyFont="1" applyFill="1" applyBorder="1"/>
    <xf numFmtId="172" fontId="4" fillId="0" borderId="0" xfId="6" applyFont="1" applyFill="1" applyBorder="1"/>
    <xf numFmtId="0" fontId="46" fillId="0" borderId="0" xfId="4" applyFont="1" applyFill="1" applyBorder="1" applyAlignment="1"/>
    <xf numFmtId="37" fontId="4" fillId="0" borderId="0" xfId="5" applyNumberFormat="1" applyFont="1" applyFill="1"/>
    <xf numFmtId="0" fontId="4" fillId="0" borderId="0" xfId="4" applyFont="1" applyFill="1"/>
    <xf numFmtId="0" fontId="4" fillId="0" borderId="0" xfId="4" applyFont="1" applyFill="1" applyAlignment="1"/>
    <xf numFmtId="0" fontId="4" fillId="0" borderId="0" xfId="4" applyFont="1" applyFill="1" applyBorder="1"/>
    <xf numFmtId="0" fontId="4" fillId="0" borderId="0" xfId="4" applyFont="1" applyFill="1" applyBorder="1" applyAlignment="1"/>
    <xf numFmtId="0" fontId="4" fillId="0" borderId="18" xfId="4" applyFont="1" applyFill="1" applyBorder="1"/>
    <xf numFmtId="0" fontId="47" fillId="0" borderId="0" xfId="4" applyFont="1" applyFill="1" applyAlignment="1"/>
    <xf numFmtId="37" fontId="9" fillId="3" borderId="18" xfId="5" applyNumberFormat="1" applyFont="1" applyFill="1" applyBorder="1"/>
    <xf numFmtId="173" fontId="4" fillId="0" borderId="0" xfId="5" applyNumberFormat="1" applyFont="1" applyFill="1"/>
    <xf numFmtId="174" fontId="4" fillId="0" borderId="0" xfId="5" applyNumberFormat="1" applyFont="1" applyFill="1"/>
    <xf numFmtId="39" fontId="4" fillId="0" borderId="0" xfId="5" applyNumberFormat="1" applyFont="1" applyFill="1"/>
    <xf numFmtId="172" fontId="4" fillId="0" borderId="1" xfId="6" applyFont="1" applyFill="1" applyBorder="1"/>
    <xf numFmtId="0" fontId="46" fillId="0" borderId="1" xfId="4" applyFont="1" applyFill="1" applyBorder="1"/>
    <xf numFmtId="0" fontId="4" fillId="0" borderId="1" xfId="4" applyFont="1" applyFill="1" applyBorder="1" applyAlignment="1"/>
    <xf numFmtId="172" fontId="4" fillId="0" borderId="4" xfId="6" applyFont="1" applyFill="1" applyBorder="1"/>
    <xf numFmtId="0" fontId="4" fillId="0" borderId="4" xfId="4" applyFont="1" applyFill="1" applyBorder="1"/>
    <xf numFmtId="0" fontId="4" fillId="0" borderId="4" xfId="4" applyFont="1" applyFill="1" applyBorder="1" applyAlignment="1"/>
    <xf numFmtId="0" fontId="46" fillId="0" borderId="4" xfId="4" applyFont="1" applyFill="1" applyBorder="1"/>
    <xf numFmtId="44" fontId="4" fillId="0" borderId="0" xfId="7" applyFont="1" applyFill="1"/>
    <xf numFmtId="0" fontId="49" fillId="0" borderId="0" xfId="0" applyFont="1" applyFill="1" applyAlignment="1">
      <alignment horizontal="centerContinuous"/>
    </xf>
    <xf numFmtId="0" fontId="43" fillId="0" borderId="0" xfId="0" applyFont="1" applyFill="1" applyAlignment="1">
      <alignment horizontal="centerContinuous"/>
    </xf>
    <xf numFmtId="0" fontId="43" fillId="0" borderId="20" xfId="0" applyFont="1" applyFill="1" applyBorder="1"/>
    <xf numFmtId="0" fontId="49" fillId="0" borderId="0" xfId="0" applyFont="1" applyFill="1"/>
    <xf numFmtId="0" fontId="49" fillId="0" borderId="0" xfId="0" applyFont="1" applyFill="1" applyAlignment="1">
      <alignment horizontal="center"/>
    </xf>
    <xf numFmtId="5" fontId="4" fillId="0" borderId="0" xfId="5" applyNumberFormat="1" applyFont="1" applyFill="1"/>
    <xf numFmtId="0" fontId="49" fillId="0" borderId="0" xfId="0" applyFont="1" applyFill="1" applyAlignment="1">
      <alignment horizontal="left" indent="1"/>
    </xf>
    <xf numFmtId="0" fontId="49" fillId="0" borderId="18" xfId="0" applyFont="1" applyFill="1" applyBorder="1"/>
    <xf numFmtId="0" fontId="4" fillId="0" borderId="18" xfId="0" applyFont="1" applyFill="1" applyBorder="1"/>
    <xf numFmtId="5" fontId="4" fillId="0" borderId="18" xfId="5" applyNumberFormat="1" applyFont="1" applyFill="1" applyBorder="1"/>
    <xf numFmtId="175" fontId="4" fillId="0" borderId="0" xfId="0" applyNumberFormat="1" applyFont="1" applyFill="1"/>
    <xf numFmtId="176" fontId="4" fillId="0" borderId="0" xfId="0" applyNumberFormat="1" applyFont="1" applyFill="1"/>
    <xf numFmtId="38" fontId="4" fillId="0" borderId="0" xfId="0" applyNumberFormat="1" applyFont="1" applyFill="1"/>
    <xf numFmtId="7" fontId="4" fillId="0" borderId="0" xfId="0" applyNumberFormat="1" applyFont="1" applyFill="1"/>
    <xf numFmtId="0" fontId="43" fillId="0" borderId="0" xfId="8" applyFont="1" applyAlignment="1">
      <alignment horizontal="centerContinuous"/>
    </xf>
    <xf numFmtId="0" fontId="49" fillId="0" borderId="0" xfId="8" applyFont="1" applyAlignment="1">
      <alignment horizontal="centerContinuous"/>
    </xf>
    <xf numFmtId="0" fontId="32" fillId="0" borderId="0" xfId="8" applyFont="1" applyAlignment="1">
      <alignment horizontal="centerContinuous"/>
    </xf>
    <xf numFmtId="0" fontId="4" fillId="0" borderId="0" xfId="8"/>
    <xf numFmtId="0" fontId="43" fillId="0" borderId="0" xfId="8" applyFont="1" applyBorder="1" applyAlignment="1">
      <alignment horizontal="centerContinuous"/>
    </xf>
    <xf numFmtId="0" fontId="50" fillId="0" borderId="0" xfId="8" applyFont="1" applyBorder="1" applyAlignment="1">
      <alignment horizontal="centerContinuous"/>
    </xf>
    <xf numFmtId="0" fontId="51" fillId="0" borderId="0" xfId="8" applyFont="1" applyBorder="1" applyAlignment="1">
      <alignment horizontal="centerContinuous"/>
    </xf>
    <xf numFmtId="0" fontId="52" fillId="0" borderId="0" xfId="8" applyFont="1" applyFill="1" applyAlignment="1">
      <alignment horizontal="centerContinuous"/>
    </xf>
    <xf numFmtId="0" fontId="50" fillId="0" borderId="0" xfId="8" applyFont="1" applyFill="1" applyAlignment="1">
      <alignment horizontal="centerContinuous"/>
    </xf>
    <xf numFmtId="0" fontId="49" fillId="0" borderId="0" xfId="8" applyFont="1" applyFill="1" applyAlignment="1">
      <alignment horizontal="centerContinuous"/>
    </xf>
    <xf numFmtId="0" fontId="4" fillId="0" borderId="0" xfId="8" applyFont="1" applyFill="1" applyAlignment="1">
      <alignment horizontal="centerContinuous"/>
    </xf>
    <xf numFmtId="0" fontId="49" fillId="0" borderId="0" xfId="8" applyFont="1" applyFill="1" applyAlignment="1">
      <alignment horizontal="left"/>
    </xf>
    <xf numFmtId="0" fontId="49" fillId="0" borderId="0" xfId="8" applyFont="1" applyFill="1"/>
    <xf numFmtId="0" fontId="3" fillId="0" borderId="0" xfId="8" applyFont="1" applyFill="1"/>
    <xf numFmtId="0" fontId="3" fillId="0" borderId="0" xfId="8" applyFont="1" applyFill="1" applyAlignment="1"/>
    <xf numFmtId="0" fontId="3" fillId="0" borderId="0" xfId="8" applyFont="1" applyFill="1" applyAlignment="1">
      <alignment horizontal="center"/>
    </xf>
    <xf numFmtId="0" fontId="4" fillId="0" borderId="0" xfId="8" applyFont="1"/>
    <xf numFmtId="0" fontId="43" fillId="0" borderId="1" xfId="8" applyFont="1" applyFill="1" applyBorder="1" applyAlignment="1">
      <alignment horizontal="center"/>
    </xf>
    <xf numFmtId="0" fontId="7" fillId="0" borderId="1" xfId="8" applyFont="1" applyFill="1" applyBorder="1" applyAlignment="1">
      <alignment horizontal="center"/>
    </xf>
    <xf numFmtId="0" fontId="7" fillId="0" borderId="1" xfId="8" applyFont="1" applyFill="1" applyBorder="1" applyAlignment="1">
      <alignment horizontal="center" wrapText="1"/>
    </xf>
    <xf numFmtId="0" fontId="43" fillId="0" borderId="0" xfId="8" applyFont="1" applyFill="1" applyAlignment="1">
      <alignment horizontal="centerContinuous"/>
    </xf>
    <xf numFmtId="0" fontId="7" fillId="0" borderId="0" xfId="8" applyFont="1" applyFill="1" applyAlignment="1">
      <alignment horizontal="center"/>
    </xf>
    <xf numFmtId="0" fontId="4" fillId="0" borderId="0" xfId="8" applyFont="1" applyFill="1"/>
    <xf numFmtId="0" fontId="4" fillId="0" borderId="0" xfId="8" applyFont="1" applyFill="1" applyAlignment="1"/>
    <xf numFmtId="0" fontId="54" fillId="0" borderId="0" xfId="8" applyFont="1" applyFill="1" applyAlignment="1">
      <alignment horizontal="center"/>
    </xf>
    <xf numFmtId="0" fontId="49" fillId="0" borderId="0" xfId="8" applyFont="1" applyFill="1" applyAlignment="1">
      <alignment horizontal="center"/>
    </xf>
    <xf numFmtId="0" fontId="4" fillId="0" borderId="0" xfId="8" applyFont="1" applyFill="1" applyAlignment="1">
      <alignment horizontal="left"/>
    </xf>
    <xf numFmtId="37" fontId="4" fillId="0" borderId="0" xfId="8" applyNumberFormat="1" applyFont="1" applyFill="1" applyAlignment="1"/>
    <xf numFmtId="37" fontId="4" fillId="0" borderId="0" xfId="8" applyNumberFormat="1" applyFont="1" applyFill="1"/>
    <xf numFmtId="37" fontId="4" fillId="0" borderId="20" xfId="8" applyNumberFormat="1" applyFont="1" applyFill="1" applyBorder="1" applyAlignment="1"/>
    <xf numFmtId="167" fontId="4" fillId="0" borderId="20" xfId="8" applyNumberFormat="1" applyFont="1" applyFill="1" applyBorder="1" applyAlignment="1"/>
    <xf numFmtId="37" fontId="52" fillId="0" borderId="0" xfId="8" applyNumberFormat="1" applyFont="1" applyFill="1" applyAlignment="1"/>
    <xf numFmtId="37" fontId="4" fillId="0" borderId="0" xfId="8" applyNumberFormat="1" applyFont="1" applyAlignment="1"/>
    <xf numFmtId="0" fontId="49" fillId="0" borderId="0" xfId="8" applyFont="1"/>
    <xf numFmtId="0" fontId="4" fillId="0" borderId="0" xfId="8" applyFont="1" applyAlignment="1">
      <alignment horizontal="right"/>
    </xf>
    <xf numFmtId="0" fontId="4" fillId="0" borderId="0" xfId="8" applyFont="1" applyAlignment="1"/>
    <xf numFmtId="0" fontId="43" fillId="0" borderId="0" xfId="8" applyFont="1" applyFill="1" applyAlignment="1">
      <alignment horizontal="left"/>
    </xf>
    <xf numFmtId="0" fontId="49" fillId="0" borderId="0" xfId="8" applyFont="1" applyFill="1" applyAlignment="1"/>
    <xf numFmtId="0" fontId="50" fillId="0" borderId="0" xfId="8" applyFont="1" applyFill="1" applyAlignment="1">
      <alignment horizontal="center"/>
    </xf>
    <xf numFmtId="0" fontId="51" fillId="0" borderId="0" xfId="8" applyFont="1" applyFill="1" applyAlignment="1">
      <alignment horizontal="center"/>
    </xf>
    <xf numFmtId="0" fontId="55" fillId="0" borderId="0" xfId="8" applyFont="1" applyFill="1" applyAlignment="1"/>
    <xf numFmtId="0" fontId="10" fillId="0" borderId="0" xfId="8" applyFont="1" applyFill="1" applyAlignment="1">
      <alignment horizontal="center" wrapText="1"/>
    </xf>
    <xf numFmtId="0" fontId="9" fillId="0" borderId="0" xfId="8" applyFont="1" applyFill="1"/>
    <xf numFmtId="0" fontId="52" fillId="0" borderId="0" xfId="8" applyFont="1" applyFill="1" applyAlignment="1">
      <alignment horizontal="center"/>
    </xf>
    <xf numFmtId="0" fontId="43" fillId="0" borderId="0" xfId="8" applyFont="1" applyFill="1" applyAlignment="1">
      <alignment horizontal="center"/>
    </xf>
    <xf numFmtId="0" fontId="43" fillId="0" borderId="0" xfId="8" applyFont="1" applyFill="1" applyAlignment="1">
      <alignment horizontal="center" wrapText="1"/>
    </xf>
    <xf numFmtId="0" fontId="49" fillId="0" borderId="0" xfId="8" applyFont="1" applyAlignment="1">
      <alignment horizontal="left"/>
    </xf>
    <xf numFmtId="0" fontId="4" fillId="0" borderId="0" xfId="8" applyFont="1" applyFill="1" applyBorder="1" applyAlignment="1">
      <alignment vertical="top"/>
    </xf>
    <xf numFmtId="0" fontId="49" fillId="0" borderId="0" xfId="8" applyFont="1" applyFill="1" applyBorder="1" applyAlignment="1">
      <alignment horizontal="left" wrapText="1"/>
    </xf>
    <xf numFmtId="0" fontId="43" fillId="0" borderId="0" xfId="8" applyFont="1" applyFill="1" applyBorder="1" applyAlignment="1">
      <alignment wrapText="1"/>
    </xf>
    <xf numFmtId="0" fontId="4" fillId="0" borderId="0" xfId="8" applyFont="1" applyFill="1" applyBorder="1" applyAlignment="1">
      <alignment wrapText="1"/>
    </xf>
    <xf numFmtId="37" fontId="4" fillId="0" borderId="0" xfId="8" applyNumberFormat="1" applyFont="1" applyFill="1" applyBorder="1" applyAlignment="1">
      <alignment wrapText="1"/>
    </xf>
    <xf numFmtId="37" fontId="4" fillId="0" borderId="0" xfId="8" applyNumberFormat="1" applyFont="1" applyFill="1" applyBorder="1" applyAlignment="1">
      <alignment horizontal="center" wrapText="1"/>
    </xf>
    <xf numFmtId="0" fontId="4" fillId="0" borderId="0" xfId="8" applyFont="1" applyFill="1" applyBorder="1" applyAlignment="1">
      <alignment horizontal="center" wrapText="1"/>
    </xf>
    <xf numFmtId="0" fontId="49" fillId="0" borderId="0" xfId="8" applyFont="1" applyFill="1" applyBorder="1" applyAlignment="1">
      <alignment wrapText="1"/>
    </xf>
    <xf numFmtId="0" fontId="4" fillId="0" borderId="35" xfId="8" applyFont="1" applyFill="1" applyBorder="1" applyAlignment="1">
      <alignment horizontal="left"/>
    </xf>
    <xf numFmtId="37" fontId="49" fillId="0" borderId="0" xfId="8" applyNumberFormat="1" applyFont="1" applyFill="1" applyBorder="1" applyAlignment="1">
      <alignment wrapText="1"/>
    </xf>
    <xf numFmtId="0" fontId="4" fillId="0" borderId="32" xfId="8" applyFont="1" applyFill="1" applyBorder="1" applyAlignment="1">
      <alignment horizontal="center" wrapText="1"/>
    </xf>
    <xf numFmtId="0" fontId="50" fillId="0" borderId="0" xfId="8" applyFont="1" applyFill="1" applyBorder="1" applyAlignment="1">
      <alignment horizontal="center" wrapText="1"/>
    </xf>
    <xf numFmtId="0" fontId="51" fillId="0" borderId="0" xfId="8" applyFont="1" applyFill="1" applyBorder="1" applyAlignment="1">
      <alignment horizontal="center" wrapText="1"/>
    </xf>
    <xf numFmtId="0" fontId="52" fillId="0" borderId="0" xfId="8" applyFont="1" applyFill="1" applyBorder="1" applyAlignment="1">
      <alignment horizontal="left"/>
    </xf>
    <xf numFmtId="0" fontId="52" fillId="0" borderId="0" xfId="8" applyFont="1" applyFill="1" applyBorder="1" applyAlignment="1">
      <alignment horizontal="center" wrapText="1"/>
    </xf>
    <xf numFmtId="0" fontId="57" fillId="0" borderId="0" xfId="8" applyFont="1" applyFill="1"/>
    <xf numFmtId="0" fontId="58" fillId="0" borderId="0" xfId="8" applyFont="1" applyFill="1" applyBorder="1" applyAlignment="1"/>
    <xf numFmtId="0" fontId="59" fillId="0" borderId="0" xfId="8" applyFont="1" applyFill="1" applyBorder="1" applyAlignment="1">
      <alignment wrapText="1"/>
    </xf>
    <xf numFmtId="0" fontId="57" fillId="0" borderId="0" xfId="8" applyFont="1" applyFill="1" applyBorder="1" applyAlignment="1">
      <alignment wrapText="1"/>
    </xf>
    <xf numFmtId="0" fontId="55" fillId="0" borderId="0" xfId="8" applyFont="1" applyFill="1" applyBorder="1" applyAlignment="1">
      <alignment horizontal="left"/>
    </xf>
    <xf numFmtId="0" fontId="55" fillId="0" borderId="0" xfId="8" applyFont="1" applyFill="1" applyBorder="1" applyAlignment="1">
      <alignment horizontal="center" wrapText="1"/>
    </xf>
    <xf numFmtId="0" fontId="55" fillId="0" borderId="0" xfId="8" applyFont="1" applyFill="1" applyBorder="1" applyAlignment="1">
      <alignment horizontal="center"/>
    </xf>
    <xf numFmtId="0" fontId="57" fillId="0" borderId="0" xfId="8" applyFont="1" applyFill="1" applyBorder="1" applyAlignment="1">
      <alignment horizontal="left"/>
    </xf>
    <xf numFmtId="0" fontId="57" fillId="0" borderId="0" xfId="8" applyFont="1" applyFill="1" applyAlignment="1">
      <alignment wrapText="1"/>
    </xf>
    <xf numFmtId="0" fontId="52" fillId="0" borderId="0" xfId="8" applyFont="1" applyFill="1" applyAlignment="1">
      <alignment horizontal="center" wrapText="1"/>
    </xf>
    <xf numFmtId="0" fontId="52" fillId="0" borderId="0" xfId="8" applyFont="1" applyFill="1" applyBorder="1" applyAlignment="1">
      <alignment wrapText="1"/>
    </xf>
    <xf numFmtId="0" fontId="43" fillId="0" borderId="0" xfId="8" applyFont="1" applyFill="1" applyBorder="1" applyAlignment="1"/>
    <xf numFmtId="0" fontId="4" fillId="0" borderId="0" xfId="8" applyFont="1" applyFill="1" applyBorder="1" applyAlignment="1">
      <alignment horizontal="left"/>
    </xf>
    <xf numFmtId="0" fontId="4" fillId="0" borderId="18" xfId="8" applyFont="1" applyFill="1" applyBorder="1" applyAlignment="1">
      <alignment horizontal="center"/>
    </xf>
    <xf numFmtId="0" fontId="4" fillId="0" borderId="0" xfId="8" applyFont="1" applyFill="1" applyBorder="1"/>
    <xf numFmtId="0" fontId="4" fillId="0" borderId="0" xfId="8" applyFont="1" applyFill="1" applyBorder="1" applyAlignment="1"/>
    <xf numFmtId="0" fontId="4" fillId="0" borderId="0" xfId="8" applyFont="1" applyFill="1" applyBorder="1" applyAlignment="1">
      <alignment horizontal="center"/>
    </xf>
    <xf numFmtId="0" fontId="4" fillId="0" borderId="32" xfId="8" applyFont="1" applyFill="1" applyBorder="1" applyAlignment="1">
      <alignment horizontal="center"/>
    </xf>
    <xf numFmtId="0" fontId="57" fillId="0" borderId="0" xfId="8" applyFont="1" applyFill="1" applyBorder="1" applyAlignment="1"/>
    <xf numFmtId="0" fontId="58" fillId="0" borderId="0" xfId="8" applyFont="1" applyFill="1" applyBorder="1" applyAlignment="1">
      <alignment horizontal="left" wrapText="1"/>
    </xf>
    <xf numFmtId="0" fontId="50" fillId="0" borderId="0" xfId="8" applyFont="1" applyFill="1" applyBorder="1" applyAlignment="1">
      <alignment horizontal="left"/>
    </xf>
    <xf numFmtId="0" fontId="49" fillId="0" borderId="0" xfId="8" applyFont="1" applyFill="1" applyBorder="1" applyAlignment="1">
      <alignment horizontal="left"/>
    </xf>
    <xf numFmtId="38" fontId="4" fillId="0" borderId="0" xfId="8" applyNumberFormat="1" applyFont="1" applyFill="1" applyBorder="1"/>
    <xf numFmtId="38" fontId="4" fillId="0" borderId="0" xfId="8" applyNumberFormat="1" applyFont="1" applyFill="1" applyBorder="1" applyAlignment="1"/>
    <xf numFmtId="38" fontId="4" fillId="0" borderId="0" xfId="8" applyNumberFormat="1" applyFont="1" applyFill="1" applyBorder="1" applyAlignment="1">
      <alignment horizontal="center"/>
    </xf>
    <xf numFmtId="0" fontId="49" fillId="0" borderId="0" xfId="8" applyFont="1" applyFill="1" applyBorder="1" applyAlignment="1"/>
    <xf numFmtId="0" fontId="43" fillId="0" borderId="0" xfId="8" applyFont="1" applyFill="1" applyBorder="1" applyAlignment="1">
      <alignment horizontal="left"/>
    </xf>
    <xf numFmtId="0" fontId="53" fillId="0" borderId="0" xfId="8" applyFont="1" applyFill="1" applyBorder="1" applyAlignment="1">
      <alignment horizontal="center"/>
    </xf>
    <xf numFmtId="0" fontId="49" fillId="0" borderId="0" xfId="8" applyFont="1" applyFill="1" applyBorder="1" applyAlignment="1">
      <alignment horizontal="center"/>
    </xf>
    <xf numFmtId="0" fontId="50" fillId="0" borderId="0" xfId="8" applyFont="1" applyFill="1" applyBorder="1" applyAlignment="1">
      <alignment horizontal="center"/>
    </xf>
    <xf numFmtId="0" fontId="51" fillId="0" borderId="0" xfId="8" applyFont="1" applyFill="1" applyBorder="1" applyAlignment="1">
      <alignment horizontal="center"/>
    </xf>
    <xf numFmtId="0" fontId="55" fillId="0" borderId="0" xfId="8" applyFont="1" applyFill="1" applyBorder="1" applyAlignment="1"/>
    <xf numFmtId="0" fontId="4" fillId="0" borderId="0" xfId="8" applyFont="1" applyAlignment="1">
      <alignment vertical="top"/>
    </xf>
    <xf numFmtId="0" fontId="4" fillId="0" borderId="0" xfId="8" applyAlignment="1">
      <alignment vertical="top"/>
    </xf>
    <xf numFmtId="0" fontId="52" fillId="0" borderId="0" xfId="8" applyFont="1" applyFill="1" applyBorder="1"/>
    <xf numFmtId="37" fontId="4" fillId="0" borderId="0" xfId="8" applyNumberFormat="1" applyFont="1" applyFill="1" applyBorder="1"/>
    <xf numFmtId="37" fontId="4" fillId="0" borderId="0" xfId="8" applyNumberFormat="1" applyFont="1" applyFill="1" applyBorder="1" applyAlignment="1"/>
    <xf numFmtId="0" fontId="4" fillId="0" borderId="0" xfId="8" applyFont="1" applyFill="1" applyBorder="1" applyAlignment="1">
      <alignment vertical="top" wrapText="1"/>
    </xf>
    <xf numFmtId="0" fontId="4" fillId="0" borderId="32" xfId="8" applyFont="1" applyFill="1" applyBorder="1" applyAlignment="1">
      <alignment wrapText="1"/>
    </xf>
    <xf numFmtId="0" fontId="4" fillId="0" borderId="32" xfId="8" applyFont="1" applyFill="1" applyBorder="1" applyAlignment="1"/>
    <xf numFmtId="0" fontId="61" fillId="0" borderId="0" xfId="8" applyFont="1" applyFill="1" applyBorder="1" applyAlignment="1">
      <alignment wrapText="1"/>
    </xf>
    <xf numFmtId="0" fontId="4" fillId="0" borderId="0" xfId="8" applyFill="1" applyBorder="1"/>
    <xf numFmtId="0" fontId="4" fillId="0" borderId="0" xfId="8" applyFill="1" applyBorder="1" applyAlignment="1"/>
    <xf numFmtId="0" fontId="52" fillId="0" borderId="0" xfId="8" applyFont="1" applyFill="1" applyBorder="1" applyAlignment="1">
      <alignment horizontal="center"/>
    </xf>
    <xf numFmtId="43" fontId="4" fillId="0" borderId="0" xfId="5" applyFill="1" applyBorder="1" applyAlignment="1"/>
    <xf numFmtId="0" fontId="49" fillId="0" borderId="0" xfId="8" applyFont="1" applyAlignment="1"/>
    <xf numFmtId="0" fontId="52" fillId="0" borderId="0" xfId="8" applyFont="1" applyFill="1" applyBorder="1" applyAlignment="1">
      <alignment horizontal="left" vertical="top"/>
    </xf>
    <xf numFmtId="0" fontId="52" fillId="0" borderId="0" xfId="8" applyFont="1" applyFill="1" applyAlignment="1">
      <alignment horizontal="center" vertical="top"/>
    </xf>
    <xf numFmtId="0" fontId="4" fillId="0" borderId="0" xfId="8" applyFont="1" applyFill="1" applyAlignment="1">
      <alignment vertical="top"/>
    </xf>
    <xf numFmtId="0" fontId="2" fillId="0" borderId="0" xfId="8" applyFont="1" applyAlignment="1">
      <alignment horizontal="centerContinuous"/>
    </xf>
    <xf numFmtId="0" fontId="4" fillId="0" borderId="0" xfId="8" applyFont="1" applyAlignment="1">
      <alignment horizontal="left"/>
    </xf>
    <xf numFmtId="0" fontId="7" fillId="0" borderId="0" xfId="8" applyFont="1" applyAlignment="1">
      <alignment horizontal="centerContinuous"/>
    </xf>
    <xf numFmtId="0" fontId="62" fillId="0" borderId="0" xfId="8" applyFont="1" applyAlignment="1">
      <alignment horizontal="centerContinuous"/>
    </xf>
    <xf numFmtId="0" fontId="52" fillId="0" borderId="20" xfId="8" applyFont="1" applyBorder="1"/>
    <xf numFmtId="0" fontId="4" fillId="0" borderId="20" xfId="8" applyFont="1" applyBorder="1"/>
    <xf numFmtId="0" fontId="52" fillId="0" borderId="20" xfId="8" applyFont="1" applyFill="1" applyBorder="1" applyAlignment="1">
      <alignment horizontal="center" wrapText="1"/>
    </xf>
    <xf numFmtId="0" fontId="52" fillId="0" borderId="20" xfId="8" applyFont="1" applyFill="1" applyBorder="1" applyAlignment="1">
      <alignment horizontal="center"/>
    </xf>
    <xf numFmtId="0" fontId="58" fillId="0" borderId="0" xfId="8" applyFont="1" applyFill="1" applyAlignment="1">
      <alignment horizontal="center"/>
    </xf>
    <xf numFmtId="0" fontId="52" fillId="0" borderId="0" xfId="8" applyFont="1" applyAlignment="1">
      <alignment horizontal="center"/>
    </xf>
    <xf numFmtId="0" fontId="4" fillId="0" borderId="0" xfId="8" applyFont="1" applyAlignment="1">
      <alignment horizontal="center"/>
    </xf>
    <xf numFmtId="0" fontId="52" fillId="0" borderId="20" xfId="8" applyFont="1" applyFill="1" applyBorder="1" applyAlignment="1">
      <alignment horizontal="right"/>
    </xf>
    <xf numFmtId="0" fontId="4" fillId="0" borderId="20" xfId="8" applyFont="1" applyBorder="1" applyAlignment="1">
      <alignment horizontal="center" wrapText="1"/>
    </xf>
    <xf numFmtId="0" fontId="4" fillId="3" borderId="0" xfId="8" applyFont="1" applyFill="1" applyAlignment="1">
      <alignment horizontal="left" indent="1"/>
    </xf>
    <xf numFmtId="0" fontId="4" fillId="3" borderId="0" xfId="8" applyFont="1" applyFill="1"/>
    <xf numFmtId="37" fontId="4" fillId="3" borderId="0" xfId="8" applyNumberFormat="1" applyFont="1" applyFill="1" applyAlignment="1">
      <alignment horizontal="right" wrapText="1"/>
    </xf>
    <xf numFmtId="168" fontId="4" fillId="0" borderId="0" xfId="3" applyNumberFormat="1" applyFont="1" applyFill="1" applyAlignment="1">
      <alignment horizontal="center" wrapText="1"/>
    </xf>
    <xf numFmtId="0" fontId="63" fillId="0" borderId="0" xfId="8" applyFont="1" applyFill="1" applyAlignment="1">
      <alignment horizontal="left" wrapText="1"/>
    </xf>
    <xf numFmtId="37" fontId="4" fillId="3" borderId="0" xfId="8" applyNumberFormat="1" applyFont="1" applyFill="1" applyAlignment="1">
      <alignment horizontal="left" wrapText="1"/>
    </xf>
    <xf numFmtId="0" fontId="52" fillId="0" borderId="18" xfId="8" applyFont="1" applyBorder="1"/>
    <xf numFmtId="0" fontId="4" fillId="0" borderId="18" xfId="8" applyFont="1" applyBorder="1"/>
    <xf numFmtId="37" fontId="4" fillId="0" borderId="18" xfId="8" applyNumberFormat="1" applyFont="1" applyBorder="1" applyAlignment="1">
      <alignment horizontal="right" wrapText="1"/>
    </xf>
    <xf numFmtId="167" fontId="4" fillId="0" borderId="18" xfId="3" applyNumberFormat="1" applyFont="1" applyFill="1" applyBorder="1" applyAlignment="1">
      <alignment horizontal="center" wrapText="1"/>
    </xf>
    <xf numFmtId="37" fontId="4" fillId="0" borderId="0" xfId="8" applyNumberFormat="1" applyFont="1" applyAlignment="1">
      <alignment horizontal="right" wrapText="1"/>
    </xf>
    <xf numFmtId="0" fontId="4" fillId="0" borderId="0" xfId="8" applyFont="1" applyAlignment="1">
      <alignment horizontal="right" wrapText="1"/>
    </xf>
    <xf numFmtId="0" fontId="4" fillId="0" borderId="0" xfId="8" applyFont="1" applyAlignment="1">
      <alignment horizontal="left" wrapText="1"/>
    </xf>
    <xf numFmtId="0" fontId="4" fillId="0" borderId="20" xfId="8" applyFont="1" applyBorder="1" applyAlignment="1">
      <alignment horizontal="right" wrapText="1"/>
    </xf>
    <xf numFmtId="0" fontId="4" fillId="0" borderId="20" xfId="8" applyNumberFormat="1" applyFont="1" applyFill="1" applyBorder="1" applyAlignment="1">
      <alignment horizontal="center" wrapText="1"/>
    </xf>
    <xf numFmtId="0" fontId="4" fillId="0" borderId="20" xfId="8" applyFont="1" applyBorder="1" applyAlignment="1">
      <alignment horizontal="left" wrapText="1"/>
    </xf>
    <xf numFmtId="37" fontId="9" fillId="3" borderId="0" xfId="8" applyNumberFormat="1" applyFont="1" applyFill="1" applyAlignment="1">
      <alignment horizontal="right" wrapText="1"/>
    </xf>
    <xf numFmtId="0" fontId="4" fillId="0" borderId="0" xfId="8" applyFont="1" applyAlignment="1">
      <alignment horizontal="left" vertical="center" wrapText="1"/>
    </xf>
    <xf numFmtId="0" fontId="63" fillId="0" borderId="0" xfId="8" applyFont="1" applyAlignment="1">
      <alignment horizontal="left" wrapText="1"/>
    </xf>
    <xf numFmtId="167" fontId="4" fillId="0" borderId="18" xfId="8" applyNumberFormat="1" applyFont="1" applyFill="1" applyBorder="1" applyAlignment="1">
      <alignment horizontal="center" wrapText="1"/>
    </xf>
    <xf numFmtId="0" fontId="52" fillId="0" borderId="0" xfId="8" applyFont="1"/>
    <xf numFmtId="0" fontId="4" fillId="0" borderId="20" xfId="8" applyFont="1" applyBorder="1" applyAlignment="1">
      <alignment horizontal="right"/>
    </xf>
    <xf numFmtId="0" fontId="63" fillId="0" borderId="0" xfId="8" applyFont="1" applyAlignment="1">
      <alignment horizontal="left" vertical="center" wrapText="1"/>
    </xf>
    <xf numFmtId="37" fontId="4" fillId="3" borderId="0" xfId="8" applyNumberFormat="1" applyFont="1" applyFill="1" applyBorder="1" applyAlignment="1">
      <alignment horizontal="right"/>
    </xf>
    <xf numFmtId="0" fontId="4" fillId="0" borderId="0" xfId="8" applyFont="1" applyBorder="1"/>
    <xf numFmtId="37" fontId="52" fillId="0" borderId="19" xfId="8" applyNumberFormat="1" applyFont="1" applyBorder="1" applyAlignment="1">
      <alignment horizontal="right" wrapText="1"/>
    </xf>
    <xf numFmtId="0" fontId="4" fillId="0" borderId="0" xfId="8" applyNumberFormat="1" applyFont="1" applyFill="1" applyBorder="1" applyAlignment="1">
      <alignment horizontal="left"/>
    </xf>
    <xf numFmtId="37" fontId="4" fillId="0" borderId="0" xfId="8" applyNumberFormat="1" applyFont="1" applyFill="1" applyAlignment="1">
      <alignment horizontal="right" wrapText="1"/>
    </xf>
    <xf numFmtId="0" fontId="4" fillId="0" borderId="0" xfId="8" applyNumberFormat="1" applyFont="1" applyAlignment="1">
      <alignment horizontal="left"/>
    </xf>
    <xf numFmtId="164" fontId="4" fillId="3" borderId="0" xfId="5" applyNumberFormat="1" applyFont="1" applyFill="1"/>
    <xf numFmtId="0" fontId="6" fillId="0" borderId="0" xfId="8" applyFont="1" applyFill="1"/>
    <xf numFmtId="0" fontId="6" fillId="0" borderId="0" xfId="8" applyFont="1" applyAlignment="1">
      <alignment horizontal="left"/>
    </xf>
    <xf numFmtId="164" fontId="59" fillId="0" borderId="0" xfId="5" applyNumberFormat="1" applyFont="1" applyFill="1"/>
    <xf numFmtId="0" fontId="4" fillId="3" borderId="0" xfId="8" applyFont="1" applyFill="1" applyAlignment="1">
      <alignment horizontal="left" wrapText="1"/>
    </xf>
    <xf numFmtId="164" fontId="4" fillId="3" borderId="0" xfId="5" applyNumberFormat="1" applyFont="1" applyFill="1" applyAlignment="1">
      <alignment horizontal="left"/>
    </xf>
    <xf numFmtId="0" fontId="52" fillId="0" borderId="18" xfId="8" applyFont="1" applyFill="1" applyBorder="1"/>
    <xf numFmtId="164" fontId="4" fillId="0" borderId="0" xfId="8" applyNumberFormat="1" applyFont="1"/>
    <xf numFmtId="37" fontId="4" fillId="0" borderId="0" xfId="8" applyNumberFormat="1" applyFont="1" applyFill="1" applyAlignment="1">
      <alignment horizontal="right"/>
    </xf>
    <xf numFmtId="38" fontId="4" fillId="0" borderId="0" xfId="8" applyNumberFormat="1" applyFont="1"/>
    <xf numFmtId="0" fontId="52" fillId="0" borderId="0" xfId="8" applyFont="1" applyFill="1"/>
    <xf numFmtId="37" fontId="4" fillId="0" borderId="28" xfId="8" applyNumberFormat="1" applyFont="1" applyFill="1" applyBorder="1" applyAlignment="1">
      <alignment horizontal="right" wrapText="1"/>
    </xf>
    <xf numFmtId="0" fontId="4" fillId="0" borderId="0" xfId="8" applyFont="1" applyFill="1" applyAlignment="1">
      <alignment horizontal="right"/>
    </xf>
    <xf numFmtId="41" fontId="4" fillId="0" borderId="0" xfId="8" applyNumberFormat="1" applyFont="1" applyFill="1" applyBorder="1" applyAlignment="1">
      <alignment horizontal="right"/>
    </xf>
    <xf numFmtId="37" fontId="4" fillId="3" borderId="0" xfId="8" applyNumberFormat="1" applyFont="1" applyFill="1"/>
    <xf numFmtId="37" fontId="9" fillId="5" borderId="28" xfId="8" applyNumberFormat="1" applyFont="1" applyFill="1" applyBorder="1" applyAlignment="1">
      <alignment horizontal="right" wrapText="1"/>
    </xf>
    <xf numFmtId="41" fontId="4" fillId="0" borderId="0" xfId="8" applyNumberFormat="1" applyFont="1" applyFill="1" applyAlignment="1">
      <alignment horizontal="right"/>
    </xf>
    <xf numFmtId="37" fontId="4" fillId="0" borderId="0" xfId="5" applyNumberFormat="1" applyFont="1" applyFill="1" applyBorder="1" applyAlignment="1">
      <alignment horizontal="right"/>
    </xf>
    <xf numFmtId="179" fontId="4" fillId="0" borderId="0" xfId="3" applyNumberFormat="1" applyFont="1" applyFill="1" applyBorder="1" applyAlignment="1">
      <alignment horizontal="right"/>
    </xf>
    <xf numFmtId="0" fontId="4" fillId="0" borderId="0" xfId="8" applyFill="1"/>
    <xf numFmtId="164" fontId="4" fillId="0" borderId="0" xfId="5" applyNumberFormat="1" applyFont="1" applyFill="1" applyAlignment="1">
      <alignment horizontal="right"/>
    </xf>
    <xf numFmtId="0" fontId="59" fillId="0" borderId="0" xfId="8" applyFont="1" applyFill="1"/>
    <xf numFmtId="0" fontId="59" fillId="0" borderId="0" xfId="8" applyFont="1" applyFill="1" applyBorder="1"/>
    <xf numFmtId="0" fontId="52" fillId="0" borderId="21" xfId="8" applyFont="1" applyFill="1" applyBorder="1"/>
    <xf numFmtId="0" fontId="4" fillId="0" borderId="22" xfId="8" applyFont="1" applyFill="1" applyBorder="1"/>
    <xf numFmtId="0" fontId="4" fillId="0" borderId="22" xfId="8" applyFont="1" applyFill="1" applyBorder="1" applyAlignment="1">
      <alignment horizontal="right"/>
    </xf>
    <xf numFmtId="0" fontId="58" fillId="0" borderId="22" xfId="8" applyFont="1" applyFill="1" applyBorder="1"/>
    <xf numFmtId="0" fontId="4" fillId="0" borderId="23" xfId="8" applyFont="1" applyBorder="1"/>
    <xf numFmtId="0" fontId="64" fillId="0" borderId="38" xfId="8" applyFont="1" applyBorder="1"/>
    <xf numFmtId="0" fontId="4" fillId="0" borderId="0" xfId="8" applyFont="1" applyBorder="1" applyAlignment="1">
      <alignment horizontal="right"/>
    </xf>
    <xf numFmtId="0" fontId="4" fillId="0" borderId="39" xfId="8" applyFont="1" applyBorder="1"/>
    <xf numFmtId="0" fontId="4" fillId="0" borderId="38" xfId="8" applyFont="1" applyBorder="1"/>
    <xf numFmtId="0" fontId="4" fillId="0" borderId="0" xfId="8" applyFont="1" applyBorder="1" applyAlignment="1">
      <alignment horizontal="left"/>
    </xf>
    <xf numFmtId="0" fontId="4" fillId="0" borderId="38" xfId="8" applyFont="1" applyFill="1" applyBorder="1"/>
    <xf numFmtId="0" fontId="9" fillId="3" borderId="0" xfId="8" applyFont="1" applyFill="1" applyBorder="1" applyAlignment="1">
      <alignment horizontal="left"/>
    </xf>
    <xf numFmtId="0" fontId="9" fillId="3" borderId="0" xfId="8" applyFont="1" applyFill="1" applyBorder="1" applyAlignment="1">
      <alignment horizontal="center"/>
    </xf>
    <xf numFmtId="0" fontId="4" fillId="3" borderId="0" xfId="8" applyFont="1" applyFill="1" applyBorder="1" applyAlignment="1">
      <alignment horizontal="center"/>
    </xf>
    <xf numFmtId="164" fontId="9" fillId="3" borderId="0" xfId="5" applyNumberFormat="1" applyFont="1" applyFill="1" applyBorder="1"/>
    <xf numFmtId="0" fontId="65" fillId="0" borderId="0" xfId="8" applyFont="1" applyFill="1" applyBorder="1" applyAlignment="1">
      <alignment horizontal="center" vertical="top"/>
    </xf>
    <xf numFmtId="164" fontId="4" fillId="0" borderId="0" xfId="5" applyNumberFormat="1" applyFont="1"/>
    <xf numFmtId="0" fontId="4" fillId="0" borderId="0" xfId="8" quotePrefix="1" applyFont="1" applyBorder="1"/>
    <xf numFmtId="0" fontId="66" fillId="0" borderId="0" xfId="8" applyFont="1"/>
    <xf numFmtId="0" fontId="4" fillId="0" borderId="39" xfId="8" applyFont="1" applyFill="1" applyBorder="1"/>
    <xf numFmtId="164" fontId="4" fillId="0" borderId="0" xfId="5" applyNumberFormat="1" applyFont="1" applyFill="1"/>
    <xf numFmtId="0" fontId="4" fillId="0" borderId="38" xfId="8" applyFont="1" applyBorder="1" applyAlignment="1">
      <alignment vertical="top"/>
    </xf>
    <xf numFmtId="0" fontId="4" fillId="0" borderId="0" xfId="8" applyFont="1" applyBorder="1" applyAlignment="1">
      <alignment vertical="top"/>
    </xf>
    <xf numFmtId="0" fontId="6" fillId="0" borderId="0" xfId="8" applyFont="1" applyBorder="1" applyAlignment="1">
      <alignment horizontal="left" vertical="top"/>
    </xf>
    <xf numFmtId="0" fontId="4" fillId="0" borderId="39" xfId="8" applyFont="1" applyFill="1" applyBorder="1" applyAlignment="1">
      <alignment vertical="top"/>
    </xf>
    <xf numFmtId="164" fontId="4" fillId="0" borderId="0" xfId="5" applyNumberFormat="1" applyFont="1" applyFill="1" applyAlignment="1">
      <alignment vertical="top"/>
    </xf>
    <xf numFmtId="0" fontId="9" fillId="3" borderId="26" xfId="8" applyFont="1" applyFill="1" applyBorder="1" applyAlignment="1">
      <alignment horizontal="left" vertical="top"/>
    </xf>
    <xf numFmtId="0" fontId="9" fillId="3" borderId="26" xfId="8" applyFont="1" applyFill="1" applyBorder="1" applyAlignment="1">
      <alignment horizontal="center" vertical="top" wrapText="1"/>
    </xf>
    <xf numFmtId="164" fontId="9" fillId="3" borderId="26" xfId="5" applyNumberFormat="1" applyFont="1" applyFill="1" applyBorder="1" applyAlignment="1">
      <alignment horizontal="center" vertical="top"/>
    </xf>
    <xf numFmtId="0" fontId="9" fillId="3" borderId="26" xfId="8" applyFont="1" applyFill="1" applyBorder="1" applyAlignment="1">
      <alignment horizontal="center" vertical="top"/>
    </xf>
    <xf numFmtId="164" fontId="4" fillId="3" borderId="26" xfId="5" applyNumberFormat="1" applyFont="1" applyFill="1" applyBorder="1" applyAlignment="1">
      <alignment vertical="top"/>
    </xf>
    <xf numFmtId="164" fontId="9" fillId="0" borderId="26" xfId="5" applyNumberFormat="1" applyFont="1" applyFill="1" applyBorder="1" applyAlignment="1">
      <alignment vertical="top"/>
    </xf>
    <xf numFmtId="0" fontId="9" fillId="3" borderId="26" xfId="8" applyFont="1" applyFill="1" applyBorder="1" applyAlignment="1">
      <alignment vertical="top" wrapText="1"/>
    </xf>
    <xf numFmtId="0" fontId="9" fillId="3" borderId="37" xfId="8" applyFont="1" applyFill="1" applyBorder="1" applyAlignment="1">
      <alignment horizontal="left" vertical="top" indent="2"/>
    </xf>
    <xf numFmtId="0" fontId="9" fillId="3" borderId="37" xfId="8" applyFont="1" applyFill="1" applyBorder="1" applyAlignment="1">
      <alignment horizontal="center" vertical="top" wrapText="1"/>
    </xf>
    <xf numFmtId="0" fontId="9" fillId="3" borderId="37" xfId="8" applyFont="1" applyFill="1" applyBorder="1" applyAlignment="1">
      <alignment horizontal="center" vertical="top"/>
    </xf>
    <xf numFmtId="164" fontId="9" fillId="3" borderId="37" xfId="5" applyNumberFormat="1" applyFont="1" applyFill="1" applyBorder="1" applyAlignment="1">
      <alignment vertical="top"/>
    </xf>
    <xf numFmtId="0" fontId="9" fillId="3" borderId="37" xfId="8" applyFont="1" applyFill="1" applyBorder="1" applyAlignment="1">
      <alignment vertical="top" wrapText="1"/>
    </xf>
    <xf numFmtId="164" fontId="4" fillId="0" borderId="0" xfId="8" applyNumberFormat="1" applyFont="1" applyFill="1" applyAlignment="1">
      <alignment vertical="top"/>
    </xf>
    <xf numFmtId="0" fontId="9" fillId="3" borderId="31" xfId="8" applyFont="1" applyFill="1" applyBorder="1" applyAlignment="1">
      <alignment horizontal="left" vertical="top" indent="2"/>
    </xf>
    <xf numFmtId="0" fontId="9" fillId="3" borderId="31" xfId="8" applyFont="1" applyFill="1" applyBorder="1" applyAlignment="1">
      <alignment horizontal="center" vertical="top" wrapText="1"/>
    </xf>
    <xf numFmtId="0" fontId="9" fillId="3" borderId="31" xfId="5" applyNumberFormat="1" applyFont="1" applyFill="1" applyBorder="1" applyAlignment="1">
      <alignment horizontal="center" vertical="top"/>
    </xf>
    <xf numFmtId="0" fontId="9" fillId="3" borderId="31" xfId="8" applyFont="1" applyFill="1" applyBorder="1" applyAlignment="1">
      <alignment horizontal="center" vertical="top"/>
    </xf>
    <xf numFmtId="164" fontId="9" fillId="3" borderId="31" xfId="5" applyNumberFormat="1" applyFont="1" applyFill="1" applyBorder="1" applyAlignment="1">
      <alignment vertical="top"/>
    </xf>
    <xf numFmtId="0" fontId="9" fillId="3" borderId="31" xfId="8" applyFont="1" applyFill="1" applyBorder="1" applyAlignment="1">
      <alignment vertical="top" wrapText="1"/>
    </xf>
    <xf numFmtId="0" fontId="9" fillId="3" borderId="29" xfId="8" applyFont="1" applyFill="1" applyBorder="1" applyAlignment="1">
      <alignment horizontal="left" vertical="top" indent="2"/>
    </xf>
    <xf numFmtId="164" fontId="9" fillId="3" borderId="29" xfId="5" applyNumberFormat="1" applyFont="1" applyFill="1" applyBorder="1" applyAlignment="1">
      <alignment vertical="top"/>
    </xf>
    <xf numFmtId="0" fontId="9" fillId="3" borderId="26" xfId="5" applyNumberFormat="1" applyFont="1" applyFill="1" applyBorder="1" applyAlignment="1">
      <alignment horizontal="center" vertical="top"/>
    </xf>
    <xf numFmtId="164" fontId="9" fillId="3" borderId="26" xfId="5" applyNumberFormat="1" applyFont="1" applyFill="1" applyBorder="1" applyAlignment="1">
      <alignment vertical="top"/>
    </xf>
    <xf numFmtId="0" fontId="9" fillId="3" borderId="37" xfId="8" applyFont="1" applyFill="1" applyBorder="1" applyAlignment="1">
      <alignment horizontal="left" vertical="top" wrapText="1"/>
    </xf>
    <xf numFmtId="164" fontId="9" fillId="3" borderId="37" xfId="5" applyNumberFormat="1" applyFont="1" applyFill="1" applyBorder="1" applyAlignment="1">
      <alignment horizontal="center" vertical="top"/>
    </xf>
    <xf numFmtId="164" fontId="4" fillId="3" borderId="37" xfId="5" applyNumberFormat="1" applyFont="1" applyFill="1" applyBorder="1" applyAlignment="1">
      <alignment vertical="top"/>
    </xf>
    <xf numFmtId="0" fontId="9" fillId="3" borderId="33" xfId="8" applyFont="1" applyFill="1" applyBorder="1" applyAlignment="1">
      <alignment horizontal="left" vertical="top" indent="2"/>
    </xf>
    <xf numFmtId="0" fontId="9" fillId="3" borderId="33" xfId="8" applyFont="1" applyFill="1" applyBorder="1" applyAlignment="1">
      <alignment horizontal="center"/>
    </xf>
    <xf numFmtId="0" fontId="9" fillId="3" borderId="33" xfId="8" applyNumberFormat="1" applyFont="1" applyFill="1" applyBorder="1" applyAlignment="1">
      <alignment horizontal="center"/>
    </xf>
    <xf numFmtId="0" fontId="9" fillId="3" borderId="37" xfId="8" applyFont="1" applyFill="1" applyBorder="1"/>
    <xf numFmtId="0" fontId="9" fillId="3" borderId="35" xfId="8" applyFont="1" applyFill="1" applyBorder="1" applyAlignment="1">
      <alignment horizontal="left" indent="2"/>
    </xf>
    <xf numFmtId="0" fontId="9" fillId="3" borderId="35" xfId="8" applyFont="1" applyFill="1" applyBorder="1" applyAlignment="1">
      <alignment horizontal="center"/>
    </xf>
    <xf numFmtId="0" fontId="9" fillId="3" borderId="35" xfId="8" applyNumberFormat="1" applyFont="1" applyFill="1" applyBorder="1" applyAlignment="1">
      <alignment horizontal="center"/>
    </xf>
    <xf numFmtId="3" fontId="9" fillId="3" borderId="31" xfId="8" applyNumberFormat="1" applyFont="1" applyFill="1" applyBorder="1" applyAlignment="1">
      <alignment horizontal="right"/>
    </xf>
    <xf numFmtId="0" fontId="9" fillId="3" borderId="31" xfId="8" applyFont="1" applyFill="1" applyBorder="1"/>
    <xf numFmtId="0" fontId="9" fillId="3" borderId="36" xfId="8" applyFont="1" applyFill="1" applyBorder="1" applyAlignment="1">
      <alignment horizontal="left" indent="2"/>
    </xf>
    <xf numFmtId="0" fontId="9" fillId="3" borderId="36" xfId="8" applyNumberFormat="1" applyFont="1" applyFill="1" applyBorder="1" applyAlignment="1">
      <alignment horizontal="center"/>
    </xf>
    <xf numFmtId="3" fontId="9" fillId="3" borderId="29" xfId="8" applyNumberFormat="1" applyFont="1" applyFill="1" applyBorder="1" applyAlignment="1">
      <alignment horizontal="right"/>
    </xf>
    <xf numFmtId="0" fontId="9" fillId="3" borderId="29" xfId="8" applyFont="1" applyFill="1" applyBorder="1"/>
    <xf numFmtId="0" fontId="9" fillId="3" borderId="29" xfId="8" applyFont="1" applyFill="1" applyBorder="1" applyAlignment="1">
      <alignment horizontal="left" indent="2"/>
    </xf>
    <xf numFmtId="0" fontId="9" fillId="3" borderId="29" xfId="8" applyNumberFormat="1" applyFont="1" applyFill="1" applyBorder="1" applyAlignment="1">
      <alignment horizontal="center"/>
    </xf>
    <xf numFmtId="0" fontId="9" fillId="3" borderId="29" xfId="8" quotePrefix="1" applyFont="1" applyFill="1" applyBorder="1" applyAlignment="1">
      <alignment horizontal="center"/>
    </xf>
    <xf numFmtId="0" fontId="9" fillId="3" borderId="29" xfId="8" applyFont="1" applyFill="1" applyBorder="1" applyAlignment="1">
      <alignment horizontal="right"/>
    </xf>
    <xf numFmtId="0" fontId="9" fillId="0" borderId="26" xfId="8" applyFont="1" applyFill="1" applyBorder="1"/>
    <xf numFmtId="0" fontId="4" fillId="0" borderId="11" xfId="8" applyFont="1" applyBorder="1"/>
    <xf numFmtId="0" fontId="4" fillId="0" borderId="1" xfId="8" applyFont="1" applyBorder="1"/>
    <xf numFmtId="0" fontId="4" fillId="0" borderId="1" xfId="8" applyFont="1" applyBorder="1" applyAlignment="1">
      <alignment horizontal="right"/>
    </xf>
    <xf numFmtId="0" fontId="4" fillId="0" borderId="12" xfId="8" applyFont="1" applyBorder="1"/>
    <xf numFmtId="43" fontId="4" fillId="0" borderId="0" xfId="5" applyFont="1"/>
    <xf numFmtId="43" fontId="4" fillId="0" borderId="0" xfId="5" applyFont="1" applyBorder="1"/>
    <xf numFmtId="0" fontId="7" fillId="0" borderId="0" xfId="8" applyFont="1" applyFill="1" applyAlignment="1">
      <alignment horizontal="centerContinuous"/>
    </xf>
    <xf numFmtId="0" fontId="3" fillId="0" borderId="0" xfId="8" applyFont="1" applyFill="1" applyAlignment="1">
      <alignment horizontal="centerContinuous"/>
    </xf>
    <xf numFmtId="0" fontId="67" fillId="8" borderId="0" xfId="8" applyFont="1" applyFill="1" applyAlignment="1">
      <alignment horizontal="center"/>
    </xf>
    <xf numFmtId="0" fontId="68" fillId="8" borderId="0" xfId="8" applyFont="1" applyFill="1"/>
    <xf numFmtId="0" fontId="68" fillId="8" borderId="0" xfId="8" applyFont="1" applyFill="1" applyAlignment="1">
      <alignment horizontal="center"/>
    </xf>
    <xf numFmtId="0" fontId="68" fillId="8" borderId="0" xfId="5" applyNumberFormat="1" applyFont="1" applyFill="1" applyAlignment="1">
      <alignment horizontal="center"/>
    </xf>
    <xf numFmtId="0" fontId="4" fillId="0" borderId="0" xfId="8" applyFill="1" applyAlignment="1">
      <alignment horizontal="center"/>
    </xf>
    <xf numFmtId="0" fontId="69" fillId="0" borderId="0" xfId="8" applyFont="1" applyFill="1" applyAlignment="1">
      <alignment horizontal="right"/>
    </xf>
    <xf numFmtId="164" fontId="0" fillId="0" borderId="0" xfId="5" applyNumberFormat="1" applyFont="1" applyFill="1" applyAlignment="1"/>
    <xf numFmtId="0" fontId="52" fillId="0" borderId="0" xfId="8" applyFont="1" applyFill="1" applyAlignment="1"/>
    <xf numFmtId="0" fontId="9" fillId="0" borderId="0" xfId="8" applyFont="1" applyFill="1" applyAlignment="1">
      <alignment horizontal="center" vertical="top"/>
    </xf>
    <xf numFmtId="0" fontId="4" fillId="0" borderId="0" xfId="8" applyFill="1" applyAlignment="1">
      <alignment horizontal="left" vertical="center"/>
    </xf>
    <xf numFmtId="0" fontId="4" fillId="0" borderId="0" xfId="8" applyFill="1" applyAlignment="1">
      <alignment horizontal="center" vertical="center"/>
    </xf>
    <xf numFmtId="37" fontId="4" fillId="3" borderId="0" xfId="5" applyNumberFormat="1" applyFont="1" applyFill="1" applyAlignment="1">
      <alignment vertical="center" wrapText="1"/>
    </xf>
    <xf numFmtId="0" fontId="9" fillId="0" borderId="0" xfId="8" applyFont="1"/>
    <xf numFmtId="0" fontId="4" fillId="0" borderId="0" xfId="8" applyFill="1" applyAlignment="1">
      <alignment horizontal="center" vertical="top"/>
    </xf>
    <xf numFmtId="37" fontId="9" fillId="3" borderId="0" xfId="5" applyNumberFormat="1" applyFont="1" applyFill="1" applyAlignment="1">
      <alignment vertical="center" wrapText="1"/>
    </xf>
    <xf numFmtId="0" fontId="4" fillId="0" borderId="0" xfId="8" applyAlignment="1">
      <alignment vertical="center"/>
    </xf>
    <xf numFmtId="0" fontId="70" fillId="0" borderId="0" xfId="8" applyFont="1" applyFill="1" applyAlignment="1">
      <alignment horizontal="center" vertical="center"/>
    </xf>
    <xf numFmtId="0" fontId="4" fillId="0" borderId="0" xfId="8" applyFont="1" applyFill="1" applyAlignment="1">
      <alignment horizontal="left" vertical="center"/>
    </xf>
    <xf numFmtId="0" fontId="52" fillId="0" borderId="18" xfId="8" applyFont="1" applyFill="1" applyBorder="1" applyAlignment="1">
      <alignment horizontal="left" indent="1"/>
    </xf>
    <xf numFmtId="0" fontId="4" fillId="0" borderId="18" xfId="8" applyBorder="1"/>
    <xf numFmtId="37" fontId="52" fillId="0" borderId="18" xfId="5" applyNumberFormat="1" applyFont="1" applyFill="1" applyBorder="1" applyAlignment="1">
      <alignment wrapText="1"/>
    </xf>
    <xf numFmtId="0" fontId="4" fillId="0" borderId="0" xfId="8" applyFill="1" applyAlignment="1"/>
    <xf numFmtId="164" fontId="4" fillId="0" borderId="0" xfId="5" applyNumberFormat="1" applyFill="1" applyBorder="1" applyAlignment="1">
      <alignment wrapText="1"/>
    </xf>
    <xf numFmtId="0" fontId="4" fillId="0" borderId="0" xfId="8" applyFont="1" applyFill="1" applyAlignment="1">
      <alignment vertical="center"/>
    </xf>
    <xf numFmtId="0" fontId="9" fillId="0" borderId="0" xfId="8" applyFont="1" applyFill="1" applyAlignment="1">
      <alignment horizontal="center" vertical="center"/>
    </xf>
    <xf numFmtId="0" fontId="4" fillId="0" borderId="0" xfId="8" applyFont="1" applyFill="1" applyAlignment="1">
      <alignment horizontal="center" vertical="center" wrapText="1"/>
    </xf>
    <xf numFmtId="37" fontId="0" fillId="3" borderId="0" xfId="5" applyNumberFormat="1" applyFont="1" applyFill="1" applyAlignment="1">
      <alignment vertical="center"/>
    </xf>
    <xf numFmtId="0" fontId="4" fillId="0" borderId="0" xfId="8" applyFont="1" applyFill="1" applyAlignment="1">
      <alignment horizontal="left" vertical="center" wrapText="1"/>
    </xf>
    <xf numFmtId="0" fontId="4" fillId="0" borderId="0" xfId="8" applyFont="1" applyFill="1" applyAlignment="1">
      <alignment horizontal="center" vertical="center"/>
    </xf>
    <xf numFmtId="37" fontId="9" fillId="3" borderId="0" xfId="5" applyNumberFormat="1" applyFont="1" applyFill="1" applyAlignment="1">
      <alignment vertical="center"/>
    </xf>
    <xf numFmtId="0" fontId="4" fillId="0" borderId="0" xfId="8" applyFont="1" applyFill="1" applyAlignment="1">
      <alignment vertical="center" wrapText="1"/>
    </xf>
    <xf numFmtId="0" fontId="4" fillId="0" borderId="0" xfId="8" applyFill="1" applyAlignment="1">
      <alignment horizontal="center" vertical="center" wrapText="1"/>
    </xf>
    <xf numFmtId="37" fontId="9" fillId="5" borderId="0" xfId="5" applyNumberFormat="1" applyFont="1" applyFill="1" applyAlignment="1">
      <alignment vertical="center"/>
    </xf>
    <xf numFmtId="0" fontId="52" fillId="0" borderId="18" xfId="8" applyFont="1" applyFill="1" applyBorder="1" applyAlignment="1">
      <alignment horizontal="left" vertical="center"/>
    </xf>
    <xf numFmtId="0" fontId="4" fillId="0" borderId="18" xfId="8" applyFont="1" applyFill="1" applyBorder="1" applyAlignment="1">
      <alignment horizontal="center" vertical="center"/>
    </xf>
    <xf numFmtId="37" fontId="52" fillId="0" borderId="18" xfId="8" applyNumberFormat="1" applyFont="1" applyFill="1" applyBorder="1" applyAlignment="1">
      <alignment vertical="center"/>
    </xf>
    <xf numFmtId="37" fontId="4" fillId="0" borderId="0" xfId="8" applyNumberFormat="1"/>
    <xf numFmtId="0" fontId="4" fillId="0" borderId="0" xfId="8" applyFont="1" applyFill="1" applyAlignment="1">
      <alignment horizontal="center"/>
    </xf>
    <xf numFmtId="164" fontId="4" fillId="0" borderId="0" xfId="5" applyNumberFormat="1" applyFill="1" applyAlignment="1"/>
    <xf numFmtId="0" fontId="52" fillId="0" borderId="18" xfId="8" applyFont="1" applyFill="1" applyBorder="1" applyAlignment="1"/>
    <xf numFmtId="37" fontId="52" fillId="0" borderId="19" xfId="5" applyNumberFormat="1" applyFont="1" applyFill="1" applyBorder="1" applyAlignment="1"/>
    <xf numFmtId="164" fontId="4" fillId="0" borderId="0" xfId="5" applyNumberFormat="1" applyFont="1" applyFill="1" applyBorder="1" applyAlignment="1"/>
    <xf numFmtId="0" fontId="4" fillId="0" borderId="1" xfId="8" applyFill="1" applyBorder="1" applyAlignment="1">
      <alignment horizontal="center"/>
    </xf>
    <xf numFmtId="0" fontId="4" fillId="0" borderId="1" xfId="8" applyFill="1" applyBorder="1" applyAlignment="1"/>
    <xf numFmtId="0" fontId="4" fillId="0" borderId="1" xfId="8" applyFont="1" applyFill="1" applyBorder="1"/>
    <xf numFmtId="164" fontId="4" fillId="0" borderId="1" xfId="5" applyNumberFormat="1" applyFont="1" applyFill="1" applyBorder="1" applyAlignment="1"/>
    <xf numFmtId="0" fontId="70" fillId="0" borderId="0" xfId="8" applyFont="1" applyFill="1" applyAlignment="1"/>
    <xf numFmtId="0" fontId="9" fillId="3" borderId="0" xfId="8" applyFont="1" applyFill="1" applyAlignment="1"/>
    <xf numFmtId="37" fontId="9" fillId="3" borderId="0" xfId="8" applyNumberFormat="1" applyFont="1" applyFill="1" applyAlignment="1"/>
    <xf numFmtId="37" fontId="9" fillId="3" borderId="20" xfId="8" applyNumberFormat="1" applyFont="1" applyFill="1" applyBorder="1" applyAlignment="1"/>
    <xf numFmtId="0" fontId="4" fillId="0" borderId="0" xfId="8" applyFont="1" applyFill="1" applyAlignment="1">
      <alignment horizontal="left" indent="1"/>
    </xf>
    <xf numFmtId="37" fontId="4" fillId="0" borderId="0" xfId="8" applyNumberFormat="1" applyFill="1"/>
    <xf numFmtId="10" fontId="0" fillId="0" borderId="20" xfId="3" applyNumberFormat="1" applyFont="1" applyFill="1" applyBorder="1"/>
    <xf numFmtId="0" fontId="52" fillId="0" borderId="0" xfId="8" applyFont="1" applyFill="1" applyAlignment="1">
      <alignment horizontal="left" indent="1"/>
    </xf>
    <xf numFmtId="37" fontId="52" fillId="0" borderId="0" xfId="8" applyNumberFormat="1" applyFont="1" applyFill="1"/>
    <xf numFmtId="164" fontId="4" fillId="0" borderId="0" xfId="8" applyNumberFormat="1" applyFill="1"/>
    <xf numFmtId="0" fontId="4" fillId="3" borderId="0" xfId="8" applyFont="1" applyFill="1" applyAlignment="1"/>
    <xf numFmtId="37" fontId="9" fillId="5" borderId="20" xfId="5" applyNumberFormat="1" applyFont="1" applyFill="1" applyBorder="1"/>
    <xf numFmtId="0" fontId="71" fillId="8" borderId="0" xfId="8" applyFont="1" applyFill="1" applyAlignment="1"/>
    <xf numFmtId="0" fontId="67" fillId="8" borderId="0" xfId="8" applyFont="1" applyFill="1"/>
    <xf numFmtId="164" fontId="67" fillId="8" borderId="0" xfId="5" applyNumberFormat="1" applyFont="1" applyFill="1" applyBorder="1" applyAlignment="1"/>
    <xf numFmtId="0" fontId="4" fillId="0" borderId="0" xfId="8" applyFont="1" applyFill="1" applyAlignment="1">
      <alignment vertical="top" wrapText="1"/>
    </xf>
    <xf numFmtId="0" fontId="58" fillId="0" borderId="0" xfId="8" applyFont="1" applyFill="1"/>
    <xf numFmtId="164" fontId="4" fillId="0" borderId="0" xfId="5" applyNumberFormat="1" applyFont="1" applyFill="1" applyAlignment="1"/>
    <xf numFmtId="0" fontId="72" fillId="0" borderId="0" xfId="8" applyFont="1" applyFill="1" applyAlignment="1">
      <alignment vertical="center" wrapText="1"/>
    </xf>
    <xf numFmtId="0" fontId="13" fillId="0" borderId="0" xfId="8" applyFont="1" applyFill="1" applyAlignment="1">
      <alignment vertical="center" wrapText="1"/>
    </xf>
    <xf numFmtId="0" fontId="4" fillId="0" borderId="1" xfId="8" applyFill="1" applyBorder="1"/>
    <xf numFmtId="164" fontId="0" fillId="0" borderId="1" xfId="5" applyNumberFormat="1" applyFont="1" applyFill="1" applyBorder="1" applyAlignment="1"/>
    <xf numFmtId="0" fontId="73" fillId="0" borderId="0" xfId="8" applyFont="1" applyFill="1"/>
    <xf numFmtId="164" fontId="0" fillId="0" borderId="0" xfId="5" applyNumberFormat="1" applyFont="1" applyFill="1" applyBorder="1" applyAlignment="1"/>
    <xf numFmtId="164" fontId="4" fillId="0" borderId="0" xfId="8" applyNumberFormat="1" applyFont="1" applyFill="1"/>
    <xf numFmtId="0" fontId="4" fillId="0" borderId="0" xfId="8" applyAlignment="1">
      <alignment horizontal="center"/>
    </xf>
    <xf numFmtId="0" fontId="4" fillId="0" borderId="0" xfId="8" applyFont="1" applyFill="1" applyAlignment="1">
      <alignment horizontal="center" vertical="top"/>
    </xf>
    <xf numFmtId="0" fontId="7" fillId="0" borderId="0" xfId="0" applyFont="1" applyAlignment="1">
      <alignment horizontal="centerContinuous"/>
    </xf>
    <xf numFmtId="0" fontId="4" fillId="0" borderId="0" xfId="0" applyFont="1" applyAlignment="1">
      <alignment horizontal="centerContinuous"/>
    </xf>
    <xf numFmtId="0" fontId="7" fillId="0" borderId="0" xfId="0" applyFont="1" applyFill="1" applyAlignment="1">
      <alignment horizontal="centerContinuous"/>
    </xf>
    <xf numFmtId="0" fontId="2" fillId="0" borderId="0" xfId="0" applyFont="1" applyFill="1" applyAlignment="1">
      <alignment horizontal="centerContinuous"/>
    </xf>
    <xf numFmtId="0" fontId="4" fillId="0" borderId="0" xfId="0" applyFont="1" applyFill="1" applyAlignment="1">
      <alignment horizontal="centerContinuous"/>
    </xf>
    <xf numFmtId="0" fontId="4" fillId="0" borderId="0" xfId="0" applyFont="1"/>
    <xf numFmtId="0" fontId="58" fillId="0" borderId="0" xfId="0" applyFont="1"/>
    <xf numFmtId="10" fontId="20" fillId="0" borderId="0" xfId="3" applyNumberFormat="1" applyFont="1" applyFill="1"/>
    <xf numFmtId="0" fontId="15" fillId="4" borderId="0" xfId="0" applyFont="1" applyFill="1"/>
    <xf numFmtId="0" fontId="16" fillId="0" borderId="0" xfId="0" applyFont="1" applyFill="1"/>
    <xf numFmtId="0" fontId="7" fillId="0" borderId="0" xfId="0" applyFont="1" applyFill="1" applyAlignment="1"/>
    <xf numFmtId="0" fontId="3" fillId="0" borderId="0" xfId="0" applyFont="1" applyFill="1" applyAlignment="1">
      <alignment wrapText="1"/>
    </xf>
    <xf numFmtId="10" fontId="3" fillId="0" borderId="0" xfId="3" applyNumberFormat="1" applyFont="1" applyFill="1" applyAlignment="1">
      <alignment horizontal="center"/>
    </xf>
    <xf numFmtId="37" fontId="3" fillId="0" borderId="0" xfId="0" applyNumberFormat="1" applyFont="1" applyFill="1" applyAlignment="1">
      <alignment horizontal="left"/>
    </xf>
    <xf numFmtId="10" fontId="3" fillId="0" borderId="0" xfId="3" applyNumberFormat="1" applyFont="1" applyFill="1" applyAlignment="1">
      <alignment horizontal="right"/>
    </xf>
    <xf numFmtId="3" fontId="3" fillId="0" borderId="0" xfId="0" applyNumberFormat="1" applyFont="1" applyFill="1" applyAlignment="1">
      <alignment horizontal="left"/>
    </xf>
    <xf numFmtId="0" fontId="7" fillId="0" borderId="0" xfId="0" applyFont="1" applyAlignment="1">
      <alignment horizontal="left"/>
    </xf>
    <xf numFmtId="3" fontId="7" fillId="0" borderId="19" xfId="0" applyNumberFormat="1" applyFont="1" applyFill="1" applyBorder="1" applyAlignment="1"/>
    <xf numFmtId="0" fontId="15" fillId="4" borderId="0" xfId="0" applyNumberFormat="1" applyFont="1" applyFill="1" applyAlignment="1">
      <alignment horizontal="left"/>
    </xf>
    <xf numFmtId="0" fontId="16" fillId="4" borderId="0" xfId="0" applyFont="1" applyFill="1" applyAlignment="1">
      <alignment horizontal="left"/>
    </xf>
    <xf numFmtId="3" fontId="49" fillId="0" borderId="0" xfId="0" applyNumberFormat="1" applyFont="1"/>
    <xf numFmtId="3" fontId="3" fillId="0" borderId="0" xfId="0" applyNumberFormat="1" applyFont="1"/>
    <xf numFmtId="171" fontId="3" fillId="0" borderId="0" xfId="0" applyNumberFormat="1" applyFont="1" applyFill="1" applyAlignment="1"/>
    <xf numFmtId="38" fontId="3" fillId="0" borderId="20" xfId="0" applyNumberFormat="1" applyFont="1" applyBorder="1" applyAlignment="1"/>
    <xf numFmtId="3" fontId="3" fillId="0" borderId="20" xfId="0" applyNumberFormat="1" applyFont="1" applyFill="1" applyBorder="1" applyAlignment="1">
      <alignment horizontal="center"/>
    </xf>
    <xf numFmtId="3" fontId="3" fillId="0" borderId="20" xfId="0" applyNumberFormat="1" applyFont="1" applyBorder="1"/>
    <xf numFmtId="170" fontId="3" fillId="0" borderId="20" xfId="0" applyNumberFormat="1" applyFont="1" applyBorder="1" applyAlignment="1">
      <alignment horizontal="center"/>
    </xf>
    <xf numFmtId="0" fontId="3" fillId="0" borderId="20" xfId="0" applyNumberFormat="1" applyFont="1" applyBorder="1" applyAlignment="1">
      <alignment horizontal="center"/>
    </xf>
    <xf numFmtId="3" fontId="19" fillId="0" borderId="18" xfId="0" applyNumberFormat="1" applyFont="1" applyBorder="1" applyAlignment="1">
      <alignment horizontal="right"/>
    </xf>
    <xf numFmtId="0" fontId="24" fillId="0" borderId="0" xfId="0" applyNumberFormat="1" applyFont="1" applyFill="1" applyBorder="1" applyAlignment="1">
      <alignment horizontal="center"/>
    </xf>
    <xf numFmtId="3" fontId="24" fillId="0" borderId="0" xfId="0" applyNumberFormat="1" applyFont="1" applyBorder="1" applyAlignment="1"/>
    <xf numFmtId="10" fontId="31" fillId="0" borderId="0" xfId="0" applyNumberFormat="1" applyFont="1" applyFill="1" applyAlignment="1">
      <alignment horizontal="right"/>
    </xf>
    <xf numFmtId="3" fontId="7" fillId="0" borderId="19" xfId="0" applyNumberFormat="1" applyFont="1" applyBorder="1" applyAlignment="1"/>
    <xf numFmtId="37" fontId="7" fillId="0" borderId="19" xfId="5" applyNumberFormat="1" applyFont="1" applyFill="1" applyBorder="1" applyAlignment="1">
      <alignment horizontal="right"/>
    </xf>
    <xf numFmtId="179" fontId="3" fillId="0" borderId="0" xfId="3" applyNumberFormat="1" applyFont="1" applyFill="1" applyAlignment="1">
      <alignment horizontal="right"/>
    </xf>
    <xf numFmtId="0" fontId="3" fillId="0" borderId="0" xfId="0" applyNumberFormat="1" applyFont="1" applyBorder="1" applyAlignment="1">
      <alignment horizontal="centerContinuous"/>
    </xf>
    <xf numFmtId="0" fontId="3" fillId="0" borderId="0" xfId="0" applyFont="1" applyAlignment="1">
      <alignment horizontal="centerContinuous"/>
    </xf>
    <xf numFmtId="0" fontId="3" fillId="0" borderId="0" xfId="0" applyFont="1" applyBorder="1" applyAlignment="1">
      <alignment horizontal="centerContinuous"/>
    </xf>
    <xf numFmtId="0" fontId="31" fillId="0" borderId="0" xfId="0" applyFont="1" applyBorder="1" applyAlignment="1">
      <alignment horizontal="centerContinuous"/>
    </xf>
    <xf numFmtId="0" fontId="31" fillId="0" borderId="0" xfId="12" applyFont="1" applyFill="1" applyBorder="1" applyAlignment="1">
      <alignment horizontal="left"/>
    </xf>
    <xf numFmtId="0" fontId="3" fillId="0" borderId="0" xfId="12" applyFont="1"/>
    <xf numFmtId="0" fontId="4" fillId="0" borderId="0" xfId="12" applyFont="1"/>
    <xf numFmtId="0" fontId="8" fillId="0" borderId="0" xfId="12" applyFont="1" applyFill="1" applyBorder="1" applyAlignment="1">
      <alignment horizontal="left"/>
    </xf>
    <xf numFmtId="0" fontId="4" fillId="0" borderId="0" xfId="12" applyFont="1" applyFill="1" applyBorder="1"/>
    <xf numFmtId="43" fontId="4" fillId="0" borderId="0" xfId="5" applyFont="1" applyFill="1" applyBorder="1"/>
    <xf numFmtId="0" fontId="17" fillId="9" borderId="40" xfId="12" applyFont="1" applyFill="1" applyBorder="1" applyAlignment="1">
      <alignment horizontal="center" wrapText="1"/>
    </xf>
    <xf numFmtId="0" fontId="17" fillId="9" borderId="41" xfId="12" applyFont="1" applyFill="1" applyBorder="1" applyAlignment="1">
      <alignment horizontal="center" wrapText="1"/>
    </xf>
    <xf numFmtId="0" fontId="17" fillId="9" borderId="41" xfId="12" applyFont="1" applyFill="1" applyBorder="1" applyAlignment="1"/>
    <xf numFmtId="0" fontId="17" fillId="9" borderId="42" xfId="12" applyFont="1" applyFill="1" applyBorder="1" applyAlignment="1"/>
    <xf numFmtId="0" fontId="52" fillId="0" borderId="0" xfId="12" applyFont="1" applyFill="1" applyBorder="1"/>
    <xf numFmtId="0" fontId="3" fillId="0" borderId="38" xfId="12" applyFont="1" applyFill="1" applyBorder="1"/>
    <xf numFmtId="0" fontId="3" fillId="0" borderId="0" xfId="12" applyFont="1" applyBorder="1" applyAlignment="1">
      <alignment horizontal="center"/>
    </xf>
    <xf numFmtId="0" fontId="23" fillId="0" borderId="0" xfId="12" applyFont="1" applyBorder="1" applyAlignment="1">
      <alignment horizontal="left"/>
    </xf>
    <xf numFmtId="0" fontId="3" fillId="0" borderId="0" xfId="12" applyFont="1" applyBorder="1" applyAlignment="1"/>
    <xf numFmtId="0" fontId="3" fillId="0" borderId="39" xfId="12" applyFont="1" applyBorder="1" applyAlignment="1">
      <alignment horizontal="right"/>
    </xf>
    <xf numFmtId="0" fontId="31" fillId="0" borderId="38" xfId="12" applyFont="1" applyFill="1" applyBorder="1" applyAlignment="1"/>
    <xf numFmtId="0" fontId="3" fillId="0" borderId="0" xfId="12" applyFont="1" applyFill="1" applyBorder="1" applyAlignment="1"/>
    <xf numFmtId="0" fontId="4" fillId="0" borderId="0" xfId="12" applyFont="1" applyFill="1"/>
    <xf numFmtId="0" fontId="3" fillId="0" borderId="39" xfId="12" applyFont="1" applyFill="1" applyBorder="1" applyAlignment="1">
      <alignment horizontal="center" wrapText="1"/>
    </xf>
    <xf numFmtId="0" fontId="20" fillId="0" borderId="0" xfId="12" applyFont="1" applyBorder="1" applyAlignment="1">
      <alignment horizontal="center"/>
    </xf>
    <xf numFmtId="0" fontId="3" fillId="0" borderId="0" xfId="12" applyFont="1" applyBorder="1"/>
    <xf numFmtId="3" fontId="3" fillId="0" borderId="0" xfId="12" applyNumberFormat="1" applyFont="1" applyFill="1" applyBorder="1" applyAlignment="1"/>
    <xf numFmtId="1" fontId="3" fillId="3" borderId="0" xfId="12" applyNumberFormat="1" applyFont="1" applyFill="1" applyBorder="1" applyAlignment="1">
      <alignment horizontal="center"/>
    </xf>
    <xf numFmtId="37" fontId="20" fillId="3" borderId="39" xfId="13" applyNumberFormat="1" applyFont="1" applyFill="1" applyBorder="1" applyAlignment="1">
      <alignment horizontal="right"/>
    </xf>
    <xf numFmtId="164" fontId="3" fillId="0" borderId="38" xfId="5" applyNumberFormat="1" applyFont="1" applyFill="1" applyBorder="1" applyAlignment="1">
      <alignment horizontal="right"/>
    </xf>
    <xf numFmtId="0" fontId="51" fillId="0" borderId="0" xfId="12" applyFont="1" applyFill="1" applyBorder="1" applyAlignment="1"/>
    <xf numFmtId="0" fontId="3" fillId="0" borderId="0" xfId="12" applyFont="1" applyBorder="1" applyAlignment="1">
      <alignment horizontal="left"/>
    </xf>
    <xf numFmtId="0" fontId="3" fillId="0" borderId="38" xfId="12" applyFont="1" applyFill="1" applyBorder="1" applyAlignment="1">
      <alignment horizontal="right"/>
    </xf>
    <xf numFmtId="0" fontId="3" fillId="0" borderId="0" xfId="12" applyFont="1" applyFill="1" applyAlignment="1">
      <alignment horizontal="center"/>
    </xf>
    <xf numFmtId="43" fontId="3" fillId="0" borderId="39" xfId="5" applyFont="1" applyFill="1" applyBorder="1" applyAlignment="1">
      <alignment horizontal="center" wrapText="1"/>
    </xf>
    <xf numFmtId="43" fontId="4" fillId="0" borderId="0" xfId="12" applyNumberFormat="1" applyFont="1" applyFill="1" applyBorder="1"/>
    <xf numFmtId="0" fontId="3" fillId="0" borderId="0" xfId="12" applyNumberFormat="1" applyFont="1" applyFill="1" applyBorder="1" applyAlignment="1">
      <alignment horizontal="left"/>
    </xf>
    <xf numFmtId="3" fontId="3" fillId="0" borderId="38" xfId="12" applyNumberFormat="1" applyFont="1" applyFill="1" applyBorder="1" applyAlignment="1">
      <alignment horizontal="right"/>
    </xf>
    <xf numFmtId="0" fontId="3" fillId="0" borderId="0" xfId="12" applyFont="1" applyFill="1" applyBorder="1" applyAlignment="1">
      <alignment horizontal="center" wrapText="1"/>
    </xf>
    <xf numFmtId="0" fontId="3" fillId="0" borderId="38" xfId="12" applyFont="1" applyFill="1" applyBorder="1" applyAlignment="1"/>
    <xf numFmtId="43" fontId="3" fillId="0" borderId="39" xfId="5" applyFont="1" applyFill="1" applyBorder="1" applyAlignment="1"/>
    <xf numFmtId="0" fontId="3" fillId="0" borderId="20" xfId="12" applyNumberFormat="1" applyFont="1" applyFill="1" applyBorder="1" applyAlignment="1">
      <alignment horizontal="left"/>
    </xf>
    <xf numFmtId="3" fontId="3" fillId="0" borderId="20" xfId="12" applyNumberFormat="1" applyFont="1" applyFill="1" applyBorder="1" applyAlignment="1"/>
    <xf numFmtId="1" fontId="3" fillId="3" borderId="20" xfId="12" applyNumberFormat="1" applyFont="1" applyFill="1" applyBorder="1" applyAlignment="1">
      <alignment horizontal="center"/>
    </xf>
    <xf numFmtId="37" fontId="20" fillId="3" borderId="43" xfId="13" applyNumberFormat="1" applyFont="1" applyFill="1" applyBorder="1" applyAlignment="1">
      <alignment horizontal="right"/>
    </xf>
    <xf numFmtId="166" fontId="75" fillId="0" borderId="0" xfId="3" quotePrefix="1" applyNumberFormat="1" applyFont="1" applyFill="1" applyBorder="1" applyAlignment="1">
      <alignment horizontal="left" vertical="top" wrapText="1"/>
    </xf>
    <xf numFmtId="0" fontId="7" fillId="0" borderId="0" xfId="12" applyNumberFormat="1" applyFont="1" applyFill="1" applyBorder="1" applyAlignment="1">
      <alignment horizontal="left"/>
    </xf>
    <xf numFmtId="0" fontId="3" fillId="3" borderId="0" xfId="12" applyFont="1" applyFill="1" applyBorder="1" applyAlignment="1"/>
    <xf numFmtId="37" fontId="3" fillId="0" borderId="0" xfId="12" applyNumberFormat="1" applyFont="1" applyBorder="1" applyAlignment="1">
      <alignment horizontal="center"/>
    </xf>
    <xf numFmtId="3" fontId="3" fillId="3" borderId="0" xfId="12" applyNumberFormat="1" applyFont="1" applyFill="1" applyBorder="1" applyAlignment="1">
      <alignment horizontal="center"/>
    </xf>
    <xf numFmtId="37" fontId="7" fillId="0" borderId="39" xfId="13" applyNumberFormat="1" applyFont="1" applyFill="1" applyBorder="1" applyAlignment="1">
      <alignment horizontal="right"/>
    </xf>
    <xf numFmtId="164" fontId="3" fillId="0" borderId="38" xfId="12" applyNumberFormat="1" applyFont="1" applyFill="1" applyBorder="1" applyAlignment="1"/>
    <xf numFmtId="164" fontId="3" fillId="0" borderId="0" xfId="5" applyNumberFormat="1" applyFont="1" applyFill="1"/>
    <xf numFmtId="164" fontId="3" fillId="0" borderId="39" xfId="5" applyNumberFormat="1" applyFont="1" applyFill="1" applyBorder="1" applyAlignment="1"/>
    <xf numFmtId="43" fontId="52" fillId="0" borderId="0" xfId="12" applyNumberFormat="1" applyFont="1" applyFill="1" applyBorder="1"/>
    <xf numFmtId="0" fontId="19" fillId="0" borderId="0" xfId="12" applyNumberFormat="1" applyFont="1" applyFill="1" applyBorder="1" applyAlignment="1">
      <alignment horizontal="center"/>
    </xf>
    <xf numFmtId="37" fontId="3" fillId="0" borderId="39" xfId="12" applyNumberFormat="1" applyFont="1" applyFill="1" applyBorder="1" applyAlignment="1">
      <alignment horizontal="left"/>
    </xf>
    <xf numFmtId="164" fontId="3" fillId="0" borderId="0" xfId="5" applyNumberFormat="1" applyFont="1" applyFill="1" applyBorder="1" applyAlignment="1">
      <alignment horizontal="center" wrapText="1"/>
    </xf>
    <xf numFmtId="37" fontId="3" fillId="0" borderId="0" xfId="12" applyNumberFormat="1" applyFont="1" applyBorder="1" applyAlignment="1">
      <alignment horizontal="right"/>
    </xf>
    <xf numFmtId="43" fontId="76" fillId="0" borderId="0" xfId="5" applyFont="1" applyFill="1" applyBorder="1"/>
    <xf numFmtId="0" fontId="1" fillId="0" borderId="0" xfId="14" applyFill="1" applyBorder="1" applyAlignment="1">
      <alignment horizontal="center" wrapText="1"/>
    </xf>
    <xf numFmtId="164" fontId="4" fillId="0" borderId="0" xfId="5" applyNumberFormat="1" applyFont="1" applyFill="1" applyBorder="1"/>
    <xf numFmtId="164" fontId="3" fillId="0" borderId="0" xfId="5" applyNumberFormat="1" applyFont="1" applyFill="1" applyBorder="1" applyAlignment="1"/>
    <xf numFmtId="0" fontId="3" fillId="0" borderId="39" xfId="12" applyFont="1" applyFill="1" applyBorder="1" applyAlignment="1"/>
    <xf numFmtId="37" fontId="3" fillId="0" borderId="39" xfId="13" applyNumberFormat="1" applyFont="1" applyFill="1" applyBorder="1" applyAlignment="1">
      <alignment horizontal="right"/>
    </xf>
    <xf numFmtId="0" fontId="19" fillId="0" borderId="0" xfId="12" applyFont="1" applyBorder="1" applyAlignment="1">
      <alignment horizontal="center"/>
    </xf>
    <xf numFmtId="37" fontId="3" fillId="0" borderId="39" xfId="12" applyNumberFormat="1" applyFont="1" applyBorder="1" applyAlignment="1">
      <alignment horizontal="left"/>
    </xf>
    <xf numFmtId="164" fontId="3" fillId="0" borderId="0" xfId="5" quotePrefix="1" applyNumberFormat="1" applyFont="1" applyFill="1" applyBorder="1" applyAlignment="1">
      <alignment vertical="top" wrapText="1"/>
    </xf>
    <xf numFmtId="3" fontId="19" fillId="0" borderId="0" xfId="12" applyNumberFormat="1" applyFont="1" applyBorder="1" applyAlignment="1">
      <alignment horizontal="center"/>
    </xf>
    <xf numFmtId="0" fontId="3" fillId="0" borderId="0" xfId="12" applyFont="1" applyFill="1" applyBorder="1" applyAlignment="1">
      <alignment horizontal="left"/>
    </xf>
    <xf numFmtId="0" fontId="75" fillId="0" borderId="0" xfId="12" quotePrefix="1" applyFont="1" applyFill="1" applyBorder="1" applyAlignment="1">
      <alignment vertical="top" wrapText="1"/>
    </xf>
    <xf numFmtId="164" fontId="3" fillId="0" borderId="0" xfId="5" applyNumberFormat="1" applyFont="1" applyFill="1" applyBorder="1" applyAlignment="1">
      <alignment wrapText="1"/>
    </xf>
    <xf numFmtId="164" fontId="3" fillId="0" borderId="38" xfId="12" applyNumberFormat="1" applyFont="1" applyFill="1" applyBorder="1" applyAlignment="1">
      <alignment horizontal="right"/>
    </xf>
    <xf numFmtId="0" fontId="3" fillId="0" borderId="38" xfId="12" applyFont="1" applyFill="1" applyBorder="1" applyAlignment="1">
      <alignment horizontal="center"/>
    </xf>
    <xf numFmtId="0" fontId="3" fillId="0" borderId="0" xfId="12" applyNumberFormat="1" applyFont="1" applyFill="1" applyBorder="1" applyAlignment="1"/>
    <xf numFmtId="0" fontId="23" fillId="0" borderId="0" xfId="12" applyFont="1" applyFill="1" applyBorder="1" applyAlignment="1">
      <alignment horizontal="left"/>
    </xf>
    <xf numFmtId="0" fontId="3" fillId="0" borderId="0" xfId="12" applyFont="1" applyFill="1" applyBorder="1" applyAlignment="1">
      <alignment horizontal="center"/>
    </xf>
    <xf numFmtId="37" fontId="3" fillId="0" borderId="39" xfId="12" applyNumberFormat="1" applyFont="1" applyFill="1" applyBorder="1" applyAlignment="1"/>
    <xf numFmtId="0" fontId="3" fillId="0" borderId="0" xfId="12" applyFont="1" applyFill="1" applyBorder="1" applyAlignment="1">
      <alignment horizontal="right"/>
    </xf>
    <xf numFmtId="1" fontId="19" fillId="0" borderId="0" xfId="12" applyNumberFormat="1" applyFont="1" applyFill="1" applyBorder="1" applyAlignment="1">
      <alignment horizontal="center"/>
    </xf>
    <xf numFmtId="3" fontId="19" fillId="0" borderId="0" xfId="12" applyNumberFormat="1" applyFont="1" applyFill="1" applyBorder="1" applyAlignment="1">
      <alignment horizontal="center"/>
    </xf>
    <xf numFmtId="164" fontId="3" fillId="0" borderId="0" xfId="13" applyNumberFormat="1" applyFont="1" applyFill="1" applyBorder="1" applyAlignment="1">
      <alignment horizontal="right"/>
    </xf>
    <xf numFmtId="164" fontId="3" fillId="0" borderId="38" xfId="13" applyNumberFormat="1" applyFont="1" applyFill="1" applyBorder="1" applyAlignment="1">
      <alignment horizontal="right"/>
    </xf>
    <xf numFmtId="43" fontId="3" fillId="0" borderId="39" xfId="12" applyNumberFormat="1" applyFont="1" applyFill="1" applyBorder="1" applyAlignment="1">
      <alignment horizontal="center" wrapText="1"/>
    </xf>
    <xf numFmtId="0" fontId="7" fillId="0" borderId="18" xfId="12" applyNumberFormat="1" applyFont="1" applyFill="1" applyBorder="1" applyAlignment="1">
      <alignment horizontal="left"/>
    </xf>
    <xf numFmtId="3" fontId="3" fillId="0" borderId="18" xfId="12" applyNumberFormat="1" applyFont="1" applyFill="1" applyBorder="1" applyAlignment="1"/>
    <xf numFmtId="37" fontId="3" fillId="0" borderId="18" xfId="12" applyNumberFormat="1" applyFont="1" applyBorder="1" applyAlignment="1">
      <alignment horizontal="center"/>
    </xf>
    <xf numFmtId="3" fontId="3" fillId="3" borderId="18" xfId="12" applyNumberFormat="1" applyFont="1" applyFill="1" applyBorder="1" applyAlignment="1">
      <alignment horizontal="center"/>
    </xf>
    <xf numFmtId="37" fontId="7" fillId="0" borderId="44" xfId="13" applyNumberFormat="1" applyFont="1" applyBorder="1" applyAlignment="1">
      <alignment horizontal="right"/>
    </xf>
    <xf numFmtId="0" fontId="3" fillId="0" borderId="11" xfId="12" applyNumberFormat="1" applyFont="1" applyFill="1" applyBorder="1" applyAlignment="1">
      <alignment horizontal="center"/>
    </xf>
    <xf numFmtId="0" fontId="3" fillId="0" borderId="1" xfId="12" applyNumberFormat="1" applyFont="1" applyBorder="1" applyAlignment="1">
      <alignment horizontal="center"/>
    </xf>
    <xf numFmtId="0" fontId="3" fillId="0" borderId="1" xfId="12" applyNumberFormat="1" applyFont="1" applyFill="1" applyBorder="1" applyAlignment="1">
      <alignment horizontal="left"/>
    </xf>
    <xf numFmtId="0" fontId="3" fillId="0" borderId="1" xfId="12" applyFont="1" applyBorder="1" applyAlignment="1"/>
    <xf numFmtId="0" fontId="19" fillId="0" borderId="1" xfId="12" applyNumberFormat="1" applyFont="1" applyFill="1" applyBorder="1" applyAlignment="1">
      <alignment horizontal="center"/>
    </xf>
    <xf numFmtId="0" fontId="3" fillId="0" borderId="12" xfId="12" applyNumberFormat="1" applyFont="1" applyFill="1" applyBorder="1" applyAlignment="1">
      <alignment horizontal="left"/>
    </xf>
    <xf numFmtId="164" fontId="3" fillId="0" borderId="11" xfId="13" applyNumberFormat="1" applyFont="1" applyFill="1" applyBorder="1" applyAlignment="1">
      <alignment horizontal="right"/>
    </xf>
    <xf numFmtId="0" fontId="3" fillId="0" borderId="1" xfId="12" applyFont="1" applyBorder="1" applyAlignment="1">
      <alignment horizontal="center"/>
    </xf>
    <xf numFmtId="0" fontId="3" fillId="0" borderId="1" xfId="12" applyFont="1" applyFill="1" applyBorder="1" applyAlignment="1">
      <alignment horizontal="center" wrapText="1"/>
    </xf>
    <xf numFmtId="0" fontId="3" fillId="0" borderId="12" xfId="12" applyFont="1" applyFill="1" applyBorder="1" applyAlignment="1">
      <alignment horizontal="center" wrapText="1"/>
    </xf>
    <xf numFmtId="0" fontId="3" fillId="0" borderId="0" xfId="12" applyNumberFormat="1" applyFont="1" applyFill="1" applyBorder="1" applyAlignment="1">
      <alignment horizontal="center"/>
    </xf>
    <xf numFmtId="0" fontId="3" fillId="0" borderId="0" xfId="12" applyNumberFormat="1" applyFont="1" applyBorder="1" applyAlignment="1">
      <alignment horizontal="center"/>
    </xf>
    <xf numFmtId="3" fontId="3" fillId="0" borderId="0" xfId="12" applyNumberFormat="1" applyFont="1" applyBorder="1" applyAlignment="1">
      <alignment horizontal="right"/>
    </xf>
    <xf numFmtId="0" fontId="4" fillId="0" borderId="0" xfId="12" applyFont="1" applyBorder="1"/>
    <xf numFmtId="0" fontId="17" fillId="9" borderId="40" xfId="0" applyFont="1" applyFill="1" applyBorder="1" applyAlignment="1">
      <alignment horizontal="center" wrapText="1"/>
    </xf>
    <xf numFmtId="0" fontId="17" fillId="9" borderId="41" xfId="0" applyFont="1" applyFill="1" applyBorder="1" applyAlignment="1"/>
    <xf numFmtId="0" fontId="67" fillId="9" borderId="41" xfId="0" applyFont="1" applyFill="1" applyBorder="1" applyAlignment="1"/>
    <xf numFmtId="0" fontId="67" fillId="9" borderId="42" xfId="0" applyFont="1" applyFill="1" applyBorder="1" applyAlignment="1"/>
    <xf numFmtId="0" fontId="3" fillId="0" borderId="39" xfId="12" applyFont="1" applyBorder="1" applyAlignment="1"/>
    <xf numFmtId="37" fontId="3" fillId="0" borderId="39" xfId="12" applyNumberFormat="1" applyFont="1" applyBorder="1" applyAlignment="1">
      <alignment horizontal="right"/>
    </xf>
    <xf numFmtId="3" fontId="3" fillId="0" borderId="0" xfId="12" applyNumberFormat="1" applyFont="1" applyFill="1" applyBorder="1" applyAlignment="1">
      <alignment horizontal="right" wrapText="1"/>
    </xf>
    <xf numFmtId="4" fontId="3" fillId="0" borderId="0" xfId="12" applyNumberFormat="1" applyFont="1" applyFill="1" applyBorder="1" applyAlignment="1">
      <alignment horizontal="center" wrapText="1"/>
    </xf>
    <xf numFmtId="4" fontId="3" fillId="0" borderId="0" xfId="12" applyNumberFormat="1" applyFont="1" applyBorder="1" applyAlignment="1"/>
    <xf numFmtId="164" fontId="3" fillId="0" borderId="38" xfId="12" applyNumberFormat="1" applyFont="1" applyFill="1" applyBorder="1"/>
    <xf numFmtId="37" fontId="3" fillId="0" borderId="38" xfId="12" applyNumberFormat="1" applyFont="1" applyFill="1" applyBorder="1"/>
    <xf numFmtId="0" fontId="4" fillId="0" borderId="39" xfId="12" applyFont="1" applyBorder="1"/>
    <xf numFmtId="0" fontId="3" fillId="0" borderId="0" xfId="12" applyFont="1" applyFill="1" applyBorder="1" applyAlignment="1">
      <alignment horizontal="right" wrapText="1"/>
    </xf>
    <xf numFmtId="0" fontId="3" fillId="0" borderId="0" xfId="12" applyFont="1" applyBorder="1" applyAlignment="1">
      <alignment horizontal="right"/>
    </xf>
    <xf numFmtId="43" fontId="3" fillId="0" borderId="0" xfId="5" applyFont="1" applyFill="1" applyBorder="1" applyAlignment="1">
      <alignment horizontal="right" wrapText="1"/>
    </xf>
    <xf numFmtId="0" fontId="3" fillId="0" borderId="38" xfId="12" applyNumberFormat="1" applyFont="1" applyFill="1" applyBorder="1" applyAlignment="1">
      <alignment horizontal="center"/>
    </xf>
    <xf numFmtId="0" fontId="23" fillId="0" borderId="0" xfId="12" applyNumberFormat="1" applyFont="1" applyFill="1" applyBorder="1" applyAlignment="1">
      <alignment horizontal="left"/>
    </xf>
    <xf numFmtId="37" fontId="7" fillId="0" borderId="39" xfId="12" applyNumberFormat="1" applyFont="1" applyFill="1" applyBorder="1" applyAlignment="1"/>
    <xf numFmtId="37" fontId="3" fillId="0" borderId="39" xfId="13" applyNumberFormat="1" applyFont="1" applyBorder="1" applyAlignment="1">
      <alignment horizontal="right"/>
    </xf>
    <xf numFmtId="0" fontId="3" fillId="0" borderId="4" xfId="12" applyNumberFormat="1" applyFont="1" applyFill="1" applyBorder="1" applyAlignment="1">
      <alignment horizontal="center"/>
    </xf>
    <xf numFmtId="0" fontId="3" fillId="0" borderId="4" xfId="12" applyNumberFormat="1" applyFont="1" applyBorder="1" applyAlignment="1">
      <alignment horizontal="center"/>
    </xf>
    <xf numFmtId="0" fontId="3" fillId="0" borderId="4" xfId="12" applyNumberFormat="1" applyFont="1" applyFill="1" applyBorder="1" applyAlignment="1">
      <alignment horizontal="left"/>
    </xf>
    <xf numFmtId="0" fontId="3" fillId="0" borderId="4" xfId="12" applyFont="1" applyBorder="1" applyAlignment="1"/>
    <xf numFmtId="0" fontId="19" fillId="0" borderId="4" xfId="12" applyNumberFormat="1" applyFont="1" applyFill="1" applyBorder="1" applyAlignment="1">
      <alignment horizontal="center"/>
    </xf>
    <xf numFmtId="164" fontId="3" fillId="0" borderId="4" xfId="13" applyNumberFormat="1" applyFont="1" applyFill="1" applyBorder="1" applyAlignment="1">
      <alignment horizontal="right"/>
    </xf>
    <xf numFmtId="0" fontId="3" fillId="0" borderId="4" xfId="12" applyFont="1" applyBorder="1" applyAlignment="1">
      <alignment horizontal="center"/>
    </xf>
    <xf numFmtId="0" fontId="3" fillId="0" borderId="4" xfId="12" applyFont="1" applyFill="1" applyBorder="1" applyAlignment="1">
      <alignment horizontal="center" wrapText="1"/>
    </xf>
    <xf numFmtId="0" fontId="8" fillId="0" borderId="0" xfId="0" applyFont="1" applyFill="1" applyBorder="1" applyAlignment="1">
      <alignment horizontal="left"/>
    </xf>
    <xf numFmtId="164" fontId="3" fillId="0" borderId="1" xfId="13" applyNumberFormat="1" applyFont="1" applyFill="1" applyBorder="1" applyAlignment="1">
      <alignment horizontal="right"/>
    </xf>
    <xf numFmtId="0" fontId="17" fillId="9" borderId="41" xfId="0" applyFont="1" applyFill="1" applyBorder="1" applyAlignment="1">
      <alignment horizontal="center" wrapText="1"/>
    </xf>
    <xf numFmtId="0" fontId="17" fillId="9" borderId="42" xfId="0" applyFont="1" applyFill="1" applyBorder="1" applyAlignment="1"/>
    <xf numFmtId="0" fontId="3" fillId="0" borderId="39" xfId="12" applyNumberFormat="1" applyFont="1" applyFill="1" applyBorder="1" applyAlignment="1">
      <alignment horizontal="left"/>
    </xf>
    <xf numFmtId="0" fontId="4" fillId="0" borderId="38" xfId="12" applyFont="1" applyFill="1" applyBorder="1"/>
    <xf numFmtId="0" fontId="3" fillId="0" borderId="39" xfId="0" applyNumberFormat="1" applyFont="1" applyFill="1" applyBorder="1" applyAlignment="1">
      <alignment horizontal="left"/>
    </xf>
    <xf numFmtId="37" fontId="3" fillId="5" borderId="0" xfId="13" applyNumberFormat="1" applyFont="1" applyFill="1" applyBorder="1" applyAlignment="1">
      <alignment horizontal="right"/>
    </xf>
    <xf numFmtId="0" fontId="3" fillId="0" borderId="43" xfId="0" applyNumberFormat="1" applyFont="1" applyFill="1" applyBorder="1" applyAlignment="1">
      <alignment horizontal="left"/>
    </xf>
    <xf numFmtId="0" fontId="7" fillId="0" borderId="0" xfId="0" applyFont="1" applyFill="1" applyBorder="1" applyAlignment="1"/>
    <xf numFmtId="3" fontId="3" fillId="3" borderId="39" xfId="0" applyNumberFormat="1" applyFont="1" applyFill="1" applyBorder="1" applyAlignment="1"/>
    <xf numFmtId="37" fontId="7" fillId="0" borderId="45" xfId="13" applyNumberFormat="1" applyFont="1" applyFill="1" applyBorder="1" applyAlignment="1">
      <alignment horizontal="right"/>
    </xf>
    <xf numFmtId="0" fontId="4" fillId="3" borderId="0" xfId="12" applyFont="1" applyFill="1"/>
    <xf numFmtId="3" fontId="3" fillId="0" borderId="39" xfId="0" applyNumberFormat="1" applyFont="1" applyFill="1" applyBorder="1" applyAlignment="1"/>
    <xf numFmtId="37" fontId="3" fillId="0" borderId="0" xfId="13" applyNumberFormat="1" applyFont="1" applyFill="1" applyBorder="1" applyAlignment="1">
      <alignment horizontal="right"/>
    </xf>
    <xf numFmtId="3" fontId="3" fillId="0" borderId="43" xfId="0" applyNumberFormat="1" applyFont="1" applyFill="1" applyBorder="1" applyAlignment="1"/>
    <xf numFmtId="164" fontId="3" fillId="0" borderId="0" xfId="12" applyNumberFormat="1" applyFont="1" applyBorder="1" applyAlignment="1">
      <alignment horizontal="center"/>
    </xf>
    <xf numFmtId="0" fontId="3" fillId="0" borderId="1" xfId="0" applyFont="1" applyFill="1" applyBorder="1" applyAlignment="1">
      <alignment horizontal="center"/>
    </xf>
    <xf numFmtId="0" fontId="4" fillId="0" borderId="0" xfId="12" applyNumberFormat="1" applyFont="1" applyFill="1" applyBorder="1" applyAlignment="1">
      <alignment horizontal="center"/>
    </xf>
    <xf numFmtId="0" fontId="4" fillId="0" borderId="0" xfId="12" applyNumberFormat="1" applyFont="1" applyBorder="1" applyAlignment="1">
      <alignment horizontal="center"/>
    </xf>
    <xf numFmtId="0" fontId="4" fillId="0" borderId="0" xfId="12" applyNumberFormat="1" applyFont="1" applyFill="1" applyBorder="1" applyAlignment="1">
      <alignment horizontal="left"/>
    </xf>
    <xf numFmtId="0" fontId="4" fillId="0" borderId="0" xfId="12" applyFont="1" applyBorder="1" applyAlignment="1"/>
    <xf numFmtId="0" fontId="61" fillId="0" borderId="0" xfId="12" applyNumberFormat="1" applyFont="1" applyFill="1" applyBorder="1" applyAlignment="1">
      <alignment horizontal="center"/>
    </xf>
    <xf numFmtId="164" fontId="4" fillId="0" borderId="0" xfId="13" applyNumberFormat="1" applyFont="1" applyFill="1" applyBorder="1" applyAlignment="1">
      <alignment horizontal="right"/>
    </xf>
    <xf numFmtId="0" fontId="4" fillId="0" borderId="0" xfId="12" applyFont="1" applyBorder="1" applyAlignment="1">
      <alignment horizontal="center"/>
    </xf>
    <xf numFmtId="0" fontId="4" fillId="0" borderId="0" xfId="12" applyFont="1" applyFill="1" applyBorder="1" applyAlignment="1">
      <alignment horizontal="center" wrapText="1"/>
    </xf>
    <xf numFmtId="0" fontId="15" fillId="9" borderId="41" xfId="0" applyFont="1" applyFill="1" applyBorder="1" applyAlignment="1">
      <alignment horizontal="center" wrapText="1"/>
    </xf>
    <xf numFmtId="0" fontId="3" fillId="0" borderId="38" xfId="0" applyNumberFormat="1" applyFont="1" applyFill="1" applyBorder="1" applyAlignment="1">
      <alignment horizontal="center"/>
    </xf>
    <xf numFmtId="0" fontId="3" fillId="0" borderId="0" xfId="0" applyNumberFormat="1" applyFont="1" applyFill="1" applyBorder="1" applyAlignment="1">
      <alignment horizontal="right"/>
    </xf>
    <xf numFmtId="0" fontId="19" fillId="0" borderId="0" xfId="0" applyNumberFormat="1" applyFont="1" applyBorder="1" applyAlignment="1">
      <alignment horizontal="center"/>
    </xf>
    <xf numFmtId="0" fontId="3" fillId="0" borderId="39" xfId="0" applyNumberFormat="1" applyFont="1" applyBorder="1" applyAlignment="1"/>
    <xf numFmtId="3" fontId="3" fillId="0" borderId="38" xfId="0" applyNumberFormat="1" applyFont="1" applyBorder="1" applyAlignment="1">
      <alignment horizontal="center"/>
    </xf>
    <xf numFmtId="0" fontId="3" fillId="0" borderId="0" xfId="0" applyFont="1" applyFill="1" applyBorder="1" applyAlignment="1">
      <alignment horizontal="left" wrapText="1"/>
    </xf>
    <xf numFmtId="0" fontId="3" fillId="0" borderId="39" xfId="0" applyFont="1" applyFill="1" applyBorder="1" applyAlignment="1">
      <alignment horizontal="left" wrapText="1"/>
    </xf>
    <xf numFmtId="0" fontId="3" fillId="0" borderId="38" xfId="0" applyFont="1" applyFill="1" applyBorder="1"/>
    <xf numFmtId="0" fontId="3" fillId="0" borderId="39" xfId="0" applyNumberFormat="1" applyFont="1" applyFill="1" applyBorder="1" applyAlignment="1">
      <alignment horizontal="center"/>
    </xf>
    <xf numFmtId="3" fontId="3" fillId="0" borderId="38" xfId="0" applyNumberFormat="1" applyFont="1" applyFill="1" applyBorder="1" applyAlignment="1">
      <alignment horizontal="center"/>
    </xf>
    <xf numFmtId="3" fontId="3" fillId="0" borderId="0" xfId="0" applyNumberFormat="1" applyFont="1" applyFill="1" applyBorder="1" applyAlignment="1">
      <alignment horizontal="center" wrapText="1"/>
    </xf>
    <xf numFmtId="0" fontId="3" fillId="0" borderId="39" xfId="0" applyFont="1" applyFill="1" applyBorder="1" applyAlignment="1"/>
    <xf numFmtId="0" fontId="20" fillId="3" borderId="39" xfId="0" applyNumberFormat="1" applyFont="1" applyFill="1" applyBorder="1" applyAlignment="1"/>
    <xf numFmtId="37" fontId="20" fillId="3" borderId="0" xfId="0" applyNumberFormat="1" applyFont="1" applyFill="1" applyBorder="1" applyAlignment="1">
      <alignment horizontal="center"/>
    </xf>
    <xf numFmtId="10" fontId="3" fillId="0" borderId="0" xfId="3" applyNumberFormat="1" applyFont="1" applyFill="1" applyBorder="1" applyAlignment="1">
      <alignment horizontal="center"/>
    </xf>
    <xf numFmtId="37" fontId="7" fillId="0" borderId="26" xfId="0" applyNumberFormat="1" applyFont="1" applyBorder="1" applyAlignment="1">
      <alignment horizontal="center"/>
    </xf>
    <xf numFmtId="0" fontId="20" fillId="0" borderId="39" xfId="0" applyNumberFormat="1" applyFont="1" applyFill="1" applyBorder="1" applyAlignment="1">
      <alignment horizontal="center"/>
    </xf>
    <xf numFmtId="37" fontId="3" fillId="0" borderId="0" xfId="0" applyNumberFormat="1" applyFont="1" applyFill="1" applyBorder="1" applyAlignment="1">
      <alignment horizontal="center"/>
    </xf>
    <xf numFmtId="37" fontId="7" fillId="0" borderId="0" xfId="0" applyNumberFormat="1" applyFont="1" applyBorder="1" applyAlignment="1">
      <alignment horizontal="center"/>
    </xf>
    <xf numFmtId="0" fontId="3" fillId="0" borderId="0" xfId="0" applyNumberFormat="1" applyFont="1" applyBorder="1" applyAlignment="1">
      <alignment horizontal="right"/>
    </xf>
    <xf numFmtId="0" fontId="20" fillId="3" borderId="39" xfId="0" quotePrefix="1" applyNumberFormat="1" applyFont="1" applyFill="1" applyBorder="1" applyAlignment="1"/>
    <xf numFmtId="0" fontId="20" fillId="0" borderId="0" xfId="0" applyFont="1" applyFill="1" applyBorder="1" applyAlignment="1">
      <alignment horizontal="center"/>
    </xf>
    <xf numFmtId="0" fontId="3" fillId="0" borderId="44" xfId="0" applyNumberFormat="1" applyFont="1" applyFill="1" applyBorder="1" applyAlignment="1"/>
    <xf numFmtId="37" fontId="3" fillId="0" borderId="18" xfId="0" applyNumberFormat="1" applyFont="1" applyFill="1" applyBorder="1" applyAlignment="1">
      <alignment horizontal="center"/>
    </xf>
    <xf numFmtId="10" fontId="3" fillId="0" borderId="0" xfId="3" quotePrefix="1" applyNumberFormat="1" applyFont="1" applyFill="1" applyBorder="1" applyAlignment="1">
      <alignment horizontal="center"/>
    </xf>
    <xf numFmtId="0" fontId="3" fillId="0" borderId="11" xfId="0" applyNumberFormat="1" applyFont="1" applyFill="1" applyBorder="1" applyAlignment="1">
      <alignment horizontal="center"/>
    </xf>
    <xf numFmtId="0" fontId="3" fillId="0" borderId="1" xfId="0" applyNumberFormat="1" applyFont="1" applyFill="1" applyBorder="1" applyAlignment="1">
      <alignment horizontal="right"/>
    </xf>
    <xf numFmtId="0" fontId="3" fillId="0" borderId="1" xfId="0" applyNumberFormat="1" applyFont="1" applyFill="1" applyBorder="1" applyAlignment="1">
      <alignment horizontal="left"/>
    </xf>
    <xf numFmtId="0" fontId="3" fillId="0" borderId="1" xfId="0" applyFont="1" applyFill="1" applyBorder="1" applyAlignment="1"/>
    <xf numFmtId="0" fontId="19" fillId="0" borderId="1" xfId="0" applyNumberFormat="1" applyFont="1" applyFill="1" applyBorder="1" applyAlignment="1">
      <alignment horizontal="center"/>
    </xf>
    <xf numFmtId="0" fontId="3" fillId="0" borderId="12" xfId="0" applyNumberFormat="1" applyFont="1" applyFill="1" applyBorder="1" applyAlignment="1"/>
    <xf numFmtId="3" fontId="3" fillId="0" borderId="11" xfId="0" applyNumberFormat="1" applyFont="1" applyBorder="1" applyAlignment="1">
      <alignment horizontal="center"/>
    </xf>
    <xf numFmtId="3" fontId="3" fillId="0" borderId="1" xfId="0" applyNumberFormat="1" applyFont="1" applyFill="1" applyBorder="1" applyAlignment="1">
      <alignment horizontal="center"/>
    </xf>
    <xf numFmtId="3" fontId="3" fillId="0" borderId="1" xfId="0" applyNumberFormat="1" applyFont="1" applyBorder="1" applyAlignment="1">
      <alignment horizontal="center"/>
    </xf>
    <xf numFmtId="0" fontId="17" fillId="9" borderId="41" xfId="0" applyFont="1" applyFill="1" applyBorder="1" applyAlignment="1">
      <alignment wrapText="1"/>
    </xf>
    <xf numFmtId="0" fontId="17" fillId="9" borderId="42" xfId="0" applyFont="1" applyFill="1" applyBorder="1" applyAlignment="1">
      <alignment wrapText="1"/>
    </xf>
    <xf numFmtId="0" fontId="3" fillId="0" borderId="44" xfId="0" applyFont="1" applyBorder="1"/>
    <xf numFmtId="0" fontId="3" fillId="0" borderId="45" xfId="0" applyFont="1" applyBorder="1"/>
    <xf numFmtId="3" fontId="3" fillId="0" borderId="39" xfId="0" applyNumberFormat="1" applyFont="1" applyFill="1" applyBorder="1" applyAlignment="1">
      <alignment vertical="center" wrapText="1"/>
    </xf>
    <xf numFmtId="37" fontId="3" fillId="5" borderId="0" xfId="13" applyNumberFormat="1" applyFont="1" applyFill="1" applyBorder="1" applyAlignment="1">
      <alignment horizontal="center"/>
    </xf>
    <xf numFmtId="37" fontId="7" fillId="3" borderId="0" xfId="0" applyNumberFormat="1" applyFont="1" applyFill="1" applyBorder="1" applyAlignment="1">
      <alignment horizontal="center"/>
    </xf>
    <xf numFmtId="37" fontId="3" fillId="3" borderId="0" xfId="0" applyNumberFormat="1" applyFont="1" applyFill="1" applyBorder="1" applyAlignment="1">
      <alignment horizontal="center"/>
    </xf>
    <xf numFmtId="0" fontId="77" fillId="0" borderId="0" xfId="0" applyFont="1" applyFill="1"/>
    <xf numFmtId="37" fontId="3" fillId="5" borderId="0" xfId="0" applyNumberFormat="1" applyFont="1" applyFill="1" applyBorder="1" applyAlignment="1">
      <alignment horizontal="center"/>
    </xf>
    <xf numFmtId="3" fontId="3" fillId="3" borderId="44" xfId="0" applyNumberFormat="1" applyFont="1" applyFill="1" applyBorder="1" applyAlignment="1"/>
    <xf numFmtId="37" fontId="7" fillId="0" borderId="26" xfId="13" applyNumberFormat="1" applyFont="1" applyFill="1" applyBorder="1" applyAlignment="1">
      <alignment horizontal="center"/>
    </xf>
    <xf numFmtId="0" fontId="3" fillId="0" borderId="39" xfId="0" applyFont="1" applyBorder="1" applyAlignment="1">
      <alignment wrapText="1"/>
    </xf>
    <xf numFmtId="0" fontId="3" fillId="0" borderId="12" xfId="0" applyNumberFormat="1" applyFont="1" applyFill="1" applyBorder="1" applyAlignment="1">
      <alignment horizontal="left"/>
    </xf>
    <xf numFmtId="0" fontId="3" fillId="0" borderId="1" xfId="0" applyFont="1" applyBorder="1"/>
    <xf numFmtId="3" fontId="7" fillId="0" borderId="1" xfId="0" applyNumberFormat="1" applyFont="1" applyFill="1" applyBorder="1" applyAlignment="1">
      <alignment horizontal="center"/>
    </xf>
    <xf numFmtId="0" fontId="3" fillId="0" borderId="12" xfId="0" applyFont="1" applyBorder="1"/>
    <xf numFmtId="0" fontId="3" fillId="0" borderId="38" xfId="0" applyFont="1" applyBorder="1"/>
    <xf numFmtId="0" fontId="7" fillId="0" borderId="44" xfId="0" applyFont="1" applyFill="1" applyBorder="1" applyAlignment="1"/>
    <xf numFmtId="3" fontId="3" fillId="0" borderId="38" xfId="0" applyNumberFormat="1" applyFont="1" applyFill="1" applyBorder="1" applyAlignment="1">
      <alignment horizontal="right"/>
    </xf>
    <xf numFmtId="3" fontId="3" fillId="0" borderId="0" xfId="0" applyNumberFormat="1" applyFont="1" applyFill="1" applyBorder="1" applyAlignment="1">
      <alignment horizontal="right"/>
    </xf>
    <xf numFmtId="0" fontId="7" fillId="0" borderId="0" xfId="0" applyFont="1" applyFill="1" applyBorder="1" applyAlignment="1">
      <alignment horizontal="center" wrapText="1"/>
    </xf>
    <xf numFmtId="0" fontId="3" fillId="0" borderId="39" xfId="0" applyFont="1" applyFill="1" applyBorder="1" applyAlignment="1">
      <alignment horizontal="center" wrapText="1"/>
    </xf>
    <xf numFmtId="0" fontId="8" fillId="3" borderId="0" xfId="0" applyNumberFormat="1" applyFont="1" applyFill="1" applyBorder="1" applyAlignment="1">
      <alignment horizontal="left"/>
    </xf>
    <xf numFmtId="0" fontId="3" fillId="3" borderId="0" xfId="0" applyFont="1" applyFill="1" applyBorder="1" applyAlignment="1"/>
    <xf numFmtId="3" fontId="3" fillId="3" borderId="0" xfId="0" applyNumberFormat="1" applyFont="1" applyFill="1" applyBorder="1" applyAlignment="1">
      <alignment horizontal="center"/>
    </xf>
    <xf numFmtId="0" fontId="20" fillId="3" borderId="39" xfId="0" applyFont="1" applyFill="1" applyBorder="1" applyAlignment="1"/>
    <xf numFmtId="37" fontId="3" fillId="3" borderId="38" xfId="0" applyNumberFormat="1" applyFont="1" applyFill="1" applyBorder="1"/>
    <xf numFmtId="0" fontId="20" fillId="3" borderId="0" xfId="0" applyNumberFormat="1" applyFont="1" applyFill="1" applyBorder="1" applyAlignment="1">
      <alignment horizontal="left"/>
    </xf>
    <xf numFmtId="0" fontId="20" fillId="3" borderId="0" xfId="0" applyNumberFormat="1" applyFont="1" applyFill="1" applyBorder="1" applyAlignment="1">
      <alignment horizontal="left" indent="1"/>
    </xf>
    <xf numFmtId="37" fontId="20" fillId="3" borderId="39" xfId="0" applyNumberFormat="1" applyFont="1" applyFill="1" applyBorder="1" applyAlignment="1">
      <alignment horizontal="right"/>
    </xf>
    <xf numFmtId="37" fontId="20" fillId="3" borderId="38" xfId="0" applyNumberFormat="1" applyFont="1" applyFill="1" applyBorder="1" applyAlignment="1">
      <alignment horizontal="right"/>
    </xf>
    <xf numFmtId="0" fontId="3" fillId="0" borderId="18" xfId="0" applyNumberFormat="1" applyFont="1" applyFill="1" applyBorder="1" applyAlignment="1">
      <alignment horizontal="left" indent="2"/>
    </xf>
    <xf numFmtId="0" fontId="7" fillId="0" borderId="44" xfId="0" applyNumberFormat="1" applyFont="1" applyFill="1" applyBorder="1" applyAlignment="1"/>
    <xf numFmtId="37" fontId="3" fillId="0" borderId="45" xfId="0" applyNumberFormat="1" applyFont="1" applyBorder="1"/>
    <xf numFmtId="0" fontId="20" fillId="0" borderId="0" xfId="8" applyFont="1" applyAlignment="1">
      <alignment horizontal="right"/>
    </xf>
    <xf numFmtId="0" fontId="20" fillId="0" borderId="0" xfId="8" applyFont="1"/>
    <xf numFmtId="0" fontId="3" fillId="0" borderId="0" xfId="0" applyNumberFormat="1" applyFont="1" applyFill="1" applyBorder="1" applyAlignment="1">
      <alignment horizontal="left" indent="1"/>
    </xf>
    <xf numFmtId="37" fontId="3" fillId="0" borderId="38" xfId="0" applyNumberFormat="1" applyFont="1" applyFill="1" applyBorder="1" applyAlignment="1">
      <alignment horizontal="right"/>
    </xf>
    <xf numFmtId="0" fontId="3" fillId="0" borderId="38" xfId="0" applyFont="1" applyFill="1" applyBorder="1" applyAlignment="1">
      <alignment horizontal="center"/>
    </xf>
    <xf numFmtId="0" fontId="3" fillId="0" borderId="39" xfId="0" quotePrefix="1" applyNumberFormat="1" applyFont="1" applyFill="1" applyBorder="1" applyAlignment="1"/>
    <xf numFmtId="37" fontId="3" fillId="0" borderId="38" xfId="0" applyNumberFormat="1" applyFont="1" applyBorder="1"/>
    <xf numFmtId="37" fontId="20" fillId="5" borderId="0" xfId="0" applyNumberFormat="1" applyFont="1" applyFill="1" applyBorder="1" applyAlignment="1">
      <alignment horizontal="right"/>
    </xf>
    <xf numFmtId="0" fontId="3" fillId="0" borderId="20" xfId="0" applyFont="1" applyBorder="1"/>
    <xf numFmtId="0" fontId="3" fillId="0" borderId="43" xfId="0" applyNumberFormat="1" applyFont="1" applyFill="1" applyBorder="1" applyAlignment="1"/>
    <xf numFmtId="37" fontId="3" fillId="0" borderId="38" xfId="0" applyNumberFormat="1" applyFont="1" applyFill="1" applyBorder="1"/>
    <xf numFmtId="37" fontId="3" fillId="3" borderId="0" xfId="0" applyNumberFormat="1" applyFont="1" applyFill="1" applyBorder="1" applyAlignment="1">
      <alignment horizontal="right"/>
    </xf>
    <xf numFmtId="3" fontId="3" fillId="3" borderId="45" xfId="12" applyNumberFormat="1" applyFont="1" applyFill="1" applyBorder="1" applyAlignment="1">
      <alignment horizontal="center"/>
    </xf>
    <xf numFmtId="0" fontId="3" fillId="0" borderId="0" xfId="0" quotePrefix="1" applyFont="1" applyBorder="1"/>
    <xf numFmtId="3" fontId="3" fillId="0" borderId="0" xfId="0" applyNumberFormat="1" applyFont="1" applyFill="1" applyBorder="1"/>
    <xf numFmtId="0" fontId="20" fillId="3" borderId="43" xfId="0" applyNumberFormat="1" applyFont="1" applyFill="1" applyBorder="1" applyAlignment="1"/>
    <xf numFmtId="37" fontId="3" fillId="0" borderId="46" xfId="0" applyNumberFormat="1" applyFont="1" applyBorder="1"/>
    <xf numFmtId="37" fontId="3" fillId="5" borderId="20" xfId="0" applyNumberFormat="1" applyFont="1" applyFill="1" applyBorder="1" applyAlignment="1">
      <alignment horizontal="right"/>
    </xf>
    <xf numFmtId="0" fontId="3" fillId="0" borderId="39" xfId="0" applyFont="1" applyBorder="1" applyAlignment="1"/>
    <xf numFmtId="37" fontId="7" fillId="0" borderId="0" xfId="0" applyNumberFormat="1" applyFont="1"/>
    <xf numFmtId="0" fontId="3" fillId="0" borderId="0" xfId="0" applyFont="1" applyBorder="1" applyAlignment="1">
      <alignment wrapText="1"/>
    </xf>
    <xf numFmtId="0" fontId="3" fillId="0" borderId="1" xfId="0" applyNumberFormat="1" applyFont="1" applyFill="1" applyBorder="1" applyAlignment="1">
      <alignment horizontal="center"/>
    </xf>
    <xf numFmtId="0" fontId="3" fillId="0" borderId="1" xfId="0" applyFont="1" applyFill="1" applyBorder="1"/>
    <xf numFmtId="0" fontId="24" fillId="0" borderId="11" xfId="0" applyFont="1" applyFill="1" applyBorder="1" applyAlignment="1">
      <alignment horizontal="left"/>
    </xf>
    <xf numFmtId="0" fontId="3" fillId="0" borderId="1" xfId="0" applyFont="1" applyFill="1" applyBorder="1" applyAlignment="1">
      <alignment horizontal="left"/>
    </xf>
    <xf numFmtId="0" fontId="3" fillId="0" borderId="12" xfId="0" applyFont="1" applyFill="1" applyBorder="1" applyAlignment="1">
      <alignment horizontal="center"/>
    </xf>
    <xf numFmtId="3" fontId="19" fillId="0" borderId="0" xfId="0" applyNumberFormat="1" applyFont="1" applyBorder="1" applyAlignment="1">
      <alignment horizontal="center"/>
    </xf>
    <xf numFmtId="0" fontId="3" fillId="0" borderId="39" xfId="0" applyFont="1" applyBorder="1" applyAlignment="1">
      <alignment horizontal="left"/>
    </xf>
    <xf numFmtId="0" fontId="7" fillId="0" borderId="38" xfId="0" applyFont="1" applyBorder="1" applyAlignment="1">
      <alignment horizontal="center"/>
    </xf>
    <xf numFmtId="0" fontId="3" fillId="0" borderId="39" xfId="0" applyFont="1" applyBorder="1"/>
    <xf numFmtId="0" fontId="3" fillId="0" borderId="38" xfId="0" applyFont="1" applyFill="1" applyBorder="1" applyAlignment="1">
      <alignment horizontal="left"/>
    </xf>
    <xf numFmtId="3" fontId="19" fillId="0" borderId="0" xfId="0" applyNumberFormat="1" applyFont="1" applyFill="1" applyBorder="1" applyAlignment="1">
      <alignment horizontal="center"/>
    </xf>
    <xf numFmtId="0" fontId="3" fillId="0" borderId="39" xfId="0" applyFont="1" applyFill="1" applyBorder="1" applyAlignment="1">
      <alignment horizontal="left"/>
    </xf>
    <xf numFmtId="0" fontId="7" fillId="0" borderId="38" xfId="0" applyFont="1" applyFill="1" applyBorder="1" applyAlignment="1">
      <alignment horizontal="center"/>
    </xf>
    <xf numFmtId="0" fontId="7" fillId="0" borderId="0" xfId="0" applyFont="1" applyFill="1" applyBorder="1" applyAlignment="1">
      <alignment horizontal="center"/>
    </xf>
    <xf numFmtId="0" fontId="3" fillId="0" borderId="39" xfId="0" applyFont="1" applyFill="1" applyBorder="1"/>
    <xf numFmtId="164" fontId="7" fillId="0" borderId="38" xfId="5" applyNumberFormat="1" applyFont="1" applyFill="1" applyBorder="1" applyAlignment="1">
      <alignment horizontal="center"/>
    </xf>
    <xf numFmtId="164" fontId="3" fillId="0" borderId="0" xfId="5" applyNumberFormat="1" applyFont="1" applyFill="1" applyBorder="1" applyAlignment="1">
      <alignment horizontal="center"/>
    </xf>
    <xf numFmtId="164" fontId="7" fillId="0" borderId="0" xfId="5" applyNumberFormat="1" applyFont="1" applyFill="1" applyBorder="1" applyAlignment="1">
      <alignment horizontal="center"/>
    </xf>
    <xf numFmtId="164" fontId="3" fillId="0" borderId="0" xfId="5" applyNumberFormat="1" applyFont="1" applyFill="1" applyBorder="1"/>
    <xf numFmtId="0" fontId="3" fillId="3" borderId="0" xfId="0" applyFont="1" applyFill="1" applyBorder="1" applyAlignment="1">
      <alignment horizontal="left" indent="1"/>
    </xf>
    <xf numFmtId="0" fontId="20" fillId="3" borderId="39" xfId="0" applyFont="1" applyFill="1" applyBorder="1" applyAlignment="1">
      <alignment horizontal="center"/>
    </xf>
    <xf numFmtId="37" fontId="20" fillId="3" borderId="38" xfId="5" applyNumberFormat="1" applyFont="1" applyFill="1" applyBorder="1"/>
    <xf numFmtId="37" fontId="20" fillId="3" borderId="0" xfId="5" applyNumberFormat="1" applyFont="1" applyFill="1" applyBorder="1" applyAlignment="1"/>
    <xf numFmtId="37" fontId="8" fillId="3" borderId="0" xfId="5" applyNumberFormat="1" applyFont="1" applyFill="1" applyBorder="1" applyAlignment="1"/>
    <xf numFmtId="0" fontId="7" fillId="0" borderId="18" xfId="0" applyFont="1" applyFill="1" applyBorder="1" applyAlignment="1">
      <alignment horizontal="left" indent="1"/>
    </xf>
    <xf numFmtId="0" fontId="3" fillId="0" borderId="44" xfId="0" applyNumberFormat="1" applyFont="1" applyFill="1" applyBorder="1" applyAlignment="1">
      <alignment horizontal="center"/>
    </xf>
    <xf numFmtId="37" fontId="3" fillId="0" borderId="45" xfId="5" applyNumberFormat="1" applyFont="1" applyFill="1" applyBorder="1" applyAlignment="1"/>
    <xf numFmtId="37" fontId="7" fillId="0" borderId="26" xfId="5" applyNumberFormat="1" applyFont="1" applyFill="1" applyBorder="1" applyAlignment="1"/>
    <xf numFmtId="37" fontId="3" fillId="0" borderId="18" xfId="5" applyNumberFormat="1" applyFont="1" applyFill="1" applyBorder="1" applyAlignment="1"/>
    <xf numFmtId="0" fontId="3" fillId="0" borderId="11" xfId="0" applyFont="1" applyFill="1" applyBorder="1"/>
    <xf numFmtId="0" fontId="19" fillId="0" borderId="1" xfId="0" applyFont="1" applyFill="1" applyBorder="1" applyAlignment="1">
      <alignment horizontal="center"/>
    </xf>
    <xf numFmtId="3" fontId="3" fillId="0" borderId="11" xfId="0" applyNumberFormat="1" applyFont="1" applyFill="1" applyBorder="1" applyAlignment="1">
      <alignment horizontal="center"/>
    </xf>
    <xf numFmtId="0" fontId="20" fillId="3" borderId="39" xfId="0" applyNumberFormat="1" applyFont="1" applyFill="1" applyBorder="1" applyAlignment="1">
      <alignment horizontal="left"/>
    </xf>
    <xf numFmtId="37" fontId="8" fillId="3" borderId="26" xfId="5" applyNumberFormat="1" applyFont="1" applyFill="1" applyBorder="1" applyAlignment="1"/>
    <xf numFmtId="37" fontId="3" fillId="3" borderId="0" xfId="5" applyNumberFormat="1" applyFont="1" applyFill="1" applyBorder="1" applyAlignment="1"/>
    <xf numFmtId="164" fontId="20" fillId="3" borderId="0" xfId="5" applyNumberFormat="1" applyFont="1" applyFill="1" applyBorder="1" applyAlignment="1"/>
    <xf numFmtId="0" fontId="3" fillId="0" borderId="1" xfId="0" applyNumberFormat="1" applyFont="1" applyBorder="1" applyAlignment="1">
      <alignment horizontal="left"/>
    </xf>
    <xf numFmtId="0" fontId="19" fillId="0" borderId="1" xfId="0" applyNumberFormat="1" applyFont="1" applyBorder="1" applyAlignment="1">
      <alignment horizontal="center"/>
    </xf>
    <xf numFmtId="164" fontId="3" fillId="0" borderId="1" xfId="5" applyNumberFormat="1" applyFont="1" applyFill="1" applyBorder="1" applyAlignment="1">
      <alignment horizontal="center"/>
    </xf>
    <xf numFmtId="164" fontId="3" fillId="0" borderId="1" xfId="5" applyNumberFormat="1" applyFont="1" applyFill="1" applyBorder="1" applyAlignment="1">
      <alignment horizontal="center" wrapText="1"/>
    </xf>
    <xf numFmtId="164" fontId="3" fillId="0" borderId="12" xfId="5" applyNumberFormat="1" applyFont="1" applyFill="1" applyBorder="1" applyAlignment="1">
      <alignment horizontal="center" wrapText="1"/>
    </xf>
    <xf numFmtId="0" fontId="19" fillId="0" borderId="0" xfId="0" applyFont="1" applyFill="1" applyBorder="1" applyAlignment="1"/>
    <xf numFmtId="37" fontId="3" fillId="3" borderId="0" xfId="0" applyNumberFormat="1" applyFont="1" applyFill="1" applyBorder="1" applyAlignment="1"/>
    <xf numFmtId="164" fontId="20" fillId="3" borderId="0" xfId="0" applyNumberFormat="1" applyFont="1" applyFill="1" applyBorder="1" applyAlignment="1"/>
    <xf numFmtId="0" fontId="19" fillId="0" borderId="1" xfId="0" applyFont="1" applyFill="1" applyBorder="1" applyAlignment="1"/>
    <xf numFmtId="164" fontId="3" fillId="0" borderId="1" xfId="0" applyNumberFormat="1" applyFont="1" applyFill="1" applyBorder="1" applyAlignment="1">
      <alignment horizontal="center"/>
    </xf>
    <xf numFmtId="164" fontId="3" fillId="0" borderId="1" xfId="0" applyNumberFormat="1" applyFont="1" applyFill="1" applyBorder="1" applyAlignment="1">
      <alignment horizontal="center" wrapText="1"/>
    </xf>
    <xf numFmtId="164" fontId="3" fillId="0" borderId="12" xfId="0" applyNumberFormat="1" applyFont="1" applyFill="1" applyBorder="1" applyAlignment="1">
      <alignment horizontal="center" wrapText="1"/>
    </xf>
    <xf numFmtId="168" fontId="7" fillId="0" borderId="0" xfId="0" applyNumberFormat="1" applyFont="1" applyFill="1" applyBorder="1" applyAlignment="1">
      <alignment horizontal="left"/>
    </xf>
    <xf numFmtId="10" fontId="3" fillId="5" borderId="0" xfId="3" applyNumberFormat="1" applyFont="1" applyFill="1" applyBorder="1" applyAlignment="1">
      <alignment horizontal="center"/>
    </xf>
    <xf numFmtId="168" fontId="3" fillId="0" borderId="0" xfId="3" applyNumberFormat="1" applyFont="1" applyFill="1" applyBorder="1" applyAlignment="1">
      <alignment horizontal="left"/>
    </xf>
    <xf numFmtId="0" fontId="3" fillId="0" borderId="12" xfId="0" applyFont="1" applyFill="1" applyBorder="1"/>
    <xf numFmtId="0" fontId="8" fillId="0" borderId="0" xfId="0" applyNumberFormat="1" applyFont="1" applyFill="1" applyBorder="1" applyAlignment="1">
      <alignment horizontal="left"/>
    </xf>
    <xf numFmtId="0" fontId="19" fillId="0" borderId="0" xfId="0" applyNumberFormat="1" applyFont="1" applyFill="1" applyBorder="1" applyAlignment="1">
      <alignment horizontal="center"/>
    </xf>
    <xf numFmtId="0" fontId="31" fillId="0" borderId="0" xfId="0" applyFont="1" applyBorder="1"/>
    <xf numFmtId="43" fontId="3" fillId="0" borderId="0" xfId="5" applyFont="1" applyFill="1" applyBorder="1" applyAlignment="1">
      <alignment horizontal="center"/>
    </xf>
    <xf numFmtId="3" fontId="20" fillId="3" borderId="39" xfId="0" applyNumberFormat="1" applyFont="1" applyFill="1" applyBorder="1" applyAlignment="1">
      <alignment horizontal="left"/>
    </xf>
    <xf numFmtId="37" fontId="7" fillId="0" borderId="26" xfId="0" applyNumberFormat="1" applyFont="1" applyFill="1" applyBorder="1" applyAlignment="1">
      <alignment horizontal="right"/>
    </xf>
    <xf numFmtId="0" fontId="3" fillId="0" borderId="39" xfId="0" applyNumberFormat="1" applyFont="1" applyFill="1" applyBorder="1" applyAlignment="1"/>
    <xf numFmtId="0" fontId="24" fillId="0" borderId="0" xfId="0" applyNumberFormat="1" applyFont="1" applyFill="1" applyBorder="1" applyAlignment="1">
      <alignment horizontal="left"/>
    </xf>
    <xf numFmtId="3" fontId="20" fillId="0" borderId="39" xfId="0" applyNumberFormat="1" applyFont="1" applyFill="1" applyBorder="1" applyAlignment="1">
      <alignment horizontal="left"/>
    </xf>
    <xf numFmtId="3" fontId="20" fillId="0" borderId="44" xfId="0" applyNumberFormat="1" applyFont="1" applyFill="1" applyBorder="1" applyAlignment="1">
      <alignment horizontal="left" indent="1"/>
    </xf>
    <xf numFmtId="37" fontId="20" fillId="3" borderId="34" xfId="0" applyNumberFormat="1" applyFont="1" applyFill="1" applyBorder="1" applyAlignment="1"/>
    <xf numFmtId="0" fontId="3" fillId="0" borderId="12" xfId="0" applyNumberFormat="1" applyFont="1" applyFill="1" applyBorder="1" applyAlignment="1">
      <alignment horizontal="center"/>
    </xf>
    <xf numFmtId="0" fontId="31" fillId="0" borderId="1" xfId="0" applyFont="1" applyFill="1" applyBorder="1"/>
    <xf numFmtId="37" fontId="7" fillId="5" borderId="0" xfId="5" applyNumberFormat="1" applyFont="1" applyFill="1" applyBorder="1" applyAlignment="1"/>
    <xf numFmtId="0" fontId="3" fillId="0" borderId="0" xfId="0" applyFont="1" applyFill="1" applyBorder="1" applyAlignment="1">
      <alignment wrapText="1"/>
    </xf>
    <xf numFmtId="0" fontId="3" fillId="0" borderId="39" xfId="0" applyFont="1" applyFill="1" applyBorder="1" applyAlignment="1">
      <alignment wrapText="1"/>
    </xf>
    <xf numFmtId="0" fontId="3" fillId="0" borderId="1" xfId="0" applyNumberFormat="1" applyFont="1" applyBorder="1" applyAlignment="1">
      <alignment horizontal="center"/>
    </xf>
    <xf numFmtId="164" fontId="3" fillId="0" borderId="1" xfId="5" applyNumberFormat="1" applyFont="1" applyFill="1" applyBorder="1" applyAlignment="1"/>
    <xf numFmtId="0" fontId="3" fillId="0" borderId="1" xfId="0" applyFont="1" applyFill="1" applyBorder="1" applyAlignment="1">
      <alignment horizontal="center" wrapText="1"/>
    </xf>
    <xf numFmtId="0" fontId="3" fillId="0" borderId="12" xfId="0" applyFont="1" applyFill="1" applyBorder="1" applyAlignment="1">
      <alignment horizontal="center" wrapText="1"/>
    </xf>
    <xf numFmtId="0" fontId="17" fillId="0" borderId="40" xfId="0" applyFont="1" applyFill="1" applyBorder="1" applyAlignment="1"/>
    <xf numFmtId="37" fontId="3" fillId="5" borderId="0" xfId="5" applyNumberFormat="1" applyFont="1" applyFill="1" applyBorder="1" applyAlignment="1"/>
    <xf numFmtId="0" fontId="3" fillId="0" borderId="18" xfId="0" applyNumberFormat="1" applyFont="1" applyBorder="1" applyAlignment="1"/>
    <xf numFmtId="164" fontId="3" fillId="0" borderId="1" xfId="0" applyNumberFormat="1" applyFont="1" applyBorder="1"/>
    <xf numFmtId="0" fontId="17" fillId="9" borderId="40" xfId="0" applyFont="1" applyFill="1" applyBorder="1" applyAlignment="1"/>
    <xf numFmtId="0" fontId="20" fillId="0" borderId="0" xfId="0" applyNumberFormat="1" applyFont="1" applyFill="1" applyBorder="1" applyAlignment="1"/>
    <xf numFmtId="37" fontId="3" fillId="5" borderId="38" xfId="5" applyNumberFormat="1" applyFont="1" applyFill="1" applyBorder="1"/>
    <xf numFmtId="0" fontId="7" fillId="0" borderId="18" xfId="0" applyFont="1" applyBorder="1" applyAlignment="1">
      <alignment horizontal="left" indent="1"/>
    </xf>
    <xf numFmtId="0" fontId="3" fillId="0" borderId="18" xfId="0" applyNumberFormat="1" applyFont="1" applyFill="1" applyBorder="1" applyAlignment="1">
      <alignment horizontal="left" indent="1"/>
    </xf>
    <xf numFmtId="37" fontId="7" fillId="0" borderId="45" xfId="0" applyNumberFormat="1" applyFont="1" applyFill="1" applyBorder="1" applyAlignment="1">
      <alignment horizontal="right"/>
    </xf>
    <xf numFmtId="3" fontId="3" fillId="0" borderId="38" xfId="0" applyNumberFormat="1" applyFont="1" applyFill="1" applyBorder="1"/>
    <xf numFmtId="0" fontId="20" fillId="0" borderId="0" xfId="0" applyFont="1" applyAlignment="1"/>
    <xf numFmtId="0" fontId="19" fillId="0" borderId="18" xfId="0" applyFont="1" applyFill="1" applyBorder="1" applyAlignment="1">
      <alignment horizontal="center"/>
    </xf>
    <xf numFmtId="0" fontId="3" fillId="0" borderId="11" xfId="0" applyFont="1" applyBorder="1"/>
    <xf numFmtId="0" fontId="20" fillId="3" borderId="0" xfId="0" applyFont="1" applyFill="1" applyBorder="1" applyAlignment="1">
      <alignment horizontal="left"/>
    </xf>
    <xf numFmtId="0" fontId="3" fillId="3" borderId="0" xfId="0" applyFont="1" applyFill="1" applyBorder="1"/>
    <xf numFmtId="0" fontId="20" fillId="3" borderId="0" xfId="0" applyFont="1" applyFill="1" applyBorder="1" applyAlignment="1">
      <alignment horizontal="left" indent="1"/>
    </xf>
    <xf numFmtId="0" fontId="3" fillId="0" borderId="18" xfId="0" applyFont="1" applyFill="1" applyBorder="1" applyAlignment="1">
      <alignment horizontal="left" indent="1"/>
    </xf>
    <xf numFmtId="0" fontId="3" fillId="0" borderId="44" xfId="0" applyNumberFormat="1" applyFont="1" applyFill="1" applyBorder="1" applyAlignment="1">
      <alignment horizontal="left" indent="1"/>
    </xf>
    <xf numFmtId="37" fontId="7" fillId="0" borderId="18" xfId="5" applyNumberFormat="1" applyFont="1" applyFill="1" applyBorder="1" applyAlignment="1"/>
    <xf numFmtId="0" fontId="7" fillId="0" borderId="0" xfId="4" applyFont="1" applyFill="1" applyAlignment="1">
      <alignment horizontal="centerContinuous"/>
    </xf>
    <xf numFmtId="0" fontId="2" fillId="0" borderId="0" xfId="4" applyFont="1" applyAlignment="1">
      <alignment horizontal="centerContinuous"/>
    </xf>
    <xf numFmtId="0" fontId="4" fillId="0" borderId="0" xfId="4" applyAlignment="1">
      <alignment horizontal="centerContinuous"/>
    </xf>
    <xf numFmtId="0" fontId="4" fillId="0" borderId="0" xfId="4"/>
    <xf numFmtId="0" fontId="7" fillId="0" borderId="0" xfId="4" applyFont="1" applyAlignment="1">
      <alignment horizontal="centerContinuous"/>
    </xf>
    <xf numFmtId="0" fontId="78" fillId="0" borderId="0" xfId="4" applyFont="1" applyAlignment="1">
      <alignment horizontal="centerContinuous"/>
    </xf>
    <xf numFmtId="0" fontId="70" fillId="0" borderId="0" xfId="4" applyFont="1" applyAlignment="1">
      <alignment horizontal="centerContinuous"/>
    </xf>
    <xf numFmtId="0" fontId="4" fillId="0" borderId="0" xfId="4" applyAlignment="1">
      <alignment horizontal="center"/>
    </xf>
    <xf numFmtId="0" fontId="79" fillId="0" borderId="0" xfId="4" applyFont="1"/>
    <xf numFmtId="0" fontId="14" fillId="0" borderId="0" xfId="4" applyFont="1"/>
    <xf numFmtId="0" fontId="52" fillId="0" borderId="0" xfId="4" applyFont="1" applyAlignment="1">
      <alignment horizontal="left"/>
    </xf>
    <xf numFmtId="0" fontId="14" fillId="0" borderId="0" xfId="4" applyFont="1" applyAlignment="1">
      <alignment horizontal="center"/>
    </xf>
    <xf numFmtId="0" fontId="80" fillId="0" borderId="0" xfId="4" applyFont="1" applyAlignment="1">
      <alignment horizontal="center"/>
    </xf>
    <xf numFmtId="0" fontId="80" fillId="0" borderId="0" xfId="4" applyFont="1" applyAlignment="1"/>
    <xf numFmtId="0" fontId="14" fillId="0" borderId="0" xfId="4" applyFont="1" applyFill="1" applyAlignment="1">
      <alignment horizontal="center"/>
    </xf>
    <xf numFmtId="0" fontId="14" fillId="0" borderId="0" xfId="4" applyFont="1" applyFill="1" applyAlignment="1">
      <alignment horizontal="left"/>
    </xf>
    <xf numFmtId="0" fontId="14" fillId="0" borderId="0" xfId="4" applyFont="1" applyFill="1"/>
    <xf numFmtId="16" fontId="14" fillId="0" borderId="0" xfId="4" applyNumberFormat="1" applyFont="1" applyFill="1" applyAlignment="1">
      <alignment horizontal="center"/>
    </xf>
    <xf numFmtId="0" fontId="14" fillId="0" borderId="0" xfId="4" applyFont="1" applyAlignment="1">
      <alignment horizontal="left"/>
    </xf>
    <xf numFmtId="0" fontId="4" fillId="0" borderId="0" xfId="4" applyAlignment="1"/>
    <xf numFmtId="16" fontId="14" fillId="0" borderId="0" xfId="4" applyNumberFormat="1" applyFont="1" applyAlignment="1">
      <alignment horizontal="center"/>
    </xf>
    <xf numFmtId="164" fontId="14" fillId="0" borderId="0" xfId="5" applyNumberFormat="1" applyFont="1"/>
    <xf numFmtId="180" fontId="14" fillId="3" borderId="0" xfId="15" applyNumberFormat="1" applyFont="1" applyFill="1"/>
    <xf numFmtId="0" fontId="81" fillId="0" borderId="0" xfId="4" applyFont="1" applyFill="1" applyAlignment="1">
      <alignment horizontal="left"/>
    </xf>
    <xf numFmtId="0" fontId="82" fillId="0" borderId="0" xfId="4" applyFont="1" applyAlignment="1">
      <alignment horizontal="center"/>
    </xf>
    <xf numFmtId="0" fontId="14" fillId="0" borderId="0" xfId="15" applyNumberFormat="1" applyFont="1" applyFill="1" applyAlignment="1">
      <alignment horizontal="left"/>
    </xf>
    <xf numFmtId="0" fontId="14" fillId="0" borderId="33" xfId="16" applyFont="1" applyBorder="1" applyAlignment="1">
      <alignment horizontal="center"/>
    </xf>
    <xf numFmtId="0" fontId="14" fillId="0" borderId="18" xfId="16" applyFont="1" applyBorder="1" applyAlignment="1">
      <alignment horizontal="center"/>
    </xf>
    <xf numFmtId="0" fontId="14" fillId="0" borderId="37" xfId="16" applyFont="1" applyBorder="1" applyAlignment="1">
      <alignment horizontal="center"/>
    </xf>
    <xf numFmtId="0" fontId="14" fillId="0" borderId="37" xfId="4" applyFont="1" applyBorder="1" applyAlignment="1">
      <alignment horizontal="center"/>
    </xf>
    <xf numFmtId="0" fontId="14" fillId="0" borderId="33" xfId="4" applyFont="1" applyBorder="1" applyAlignment="1">
      <alignment horizontal="center"/>
    </xf>
    <xf numFmtId="0" fontId="14" fillId="0" borderId="18" xfId="4" applyFont="1" applyBorder="1" applyAlignment="1">
      <alignment horizontal="center"/>
    </xf>
    <xf numFmtId="0" fontId="14" fillId="0" borderId="34" xfId="4" applyFont="1" applyBorder="1" applyAlignment="1">
      <alignment horizontal="center"/>
    </xf>
    <xf numFmtId="0" fontId="14" fillId="0" borderId="35" xfId="4" applyFont="1" applyBorder="1" applyAlignment="1">
      <alignment horizontal="center"/>
    </xf>
    <xf numFmtId="0" fontId="14" fillId="0" borderId="0" xfId="4" applyFont="1" applyBorder="1" applyAlignment="1">
      <alignment horizontal="center"/>
    </xf>
    <xf numFmtId="0" fontId="14" fillId="0" borderId="31" xfId="4" applyFont="1" applyBorder="1" applyAlignment="1">
      <alignment horizontal="center"/>
    </xf>
    <xf numFmtId="0" fontId="83" fillId="3" borderId="35" xfId="4" applyFont="1" applyFill="1" applyBorder="1" applyAlignment="1">
      <alignment horizontal="center"/>
    </xf>
    <xf numFmtId="0" fontId="83" fillId="3" borderId="0" xfId="4" applyFont="1" applyFill="1" applyBorder="1" applyAlignment="1">
      <alignment horizontal="center"/>
    </xf>
    <xf numFmtId="0" fontId="83" fillId="3" borderId="32" xfId="4" applyFont="1" applyFill="1" applyBorder="1" applyAlignment="1">
      <alignment horizontal="center"/>
    </xf>
    <xf numFmtId="0" fontId="14" fillId="0" borderId="32" xfId="4" applyFont="1" applyBorder="1" applyAlignment="1">
      <alignment horizontal="center"/>
    </xf>
    <xf numFmtId="0" fontId="83" fillId="3" borderId="31" xfId="4" applyFont="1" applyFill="1" applyBorder="1" applyAlignment="1">
      <alignment horizontal="center"/>
    </xf>
    <xf numFmtId="0" fontId="14" fillId="0" borderId="35" xfId="4" applyFont="1" applyFill="1" applyBorder="1" applyAlignment="1">
      <alignment horizontal="center"/>
    </xf>
    <xf numFmtId="0" fontId="14" fillId="0" borderId="32" xfId="4" applyFont="1" applyFill="1" applyBorder="1" applyAlignment="1">
      <alignment horizontal="center"/>
    </xf>
    <xf numFmtId="0" fontId="14" fillId="0" borderId="0" xfId="4" applyFont="1" applyAlignment="1">
      <alignment wrapText="1"/>
    </xf>
    <xf numFmtId="164" fontId="14" fillId="3" borderId="35" xfId="4" applyNumberFormat="1" applyFont="1" applyFill="1" applyBorder="1" applyAlignment="1">
      <alignment horizontal="center"/>
    </xf>
    <xf numFmtId="164" fontId="14" fillId="3" borderId="0" xfId="5" applyNumberFormat="1" applyFont="1" applyFill="1" applyBorder="1" applyAlignment="1">
      <alignment horizontal="center"/>
    </xf>
    <xf numFmtId="164" fontId="14" fillId="3" borderId="31" xfId="5" applyNumberFormat="1" applyFont="1" applyFill="1" applyBorder="1" applyAlignment="1">
      <alignment horizontal="center"/>
    </xf>
    <xf numFmtId="164" fontId="83" fillId="3" borderId="31" xfId="5" applyNumberFormat="1" applyFont="1" applyFill="1" applyBorder="1" applyAlignment="1">
      <alignment horizontal="center"/>
    </xf>
    <xf numFmtId="0" fontId="83" fillId="0" borderId="0" xfId="4" applyFont="1" applyFill="1" applyAlignment="1">
      <alignment horizontal="center"/>
    </xf>
    <xf numFmtId="164" fontId="14" fillId="0" borderId="35" xfId="4" applyNumberFormat="1" applyFont="1" applyBorder="1"/>
    <xf numFmtId="164" fontId="14" fillId="0" borderId="0" xfId="4" applyNumberFormat="1" applyFont="1" applyBorder="1"/>
    <xf numFmtId="43" fontId="14" fillId="0" borderId="35" xfId="5" applyNumberFormat="1" applyFont="1" applyFill="1" applyBorder="1"/>
    <xf numFmtId="164" fontId="14" fillId="0" borderId="32" xfId="5" applyNumberFormat="1" applyFont="1" applyFill="1" applyBorder="1"/>
    <xf numFmtId="43" fontId="14" fillId="5" borderId="35" xfId="5" applyNumberFormat="1" applyFont="1" applyFill="1" applyBorder="1"/>
    <xf numFmtId="164" fontId="14" fillId="5" borderId="0" xfId="5" applyNumberFormat="1" applyFont="1" applyFill="1" applyBorder="1" applyAlignment="1">
      <alignment horizontal="center"/>
    </xf>
    <xf numFmtId="164" fontId="14" fillId="0" borderId="31" xfId="5" applyNumberFormat="1" applyFont="1" applyFill="1" applyBorder="1" applyAlignment="1">
      <alignment horizontal="center"/>
    </xf>
    <xf numFmtId="164" fontId="14" fillId="5" borderId="35" xfId="5" applyNumberFormat="1" applyFont="1" applyFill="1" applyBorder="1"/>
    <xf numFmtId="0" fontId="83" fillId="0" borderId="0" xfId="4" applyFont="1" applyAlignment="1">
      <alignment horizontal="center"/>
    </xf>
    <xf numFmtId="164" fontId="14" fillId="0" borderId="35" xfId="5" applyNumberFormat="1" applyFont="1" applyFill="1" applyBorder="1"/>
    <xf numFmtId="164" fontId="14" fillId="5" borderId="36" xfId="5" applyNumberFormat="1" applyFont="1" applyFill="1" applyBorder="1"/>
    <xf numFmtId="164" fontId="14" fillId="5" borderId="20" xfId="5" applyNumberFormat="1" applyFont="1" applyFill="1" applyBorder="1" applyAlignment="1">
      <alignment horizontal="center"/>
    </xf>
    <xf numFmtId="164" fontId="14" fillId="0" borderId="29" xfId="5" applyNumberFormat="1" applyFont="1" applyFill="1" applyBorder="1" applyAlignment="1">
      <alignment horizontal="center"/>
    </xf>
    <xf numFmtId="164" fontId="14" fillId="0" borderId="35" xfId="4" applyNumberFormat="1" applyFont="1" applyFill="1" applyBorder="1"/>
    <xf numFmtId="164" fontId="14" fillId="0" borderId="0" xfId="4" applyNumberFormat="1" applyFont="1" applyFill="1" applyBorder="1"/>
    <xf numFmtId="164" fontId="14" fillId="0" borderId="36" xfId="5" applyNumberFormat="1" applyFont="1" applyFill="1" applyBorder="1"/>
    <xf numFmtId="164" fontId="14" fillId="0" borderId="30" xfId="5" applyNumberFormat="1" applyFont="1" applyFill="1" applyBorder="1"/>
    <xf numFmtId="164" fontId="14" fillId="0" borderId="0" xfId="4" applyNumberFormat="1" applyFont="1"/>
    <xf numFmtId="164" fontId="14" fillId="0" borderId="18" xfId="4" applyNumberFormat="1" applyFont="1" applyBorder="1"/>
    <xf numFmtId="164" fontId="14" fillId="0" borderId="18" xfId="4" applyNumberFormat="1" applyFont="1" applyFill="1" applyBorder="1"/>
    <xf numFmtId="164" fontId="14" fillId="0" borderId="18" xfId="5" applyNumberFormat="1" applyFont="1" applyFill="1" applyBorder="1"/>
    <xf numFmtId="0" fontId="14" fillId="0" borderId="0" xfId="5" applyNumberFormat="1" applyFont="1" applyFill="1"/>
    <xf numFmtId="0" fontId="4" fillId="0" borderId="0" xfId="4" applyFill="1"/>
    <xf numFmtId="164" fontId="14" fillId="0" borderId="0" xfId="4" applyNumberFormat="1" applyFont="1" applyFill="1"/>
    <xf numFmtId="164" fontId="80" fillId="0" borderId="26" xfId="4" applyNumberFormat="1" applyFont="1" applyFill="1" applyBorder="1"/>
    <xf numFmtId="0" fontId="14" fillId="0" borderId="0" xfId="4" applyNumberFormat="1" applyFont="1" applyFill="1"/>
    <xf numFmtId="43" fontId="14" fillId="0" borderId="0" xfId="4" applyNumberFormat="1" applyFont="1" applyFill="1"/>
    <xf numFmtId="0" fontId="84" fillId="0" borderId="33" xfId="4" applyFont="1" applyBorder="1"/>
    <xf numFmtId="0" fontId="84" fillId="0" borderId="18" xfId="0" applyFont="1" applyBorder="1"/>
    <xf numFmtId="0" fontId="84" fillId="0" borderId="18" xfId="4" applyFont="1" applyBorder="1"/>
    <xf numFmtId="0" fontId="85" fillId="3" borderId="34" xfId="0" applyFont="1" applyFill="1" applyBorder="1"/>
    <xf numFmtId="180" fontId="14" fillId="3" borderId="0" xfId="4" applyNumberFormat="1" applyFont="1" applyFill="1"/>
    <xf numFmtId="0" fontId="84" fillId="0" borderId="33" xfId="0" applyFont="1" applyBorder="1"/>
    <xf numFmtId="0" fontId="84" fillId="0" borderId="34" xfId="4" applyFont="1" applyBorder="1"/>
    <xf numFmtId="180" fontId="14" fillId="0" borderId="0" xfId="4" applyNumberFormat="1" applyFont="1"/>
    <xf numFmtId="0" fontId="84" fillId="0" borderId="35" xfId="4" applyFont="1" applyBorder="1" applyAlignment="1">
      <alignment horizontal="left" indent="1"/>
    </xf>
    <xf numFmtId="0" fontId="84" fillId="0" borderId="0" xfId="4" applyFont="1" applyBorder="1" applyAlignment="1">
      <alignment horizontal="center"/>
    </xf>
    <xf numFmtId="0" fontId="84" fillId="0" borderId="0" xfId="4" applyFont="1" applyBorder="1"/>
    <xf numFmtId="164" fontId="84" fillId="0" borderId="32" xfId="5" applyNumberFormat="1" applyFont="1" applyBorder="1"/>
    <xf numFmtId="180" fontId="14" fillId="0" borderId="0" xfId="15" applyNumberFormat="1" applyFont="1"/>
    <xf numFmtId="0" fontId="14" fillId="0" borderId="0" xfId="4" applyFont="1" applyBorder="1"/>
    <xf numFmtId="0" fontId="86" fillId="0" borderId="0" xfId="4" applyFont="1" applyBorder="1"/>
    <xf numFmtId="180" fontId="14" fillId="3" borderId="0" xfId="15" applyNumberFormat="1" applyFont="1" applyFill="1" applyAlignment="1">
      <alignment horizontal="left"/>
    </xf>
    <xf numFmtId="180" fontId="82" fillId="0" borderId="0" xfId="15" applyNumberFormat="1" applyFont="1" applyFill="1" applyAlignment="1">
      <alignment horizontal="left"/>
    </xf>
    <xf numFmtId="0" fontId="84" fillId="0" borderId="36" xfId="4" applyFont="1" applyBorder="1" applyAlignment="1">
      <alignment horizontal="left" indent="1"/>
    </xf>
    <xf numFmtId="0" fontId="84" fillId="0" borderId="20" xfId="4" applyFont="1" applyBorder="1" applyAlignment="1">
      <alignment horizontal="center"/>
    </xf>
    <xf numFmtId="0" fontId="84" fillId="0" borderId="20" xfId="4" applyFont="1" applyBorder="1"/>
    <xf numFmtId="164" fontId="84" fillId="0" borderId="30" xfId="5" applyNumberFormat="1" applyFont="1" applyBorder="1"/>
    <xf numFmtId="180" fontId="14" fillId="0" borderId="0" xfId="15" applyNumberFormat="1" applyFont="1" applyAlignment="1">
      <alignment horizontal="left"/>
    </xf>
    <xf numFmtId="0" fontId="84" fillId="0" borderId="27" xfId="0" applyFont="1" applyBorder="1"/>
    <xf numFmtId="0" fontId="84" fillId="0" borderId="28" xfId="4" applyFont="1" applyBorder="1"/>
    <xf numFmtId="164" fontId="84" fillId="0" borderId="25" xfId="4" applyNumberFormat="1" applyFont="1" applyBorder="1"/>
    <xf numFmtId="43" fontId="14" fillId="0" borderId="0" xfId="4" applyNumberFormat="1" applyFont="1"/>
    <xf numFmtId="180" fontId="14" fillId="0" borderId="0" xfId="15" applyNumberFormat="1" applyFont="1" applyFill="1" applyAlignment="1">
      <alignment horizontal="left"/>
    </xf>
    <xf numFmtId="44" fontId="4" fillId="3" borderId="0" xfId="15" applyFont="1" applyFill="1"/>
    <xf numFmtId="0" fontId="72" fillId="0" borderId="0" xfId="4" applyFont="1" applyAlignment="1">
      <alignment horizontal="center"/>
    </xf>
    <xf numFmtId="0" fontId="72" fillId="0" borderId="0" xfId="4" applyFont="1"/>
    <xf numFmtId="0" fontId="0" fillId="0" borderId="0" xfId="0" applyFill="1" applyAlignment="1">
      <alignment horizontal="centerContinuous"/>
    </xf>
    <xf numFmtId="164" fontId="4" fillId="0" borderId="0" xfId="5" applyNumberFormat="1" applyFill="1" applyAlignment="1">
      <alignment horizontal="centerContinuous"/>
    </xf>
    <xf numFmtId="0" fontId="0" fillId="0" borderId="0" xfId="0" applyAlignment="1">
      <alignment horizontal="center"/>
    </xf>
    <xf numFmtId="0" fontId="0" fillId="0" borderId="0" xfId="0" applyAlignment="1">
      <alignment horizontal="left"/>
    </xf>
    <xf numFmtId="164" fontId="4" fillId="0" borderId="0" xfId="5" applyNumberFormat="1"/>
    <xf numFmtId="0" fontId="52" fillId="6" borderId="0" xfId="0" applyFont="1" applyFill="1" applyAlignment="1">
      <alignment horizontal="left"/>
    </xf>
    <xf numFmtId="0" fontId="52" fillId="0" borderId="0" xfId="0" applyFont="1" applyAlignment="1">
      <alignment horizontal="left"/>
    </xf>
    <xf numFmtId="167" fontId="1" fillId="0" borderId="0" xfId="3" applyNumberFormat="1"/>
    <xf numFmtId="167" fontId="1" fillId="0" borderId="0" xfId="3" applyNumberFormat="1" applyAlignment="1"/>
    <xf numFmtId="0" fontId="58" fillId="0" borderId="0" xfId="0" applyNumberFormat="1" applyFont="1" applyFill="1"/>
    <xf numFmtId="0" fontId="59" fillId="0" borderId="0" xfId="0" applyFont="1" applyFill="1"/>
    <xf numFmtId="164" fontId="4" fillId="0" borderId="0" xfId="5" applyNumberFormat="1" applyFill="1"/>
    <xf numFmtId="180" fontId="0" fillId="0" borderId="0" xfId="0" applyNumberFormat="1"/>
    <xf numFmtId="0" fontId="59" fillId="0" borderId="0" xfId="0" applyFont="1" applyFill="1" applyAlignment="1">
      <alignment horizontal="left"/>
    </xf>
    <xf numFmtId="0" fontId="63" fillId="0" borderId="0" xfId="0" applyFont="1" applyAlignment="1">
      <alignment horizontal="left"/>
    </xf>
    <xf numFmtId="0" fontId="4" fillId="0" borderId="0" xfId="0" applyNumberFormat="1" applyFont="1" applyFill="1"/>
    <xf numFmtId="0" fontId="0" fillId="0" borderId="0" xfId="0" applyFill="1" applyAlignment="1"/>
    <xf numFmtId="0" fontId="0" fillId="0" borderId="0" xfId="0" applyFill="1" applyAlignment="1">
      <alignment wrapText="1"/>
    </xf>
    <xf numFmtId="0" fontId="0" fillId="0" borderId="0" xfId="0" applyFill="1" applyAlignment="1">
      <alignment horizontal="left"/>
    </xf>
    <xf numFmtId="0" fontId="13" fillId="0" borderId="3" xfId="0" applyFont="1" applyFill="1" applyBorder="1"/>
    <xf numFmtId="0" fontId="13" fillId="0" borderId="4" xfId="0" applyFont="1" applyBorder="1" applyAlignment="1">
      <alignment horizontal="center"/>
    </xf>
    <xf numFmtId="0" fontId="13" fillId="0" borderId="38" xfId="0" applyFont="1" applyBorder="1"/>
    <xf numFmtId="0" fontId="13" fillId="0" borderId="0" xfId="0" applyFont="1" applyBorder="1"/>
    <xf numFmtId="0" fontId="4" fillId="0" borderId="0" xfId="0" applyFont="1" applyAlignment="1">
      <alignment wrapText="1"/>
    </xf>
    <xf numFmtId="0" fontId="0" fillId="0" borderId="0" xfId="0" applyFill="1" applyAlignment="1">
      <alignment horizontal="left" wrapText="1"/>
    </xf>
    <xf numFmtId="0" fontId="13" fillId="0" borderId="38" xfId="0" applyFont="1" applyFill="1" applyBorder="1"/>
    <xf numFmtId="0" fontId="13" fillId="0" borderId="0" xfId="0" applyFont="1" applyBorder="1" applyAlignment="1">
      <alignment horizontal="center"/>
    </xf>
    <xf numFmtId="2" fontId="13" fillId="3" borderId="38" xfId="0" applyNumberFormat="1" applyFont="1" applyFill="1" applyBorder="1" applyAlignment="1">
      <alignment horizontal="center"/>
    </xf>
    <xf numFmtId="0" fontId="88" fillId="0" borderId="0" xfId="0" applyFont="1" applyBorder="1"/>
    <xf numFmtId="0" fontId="13" fillId="0" borderId="39" xfId="0" applyFont="1" applyBorder="1" applyAlignment="1">
      <alignment horizontal="center"/>
    </xf>
    <xf numFmtId="2" fontId="89" fillId="3" borderId="38" xfId="0" applyNumberFormat="1" applyFont="1" applyFill="1" applyBorder="1" applyAlignment="1">
      <alignment horizontal="center"/>
    </xf>
    <xf numFmtId="164" fontId="13" fillId="0" borderId="0" xfId="5" applyNumberFormat="1" applyFont="1" applyBorder="1"/>
    <xf numFmtId="164" fontId="13" fillId="0" borderId="39" xfId="5" applyNumberFormat="1" applyFont="1" applyBorder="1" applyAlignment="1">
      <alignment horizontal="center"/>
    </xf>
    <xf numFmtId="0" fontId="13" fillId="3" borderId="38" xfId="0" applyFont="1" applyFill="1" applyBorder="1" applyAlignment="1">
      <alignment horizontal="center"/>
    </xf>
    <xf numFmtId="0" fontId="0" fillId="0" borderId="0" xfId="0" applyBorder="1"/>
    <xf numFmtId="0" fontId="13" fillId="0" borderId="39" xfId="0" applyFont="1" applyFill="1" applyBorder="1" applyAlignment="1">
      <alignment horizontal="left" wrapText="1"/>
    </xf>
    <xf numFmtId="0" fontId="13" fillId="0" borderId="39" xfId="0" applyFont="1" applyFill="1" applyBorder="1" applyAlignment="1">
      <alignment wrapText="1"/>
    </xf>
    <xf numFmtId="0" fontId="13" fillId="0" borderId="0" xfId="0" applyFont="1" applyBorder="1" applyAlignment="1">
      <alignment horizontal="center" wrapText="1"/>
    </xf>
    <xf numFmtId="0" fontId="89" fillId="3" borderId="38" xfId="0" applyFont="1" applyFill="1" applyBorder="1" applyAlignment="1">
      <alignment horizontal="center"/>
    </xf>
    <xf numFmtId="0" fontId="88" fillId="0" borderId="0" xfId="0" applyFont="1" applyFill="1" applyBorder="1"/>
    <xf numFmtId="10" fontId="13" fillId="0" borderId="39" xfId="3" applyNumberFormat="1" applyFont="1" applyFill="1" applyBorder="1" applyAlignment="1">
      <alignment horizontal="center"/>
    </xf>
    <xf numFmtId="38" fontId="13" fillId="5" borderId="38" xfId="0" applyNumberFormat="1" applyFont="1" applyFill="1" applyBorder="1" applyAlignment="1">
      <alignment horizontal="center"/>
    </xf>
    <xf numFmtId="0" fontId="90" fillId="0" borderId="0" xfId="0" applyFont="1" applyFill="1" applyBorder="1" applyAlignment="1">
      <alignment horizontal="left"/>
    </xf>
    <xf numFmtId="0" fontId="91" fillId="0" borderId="0" xfId="0" applyFont="1" applyFill="1" applyBorder="1" applyAlignment="1">
      <alignment horizontal="left"/>
    </xf>
    <xf numFmtId="0" fontId="13" fillId="0" borderId="0" xfId="0" applyFont="1" applyFill="1" applyBorder="1"/>
    <xf numFmtId="10" fontId="13" fillId="0" borderId="0" xfId="3" applyNumberFormat="1" applyFont="1" applyFill="1" applyBorder="1" applyAlignment="1">
      <alignment horizontal="left"/>
    </xf>
    <xf numFmtId="0" fontId="9" fillId="0" borderId="0" xfId="0" applyFont="1"/>
    <xf numFmtId="0" fontId="13" fillId="0" borderId="0" xfId="0" applyFont="1" applyFill="1" applyBorder="1" applyAlignment="1">
      <alignment horizontal="center"/>
    </xf>
    <xf numFmtId="167" fontId="13" fillId="0" borderId="38" xfId="0" applyNumberFormat="1" applyFont="1" applyBorder="1"/>
    <xf numFmtId="0" fontId="13" fillId="0" borderId="0" xfId="0" applyFont="1" applyFill="1" applyBorder="1" applyAlignment="1">
      <alignment horizontal="left" wrapText="1"/>
    </xf>
    <xf numFmtId="0" fontId="4" fillId="0" borderId="0" xfId="0" applyFont="1" applyFill="1" applyAlignment="1">
      <alignment horizontal="left" wrapText="1"/>
    </xf>
    <xf numFmtId="164" fontId="13" fillId="0" borderId="39" xfId="0" applyNumberFormat="1" applyFont="1" applyBorder="1"/>
    <xf numFmtId="167" fontId="13" fillId="0" borderId="0" xfId="0" applyNumberFormat="1" applyFont="1" applyBorder="1"/>
    <xf numFmtId="164" fontId="13" fillId="0" borderId="0" xfId="0" applyNumberFormat="1" applyFont="1" applyFill="1" applyBorder="1"/>
    <xf numFmtId="164" fontId="89" fillId="3" borderId="38" xfId="5" applyNumberFormat="1" applyFont="1" applyFill="1" applyBorder="1"/>
    <xf numFmtId="164" fontId="13" fillId="0" borderId="39" xfId="5" applyNumberFormat="1" applyFont="1" applyBorder="1"/>
    <xf numFmtId="164" fontId="87" fillId="0" borderId="0" xfId="5" applyNumberFormat="1" applyFont="1" applyFill="1" applyBorder="1"/>
    <xf numFmtId="164" fontId="13" fillId="3" borderId="38" xfId="5" applyNumberFormat="1" applyFont="1" applyFill="1" applyBorder="1"/>
    <xf numFmtId="164" fontId="13" fillId="0" borderId="0" xfId="5" applyNumberFormat="1" applyFont="1" applyFill="1" applyBorder="1"/>
    <xf numFmtId="43" fontId="13" fillId="0" borderId="38" xfId="5" applyNumberFormat="1" applyFont="1" applyFill="1" applyBorder="1"/>
    <xf numFmtId="0" fontId="0" fillId="0" borderId="0" xfId="0" applyFill="1" applyBorder="1"/>
    <xf numFmtId="164" fontId="13" fillId="0" borderId="39" xfId="5" applyNumberFormat="1" applyFont="1" applyFill="1" applyBorder="1"/>
    <xf numFmtId="0" fontId="13" fillId="0" borderId="11" xfId="0" applyFont="1" applyFill="1" applyBorder="1"/>
    <xf numFmtId="0" fontId="13" fillId="0" borderId="1" xfId="0" applyFont="1" applyFill="1" applyBorder="1"/>
    <xf numFmtId="0" fontId="13" fillId="0" borderId="24" xfId="0" applyFont="1" applyBorder="1"/>
    <xf numFmtId="0" fontId="87" fillId="0" borderId="24" xfId="0" applyFont="1" applyBorder="1" applyAlignment="1">
      <alignment horizontal="center"/>
    </xf>
    <xf numFmtId="0" fontId="87" fillId="0" borderId="21" xfId="0" applyFont="1" applyBorder="1" applyAlignment="1">
      <alignment horizontal="center" wrapText="1"/>
    </xf>
    <xf numFmtId="0" fontId="87" fillId="0" borderId="22" xfId="0" applyFont="1" applyBorder="1" applyAlignment="1">
      <alignment horizontal="center"/>
    </xf>
    <xf numFmtId="164" fontId="87" fillId="0" borderId="22" xfId="5" applyNumberFormat="1" applyFont="1" applyBorder="1" applyAlignment="1">
      <alignment horizontal="center"/>
    </xf>
    <xf numFmtId="0" fontId="87" fillId="0" borderId="23" xfId="0" applyFont="1" applyBorder="1" applyAlignment="1">
      <alignment horizontal="center"/>
    </xf>
    <xf numFmtId="0" fontId="87" fillId="0" borderId="24" xfId="0" applyFont="1" applyFill="1" applyBorder="1" applyAlignment="1">
      <alignment horizontal="center"/>
    </xf>
    <xf numFmtId="0" fontId="87" fillId="0" borderId="21" xfId="0" applyFont="1" applyFill="1" applyBorder="1" applyAlignment="1">
      <alignment horizontal="center" wrapText="1"/>
    </xf>
    <xf numFmtId="0" fontId="87" fillId="0" borderId="23" xfId="0" applyFont="1" applyFill="1" applyBorder="1" applyAlignment="1">
      <alignment horizontal="center" wrapText="1"/>
    </xf>
    <xf numFmtId="0" fontId="13" fillId="0" borderId="24" xfId="0" applyFont="1" applyFill="1" applyBorder="1" applyAlignment="1">
      <alignment horizontal="center" wrapText="1"/>
    </xf>
    <xf numFmtId="0" fontId="67" fillId="0" borderId="0" xfId="0" applyFont="1" applyAlignment="1">
      <alignment horizontal="left"/>
    </xf>
    <xf numFmtId="0" fontId="13" fillId="0" borderId="47" xfId="0" applyFont="1" applyBorder="1"/>
    <xf numFmtId="0" fontId="89" fillId="0" borderId="47" xfId="0" applyFont="1" applyFill="1" applyBorder="1" applyAlignment="1">
      <alignment horizontal="center"/>
    </xf>
    <xf numFmtId="164" fontId="13" fillId="0" borderId="38" xfId="0" applyNumberFormat="1" applyFont="1" applyBorder="1"/>
    <xf numFmtId="164" fontId="92" fillId="10" borderId="38" xfId="0" applyNumberFormat="1" applyFont="1" applyFill="1" applyBorder="1"/>
    <xf numFmtId="164" fontId="92" fillId="10" borderId="0" xfId="5" applyNumberFormat="1" applyFont="1" applyFill="1" applyBorder="1"/>
    <xf numFmtId="180" fontId="13" fillId="0" borderId="47" xfId="15" applyNumberFormat="1" applyFont="1" applyBorder="1"/>
    <xf numFmtId="180" fontId="13" fillId="0" borderId="39" xfId="0" applyNumberFormat="1" applyFont="1" applyBorder="1"/>
    <xf numFmtId="0" fontId="13" fillId="0" borderId="47" xfId="0" applyFont="1" applyFill="1" applyBorder="1" applyAlignment="1">
      <alignment horizontal="center"/>
    </xf>
    <xf numFmtId="164" fontId="13" fillId="0" borderId="38" xfId="0" applyNumberFormat="1" applyFont="1" applyFill="1" applyBorder="1"/>
    <xf numFmtId="180" fontId="13" fillId="0" borderId="38" xfId="0" applyNumberFormat="1" applyFont="1" applyBorder="1"/>
    <xf numFmtId="0" fontId="13" fillId="0" borderId="39" xfId="0" applyFont="1" applyBorder="1"/>
    <xf numFmtId="180" fontId="13" fillId="0" borderId="47" xfId="0" applyNumberFormat="1" applyFont="1" applyBorder="1"/>
    <xf numFmtId="0" fontId="13" fillId="0" borderId="47" xfId="0" applyFont="1" applyBorder="1" applyAlignment="1">
      <alignment horizontal="center"/>
    </xf>
    <xf numFmtId="164" fontId="92" fillId="10" borderId="38" xfId="17" applyNumberFormat="1" applyFont="1" applyFill="1" applyBorder="1"/>
    <xf numFmtId="164" fontId="13" fillId="0" borderId="0" xfId="0" applyNumberFormat="1" applyFont="1" applyBorder="1"/>
    <xf numFmtId="164" fontId="92" fillId="10" borderId="0" xfId="0" applyNumberFormat="1" applyFont="1" applyFill="1" applyBorder="1"/>
    <xf numFmtId="164" fontId="93" fillId="0" borderId="38" xfId="0" applyNumberFormat="1" applyFont="1" applyBorder="1"/>
    <xf numFmtId="164" fontId="93" fillId="0" borderId="0" xfId="0" applyNumberFormat="1" applyFont="1" applyBorder="1"/>
    <xf numFmtId="164" fontId="93" fillId="0" borderId="0" xfId="5" applyNumberFormat="1" applyFont="1" applyFill="1" applyBorder="1"/>
    <xf numFmtId="164" fontId="87" fillId="0" borderId="47" xfId="0" applyNumberFormat="1" applyFont="1" applyBorder="1"/>
    <xf numFmtId="164" fontId="87" fillId="0" borderId="38" xfId="0" applyNumberFormat="1" applyFont="1" applyBorder="1"/>
    <xf numFmtId="164" fontId="87" fillId="0" borderId="0" xfId="0" applyNumberFormat="1" applyFont="1" applyBorder="1"/>
    <xf numFmtId="164" fontId="87" fillId="0" borderId="39" xfId="5" applyNumberFormat="1" applyFont="1" applyBorder="1"/>
    <xf numFmtId="0" fontId="13" fillId="0" borderId="13" xfId="0" applyFont="1" applyBorder="1"/>
    <xf numFmtId="164" fontId="87" fillId="0" borderId="13" xfId="0" applyNumberFormat="1" applyFont="1" applyBorder="1"/>
    <xf numFmtId="164" fontId="87" fillId="0" borderId="11" xfId="0" applyNumberFormat="1" applyFont="1" applyBorder="1"/>
    <xf numFmtId="164" fontId="87" fillId="0" borderId="1" xfId="0" applyNumberFormat="1" applyFont="1" applyBorder="1"/>
    <xf numFmtId="164" fontId="13" fillId="0" borderId="11" xfId="0" applyNumberFormat="1" applyFont="1" applyBorder="1"/>
    <xf numFmtId="164" fontId="13" fillId="0" borderId="12" xfId="5" applyNumberFormat="1" applyFont="1" applyBorder="1"/>
    <xf numFmtId="164" fontId="87" fillId="0" borderId="12" xfId="5" applyNumberFormat="1" applyFont="1" applyBorder="1"/>
    <xf numFmtId="180" fontId="13" fillId="0" borderId="13" xfId="15" applyNumberFormat="1" applyFont="1" applyBorder="1"/>
    <xf numFmtId="180" fontId="13" fillId="0" borderId="11" xfId="0" applyNumberFormat="1" applyFont="1" applyBorder="1"/>
    <xf numFmtId="0" fontId="13" fillId="0" borderId="12" xfId="0" applyFont="1" applyBorder="1"/>
    <xf numFmtId="180" fontId="13" fillId="0" borderId="13" xfId="0" applyNumberFormat="1" applyFont="1" applyBorder="1"/>
    <xf numFmtId="0" fontId="13" fillId="0" borderId="0" xfId="0" applyFont="1"/>
    <xf numFmtId="0" fontId="13" fillId="0" borderId="0" xfId="0" applyFont="1" applyAlignment="1">
      <alignment horizontal="center"/>
    </xf>
    <xf numFmtId="164" fontId="13" fillId="0" borderId="0" xfId="5" applyNumberFormat="1" applyFont="1"/>
    <xf numFmtId="180" fontId="13" fillId="0" borderId="0" xfId="15" applyNumberFormat="1" applyFont="1"/>
    <xf numFmtId="0" fontId="7" fillId="0" borderId="0" xfId="18" applyFont="1" applyAlignment="1">
      <alignment horizontal="centerContinuous"/>
    </xf>
    <xf numFmtId="0" fontId="4" fillId="0" borderId="0" xfId="18" applyFont="1" applyAlignment="1">
      <alignment horizontal="centerContinuous"/>
    </xf>
    <xf numFmtId="0" fontId="4" fillId="0" borderId="0" xfId="18" applyFont="1"/>
    <xf numFmtId="0" fontId="4" fillId="0" borderId="0" xfId="18"/>
    <xf numFmtId="0" fontId="6" fillId="0" borderId="0" xfId="18" applyFont="1" applyAlignment="1">
      <alignment horizontal="centerContinuous"/>
    </xf>
    <xf numFmtId="0" fontId="94" fillId="0" borderId="0" xfId="18" applyFont="1" applyAlignment="1">
      <alignment horizontal="centerContinuous"/>
    </xf>
    <xf numFmtId="0" fontId="94" fillId="0" borderId="0" xfId="18" applyFont="1"/>
    <xf numFmtId="0" fontId="52" fillId="0" borderId="2" xfId="18" applyFont="1" applyBorder="1" applyAlignment="1">
      <alignment horizontal="center"/>
    </xf>
    <xf numFmtId="0" fontId="4" fillId="0" borderId="49" xfId="18" applyFont="1" applyBorder="1" applyAlignment="1">
      <alignment horizontal="center"/>
    </xf>
    <xf numFmtId="0" fontId="4" fillId="0" borderId="50" xfId="18" applyFont="1" applyBorder="1" applyAlignment="1">
      <alignment horizontal="center"/>
    </xf>
    <xf numFmtId="0" fontId="4" fillId="0" borderId="51" xfId="18" applyFont="1" applyBorder="1" applyAlignment="1">
      <alignment horizontal="center"/>
    </xf>
    <xf numFmtId="0" fontId="4" fillId="0" borderId="49" xfId="18" applyFont="1" applyBorder="1" applyAlignment="1">
      <alignment horizontal="center" wrapText="1"/>
    </xf>
    <xf numFmtId="0" fontId="4" fillId="0" borderId="23" xfId="18" applyFont="1" applyBorder="1" applyAlignment="1">
      <alignment horizontal="center" wrapText="1"/>
    </xf>
    <xf numFmtId="0" fontId="4" fillId="0" borderId="22" xfId="18" applyFont="1" applyBorder="1" applyAlignment="1">
      <alignment vertical="top"/>
    </xf>
    <xf numFmtId="0" fontId="4" fillId="0" borderId="51" xfId="18" applyFont="1" applyBorder="1" applyAlignment="1">
      <alignment horizontal="center" wrapText="1"/>
    </xf>
    <xf numFmtId="0" fontId="4" fillId="0" borderId="24" xfId="18" applyFont="1" applyBorder="1" applyAlignment="1">
      <alignment horizontal="center" wrapText="1"/>
    </xf>
    <xf numFmtId="0" fontId="4" fillId="0" borderId="52" xfId="18" applyFont="1" applyBorder="1"/>
    <xf numFmtId="0" fontId="4" fillId="0" borderId="31" xfId="18" applyFont="1" applyBorder="1"/>
    <xf numFmtId="0" fontId="4" fillId="0" borderId="53" xfId="18" applyFont="1" applyBorder="1"/>
    <xf numFmtId="0" fontId="4" fillId="0" borderId="52" xfId="18" applyFont="1" applyBorder="1" applyAlignment="1">
      <alignment horizontal="center"/>
    </xf>
    <xf numFmtId="0" fontId="4" fillId="0" borderId="39" xfId="18" applyFont="1" applyBorder="1" applyAlignment="1">
      <alignment horizontal="center"/>
    </xf>
    <xf numFmtId="0" fontId="4" fillId="0" borderId="0" xfId="18" applyFont="1" applyBorder="1"/>
    <xf numFmtId="0" fontId="4" fillId="0" borderId="52" xfId="18" applyFont="1" applyFill="1" applyBorder="1" applyAlignment="1">
      <alignment horizontal="center"/>
    </xf>
    <xf numFmtId="0" fontId="4" fillId="0" borderId="39" xfId="18" applyFont="1" applyFill="1" applyBorder="1" applyAlignment="1">
      <alignment horizontal="center"/>
    </xf>
    <xf numFmtId="0" fontId="4" fillId="0" borderId="0" xfId="18" applyFont="1" applyFill="1" applyBorder="1"/>
    <xf numFmtId="0" fontId="4" fillId="0" borderId="47" xfId="18" applyFont="1" applyFill="1" applyBorder="1" applyAlignment="1">
      <alignment horizontal="center"/>
    </xf>
    <xf numFmtId="0" fontId="94" fillId="0" borderId="0" xfId="18" applyFont="1" applyFill="1"/>
    <xf numFmtId="0" fontId="4" fillId="0" borderId="54" xfId="18" applyFont="1" applyFill="1" applyBorder="1" applyAlignment="1">
      <alignment horizontal="right" vertical="top"/>
    </xf>
    <xf numFmtId="0" fontId="4" fillId="0" borderId="55" xfId="18" applyFont="1" applyFill="1" applyBorder="1" applyAlignment="1">
      <alignment horizontal="right" vertical="top"/>
    </xf>
    <xf numFmtId="0" fontId="4" fillId="0" borderId="56" xfId="18" applyFont="1" applyFill="1" applyBorder="1" applyAlignment="1">
      <alignment vertical="top" wrapText="1"/>
    </xf>
    <xf numFmtId="10" fontId="9" fillId="3" borderId="54" xfId="18" applyNumberFormat="1" applyFont="1" applyFill="1" applyBorder="1" applyAlignment="1">
      <alignment horizontal="right" vertical="top"/>
    </xf>
    <xf numFmtId="10" fontId="9" fillId="0" borderId="5" xfId="18" applyNumberFormat="1" applyFont="1" applyFill="1" applyBorder="1" applyAlignment="1">
      <alignment horizontal="right" vertical="top"/>
    </xf>
    <xf numFmtId="0" fontId="9" fillId="0" borderId="4" xfId="18" applyFont="1" applyFill="1" applyBorder="1" applyAlignment="1">
      <alignment vertical="top"/>
    </xf>
    <xf numFmtId="10" fontId="9" fillId="0" borderId="5" xfId="18" applyNumberFormat="1" applyFont="1" applyBorder="1" applyAlignment="1">
      <alignment horizontal="right" vertical="top"/>
    </xf>
    <xf numFmtId="0" fontId="9" fillId="0" borderId="4" xfId="18" applyFont="1" applyBorder="1" applyAlignment="1">
      <alignment vertical="top"/>
    </xf>
    <xf numFmtId="10" fontId="4" fillId="0" borderId="2" xfId="18" applyNumberFormat="1" applyFont="1" applyFill="1" applyBorder="1" applyAlignment="1">
      <alignment horizontal="right" vertical="top"/>
    </xf>
    <xf numFmtId="10" fontId="4" fillId="0" borderId="0" xfId="18" applyNumberFormat="1" applyFont="1"/>
    <xf numFmtId="0" fontId="4" fillId="0" borderId="52" xfId="18" applyFont="1" applyFill="1" applyBorder="1" applyAlignment="1">
      <alignment horizontal="right" vertical="top"/>
    </xf>
    <xf numFmtId="0" fontId="4" fillId="0" borderId="31" xfId="18" applyFont="1" applyFill="1" applyBorder="1" applyAlignment="1">
      <alignment horizontal="right" vertical="top"/>
    </xf>
    <xf numFmtId="0" fontId="4" fillId="0" borderId="53" xfId="18" applyFont="1" applyFill="1" applyBorder="1" applyAlignment="1">
      <alignment vertical="top" wrapText="1"/>
    </xf>
    <xf numFmtId="10" fontId="9" fillId="3" borderId="52" xfId="18" applyNumberFormat="1" applyFont="1" applyFill="1" applyBorder="1" applyAlignment="1">
      <alignment horizontal="right" vertical="top"/>
    </xf>
    <xf numFmtId="10" fontId="4" fillId="0" borderId="39" xfId="18" applyNumberFormat="1" applyFont="1" applyBorder="1" applyAlignment="1">
      <alignment horizontal="right" vertical="top"/>
    </xf>
    <xf numFmtId="0" fontId="94" fillId="0" borderId="0" xfId="18" applyFont="1" applyAlignment="1">
      <alignment vertical="top"/>
    </xf>
    <xf numFmtId="10" fontId="4" fillId="0" borderId="47" xfId="18" applyNumberFormat="1" applyFont="1" applyFill="1" applyBorder="1" applyAlignment="1">
      <alignment horizontal="right" vertical="top"/>
    </xf>
    <xf numFmtId="10" fontId="9" fillId="0" borderId="52" xfId="18" applyNumberFormat="1" applyFont="1" applyFill="1" applyBorder="1" applyAlignment="1">
      <alignment horizontal="right" vertical="top"/>
    </xf>
    <xf numFmtId="2" fontId="4" fillId="0" borderId="39" xfId="18" applyNumberFormat="1" applyFont="1" applyFill="1" applyBorder="1" applyAlignment="1">
      <alignment horizontal="right" vertical="top"/>
    </xf>
    <xf numFmtId="0" fontId="94" fillId="0" borderId="0" xfId="18" applyFont="1" applyFill="1" applyAlignment="1">
      <alignment vertical="top"/>
    </xf>
    <xf numFmtId="10" fontId="4" fillId="0" borderId="39" xfId="18" applyNumberFormat="1" applyFont="1" applyFill="1" applyBorder="1" applyAlignment="1">
      <alignment horizontal="right" vertical="top"/>
    </xf>
    <xf numFmtId="43" fontId="9" fillId="3" borderId="52" xfId="19" applyFont="1" applyFill="1" applyBorder="1" applyAlignment="1">
      <alignment horizontal="right" vertical="top"/>
    </xf>
    <xf numFmtId="10" fontId="4" fillId="0" borderId="47" xfId="18" applyNumberFormat="1" applyFont="1" applyBorder="1" applyAlignment="1">
      <alignment horizontal="right" vertical="top"/>
    </xf>
    <xf numFmtId="10" fontId="95" fillId="0" borderId="39" xfId="18" applyNumberFormat="1" applyFont="1" applyBorder="1" applyAlignment="1">
      <alignment horizontal="right" vertical="top"/>
    </xf>
    <xf numFmtId="43" fontId="9" fillId="0" borderId="52" xfId="19" applyFont="1" applyFill="1" applyBorder="1" applyAlignment="1">
      <alignment horizontal="right" vertical="top"/>
    </xf>
    <xf numFmtId="0" fontId="4" fillId="0" borderId="57" xfId="18" applyFont="1" applyFill="1" applyBorder="1" applyAlignment="1">
      <alignment horizontal="right" vertical="top"/>
    </xf>
    <xf numFmtId="0" fontId="4" fillId="0" borderId="58" xfId="18" applyFont="1" applyFill="1" applyBorder="1" applyAlignment="1">
      <alignment horizontal="right" vertical="top"/>
    </xf>
    <xf numFmtId="0" fontId="4" fillId="0" borderId="59" xfId="18" applyFont="1" applyFill="1" applyBorder="1" applyAlignment="1">
      <alignment vertical="top" wrapText="1"/>
    </xf>
    <xf numFmtId="10" fontId="9" fillId="3" borderId="57" xfId="18" applyNumberFormat="1" applyFont="1" applyFill="1" applyBorder="1" applyAlignment="1">
      <alignment horizontal="right" vertical="top"/>
    </xf>
    <xf numFmtId="10" fontId="4" fillId="0" borderId="12" xfId="18" applyNumberFormat="1" applyFont="1" applyBorder="1" applyAlignment="1">
      <alignment horizontal="right" vertical="top"/>
    </xf>
    <xf numFmtId="0" fontId="94" fillId="0" borderId="1" xfId="18" applyFont="1" applyBorder="1" applyAlignment="1">
      <alignment vertical="top"/>
    </xf>
    <xf numFmtId="10" fontId="4" fillId="0" borderId="13" xfId="18" applyNumberFormat="1" applyFont="1" applyFill="1" applyBorder="1" applyAlignment="1">
      <alignment horizontal="right" vertical="top"/>
    </xf>
    <xf numFmtId="43" fontId="94" fillId="0" borderId="0" xfId="18" applyNumberFormat="1" applyFont="1" applyAlignment="1">
      <alignment vertical="top"/>
    </xf>
    <xf numFmtId="43" fontId="4" fillId="0" borderId="0" xfId="18" applyNumberFormat="1" applyFont="1"/>
    <xf numFmtId="0" fontId="52" fillId="0" borderId="0" xfId="18" applyFont="1" applyAlignment="1">
      <alignment horizontal="center" vertical="center"/>
    </xf>
    <xf numFmtId="0" fontId="63" fillId="0" borderId="0" xfId="18" applyFont="1"/>
    <xf numFmtId="0" fontId="4" fillId="0" borderId="0" xfId="18" applyFont="1" applyAlignment="1">
      <alignment wrapText="1"/>
    </xf>
    <xf numFmtId="0" fontId="4" fillId="0" borderId="0" xfId="18" applyFont="1" applyAlignment="1"/>
    <xf numFmtId="0" fontId="96" fillId="0" borderId="0" xfId="20" applyFont="1" applyFill="1"/>
    <xf numFmtId="0" fontId="96" fillId="0" borderId="0" xfId="20" applyFont="1" applyFill="1" applyAlignment="1">
      <alignment horizontal="centerContinuous"/>
    </xf>
    <xf numFmtId="0" fontId="97" fillId="0" borderId="0" xfId="20" applyFont="1" applyFill="1" applyAlignment="1">
      <alignment horizontal="centerContinuous"/>
    </xf>
    <xf numFmtId="0" fontId="97" fillId="0" borderId="0" xfId="20" applyFont="1" applyAlignment="1">
      <alignment horizontal="centerContinuous"/>
    </xf>
    <xf numFmtId="0" fontId="97" fillId="0" borderId="0" xfId="20" applyFont="1"/>
    <xf numFmtId="0" fontId="96" fillId="0" borderId="0" xfId="20" applyFont="1" applyFill="1" applyAlignment="1"/>
    <xf numFmtId="0" fontId="98" fillId="0" borderId="0" xfId="20" applyFont="1" applyFill="1" applyAlignment="1"/>
    <xf numFmtId="0" fontId="4" fillId="0" borderId="0" xfId="8" applyAlignment="1">
      <alignment horizontal="centerContinuous"/>
    </xf>
    <xf numFmtId="0" fontId="96" fillId="0" borderId="0" xfId="20" applyFont="1" applyAlignment="1">
      <alignment horizontal="centerContinuous"/>
    </xf>
    <xf numFmtId="0" fontId="97" fillId="0" borderId="0" xfId="20" applyFont="1" applyFill="1"/>
    <xf numFmtId="43" fontId="97" fillId="0" borderId="0" xfId="21" applyFont="1" applyBorder="1" applyAlignment="1"/>
    <xf numFmtId="43" fontId="97" fillId="0" borderId="1" xfId="21" applyFont="1" applyBorder="1" applyAlignment="1"/>
    <xf numFmtId="43" fontId="97" fillId="0" borderId="0" xfId="21" applyFont="1" applyFill="1" applyBorder="1" applyAlignment="1"/>
    <xf numFmtId="0" fontId="97" fillId="0" borderId="3" xfId="20" applyFont="1" applyBorder="1"/>
    <xf numFmtId="164" fontId="97" fillId="0" borderId="47" xfId="21" applyNumberFormat="1" applyFont="1" applyFill="1" applyBorder="1" applyAlignment="1">
      <alignment horizontal="center" wrapText="1"/>
    </xf>
    <xf numFmtId="164" fontId="97" fillId="0" borderId="0" xfId="21" applyNumberFormat="1" applyFont="1" applyFill="1" applyBorder="1" applyAlignment="1">
      <alignment horizontal="center"/>
    </xf>
    <xf numFmtId="0" fontId="97" fillId="0" borderId="38" xfId="20" applyFont="1" applyBorder="1"/>
    <xf numFmtId="164" fontId="97" fillId="0" borderId="3" xfId="21" applyNumberFormat="1" applyFont="1" applyFill="1" applyBorder="1" applyAlignment="1">
      <alignment horizontal="center"/>
    </xf>
    <xf numFmtId="164" fontId="97" fillId="3" borderId="3" xfId="21" applyNumberFormat="1" applyFont="1" applyFill="1" applyBorder="1" applyAlignment="1">
      <alignment horizontal="center"/>
    </xf>
    <xf numFmtId="164" fontId="97" fillId="3" borderId="4" xfId="21" applyNumberFormat="1" applyFont="1" applyFill="1" applyBorder="1" applyAlignment="1">
      <alignment horizontal="center"/>
    </xf>
    <xf numFmtId="164" fontId="97" fillId="0" borderId="24" xfId="21" applyNumberFormat="1" applyFont="1" applyFill="1" applyBorder="1" applyAlignment="1">
      <alignment horizontal="center"/>
    </xf>
    <xf numFmtId="164" fontId="97" fillId="3" borderId="23" xfId="21" applyNumberFormat="1" applyFont="1" applyFill="1" applyBorder="1" applyAlignment="1">
      <alignment horizontal="center"/>
    </xf>
    <xf numFmtId="0" fontId="97" fillId="0" borderId="3" xfId="20" applyFont="1" applyBorder="1" applyAlignment="1">
      <alignment wrapText="1"/>
    </xf>
    <xf numFmtId="164" fontId="99" fillId="3" borderId="2" xfId="21" applyNumberFormat="1" applyFont="1" applyFill="1" applyBorder="1" applyAlignment="1">
      <alignment horizontal="center" wrapText="1"/>
    </xf>
    <xf numFmtId="0" fontId="99" fillId="3" borderId="3" xfId="20" applyFont="1" applyFill="1" applyBorder="1" applyAlignment="1">
      <alignment horizontal="center" wrapText="1"/>
    </xf>
    <xf numFmtId="0" fontId="99" fillId="3" borderId="4" xfId="20" applyFont="1" applyFill="1" applyBorder="1" applyAlignment="1">
      <alignment horizontal="center" wrapText="1"/>
    </xf>
    <xf numFmtId="43" fontId="97" fillId="0" borderId="5" xfId="21" applyFont="1" applyFill="1" applyBorder="1" applyAlignment="1">
      <alignment horizontal="center"/>
    </xf>
    <xf numFmtId="0" fontId="99" fillId="3" borderId="0" xfId="20" applyFont="1" applyFill="1" applyBorder="1" applyAlignment="1">
      <alignment horizontal="center" wrapText="1"/>
    </xf>
    <xf numFmtId="164" fontId="97" fillId="0" borderId="47" xfId="21" applyNumberFormat="1" applyFont="1" applyFill="1" applyBorder="1" applyAlignment="1">
      <alignment horizontal="center"/>
    </xf>
    <xf numFmtId="0" fontId="97" fillId="0" borderId="38" xfId="20" applyFont="1" applyBorder="1" applyAlignment="1">
      <alignment wrapText="1"/>
    </xf>
    <xf numFmtId="164" fontId="99" fillId="3" borderId="47" xfId="21" applyNumberFormat="1" applyFont="1" applyFill="1" applyBorder="1" applyAlignment="1">
      <alignment horizontal="center" wrapText="1"/>
    </xf>
    <xf numFmtId="0" fontId="99" fillId="3" borderId="38" xfId="20" applyFont="1" applyFill="1" applyBorder="1" applyAlignment="1">
      <alignment horizontal="center" wrapText="1"/>
    </xf>
    <xf numFmtId="0" fontId="99" fillId="3" borderId="39" xfId="20" applyFont="1" applyFill="1" applyBorder="1" applyAlignment="1">
      <alignment horizontal="center" wrapText="1"/>
    </xf>
    <xf numFmtId="43" fontId="72" fillId="0" borderId="39" xfId="21" applyFont="1" applyFill="1" applyBorder="1" applyAlignment="1">
      <alignment horizontal="center" wrapText="1"/>
    </xf>
    <xf numFmtId="0" fontId="97" fillId="0" borderId="11" xfId="20" applyFont="1" applyBorder="1"/>
    <xf numFmtId="164" fontId="99" fillId="3" borderId="13" xfId="21" applyNumberFormat="1" applyFont="1" applyFill="1" applyBorder="1" applyAlignment="1">
      <alignment horizontal="center"/>
    </xf>
    <xf numFmtId="0" fontId="99" fillId="3" borderId="11" xfId="20" applyFont="1" applyFill="1" applyBorder="1" applyAlignment="1">
      <alignment horizontal="center" wrapText="1"/>
    </xf>
    <xf numFmtId="0" fontId="99" fillId="3" borderId="1" xfId="20" applyFont="1" applyFill="1" applyBorder="1" applyAlignment="1">
      <alignment horizontal="center" wrapText="1"/>
    </xf>
    <xf numFmtId="0" fontId="99" fillId="3" borderId="12" xfId="20" applyFont="1" applyFill="1" applyBorder="1" applyAlignment="1">
      <alignment horizontal="center" wrapText="1"/>
    </xf>
    <xf numFmtId="43" fontId="72" fillId="0" borderId="12" xfId="21" applyFont="1" applyFill="1" applyBorder="1" applyAlignment="1">
      <alignment horizontal="center" wrapText="1"/>
    </xf>
    <xf numFmtId="164" fontId="97" fillId="0" borderId="13" xfId="21" applyNumberFormat="1" applyFont="1" applyFill="1" applyBorder="1"/>
    <xf numFmtId="164" fontId="99" fillId="3" borderId="2" xfId="21" applyNumberFormat="1" applyFont="1" applyFill="1" applyBorder="1"/>
    <xf numFmtId="164" fontId="97" fillId="0" borderId="39" xfId="21" applyNumberFormat="1" applyFont="1" applyFill="1" applyBorder="1"/>
    <xf numFmtId="164" fontId="99" fillId="3" borderId="3" xfId="21" applyNumberFormat="1" applyFont="1" applyFill="1" applyBorder="1"/>
    <xf numFmtId="164" fontId="99" fillId="3" borderId="4" xfId="21" applyNumberFormat="1" applyFont="1" applyFill="1" applyBorder="1"/>
    <xf numFmtId="164" fontId="99" fillId="3" borderId="5" xfId="21" applyNumberFormat="1" applyFont="1" applyFill="1" applyBorder="1"/>
    <xf numFmtId="164" fontId="97" fillId="0" borderId="47" xfId="21" applyNumberFormat="1" applyFont="1" applyFill="1" applyBorder="1"/>
    <xf numFmtId="164" fontId="97" fillId="0" borderId="0" xfId="21" applyNumberFormat="1" applyFont="1" applyFill="1" applyBorder="1"/>
    <xf numFmtId="164" fontId="99" fillId="3" borderId="47" xfId="21" applyNumberFormat="1" applyFont="1" applyFill="1" applyBorder="1"/>
    <xf numFmtId="43" fontId="99" fillId="3" borderId="0" xfId="21" applyNumberFormat="1" applyFont="1" applyFill="1" applyBorder="1"/>
    <xf numFmtId="164" fontId="99" fillId="3" borderId="38" xfId="21" applyNumberFormat="1" applyFont="1" applyFill="1" applyBorder="1"/>
    <xf numFmtId="164" fontId="99" fillId="3" borderId="0" xfId="21" applyNumberFormat="1" applyFont="1" applyFill="1" applyBorder="1"/>
    <xf numFmtId="164" fontId="99" fillId="3" borderId="39" xfId="21" applyNumberFormat="1" applyFont="1" applyFill="1" applyBorder="1"/>
    <xf numFmtId="0" fontId="97" fillId="0" borderId="39" xfId="20" applyFont="1" applyBorder="1"/>
    <xf numFmtId="164" fontId="99" fillId="3" borderId="13" xfId="21" applyNumberFormat="1" applyFont="1" applyFill="1" applyBorder="1"/>
    <xf numFmtId="43" fontId="99" fillId="3" borderId="1" xfId="21" applyNumberFormat="1" applyFont="1" applyFill="1" applyBorder="1"/>
    <xf numFmtId="164" fontId="99" fillId="3" borderId="11" xfId="21" applyNumberFormat="1" applyFont="1" applyFill="1" applyBorder="1"/>
    <xf numFmtId="164" fontId="99" fillId="3" borderId="1" xfId="21" applyNumberFormat="1" applyFont="1" applyFill="1" applyBorder="1"/>
    <xf numFmtId="164" fontId="99" fillId="3" borderId="12" xfId="21" applyNumberFormat="1" applyFont="1" applyFill="1" applyBorder="1"/>
    <xf numFmtId="0" fontId="97" fillId="0" borderId="21" xfId="20" applyFont="1" applyFill="1" applyBorder="1"/>
    <xf numFmtId="43" fontId="97" fillId="0" borderId="23" xfId="21" applyNumberFormat="1" applyFont="1" applyFill="1" applyBorder="1"/>
    <xf numFmtId="164" fontId="97" fillId="0" borderId="24" xfId="21" applyNumberFormat="1" applyFont="1" applyFill="1" applyBorder="1"/>
    <xf numFmtId="164" fontId="97" fillId="0" borderId="11" xfId="21" applyNumberFormat="1" applyFont="1" applyFill="1" applyBorder="1"/>
    <xf numFmtId="164" fontId="97" fillId="0" borderId="1" xfId="21" applyNumberFormat="1" applyFont="1" applyFill="1" applyBorder="1"/>
    <xf numFmtId="164" fontId="97" fillId="0" borderId="0" xfId="20" applyNumberFormat="1" applyFont="1"/>
    <xf numFmtId="0" fontId="97" fillId="0" borderId="11" xfId="20" applyFont="1" applyFill="1" applyBorder="1"/>
    <xf numFmtId="164" fontId="96" fillId="0" borderId="24" xfId="21" applyNumberFormat="1" applyFont="1" applyFill="1" applyBorder="1"/>
    <xf numFmtId="43" fontId="96" fillId="0" borderId="22" xfId="21" applyNumberFormat="1" applyFont="1" applyFill="1" applyBorder="1"/>
    <xf numFmtId="164" fontId="96" fillId="0" borderId="21" xfId="21" applyNumberFormat="1" applyFont="1" applyFill="1" applyBorder="1"/>
    <xf numFmtId="164" fontId="96" fillId="0" borderId="22" xfId="21" applyNumberFormat="1" applyFont="1" applyFill="1" applyBorder="1"/>
    <xf numFmtId="43" fontId="97" fillId="0" borderId="0" xfId="21" applyFont="1" applyFill="1" applyBorder="1"/>
    <xf numFmtId="164" fontId="97" fillId="0" borderId="0" xfId="20" applyNumberFormat="1" applyFont="1" applyFill="1"/>
    <xf numFmtId="164" fontId="97" fillId="3" borderId="21" xfId="22" applyNumberFormat="1" applyFont="1" applyFill="1" applyBorder="1" applyAlignment="1">
      <alignment horizontal="center"/>
    </xf>
    <xf numFmtId="164" fontId="97" fillId="3" borderId="22" xfId="22" applyNumberFormat="1" applyFont="1" applyFill="1" applyBorder="1" applyAlignment="1">
      <alignment horizontal="center"/>
    </xf>
    <xf numFmtId="164" fontId="97" fillId="0" borderId="24" xfId="22" applyNumberFormat="1" applyFont="1" applyFill="1" applyBorder="1" applyAlignment="1">
      <alignment horizontal="center"/>
    </xf>
    <xf numFmtId="164" fontId="96" fillId="0" borderId="2" xfId="21" applyNumberFormat="1" applyFont="1" applyFill="1" applyBorder="1" applyAlignment="1">
      <alignment horizontal="center" wrapText="1"/>
    </xf>
    <xf numFmtId="164" fontId="99" fillId="3" borderId="38" xfId="22" applyNumberFormat="1" applyFont="1" applyFill="1" applyBorder="1" applyAlignment="1">
      <alignment horizontal="center" wrapText="1"/>
    </xf>
    <xf numFmtId="164" fontId="99" fillId="3" borderId="0" xfId="22" applyNumberFormat="1" applyFont="1" applyFill="1" applyBorder="1" applyAlignment="1">
      <alignment horizontal="center" wrapText="1"/>
    </xf>
    <xf numFmtId="164" fontId="99" fillId="3" borderId="0" xfId="22" applyNumberFormat="1" applyFont="1" applyFill="1" applyBorder="1" applyAlignment="1">
      <alignment horizontal="center"/>
    </xf>
    <xf numFmtId="0" fontId="72" fillId="0" borderId="2" xfId="20" applyFont="1" applyFill="1" applyBorder="1" applyAlignment="1">
      <alignment horizontal="center" wrapText="1"/>
    </xf>
    <xf numFmtId="9" fontId="72" fillId="0" borderId="2" xfId="20" applyNumberFormat="1" applyFont="1" applyFill="1" applyBorder="1" applyAlignment="1">
      <alignment horizontal="center" wrapText="1"/>
    </xf>
    <xf numFmtId="164" fontId="99" fillId="3" borderId="11" xfId="22" applyNumberFormat="1" applyFont="1" applyFill="1" applyBorder="1" applyAlignment="1">
      <alignment horizontal="center"/>
    </xf>
    <xf numFmtId="164" fontId="99" fillId="3" borderId="1" xfId="22" applyNumberFormat="1" applyFont="1" applyFill="1" applyBorder="1" applyAlignment="1">
      <alignment horizontal="center"/>
    </xf>
    <xf numFmtId="164" fontId="97" fillId="0" borderId="13" xfId="22" applyNumberFormat="1" applyFont="1" applyFill="1" applyBorder="1" applyAlignment="1">
      <alignment horizontal="center"/>
    </xf>
    <xf numFmtId="0" fontId="72" fillId="0" borderId="13" xfId="20" applyFont="1" applyFill="1" applyBorder="1" applyAlignment="1">
      <alignment horizontal="center" wrapText="1"/>
    </xf>
    <xf numFmtId="0" fontId="97" fillId="0" borderId="13" xfId="20" applyFont="1" applyFill="1" applyBorder="1" applyAlignment="1">
      <alignment horizontal="center" wrapText="1"/>
    </xf>
    <xf numFmtId="164" fontId="99" fillId="3" borderId="3" xfId="22" applyNumberFormat="1" applyFont="1" applyFill="1" applyBorder="1"/>
    <xf numFmtId="164" fontId="99" fillId="3" borderId="4" xfId="22" applyNumberFormat="1" applyFont="1" applyFill="1" applyBorder="1"/>
    <xf numFmtId="164" fontId="99" fillId="3" borderId="5" xfId="22" applyNumberFormat="1" applyFont="1" applyFill="1" applyBorder="1"/>
    <xf numFmtId="164" fontId="97" fillId="0" borderId="47" xfId="22" applyNumberFormat="1" applyFont="1" applyFill="1" applyBorder="1"/>
    <xf numFmtId="164" fontId="99" fillId="3" borderId="2" xfId="20" applyNumberFormat="1" applyFont="1" applyFill="1" applyBorder="1" applyAlignment="1">
      <alignment horizontal="center" wrapText="1"/>
    </xf>
    <xf numFmtId="164" fontId="99" fillId="3" borderId="2" xfId="20" applyNumberFormat="1" applyFont="1" applyFill="1" applyBorder="1"/>
    <xf numFmtId="164" fontId="97" fillId="0" borderId="2" xfId="20" applyNumberFormat="1" applyFont="1" applyFill="1" applyBorder="1"/>
    <xf numFmtId="164" fontId="97" fillId="0" borderId="47" xfId="20" applyNumberFormat="1" applyFont="1" applyFill="1" applyBorder="1"/>
    <xf numFmtId="164" fontId="99" fillId="3" borderId="38" xfId="22" applyNumberFormat="1" applyFont="1" applyFill="1" applyBorder="1"/>
    <xf numFmtId="164" fontId="99" fillId="3" borderId="0" xfId="22" applyNumberFormat="1" applyFont="1" applyFill="1" applyBorder="1"/>
    <xf numFmtId="164" fontId="99" fillId="3" borderId="39" xfId="22" applyNumberFormat="1" applyFont="1" applyFill="1" applyBorder="1"/>
    <xf numFmtId="164" fontId="99" fillId="3" borderId="47" xfId="20" applyNumberFormat="1" applyFont="1" applyFill="1" applyBorder="1" applyAlignment="1">
      <alignment horizontal="center" wrapText="1"/>
    </xf>
    <xf numFmtId="164" fontId="99" fillId="3" borderId="47" xfId="20" applyNumberFormat="1" applyFont="1" applyFill="1" applyBorder="1"/>
    <xf numFmtId="164" fontId="99" fillId="3" borderId="11" xfId="22" applyNumberFormat="1" applyFont="1" applyFill="1" applyBorder="1"/>
    <xf numFmtId="164" fontId="99" fillId="3" borderId="1" xfId="22" applyNumberFormat="1" applyFont="1" applyFill="1" applyBorder="1"/>
    <xf numFmtId="164" fontId="99" fillId="3" borderId="12" xfId="22" applyNumberFormat="1" applyFont="1" applyFill="1" applyBorder="1"/>
    <xf numFmtId="164" fontId="99" fillId="3" borderId="13" xfId="20" applyNumberFormat="1" applyFont="1" applyFill="1" applyBorder="1" applyAlignment="1">
      <alignment horizontal="center" wrapText="1"/>
    </xf>
    <xf numFmtId="164" fontId="99" fillId="3" borderId="13" xfId="20" applyNumberFormat="1" applyFont="1" applyFill="1" applyBorder="1"/>
    <xf numFmtId="164" fontId="97" fillId="0" borderId="13" xfId="20" applyNumberFormat="1" applyFont="1" applyFill="1" applyBorder="1"/>
    <xf numFmtId="164" fontId="97" fillId="0" borderId="21" xfId="21" applyNumberFormat="1" applyFont="1" applyFill="1" applyBorder="1"/>
    <xf numFmtId="164" fontId="97" fillId="0" borderId="22" xfId="21" applyNumberFormat="1" applyFont="1" applyFill="1" applyBorder="1"/>
    <xf numFmtId="164" fontId="97" fillId="0" borderId="24" xfId="22" applyNumberFormat="1" applyFont="1" applyFill="1" applyBorder="1"/>
    <xf numFmtId="164" fontId="96" fillId="0" borderId="24" xfId="22" applyNumberFormat="1" applyFont="1" applyFill="1" applyBorder="1"/>
    <xf numFmtId="43" fontId="97" fillId="0" borderId="0" xfId="21" applyFont="1"/>
    <xf numFmtId="43" fontId="97" fillId="0" borderId="0" xfId="20" applyNumberFormat="1" applyFont="1"/>
    <xf numFmtId="164" fontId="97" fillId="0" borderId="21" xfId="21" applyNumberFormat="1" applyFont="1" applyFill="1" applyBorder="1" applyAlignment="1">
      <alignment horizontal="center"/>
    </xf>
    <xf numFmtId="0" fontId="96" fillId="0" borderId="0" xfId="20" quotePrefix="1" applyFont="1" applyFill="1"/>
    <xf numFmtId="0" fontId="100" fillId="0" borderId="0" xfId="20" applyFont="1" applyFill="1" applyAlignment="1"/>
    <xf numFmtId="0" fontId="10" fillId="3" borderId="0" xfId="8" applyFont="1" applyFill="1" applyAlignment="1">
      <alignment horizontal="center"/>
    </xf>
    <xf numFmtId="0" fontId="97" fillId="0" borderId="1" xfId="20" applyFont="1" applyBorder="1"/>
    <xf numFmtId="0" fontId="97" fillId="0" borderId="0" xfId="20" applyFont="1" applyBorder="1"/>
    <xf numFmtId="164" fontId="97" fillId="3" borderId="21" xfId="21" applyNumberFormat="1" applyFont="1" applyFill="1" applyBorder="1" applyAlignment="1">
      <alignment horizontal="center"/>
    </xf>
    <xf numFmtId="164" fontId="97" fillId="3" borderId="22" xfId="21" applyNumberFormat="1" applyFont="1" applyFill="1" applyBorder="1" applyAlignment="1">
      <alignment horizontal="center"/>
    </xf>
    <xf numFmtId="0" fontId="97" fillId="0" borderId="2" xfId="20" applyFont="1" applyBorder="1" applyAlignment="1">
      <alignment wrapText="1"/>
    </xf>
    <xf numFmtId="164" fontId="99" fillId="3" borderId="4" xfId="21" applyNumberFormat="1" applyFont="1" applyFill="1" applyBorder="1" applyAlignment="1">
      <alignment horizontal="center" wrapText="1"/>
    </xf>
    <xf numFmtId="43" fontId="97" fillId="0" borderId="2" xfId="21" applyFont="1" applyFill="1" applyBorder="1" applyAlignment="1">
      <alignment horizontal="center"/>
    </xf>
    <xf numFmtId="0" fontId="97" fillId="0" borderId="47" xfId="20" applyFont="1" applyBorder="1" applyAlignment="1">
      <alignment wrapText="1"/>
    </xf>
    <xf numFmtId="164" fontId="99" fillId="3" borderId="0" xfId="21" applyNumberFormat="1" applyFont="1" applyFill="1" applyBorder="1" applyAlignment="1">
      <alignment horizontal="center" wrapText="1"/>
    </xf>
    <xf numFmtId="43" fontId="72" fillId="0" borderId="47" xfId="21" applyFont="1" applyFill="1" applyBorder="1" applyAlignment="1">
      <alignment horizontal="center" wrapText="1"/>
    </xf>
    <xf numFmtId="0" fontId="97" fillId="0" borderId="13" xfId="20" applyFont="1" applyBorder="1" applyAlignment="1">
      <alignment horizontal="center"/>
    </xf>
    <xf numFmtId="164" fontId="99" fillId="3" borderId="1" xfId="21" applyNumberFormat="1" applyFont="1" applyFill="1" applyBorder="1" applyAlignment="1">
      <alignment horizontal="center"/>
    </xf>
    <xf numFmtId="43" fontId="72" fillId="0" borderId="13" xfId="21" applyFont="1" applyFill="1" applyBorder="1" applyAlignment="1">
      <alignment horizontal="center" wrapText="1"/>
    </xf>
    <xf numFmtId="0" fontId="99" fillId="3" borderId="38" xfId="20" applyFont="1" applyFill="1" applyBorder="1" applyAlignment="1">
      <alignment horizontal="center"/>
    </xf>
    <xf numFmtId="43" fontId="99" fillId="3" borderId="3" xfId="21" applyFont="1" applyFill="1" applyBorder="1"/>
    <xf numFmtId="43" fontId="99" fillId="3" borderId="4" xfId="21" applyFont="1" applyFill="1" applyBorder="1"/>
    <xf numFmtId="43" fontId="99" fillId="3" borderId="38" xfId="21" applyFont="1" applyFill="1" applyBorder="1"/>
    <xf numFmtId="43" fontId="99" fillId="3" borderId="0" xfId="21" applyFont="1" applyFill="1" applyBorder="1"/>
    <xf numFmtId="43" fontId="99" fillId="3" borderId="39" xfId="21" applyFont="1" applyFill="1" applyBorder="1"/>
    <xf numFmtId="43" fontId="99" fillId="3" borderId="11" xfId="21" applyFont="1" applyFill="1" applyBorder="1"/>
    <xf numFmtId="43" fontId="99" fillId="3" borderId="12" xfId="21" applyFont="1" applyFill="1" applyBorder="1"/>
    <xf numFmtId="0" fontId="97" fillId="0" borderId="22" xfId="20" applyFont="1" applyFill="1" applyBorder="1"/>
    <xf numFmtId="0" fontId="97" fillId="0" borderId="23" xfId="20" applyFont="1" applyFill="1" applyBorder="1"/>
    <xf numFmtId="164" fontId="97" fillId="0" borderId="23" xfId="21" applyNumberFormat="1" applyFont="1" applyFill="1" applyBorder="1"/>
    <xf numFmtId="0" fontId="97" fillId="0" borderId="4" xfId="20" applyFont="1" applyBorder="1"/>
    <xf numFmtId="0" fontId="97" fillId="0" borderId="5" xfId="20" applyFont="1" applyBorder="1"/>
    <xf numFmtId="0" fontId="97" fillId="0" borderId="12" xfId="20" applyFont="1" applyBorder="1"/>
    <xf numFmtId="0" fontId="1" fillId="0" borderId="0" xfId="20"/>
    <xf numFmtId="0" fontId="100" fillId="0" borderId="0" xfId="20" applyFont="1" applyFill="1" applyAlignment="1">
      <alignment horizontal="centerContinuous"/>
    </xf>
    <xf numFmtId="0" fontId="102" fillId="0" borderId="0" xfId="20" applyFont="1" applyAlignment="1">
      <alignment horizontal="centerContinuous"/>
    </xf>
    <xf numFmtId="164" fontId="101" fillId="0" borderId="0" xfId="21" applyNumberFormat="1" applyFont="1" applyAlignment="1">
      <alignment horizontal="centerContinuous"/>
    </xf>
    <xf numFmtId="43" fontId="101" fillId="0" borderId="0" xfId="21" applyFont="1" applyAlignment="1">
      <alignment horizontal="centerContinuous"/>
    </xf>
    <xf numFmtId="164" fontId="0" fillId="0" borderId="0" xfId="21" applyNumberFormat="1" applyFont="1"/>
    <xf numFmtId="164" fontId="101" fillId="0" borderId="0" xfId="21" applyNumberFormat="1" applyFont="1" applyFill="1" applyAlignment="1">
      <alignment horizontal="centerContinuous"/>
    </xf>
    <xf numFmtId="0" fontId="9" fillId="3" borderId="0" xfId="8" applyFont="1" applyFill="1" applyAlignment="1">
      <alignment horizontal="center"/>
    </xf>
    <xf numFmtId="164" fontId="97" fillId="0" borderId="0" xfId="21" applyNumberFormat="1" applyFont="1"/>
    <xf numFmtId="164" fontId="97" fillId="0" borderId="2" xfId="21" applyNumberFormat="1" applyFont="1" applyFill="1" applyBorder="1" applyAlignment="1">
      <alignment horizontal="center"/>
    </xf>
    <xf numFmtId="164" fontId="99" fillId="3" borderId="38" xfId="21" applyNumberFormat="1" applyFont="1" applyFill="1" applyBorder="1" applyAlignment="1">
      <alignment horizontal="center" wrapText="1"/>
    </xf>
    <xf numFmtId="0" fontId="97" fillId="0" borderId="13" xfId="20" applyFont="1" applyBorder="1"/>
    <xf numFmtId="0" fontId="97" fillId="0" borderId="47" xfId="20" applyFont="1" applyBorder="1"/>
    <xf numFmtId="0" fontId="97" fillId="0" borderId="21" xfId="20" applyFont="1" applyBorder="1"/>
    <xf numFmtId="0" fontId="97" fillId="0" borderId="22" xfId="20" applyFont="1" applyBorder="1"/>
    <xf numFmtId="0" fontId="97" fillId="0" borderId="23" xfId="20" applyFont="1" applyBorder="1"/>
    <xf numFmtId="43" fontId="0" fillId="0" borderId="0" xfId="21" applyFont="1"/>
    <xf numFmtId="164" fontId="0" fillId="0" borderId="0" xfId="21" quotePrefix="1" applyNumberFormat="1" applyFont="1"/>
    <xf numFmtId="164" fontId="0" fillId="0" borderId="0" xfId="5" applyNumberFormat="1" applyFont="1"/>
    <xf numFmtId="0" fontId="99" fillId="3" borderId="47" xfId="20" applyFont="1" applyFill="1" applyBorder="1" applyAlignment="1">
      <alignment horizontal="center"/>
    </xf>
    <xf numFmtId="0" fontId="97" fillId="0" borderId="0" xfId="20" applyFont="1" applyFill="1" applyBorder="1"/>
    <xf numFmtId="164" fontId="97" fillId="0" borderId="39" xfId="21" applyNumberFormat="1" applyFont="1" applyFill="1" applyBorder="1" applyAlignment="1">
      <alignment horizontal="center"/>
    </xf>
    <xf numFmtId="0" fontId="97" fillId="0" borderId="47" xfId="20" applyFont="1" applyFill="1" applyBorder="1"/>
    <xf numFmtId="181" fontId="97" fillId="0" borderId="47" xfId="21" applyNumberFormat="1" applyFont="1" applyFill="1" applyBorder="1"/>
    <xf numFmtId="0" fontId="97" fillId="0" borderId="1" xfId="20" applyFont="1" applyFill="1" applyBorder="1"/>
    <xf numFmtId="0" fontId="97" fillId="0" borderId="12" xfId="20" applyFont="1" applyFill="1" applyBorder="1"/>
    <xf numFmtId="43" fontId="97" fillId="0" borderId="22" xfId="21" applyNumberFormat="1" applyFont="1" applyFill="1" applyBorder="1"/>
    <xf numFmtId="43" fontId="97" fillId="0" borderId="24" xfId="21" applyNumberFormat="1" applyFont="1" applyFill="1" applyBorder="1"/>
    <xf numFmtId="0" fontId="97" fillId="0" borderId="0" xfId="20" applyFont="1" applyAlignment="1">
      <alignment vertical="center"/>
    </xf>
    <xf numFmtId="0" fontId="97" fillId="0" borderId="3" xfId="20" applyFont="1" applyBorder="1" applyAlignment="1">
      <alignment vertical="center" wrapText="1"/>
    </xf>
    <xf numFmtId="0" fontId="97" fillId="0" borderId="2" xfId="20" applyFont="1" applyBorder="1" applyAlignment="1">
      <alignment vertical="center" wrapText="1"/>
    </xf>
    <xf numFmtId="0" fontId="97" fillId="0" borderId="5" xfId="20" applyFont="1" applyBorder="1" applyAlignment="1">
      <alignment vertical="center" wrapText="1"/>
    </xf>
    <xf numFmtId="164" fontId="99" fillId="3" borderId="3" xfId="22" applyNumberFormat="1" applyFont="1" applyFill="1" applyBorder="1" applyAlignment="1">
      <alignment horizontal="center" vertical="center" wrapText="1"/>
    </xf>
    <xf numFmtId="164" fontId="99" fillId="3" borderId="4" xfId="22" applyNumberFormat="1" applyFont="1" applyFill="1" applyBorder="1" applyAlignment="1">
      <alignment horizontal="center" vertical="center" wrapText="1"/>
    </xf>
    <xf numFmtId="43" fontId="97" fillId="0" borderId="2" xfId="22" applyFont="1" applyFill="1" applyBorder="1" applyAlignment="1">
      <alignment horizontal="center" vertical="center"/>
    </xf>
    <xf numFmtId="0" fontId="97" fillId="0" borderId="0" xfId="20" applyFont="1" applyFill="1" applyAlignment="1">
      <alignment vertical="center"/>
    </xf>
    <xf numFmtId="164" fontId="96" fillId="0" borderId="2" xfId="21" applyNumberFormat="1" applyFont="1" applyFill="1" applyBorder="1" applyAlignment="1">
      <alignment horizontal="center" vertical="center" wrapText="1"/>
    </xf>
    <xf numFmtId="0" fontId="97" fillId="0" borderId="0" xfId="20" applyFont="1" applyAlignment="1">
      <alignment vertical="top"/>
    </xf>
    <xf numFmtId="0" fontId="97" fillId="0" borderId="38" xfId="20" applyFont="1" applyBorder="1" applyAlignment="1">
      <alignment vertical="top" wrapText="1"/>
    </xf>
    <xf numFmtId="0" fontId="97" fillId="0" borderId="47" xfId="20" applyFont="1" applyBorder="1" applyAlignment="1">
      <alignment vertical="top" wrapText="1"/>
    </xf>
    <xf numFmtId="164" fontId="97" fillId="0" borderId="47" xfId="22" applyNumberFormat="1" applyFont="1" applyFill="1" applyBorder="1" applyAlignment="1">
      <alignment horizontal="center" vertical="top" wrapText="1"/>
    </xf>
    <xf numFmtId="0" fontId="72" fillId="0" borderId="2" xfId="20" applyFont="1" applyFill="1" applyBorder="1" applyAlignment="1">
      <alignment horizontal="center" vertical="top" wrapText="1"/>
    </xf>
    <xf numFmtId="0" fontId="97" fillId="0" borderId="0" xfId="20" applyFont="1" applyFill="1" applyAlignment="1">
      <alignment vertical="top"/>
    </xf>
    <xf numFmtId="0" fontId="97" fillId="0" borderId="11" xfId="20" applyFont="1" applyBorder="1" applyAlignment="1">
      <alignment horizontal="center" vertical="center"/>
    </xf>
    <xf numFmtId="0" fontId="97" fillId="0" borderId="13" xfId="20" applyFont="1" applyBorder="1" applyAlignment="1">
      <alignment horizontal="center" vertical="center"/>
    </xf>
    <xf numFmtId="0" fontId="97" fillId="0" borderId="39" xfId="20" applyFont="1" applyBorder="1" applyAlignment="1">
      <alignment horizontal="center" vertical="center" wrapText="1"/>
    </xf>
    <xf numFmtId="0" fontId="97" fillId="0" borderId="2" xfId="20" applyFont="1" applyBorder="1"/>
    <xf numFmtId="0" fontId="57" fillId="0" borderId="0" xfId="23" applyFont="1"/>
    <xf numFmtId="0" fontId="52" fillId="0" borderId="0" xfId="8" applyFont="1" applyAlignment="1"/>
    <xf numFmtId="0" fontId="103" fillId="0" borderId="0" xfId="8" applyFont="1" applyAlignment="1"/>
    <xf numFmtId="0" fontId="102" fillId="0" borderId="0" xfId="23" applyFont="1"/>
    <xf numFmtId="0" fontId="1" fillId="0" borderId="0" xfId="23"/>
    <xf numFmtId="0" fontId="104" fillId="0" borderId="0" xfId="23" applyFont="1"/>
    <xf numFmtId="0" fontId="52" fillId="6" borderId="60" xfId="24" quotePrefix="1" applyFont="1" applyFill="1" applyAlignment="1" applyProtection="1">
      <alignment horizontal="left" vertical="center" indent="1"/>
      <protection locked="0"/>
    </xf>
    <xf numFmtId="0" fontId="52" fillId="6" borderId="60" xfId="24" applyFont="1" applyFill="1" applyAlignment="1" applyProtection="1">
      <alignment horizontal="left" vertical="center" indent="1"/>
      <protection locked="0"/>
    </xf>
    <xf numFmtId="0" fontId="52" fillId="6" borderId="60" xfId="25" quotePrefix="1" applyFont="1" applyFill="1" applyAlignment="1" applyProtection="1">
      <alignment horizontal="left" vertical="center" indent="1"/>
      <protection locked="0"/>
    </xf>
    <xf numFmtId="0" fontId="9" fillId="3" borderId="60" xfId="26" quotePrefix="1" applyFont="1" applyFill="1" applyProtection="1">
      <alignment horizontal="left" vertical="center" indent="1"/>
      <protection locked="0"/>
    </xf>
    <xf numFmtId="37" fontId="9" fillId="3" borderId="60" xfId="5" applyNumberFormat="1" applyFont="1" applyFill="1" applyBorder="1" applyAlignment="1" applyProtection="1">
      <alignment horizontal="right" vertical="center"/>
      <protection locked="0"/>
    </xf>
    <xf numFmtId="0" fontId="1" fillId="0" borderId="0" xfId="23" applyFont="1"/>
    <xf numFmtId="4" fontId="1" fillId="0" borderId="0" xfId="23" applyNumberFormat="1" applyFont="1"/>
    <xf numFmtId="4" fontId="1" fillId="0" borderId="0" xfId="23" applyNumberFormat="1"/>
    <xf numFmtId="0" fontId="9" fillId="3" borderId="60" xfId="26" applyFont="1" applyFill="1" applyProtection="1">
      <alignment horizontal="left" vertical="center" indent="1"/>
      <protection locked="0"/>
    </xf>
    <xf numFmtId="0" fontId="102" fillId="0" borderId="0" xfId="23" applyFont="1" applyFill="1"/>
    <xf numFmtId="0" fontId="52" fillId="0" borderId="34" xfId="26" applyFont="1" applyFill="1" applyBorder="1" applyAlignment="1" applyProtection="1">
      <alignment horizontal="right" vertical="center" indent="1"/>
      <protection locked="0"/>
    </xf>
    <xf numFmtId="37" fontId="104" fillId="0" borderId="26" xfId="5" applyNumberFormat="1" applyFont="1" applyFill="1" applyBorder="1"/>
    <xf numFmtId="0" fontId="57" fillId="0" borderId="0" xfId="27" applyFont="1"/>
    <xf numFmtId="0" fontId="52" fillId="0" borderId="0" xfId="8" applyFont="1" applyAlignment="1">
      <alignment horizontal="centerContinuous"/>
    </xf>
    <xf numFmtId="0" fontId="102" fillId="0" borderId="0" xfId="27" applyFont="1"/>
    <xf numFmtId="0" fontId="105" fillId="0" borderId="0" xfId="27" applyFont="1" applyAlignment="1">
      <alignment horizontal="centerContinuous"/>
    </xf>
    <xf numFmtId="0" fontId="102" fillId="0" borderId="0" xfId="27" applyFont="1" applyAlignment="1">
      <alignment horizontal="centerContinuous"/>
    </xf>
    <xf numFmtId="0" fontId="1" fillId="0" borderId="0" xfId="27"/>
    <xf numFmtId="44" fontId="4" fillId="0" borderId="0" xfId="8" applyNumberFormat="1" applyFont="1"/>
    <xf numFmtId="0" fontId="52" fillId="6" borderId="21" xfId="28" quotePrefix="1" applyFont="1" applyFill="1" applyBorder="1" applyAlignment="1" applyProtection="1">
      <alignment horizontal="center" wrapText="1"/>
      <protection locked="0"/>
    </xf>
    <xf numFmtId="0" fontId="52" fillId="6" borderId="24" xfId="28" quotePrefix="1" applyFont="1" applyFill="1" applyBorder="1" applyAlignment="1" applyProtection="1">
      <alignment horizontal="center" wrapText="1"/>
      <protection locked="0"/>
    </xf>
    <xf numFmtId="0" fontId="52" fillId="6" borderId="24" xfId="28" applyFont="1" applyFill="1" applyBorder="1" applyAlignment="1" applyProtection="1">
      <alignment horizontal="center" wrapText="1"/>
      <protection locked="0"/>
    </xf>
    <xf numFmtId="0" fontId="106" fillId="0" borderId="24" xfId="29" applyFont="1" applyFill="1" applyBorder="1" applyAlignment="1">
      <alignment horizontal="center" wrapText="1"/>
    </xf>
    <xf numFmtId="0" fontId="106" fillId="7" borderId="24" xfId="29" applyFont="1" applyFill="1" applyBorder="1" applyAlignment="1">
      <alignment horizontal="center" wrapText="1"/>
    </xf>
    <xf numFmtId="0" fontId="52" fillId="6" borderId="24" xfId="30" quotePrefix="1" applyFont="1" applyFill="1" applyBorder="1" applyAlignment="1" applyProtection="1">
      <alignment horizontal="center" wrapText="1"/>
      <protection locked="0"/>
    </xf>
    <xf numFmtId="42" fontId="9" fillId="3" borderId="29" xfId="8" applyNumberFormat="1" applyFont="1" applyFill="1" applyBorder="1" applyAlignment="1">
      <alignment horizontal="right"/>
    </xf>
    <xf numFmtId="42" fontId="57" fillId="0" borderId="61" xfId="29" applyNumberFormat="1" applyFont="1" applyFill="1" applyBorder="1"/>
    <xf numFmtId="42" fontId="46" fillId="0" borderId="30" xfId="8" applyNumberFormat="1" applyFont="1" applyFill="1" applyBorder="1" applyAlignment="1">
      <alignment horizontal="right"/>
    </xf>
    <xf numFmtId="42" fontId="46" fillId="0" borderId="29" xfId="8" applyNumberFormat="1" applyFont="1" applyFill="1" applyBorder="1" applyAlignment="1">
      <alignment horizontal="right"/>
    </xf>
    <xf numFmtId="42" fontId="46" fillId="0" borderId="61" xfId="8" applyNumberFormat="1" applyFont="1" applyFill="1" applyBorder="1" applyAlignment="1">
      <alignment horizontal="right"/>
    </xf>
    <xf numFmtId="42" fontId="1" fillId="0" borderId="0" xfId="27" applyNumberFormat="1"/>
    <xf numFmtId="0" fontId="57" fillId="3" borderId="62" xfId="8" applyFont="1" applyFill="1" applyBorder="1" applyAlignment="1">
      <alignment horizontal="center"/>
    </xf>
    <xf numFmtId="0" fontId="57" fillId="3" borderId="63" xfId="8" applyFont="1" applyFill="1" applyBorder="1" applyAlignment="1">
      <alignment horizontal="center"/>
    </xf>
    <xf numFmtId="0" fontId="9" fillId="3" borderId="65" xfId="8" applyFont="1" applyFill="1" applyBorder="1"/>
    <xf numFmtId="0" fontId="57" fillId="6" borderId="0" xfId="27" applyFont="1" applyFill="1"/>
    <xf numFmtId="0" fontId="4" fillId="6" borderId="57" xfId="31" applyFont="1" applyFill="1" applyBorder="1" applyProtection="1">
      <alignment horizontal="left" vertical="center" indent="1"/>
      <protection locked="0"/>
    </xf>
    <xf numFmtId="0" fontId="4" fillId="6" borderId="1" xfId="31" applyFont="1" applyFill="1" applyBorder="1" applyProtection="1">
      <alignment horizontal="left" vertical="center" indent="1"/>
      <protection locked="0"/>
    </xf>
    <xf numFmtId="42" fontId="57" fillId="6" borderId="49" xfId="27" applyNumberFormat="1" applyFont="1" applyFill="1" applyBorder="1"/>
    <xf numFmtId="42" fontId="57" fillId="6" borderId="50" xfId="27" applyNumberFormat="1" applyFont="1" applyFill="1" applyBorder="1"/>
    <xf numFmtId="42" fontId="57" fillId="6" borderId="51" xfId="27" applyNumberFormat="1" applyFont="1" applyFill="1" applyBorder="1"/>
    <xf numFmtId="0" fontId="57" fillId="0" borderId="0" xfId="32" applyFont="1" applyAlignment="1">
      <alignment horizontal="right"/>
    </xf>
    <xf numFmtId="0" fontId="107" fillId="0" borderId="0" xfId="33" applyFont="1"/>
    <xf numFmtId="168" fontId="9" fillId="0" borderId="0" xfId="3" applyNumberFormat="1" applyFont="1" applyFill="1"/>
    <xf numFmtId="168" fontId="57" fillId="0" borderId="0" xfId="3" applyNumberFormat="1" applyFont="1" applyFill="1"/>
    <xf numFmtId="42" fontId="57" fillId="0" borderId="66" xfId="32" applyNumberFormat="1" applyFont="1" applyFill="1" applyBorder="1"/>
    <xf numFmtId="0" fontId="57" fillId="0" borderId="0" xfId="33" applyFont="1" applyAlignment="1">
      <alignment horizontal="right"/>
    </xf>
    <xf numFmtId="0" fontId="57" fillId="0" borderId="0" xfId="33" applyFont="1"/>
    <xf numFmtId="0" fontId="104" fillId="0" borderId="0" xfId="33" applyFont="1" applyAlignment="1">
      <alignment horizontal="right"/>
    </xf>
    <xf numFmtId="42" fontId="104" fillId="0" borderId="67" xfId="33" applyNumberFormat="1" applyFont="1" applyBorder="1"/>
    <xf numFmtId="0" fontId="1" fillId="0" borderId="0" xfId="27" applyFont="1"/>
    <xf numFmtId="42" fontId="0" fillId="0" borderId="0" xfId="27" applyNumberFormat="1" applyFont="1"/>
    <xf numFmtId="0" fontId="102" fillId="0" borderId="0" xfId="33" applyFont="1"/>
    <xf numFmtId="0" fontId="1" fillId="0" borderId="0" xfId="33"/>
    <xf numFmtId="0" fontId="104" fillId="0" borderId="0" xfId="33" applyFont="1"/>
    <xf numFmtId="0" fontId="108" fillId="0" borderId="0" xfId="33" applyFont="1"/>
    <xf numFmtId="0" fontId="4" fillId="0" borderId="63" xfId="8" applyFont="1" applyBorder="1" applyAlignment="1">
      <alignment horizontal="center"/>
    </xf>
    <xf numFmtId="43" fontId="4" fillId="0" borderId="63" xfId="5" applyFont="1" applyBorder="1" applyAlignment="1">
      <alignment horizontal="center"/>
    </xf>
    <xf numFmtId="0" fontId="9" fillId="3" borderId="0" xfId="8" applyFont="1" applyFill="1"/>
    <xf numFmtId="37" fontId="9" fillId="3" borderId="31" xfId="5" applyNumberFormat="1" applyFont="1" applyFill="1" applyBorder="1"/>
    <xf numFmtId="0" fontId="52" fillId="0" borderId="66" xfId="8" applyFont="1" applyBorder="1" applyAlignment="1">
      <alignment horizontal="left" indent="1"/>
    </xf>
    <xf numFmtId="37" fontId="52" fillId="0" borderId="63" xfId="5" applyNumberFormat="1" applyFont="1" applyFill="1" applyBorder="1"/>
    <xf numFmtId="0" fontId="52" fillId="0" borderId="0" xfId="8" applyFont="1" applyBorder="1" applyAlignment="1">
      <alignment horizontal="left" indent="1"/>
    </xf>
    <xf numFmtId="164" fontId="52" fillId="0" borderId="0" xfId="5" applyNumberFormat="1" applyFont="1" applyFill="1" applyBorder="1"/>
    <xf numFmtId="0" fontId="4" fillId="0" borderId="66" xfId="8" applyFont="1" applyFill="1" applyBorder="1" applyAlignment="1">
      <alignment horizontal="left" indent="1"/>
    </xf>
    <xf numFmtId="0" fontId="4" fillId="3" borderId="66" xfId="8" applyFont="1" applyFill="1" applyBorder="1" applyAlignment="1">
      <alignment horizontal="center"/>
    </xf>
    <xf numFmtId="37" fontId="9" fillId="5" borderId="63" xfId="8" applyNumberFormat="1" applyFont="1" applyFill="1" applyBorder="1" applyAlignment="1"/>
    <xf numFmtId="0" fontId="3" fillId="0" borderId="0" xfId="8" applyFont="1" applyAlignment="1">
      <alignment horizontal="centerContinuous"/>
    </xf>
    <xf numFmtId="0" fontId="100" fillId="0" borderId="0" xfId="34" applyFont="1" applyAlignment="1">
      <alignment horizontal="centerContinuous"/>
    </xf>
    <xf numFmtId="0" fontId="102" fillId="0" borderId="0" xfId="34" applyFont="1" applyAlignment="1">
      <alignment horizontal="centerContinuous"/>
    </xf>
    <xf numFmtId="0" fontId="102" fillId="0" borderId="0" xfId="34" applyFont="1"/>
    <xf numFmtId="0" fontId="108" fillId="0" borderId="0" xfId="34" applyFont="1"/>
    <xf numFmtId="0" fontId="101" fillId="0" borderId="0" xfId="34" applyFont="1"/>
    <xf numFmtId="0" fontId="105" fillId="0" borderId="0" xfId="34" applyFont="1"/>
    <xf numFmtId="0" fontId="100" fillId="0" borderId="0" xfId="34" applyFont="1"/>
    <xf numFmtId="0" fontId="109" fillId="0" borderId="0" xfId="34" applyFont="1"/>
    <xf numFmtId="0" fontId="105" fillId="0" borderId="20" xfId="34" applyFont="1" applyBorder="1"/>
    <xf numFmtId="0" fontId="105" fillId="0" borderId="20" xfId="34" applyFont="1" applyBorder="1" applyAlignment="1">
      <alignment horizontal="center"/>
    </xf>
    <xf numFmtId="0" fontId="102" fillId="0" borderId="0" xfId="34" applyFont="1" applyAlignment="1">
      <alignment horizontal="center"/>
    </xf>
    <xf numFmtId="0" fontId="110" fillId="0" borderId="20" xfId="34" applyFont="1" applyBorder="1" applyAlignment="1">
      <alignment horizontal="center" wrapText="1"/>
    </xf>
    <xf numFmtId="0" fontId="54" fillId="3" borderId="0" xfId="34" applyFont="1" applyFill="1"/>
    <xf numFmtId="0" fontId="102" fillId="0" borderId="0" xfId="34" applyFont="1" applyFill="1"/>
    <xf numFmtId="37" fontId="54" fillId="3" borderId="0" xfId="34" applyNumberFormat="1" applyFont="1" applyFill="1" applyAlignment="1">
      <alignment horizontal="right"/>
    </xf>
    <xf numFmtId="37" fontId="102" fillId="0" borderId="0" xfId="34" applyNumberFormat="1" applyFont="1" applyFill="1"/>
    <xf numFmtId="182" fontId="54" fillId="3" borderId="0" xfId="34" applyNumberFormat="1" applyFont="1" applyFill="1" applyAlignment="1">
      <alignment horizontal="right"/>
    </xf>
    <xf numFmtId="37" fontId="102" fillId="0" borderId="0" xfId="34" applyNumberFormat="1" applyFont="1"/>
    <xf numFmtId="37" fontId="54" fillId="3" borderId="0" xfId="34" applyNumberFormat="1" applyFont="1" applyFill="1" applyBorder="1" applyAlignment="1">
      <alignment horizontal="center"/>
    </xf>
    <xf numFmtId="0" fontId="54" fillId="0" borderId="0" xfId="34" applyFont="1" applyFill="1"/>
    <xf numFmtId="0" fontId="54" fillId="0" borderId="0" xfId="34" applyFont="1"/>
    <xf numFmtId="37" fontId="112" fillId="0" borderId="0" xfId="34" applyNumberFormat="1" applyFont="1" applyFill="1"/>
    <xf numFmtId="37" fontId="102" fillId="0" borderId="0" xfId="34" applyNumberFormat="1" applyFont="1" applyAlignment="1">
      <alignment horizontal="right"/>
    </xf>
    <xf numFmtId="0" fontId="43" fillId="0" borderId="66" xfId="34" applyFont="1" applyBorder="1"/>
    <xf numFmtId="37" fontId="105" fillId="0" borderId="66" xfId="5" applyNumberFormat="1" applyFont="1" applyFill="1" applyBorder="1"/>
    <xf numFmtId="0" fontId="102" fillId="0" borderId="0" xfId="34" applyFont="1" applyBorder="1"/>
    <xf numFmtId="182" fontId="102" fillId="0" borderId="66" xfId="5" applyNumberFormat="1" applyFont="1" applyFill="1" applyBorder="1"/>
    <xf numFmtId="0" fontId="1" fillId="0" borderId="0" xfId="34"/>
    <xf numFmtId="0" fontId="102" fillId="0" borderId="0" xfId="34" applyFont="1" applyAlignment="1">
      <alignment horizontal="left" indent="1"/>
    </xf>
    <xf numFmtId="37" fontId="54" fillId="3" borderId="0" xfId="35" applyNumberFormat="1" applyFont="1" applyFill="1"/>
    <xf numFmtId="0" fontId="102" fillId="0" borderId="66" xfId="34" applyFont="1" applyBorder="1"/>
    <xf numFmtId="164" fontId="102" fillId="0" borderId="0" xfId="34" applyNumberFormat="1" applyFont="1"/>
    <xf numFmtId="0" fontId="105" fillId="0" borderId="66" xfId="34" applyFont="1" applyBorder="1"/>
    <xf numFmtId="37" fontId="105" fillId="0" borderId="66" xfId="34" applyNumberFormat="1" applyFont="1" applyBorder="1"/>
    <xf numFmtId="0" fontId="1" fillId="0" borderId="0" xfId="34" applyFill="1"/>
    <xf numFmtId="0" fontId="42" fillId="0" borderId="0" xfId="34" applyFont="1"/>
    <xf numFmtId="183" fontId="7" fillId="0" borderId="0" xfId="4" applyNumberFormat="1" applyFont="1" applyAlignment="1">
      <alignment horizontal="centerContinuous"/>
    </xf>
    <xf numFmtId="183" fontId="52" fillId="0" borderId="0" xfId="4" applyNumberFormat="1" applyFont="1" applyAlignment="1">
      <alignment horizontal="centerContinuous"/>
    </xf>
    <xf numFmtId="183" fontId="113" fillId="0" borderId="0" xfId="4" applyNumberFormat="1" applyFont="1" applyAlignment="1">
      <alignment horizontal="centerContinuous"/>
    </xf>
    <xf numFmtId="37" fontId="4" fillId="0" borderId="0" xfId="4" applyNumberFormat="1" applyFont="1" applyAlignment="1">
      <alignment horizontal="centerContinuous"/>
    </xf>
    <xf numFmtId="37" fontId="114" fillId="0" borderId="0" xfId="4" applyNumberFormat="1" applyFont="1" applyAlignment="1">
      <alignment horizontal="centerContinuous"/>
    </xf>
    <xf numFmtId="37" fontId="4" fillId="0" borderId="0" xfId="4" applyNumberFormat="1" applyFont="1" applyFill="1" applyBorder="1" applyAlignment="1">
      <alignment horizontal="centerContinuous"/>
    </xf>
    <xf numFmtId="37" fontId="4" fillId="0" borderId="0" xfId="4" applyNumberFormat="1" applyFont="1" applyFill="1" applyBorder="1"/>
    <xf numFmtId="37" fontId="114" fillId="0" borderId="0" xfId="4" applyNumberFormat="1" applyFont="1" applyFill="1" applyBorder="1" applyAlignment="1">
      <alignment horizontal="centerContinuous"/>
    </xf>
    <xf numFmtId="37" fontId="3" fillId="0" borderId="0" xfId="4" applyNumberFormat="1" applyFont="1" applyFill="1" applyBorder="1" applyAlignment="1">
      <alignment horizontal="centerContinuous" vertical="center"/>
    </xf>
    <xf numFmtId="37" fontId="4" fillId="0" borderId="0" xfId="4" applyNumberFormat="1" applyFont="1" applyFill="1" applyBorder="1" applyAlignment="1">
      <alignment horizontal="centerContinuous" vertical="center"/>
    </xf>
    <xf numFmtId="10" fontId="4" fillId="0" borderId="0" xfId="3" applyNumberFormat="1" applyFont="1" applyFill="1" applyBorder="1" applyAlignment="1">
      <alignment horizontal="centerContinuous" vertical="center"/>
    </xf>
    <xf numFmtId="37" fontId="4" fillId="0" borderId="0" xfId="4" applyNumberFormat="1" applyFont="1"/>
    <xf numFmtId="37" fontId="52" fillId="0" borderId="0" xfId="4" applyNumberFormat="1" applyFont="1" applyBorder="1" applyAlignment="1"/>
    <xf numFmtId="37" fontId="4" fillId="0" borderId="24" xfId="4" applyNumberFormat="1" applyFont="1" applyBorder="1" applyAlignment="1">
      <alignment horizontal="center" wrapText="1"/>
    </xf>
    <xf numFmtId="37" fontId="4" fillId="0" borderId="21" xfId="4" applyNumberFormat="1" applyFont="1" applyBorder="1" applyAlignment="1">
      <alignment horizontal="centerContinuous" vertical="center"/>
    </xf>
    <xf numFmtId="37" fontId="52" fillId="0" borderId="22" xfId="4" applyNumberFormat="1" applyFont="1" applyBorder="1" applyAlignment="1">
      <alignment horizontal="centerContinuous"/>
    </xf>
    <xf numFmtId="37" fontId="4" fillId="0" borderId="22" xfId="4" applyNumberFormat="1" applyFont="1" applyBorder="1" applyAlignment="1">
      <alignment horizontal="centerContinuous"/>
    </xf>
    <xf numFmtId="37" fontId="114" fillId="0" borderId="22" xfId="4" applyNumberFormat="1" applyFont="1" applyBorder="1" applyAlignment="1">
      <alignment horizontal="centerContinuous"/>
    </xf>
    <xf numFmtId="37" fontId="4" fillId="0" borderId="22" xfId="4" applyNumberFormat="1" applyFont="1" applyFill="1" applyBorder="1" applyAlignment="1">
      <alignment horizontal="centerContinuous"/>
    </xf>
    <xf numFmtId="37" fontId="4" fillId="0" borderId="23" xfId="4" applyNumberFormat="1" applyFont="1" applyFill="1" applyBorder="1" applyAlignment="1">
      <alignment horizontal="centerContinuous"/>
    </xf>
    <xf numFmtId="37" fontId="52" fillId="0" borderId="49" xfId="4" applyNumberFormat="1" applyFont="1" applyFill="1" applyBorder="1" applyAlignment="1">
      <alignment horizontal="center" wrapText="1"/>
    </xf>
    <xf numFmtId="37" fontId="52" fillId="0" borderId="68" xfId="4" applyNumberFormat="1" applyFont="1" applyFill="1" applyBorder="1" applyAlignment="1">
      <alignment horizontal="center" wrapText="1"/>
    </xf>
    <xf numFmtId="0" fontId="52" fillId="0" borderId="50" xfId="36" applyFont="1" applyFill="1" applyBorder="1" applyAlignment="1"/>
    <xf numFmtId="0" fontId="52" fillId="0" borderId="50" xfId="36" applyFont="1" applyFill="1" applyBorder="1" applyAlignment="1">
      <alignment horizontal="center" wrapText="1"/>
    </xf>
    <xf numFmtId="184" fontId="52" fillId="0" borderId="24" xfId="36" applyNumberFormat="1" applyFont="1" applyFill="1" applyBorder="1" applyAlignment="1">
      <alignment horizontal="center" wrapText="1"/>
    </xf>
    <xf numFmtId="184" fontId="52" fillId="0" borderId="49" xfId="36" applyNumberFormat="1" applyFont="1" applyFill="1" applyBorder="1" applyAlignment="1">
      <alignment horizontal="center" wrapText="1"/>
    </xf>
    <xf numFmtId="184" fontId="52" fillId="0" borderId="50" xfId="36" applyNumberFormat="1" applyFont="1" applyFill="1" applyBorder="1" applyAlignment="1">
      <alignment horizontal="center" wrapText="1"/>
    </xf>
    <xf numFmtId="184" fontId="52" fillId="0" borderId="51" xfId="36" applyNumberFormat="1" applyFont="1" applyFill="1" applyBorder="1" applyAlignment="1">
      <alignment horizontal="center" wrapText="1"/>
    </xf>
    <xf numFmtId="37" fontId="4" fillId="0" borderId="54" xfId="4" applyNumberFormat="1" applyFont="1" applyBorder="1" applyAlignment="1">
      <alignment horizontal="center" vertical="center"/>
    </xf>
    <xf numFmtId="37" fontId="4" fillId="0" borderId="69" xfId="4" applyNumberFormat="1" applyFont="1" applyBorder="1" applyAlignment="1">
      <alignment horizontal="center" vertical="center"/>
    </xf>
    <xf numFmtId="37" fontId="4" fillId="0" borderId="69" xfId="4" applyNumberFormat="1" applyFont="1" applyFill="1" applyBorder="1" applyAlignment="1">
      <alignment horizontal="center" vertical="center"/>
    </xf>
    <xf numFmtId="0" fontId="115" fillId="0" borderId="55" xfId="37" quotePrefix="1" applyNumberFormat="1" applyFont="1" applyFill="1" applyBorder="1" applyAlignment="1" applyProtection="1">
      <alignment horizontal="left" vertical="center"/>
      <protection locked="0"/>
    </xf>
    <xf numFmtId="49" fontId="57" fillId="0" borderId="55" xfId="36" applyNumberFormat="1" applyFont="1" applyFill="1" applyBorder="1" applyAlignment="1"/>
    <xf numFmtId="37" fontId="4" fillId="0" borderId="52" xfId="4" applyNumberFormat="1" applyFont="1" applyBorder="1" applyAlignment="1">
      <alignment horizontal="center" vertical="center"/>
    </xf>
    <xf numFmtId="37" fontId="4" fillId="0" borderId="32" xfId="4" applyNumberFormat="1" applyFont="1" applyBorder="1" applyAlignment="1">
      <alignment horizontal="center" vertical="center"/>
    </xf>
    <xf numFmtId="37" fontId="4" fillId="0" borderId="32" xfId="4" applyNumberFormat="1" applyFont="1" applyFill="1" applyBorder="1" applyAlignment="1">
      <alignment horizontal="center" vertical="center"/>
    </xf>
    <xf numFmtId="0" fontId="115" fillId="0" borderId="31" xfId="37" applyNumberFormat="1" applyFont="1" applyFill="1" applyBorder="1" applyAlignment="1" applyProtection="1">
      <alignment horizontal="left" vertical="center"/>
      <protection locked="0"/>
    </xf>
    <xf numFmtId="49" fontId="57" fillId="0" borderId="31" xfId="36" applyNumberFormat="1" applyFont="1" applyFill="1" applyBorder="1" applyAlignment="1"/>
    <xf numFmtId="0" fontId="57" fillId="0" borderId="31" xfId="36" applyFont="1" applyFill="1" applyBorder="1" applyAlignment="1">
      <alignment horizontal="left"/>
    </xf>
    <xf numFmtId="0" fontId="115" fillId="0" borderId="31" xfId="37" quotePrefix="1" applyNumberFormat="1" applyFont="1" applyFill="1" applyBorder="1" applyAlignment="1" applyProtection="1">
      <alignment horizontal="left" vertical="center"/>
      <protection locked="0"/>
    </xf>
    <xf numFmtId="185" fontId="59" fillId="0" borderId="0" xfId="4" applyNumberFormat="1" applyFont="1"/>
    <xf numFmtId="0" fontId="57" fillId="0" borderId="31" xfId="36" applyFont="1" applyFill="1" applyBorder="1" applyAlignment="1">
      <alignment horizontal="left" wrapText="1"/>
    </xf>
    <xf numFmtId="49" fontId="57" fillId="0" borderId="31" xfId="36" applyNumberFormat="1" applyFont="1" applyFill="1" applyBorder="1" applyAlignment="1">
      <alignment vertical="center"/>
    </xf>
    <xf numFmtId="39" fontId="4" fillId="0" borderId="0" xfId="4" applyNumberFormat="1" applyFont="1"/>
    <xf numFmtId="37" fontId="4" fillId="0" borderId="32" xfId="4" applyNumberFormat="1" applyFont="1" applyBorder="1" applyAlignment="1">
      <alignment horizontal="center" vertical="center" wrapText="1"/>
    </xf>
    <xf numFmtId="37" fontId="4" fillId="0" borderId="32" xfId="4" quotePrefix="1" applyNumberFormat="1" applyFont="1" applyFill="1" applyBorder="1" applyAlignment="1">
      <alignment horizontal="center" vertical="center" wrapText="1"/>
    </xf>
    <xf numFmtId="37" fontId="4" fillId="0" borderId="32" xfId="4" quotePrefix="1" applyNumberFormat="1" applyFont="1" applyFill="1" applyBorder="1" applyAlignment="1">
      <alignment horizontal="center" vertical="center"/>
    </xf>
    <xf numFmtId="49" fontId="57" fillId="0" borderId="31" xfId="8" applyNumberFormat="1" applyFont="1" applyFill="1" applyBorder="1" applyAlignment="1">
      <alignment vertical="center"/>
    </xf>
    <xf numFmtId="37" fontId="4" fillId="0" borderId="57" xfId="4" applyNumberFormat="1" applyFont="1" applyBorder="1" applyAlignment="1">
      <alignment horizontal="center" vertical="center"/>
    </xf>
    <xf numFmtId="37" fontId="4" fillId="0" borderId="71" xfId="4" quotePrefix="1" applyNumberFormat="1" applyFont="1" applyFill="1" applyBorder="1" applyAlignment="1">
      <alignment horizontal="center" vertical="center" wrapText="1"/>
    </xf>
    <xf numFmtId="37" fontId="4" fillId="0" borderId="71" xfId="4" quotePrefix="1" applyNumberFormat="1" applyFont="1" applyFill="1" applyBorder="1" applyAlignment="1">
      <alignment horizontal="center" vertical="center"/>
    </xf>
    <xf numFmtId="0" fontId="115" fillId="0" borderId="58" xfId="37" applyNumberFormat="1" applyFont="1" applyFill="1" applyBorder="1" applyAlignment="1" applyProtection="1">
      <alignment horizontal="left" vertical="center"/>
      <protection locked="0"/>
    </xf>
    <xf numFmtId="49" fontId="57" fillId="0" borderId="58" xfId="8" applyNumberFormat="1" applyFont="1" applyFill="1" applyBorder="1" applyAlignment="1">
      <alignment vertical="center"/>
    </xf>
    <xf numFmtId="37" fontId="52" fillId="0" borderId="49" xfId="4" applyNumberFormat="1" applyFont="1" applyBorder="1"/>
    <xf numFmtId="37" fontId="52" fillId="0" borderId="50" xfId="4" applyNumberFormat="1" applyFont="1" applyBorder="1"/>
    <xf numFmtId="37" fontId="52" fillId="0" borderId="50" xfId="4" applyNumberFormat="1" applyFont="1" applyBorder="1" applyAlignment="1">
      <alignment horizontal="center"/>
    </xf>
    <xf numFmtId="37" fontId="52" fillId="0" borderId="50" xfId="4" applyNumberFormat="1" applyFont="1" applyBorder="1" applyAlignment="1">
      <alignment horizontal="center" wrapText="1"/>
    </xf>
    <xf numFmtId="37" fontId="52" fillId="0" borderId="51" xfId="4" applyNumberFormat="1" applyFont="1" applyBorder="1" applyAlignment="1">
      <alignment horizontal="center"/>
    </xf>
    <xf numFmtId="37" fontId="114" fillId="0" borderId="0" xfId="4" applyNumberFormat="1" applyFont="1"/>
    <xf numFmtId="37" fontId="4" fillId="0" borderId="72" xfId="4" applyNumberFormat="1" applyFont="1" applyBorder="1"/>
    <xf numFmtId="37" fontId="4" fillId="0" borderId="29" xfId="4" applyNumberFormat="1" applyFont="1" applyBorder="1"/>
    <xf numFmtId="37" fontId="9" fillId="3" borderId="29" xfId="4" applyNumberFormat="1" applyFont="1" applyFill="1" applyBorder="1"/>
    <xf numFmtId="37" fontId="9" fillId="3" borderId="61" xfId="4" applyNumberFormat="1" applyFont="1" applyFill="1" applyBorder="1"/>
    <xf numFmtId="37" fontId="4" fillId="0" borderId="15" xfId="4" applyNumberFormat="1" applyFont="1" applyBorder="1"/>
    <xf numFmtId="37" fontId="4" fillId="0" borderId="73" xfId="4" applyNumberFormat="1" applyFont="1" applyBorder="1"/>
    <xf numFmtId="37" fontId="9" fillId="3" borderId="73" xfId="4" applyNumberFormat="1" applyFont="1" applyFill="1" applyBorder="1"/>
    <xf numFmtId="37" fontId="9" fillId="3" borderId="74" xfId="4" applyNumberFormat="1" applyFont="1" applyFill="1" applyBorder="1"/>
    <xf numFmtId="0" fontId="116" fillId="0" borderId="0" xfId="8" applyFont="1"/>
    <xf numFmtId="0" fontId="70" fillId="0" borderId="0" xfId="8" applyFont="1"/>
    <xf numFmtId="49" fontId="4" fillId="0" borderId="0" xfId="8" applyNumberFormat="1" applyFont="1" applyAlignment="1">
      <alignment vertical="top" wrapText="1"/>
    </xf>
    <xf numFmtId="49" fontId="52" fillId="0" borderId="20" xfId="8" applyNumberFormat="1" applyFont="1" applyBorder="1" applyAlignment="1">
      <alignment vertical="top" wrapText="1"/>
    </xf>
    <xf numFmtId="49" fontId="52" fillId="0" borderId="20" xfId="8" applyNumberFormat="1" applyFont="1" applyBorder="1" applyAlignment="1">
      <alignment horizontal="center" vertical="top" wrapText="1"/>
    </xf>
    <xf numFmtId="49" fontId="4" fillId="0" borderId="0" xfId="8" applyNumberFormat="1" applyAlignment="1">
      <alignment vertical="top" wrapText="1"/>
    </xf>
    <xf numFmtId="0" fontId="9" fillId="3" borderId="0" xfId="8" applyFont="1" applyFill="1" applyAlignment="1">
      <alignment horizontal="left" vertical="center" indent="1"/>
    </xf>
    <xf numFmtId="37" fontId="9" fillId="3" borderId="0" xfId="5" applyNumberFormat="1" applyFont="1" applyFill="1" applyBorder="1"/>
    <xf numFmtId="0" fontId="52" fillId="0" borderId="66" xfId="8" applyFont="1" applyBorder="1"/>
    <xf numFmtId="37" fontId="52" fillId="0" borderId="66" xfId="5" applyNumberFormat="1" applyFont="1" applyBorder="1"/>
    <xf numFmtId="0" fontId="52" fillId="0" borderId="0" xfId="8" applyFont="1" applyBorder="1"/>
    <xf numFmtId="164" fontId="52" fillId="0" borderId="0" xfId="5" applyNumberFormat="1" applyFont="1" applyBorder="1"/>
    <xf numFmtId="37" fontId="10" fillId="3" borderId="66" xfId="5" applyNumberFormat="1" applyFont="1" applyFill="1" applyBorder="1"/>
    <xf numFmtId="0" fontId="52" fillId="0" borderId="19" xfId="8" applyFont="1" applyBorder="1" applyAlignment="1">
      <alignment horizontal="left" indent="1"/>
    </xf>
    <xf numFmtId="37" fontId="52" fillId="0" borderId="63" xfId="8" applyNumberFormat="1" applyFont="1" applyBorder="1"/>
    <xf numFmtId="0" fontId="7" fillId="0" borderId="0" xfId="8" applyFont="1" applyAlignment="1">
      <alignment horizontal="centerContinuous" vertical="justify"/>
    </xf>
    <xf numFmtId="0" fontId="4" fillId="0" borderId="0" xfId="8" applyFont="1" applyAlignment="1">
      <alignment horizontal="centerContinuous"/>
    </xf>
    <xf numFmtId="186" fontId="117" fillId="0" borderId="0" xfId="5" quotePrefix="1" applyNumberFormat="1" applyFont="1" applyBorder="1" applyAlignment="1" applyProtection="1">
      <alignment horizontal="centerContinuous"/>
    </xf>
    <xf numFmtId="0" fontId="115" fillId="0" borderId="0" xfId="8" applyFont="1" applyAlignment="1">
      <alignment horizontal="centerContinuous"/>
    </xf>
    <xf numFmtId="0" fontId="4" fillId="0" borderId="0" xfId="8" applyFont="1" applyAlignment="1">
      <alignment horizontal="left" vertical="justify"/>
    </xf>
    <xf numFmtId="186" fontId="117" fillId="0" borderId="0" xfId="5" quotePrefix="1" applyNumberFormat="1" applyFont="1" applyBorder="1" applyAlignment="1" applyProtection="1">
      <alignment horizontal="center"/>
    </xf>
    <xf numFmtId="0" fontId="115" fillId="0" borderId="0" xfId="8" applyFont="1" applyAlignment="1">
      <alignment horizontal="center"/>
    </xf>
    <xf numFmtId="0" fontId="52" fillId="0" borderId="0" xfId="8" applyFont="1" applyFill="1" applyAlignment="1">
      <alignment horizontal="left" vertical="justify"/>
    </xf>
    <xf numFmtId="0" fontId="52" fillId="0" borderId="0" xfId="8" quotePrefix="1" applyFont="1" applyFill="1" applyAlignment="1">
      <alignment horizontal="center"/>
    </xf>
    <xf numFmtId="0" fontId="106" fillId="0" borderId="0" xfId="8" applyFont="1" applyAlignment="1">
      <alignment horizontal="left"/>
    </xf>
    <xf numFmtId="0" fontId="52" fillId="0" borderId="0" xfId="8" applyFont="1" applyBorder="1" applyAlignment="1">
      <alignment horizontal="left" vertical="justify"/>
    </xf>
    <xf numFmtId="0" fontId="52" fillId="0" borderId="0" xfId="8" applyFont="1" applyBorder="1" applyAlignment="1">
      <alignment horizontal="left"/>
    </xf>
    <xf numFmtId="0" fontId="52" fillId="0" borderId="0" xfId="8" applyFont="1" applyBorder="1" applyAlignment="1">
      <alignment horizontal="center"/>
    </xf>
    <xf numFmtId="0" fontId="52" fillId="0" borderId="20" xfId="8" applyFont="1" applyBorder="1" applyAlignment="1">
      <alignment horizontal="centerContinuous"/>
    </xf>
    <xf numFmtId="0" fontId="52" fillId="3" borderId="20" xfId="8" applyFont="1" applyFill="1" applyBorder="1" applyAlignment="1"/>
    <xf numFmtId="0" fontId="106" fillId="3" borderId="20" xfId="8" applyFont="1" applyFill="1" applyBorder="1" applyAlignment="1">
      <alignment horizontal="center"/>
    </xf>
    <xf numFmtId="0" fontId="4" fillId="0" borderId="20" xfId="8" applyFont="1" applyBorder="1" applyAlignment="1">
      <alignment horizontal="centerContinuous"/>
    </xf>
    <xf numFmtId="0" fontId="52" fillId="0" borderId="20" xfId="8" applyFont="1" applyBorder="1" applyAlignment="1">
      <alignment horizontal="left" wrapText="1"/>
    </xf>
    <xf numFmtId="0" fontId="52" fillId="0" borderId="20" xfId="8" applyFont="1" applyBorder="1" applyAlignment="1">
      <alignment wrapText="1"/>
    </xf>
    <xf numFmtId="0" fontId="52" fillId="0" borderId="20" xfId="8" applyFont="1" applyBorder="1" applyAlignment="1">
      <alignment horizontal="center" wrapText="1"/>
    </xf>
    <xf numFmtId="184" fontId="52" fillId="3" borderId="20" xfId="8" quotePrefix="1" applyNumberFormat="1" applyFont="1" applyFill="1" applyBorder="1" applyAlignment="1" applyProtection="1">
      <alignment horizontal="center" wrapText="1"/>
    </xf>
    <xf numFmtId="187" fontId="52" fillId="3" borderId="20" xfId="8" quotePrefix="1" applyNumberFormat="1" applyFont="1" applyFill="1" applyBorder="1" applyAlignment="1">
      <alignment horizontal="center" wrapText="1"/>
    </xf>
    <xf numFmtId="0" fontId="52" fillId="0" borderId="20" xfId="8" applyFont="1" applyBorder="1" applyAlignment="1">
      <alignment horizontal="center"/>
    </xf>
    <xf numFmtId="0" fontId="4" fillId="3" borderId="0" xfId="8" applyFont="1" applyFill="1" applyAlignment="1">
      <alignment horizontal="left" vertical="center"/>
    </xf>
    <xf numFmtId="0" fontId="4" fillId="3" borderId="0" xfId="8" applyFont="1" applyFill="1" applyAlignment="1">
      <alignment horizontal="center" vertical="center" wrapText="1"/>
    </xf>
    <xf numFmtId="182" fontId="9" fillId="3" borderId="0" xfId="5" applyNumberFormat="1" applyFont="1" applyFill="1" applyAlignment="1" applyProtection="1">
      <alignment vertical="center"/>
    </xf>
    <xf numFmtId="182" fontId="4" fillId="3" borderId="0" xfId="5" applyNumberFormat="1" applyFont="1" applyFill="1" applyAlignment="1">
      <alignment vertical="center"/>
    </xf>
    <xf numFmtId="0" fontId="9" fillId="3" borderId="0" xfId="8" applyFont="1" applyFill="1" applyAlignment="1">
      <alignment horizontal="center" vertical="center"/>
    </xf>
    <xf numFmtId="185" fontId="4" fillId="3" borderId="0" xfId="5" applyNumberFormat="1" applyFont="1" applyFill="1" applyBorder="1" applyAlignment="1">
      <alignment vertical="center"/>
    </xf>
    <xf numFmtId="0" fontId="4" fillId="0" borderId="0" xfId="8" applyFont="1" applyFill="1" applyBorder="1" applyAlignment="1">
      <alignment vertical="center"/>
    </xf>
    <xf numFmtId="0" fontId="4" fillId="0" borderId="0" xfId="8" applyFont="1" applyAlignment="1">
      <alignment vertical="center"/>
    </xf>
    <xf numFmtId="182" fontId="4" fillId="0" borderId="0" xfId="8" applyNumberFormat="1" applyAlignment="1">
      <alignment vertical="center"/>
    </xf>
    <xf numFmtId="0" fontId="4" fillId="0" borderId="66" xfId="8" applyFont="1" applyFill="1" applyBorder="1" applyAlignment="1">
      <alignment horizontal="left" vertical="center" indent="1"/>
    </xf>
    <xf numFmtId="0" fontId="4" fillId="0" borderId="0" xfId="8" applyFont="1" applyFill="1" applyBorder="1" applyAlignment="1">
      <alignment horizontal="left" vertical="center"/>
    </xf>
    <xf numFmtId="0" fontId="4" fillId="0" borderId="0" xfId="8" applyFont="1" applyFill="1" applyBorder="1" applyAlignment="1">
      <alignment horizontal="center" vertical="center"/>
    </xf>
    <xf numFmtId="182" fontId="4" fillId="0" borderId="66" xfId="5" applyNumberFormat="1" applyFont="1" applyFill="1" applyBorder="1" applyAlignment="1" applyProtection="1">
      <alignment vertical="center"/>
    </xf>
    <xf numFmtId="186" fontId="4" fillId="0" borderId="0" xfId="5" applyNumberFormat="1" applyFont="1" applyFill="1" applyBorder="1" applyAlignment="1">
      <alignment vertical="center"/>
    </xf>
    <xf numFmtId="182" fontId="4" fillId="0" borderId="66" xfId="5" applyNumberFormat="1" applyFont="1" applyFill="1" applyBorder="1" applyAlignment="1">
      <alignment vertical="center"/>
    </xf>
    <xf numFmtId="185" fontId="4" fillId="0" borderId="66" xfId="5" applyNumberFormat="1" applyFont="1" applyFill="1" applyBorder="1" applyAlignment="1">
      <alignment vertical="center"/>
    </xf>
    <xf numFmtId="0" fontId="52" fillId="0" borderId="0" xfId="8" applyFont="1" applyAlignment="1">
      <alignment horizontal="left" vertical="justify"/>
    </xf>
    <xf numFmtId="186" fontId="4" fillId="0" borderId="0" xfId="5" applyNumberFormat="1" applyFont="1" applyFill="1" applyAlignment="1">
      <alignment horizontal="right" vertical="center"/>
    </xf>
    <xf numFmtId="0" fontId="4" fillId="0" borderId="0" xfId="17" applyFont="1"/>
    <xf numFmtId="168" fontId="4" fillId="0" borderId="0" xfId="8" applyNumberFormat="1" applyFont="1"/>
    <xf numFmtId="168" fontId="4" fillId="0" borderId="0" xfId="3" applyNumberFormat="1" applyFont="1"/>
    <xf numFmtId="185" fontId="4" fillId="0" borderId="66" xfId="8" applyNumberFormat="1" applyFont="1" applyBorder="1"/>
    <xf numFmtId="185" fontId="4" fillId="0" borderId="66" xfId="5" applyNumberFormat="1" applyFont="1" applyFill="1" applyBorder="1" applyAlignment="1">
      <alignment horizontal="right" vertical="center"/>
    </xf>
    <xf numFmtId="185" fontId="4" fillId="0" borderId="75" xfId="5" applyNumberFormat="1" applyFont="1" applyFill="1" applyBorder="1" applyAlignment="1">
      <alignment horizontal="right" vertical="center"/>
    </xf>
    <xf numFmtId="181" fontId="4" fillId="0" borderId="0" xfId="5" applyNumberFormat="1" applyFont="1" applyFill="1" applyAlignment="1">
      <alignment horizontal="right" vertical="center"/>
    </xf>
    <xf numFmtId="0" fontId="52" fillId="0" borderId="0" xfId="17" applyFont="1"/>
    <xf numFmtId="186" fontId="4" fillId="0" borderId="0" xfId="8" applyNumberFormat="1" applyFont="1" applyFill="1" applyBorder="1" applyAlignment="1">
      <alignment vertical="center"/>
    </xf>
    <xf numFmtId="164" fontId="52" fillId="0" borderId="63" xfId="5" applyNumberFormat="1" applyFont="1" applyFill="1" applyBorder="1" applyAlignment="1">
      <alignment vertical="center"/>
    </xf>
    <xf numFmtId="0" fontId="118" fillId="0" borderId="0" xfId="8" applyFont="1" applyAlignment="1">
      <alignment horizontal="left" vertical="justify"/>
    </xf>
    <xf numFmtId="0" fontId="118" fillId="0" borderId="0" xfId="8" applyFont="1"/>
    <xf numFmtId="0" fontId="118" fillId="0" borderId="0" xfId="8" applyFont="1" applyAlignment="1">
      <alignment horizontal="center"/>
    </xf>
    <xf numFmtId="186" fontId="119" fillId="0" borderId="0" xfId="5" quotePrefix="1" applyNumberFormat="1" applyFont="1" applyBorder="1" applyAlignment="1" applyProtection="1">
      <alignment horizontal="center"/>
    </xf>
    <xf numFmtId="0" fontId="120" fillId="0" borderId="0" xfId="8" applyFont="1" applyAlignment="1">
      <alignment horizontal="center"/>
    </xf>
    <xf numFmtId="0" fontId="48" fillId="0" borderId="0" xfId="8" applyFont="1" applyAlignment="1">
      <alignment horizontal="left" vertical="justify"/>
    </xf>
    <xf numFmtId="0" fontId="48" fillId="0" borderId="0" xfId="8" applyFont="1"/>
    <xf numFmtId="0" fontId="48" fillId="0" borderId="0" xfId="8" applyFont="1" applyAlignment="1">
      <alignment horizontal="center"/>
    </xf>
    <xf numFmtId="0" fontId="10" fillId="0" borderId="20" xfId="8" applyFont="1" applyBorder="1"/>
    <xf numFmtId="0" fontId="4" fillId="3" borderId="0" xfId="8" applyFill="1" applyAlignment="1">
      <alignment horizontal="center"/>
    </xf>
    <xf numFmtId="0" fontId="4" fillId="3" borderId="0" xfId="8" applyFill="1"/>
    <xf numFmtId="37" fontId="9" fillId="3" borderId="0" xfId="8" applyNumberFormat="1" applyFont="1" applyFill="1"/>
    <xf numFmtId="0" fontId="4" fillId="0" borderId="66" xfId="8" applyBorder="1"/>
    <xf numFmtId="37" fontId="52" fillId="0" borderId="19" xfId="8" applyNumberFormat="1" applyFont="1" applyBorder="1"/>
    <xf numFmtId="0" fontId="0" fillId="3" borderId="0" xfId="0" applyFill="1"/>
    <xf numFmtId="0" fontId="1" fillId="0" borderId="0" xfId="39"/>
    <xf numFmtId="0" fontId="52" fillId="0" borderId="0" xfId="39" applyFont="1" applyFill="1"/>
    <xf numFmtId="0" fontId="1" fillId="0" borderId="0" xfId="39" applyFill="1"/>
    <xf numFmtId="0" fontId="104" fillId="0" borderId="0" xfId="39" applyFont="1"/>
    <xf numFmtId="0" fontId="57" fillId="0" borderId="0" xfId="39" applyFont="1" applyAlignment="1">
      <alignment wrapText="1"/>
    </xf>
    <xf numFmtId="188" fontId="1" fillId="0" borderId="0" xfId="39" applyNumberFormat="1" applyAlignment="1">
      <alignment horizontal="left"/>
    </xf>
    <xf numFmtId="37" fontId="9" fillId="3" borderId="76" xfId="39" applyNumberFormat="1" applyFont="1" applyFill="1" applyBorder="1" applyAlignment="1">
      <alignment horizontal="right"/>
    </xf>
    <xf numFmtId="37" fontId="9" fillId="3" borderId="31" xfId="39" applyNumberFormat="1" applyFont="1" applyFill="1" applyBorder="1" applyAlignment="1">
      <alignment horizontal="right"/>
    </xf>
    <xf numFmtId="0" fontId="121" fillId="0" borderId="0" xfId="39" applyFont="1"/>
    <xf numFmtId="37" fontId="9" fillId="3" borderId="29" xfId="39" applyNumberFormat="1" applyFont="1" applyFill="1" applyBorder="1" applyAlignment="1">
      <alignment horizontal="right"/>
    </xf>
    <xf numFmtId="0" fontId="52" fillId="0" borderId="0" xfId="4" applyFont="1" applyAlignment="1"/>
    <xf numFmtId="0" fontId="84" fillId="0" borderId="0" xfId="4" applyFont="1" applyFill="1" applyAlignment="1">
      <alignment horizontal="center"/>
    </xf>
    <xf numFmtId="0" fontId="84" fillId="0" borderId="0" xfId="40" applyNumberFormat="1" applyFont="1" applyFill="1" applyAlignment="1">
      <alignment horizontal="left"/>
    </xf>
    <xf numFmtId="0" fontId="84" fillId="0" borderId="0" xfId="4" applyFont="1"/>
    <xf numFmtId="0" fontId="4" fillId="0" borderId="0" xfId="4" applyFont="1"/>
    <xf numFmtId="0" fontId="84" fillId="0" borderId="63" xfId="41" applyFont="1" applyBorder="1" applyAlignment="1">
      <alignment horizontal="center"/>
    </xf>
    <xf numFmtId="0" fontId="84" fillId="0" borderId="63" xfId="4" applyFont="1" applyBorder="1" applyAlignment="1">
      <alignment horizontal="center"/>
    </xf>
    <xf numFmtId="0" fontId="85" fillId="0" borderId="63" xfId="4" applyFont="1" applyFill="1" applyBorder="1" applyAlignment="1">
      <alignment horizontal="center"/>
    </xf>
    <xf numFmtId="0" fontId="84" fillId="0" borderId="0" xfId="4" applyFont="1" applyAlignment="1">
      <alignment wrapText="1"/>
    </xf>
    <xf numFmtId="164" fontId="84" fillId="0" borderId="35" xfId="4" applyNumberFormat="1" applyFont="1" applyFill="1" applyBorder="1" applyAlignment="1">
      <alignment horizontal="center"/>
    </xf>
    <xf numFmtId="164" fontId="84" fillId="0" borderId="0" xfId="42" applyNumberFormat="1" applyFont="1" applyFill="1" applyBorder="1" applyAlignment="1">
      <alignment horizontal="center"/>
    </xf>
    <xf numFmtId="164" fontId="84" fillId="0" borderId="32" xfId="42" applyNumberFormat="1" applyFont="1" applyFill="1" applyBorder="1" applyAlignment="1">
      <alignment horizontal="center"/>
    </xf>
    <xf numFmtId="164" fontId="84" fillId="0" borderId="35" xfId="43" applyNumberFormat="1" applyFont="1" applyFill="1" applyBorder="1"/>
    <xf numFmtId="164" fontId="85" fillId="3" borderId="0" xfId="42" applyNumberFormat="1" applyFont="1" applyFill="1" applyBorder="1" applyAlignment="1">
      <alignment horizontal="center"/>
    </xf>
    <xf numFmtId="164" fontId="84" fillId="0" borderId="36" xfId="43" applyNumberFormat="1" applyFont="1" applyFill="1" applyBorder="1"/>
    <xf numFmtId="164" fontId="84" fillId="0" borderId="30" xfId="42" applyNumberFormat="1" applyFont="1" applyFill="1" applyBorder="1" applyAlignment="1">
      <alignment horizontal="center"/>
    </xf>
    <xf numFmtId="164" fontId="84" fillId="0" borderId="0" xfId="4" applyNumberFormat="1" applyFont="1"/>
    <xf numFmtId="49" fontId="105" fillId="0" borderId="0" xfId="44" applyNumberFormat="1" applyFont="1"/>
    <xf numFmtId="0" fontId="102" fillId="0" borderId="0" xfId="44"/>
    <xf numFmtId="0" fontId="102" fillId="0" borderId="0" xfId="44" applyFill="1"/>
    <xf numFmtId="43" fontId="0" fillId="0" borderId="0" xfId="45" applyFont="1"/>
    <xf numFmtId="0" fontId="1" fillId="0" borderId="0" xfId="46"/>
    <xf numFmtId="49" fontId="122" fillId="0" borderId="0" xfId="44" applyNumberFormat="1" applyFont="1"/>
    <xf numFmtId="0" fontId="105" fillId="0" borderId="0" xfId="44" applyFont="1" applyFill="1" applyAlignment="1"/>
    <xf numFmtId="0" fontId="54" fillId="0" borderId="0" xfId="44" applyFont="1" applyFill="1"/>
    <xf numFmtId="0" fontId="102" fillId="0" borderId="0" xfId="44" quotePrefix="1" applyFill="1" applyAlignment="1"/>
    <xf numFmtId="190" fontId="0" fillId="0" borderId="0" xfId="47" applyNumberFormat="1" applyFont="1"/>
    <xf numFmtId="43" fontId="4" fillId="0" borderId="0" xfId="45" applyFont="1" applyAlignment="1">
      <alignment horizontal="center"/>
    </xf>
    <xf numFmtId="179" fontId="0" fillId="5" borderId="0" xfId="47" applyNumberFormat="1" applyFont="1" applyFill="1" applyAlignment="1">
      <alignment horizontal="center"/>
    </xf>
    <xf numFmtId="179" fontId="0" fillId="0" borderId="0" xfId="47" applyNumberFormat="1" applyFont="1"/>
    <xf numFmtId="0" fontId="102" fillId="0" borderId="63" xfId="44" applyBorder="1"/>
    <xf numFmtId="0" fontId="102" fillId="0" borderId="63" xfId="44" applyFill="1" applyBorder="1" applyAlignment="1">
      <alignment horizontal="center" wrapText="1"/>
    </xf>
    <xf numFmtId="0" fontId="102" fillId="0" borderId="63" xfId="44" applyBorder="1" applyAlignment="1">
      <alignment horizontal="center"/>
    </xf>
    <xf numFmtId="0" fontId="105" fillId="0" borderId="63" xfId="44" applyFont="1" applyBorder="1" applyAlignment="1">
      <alignment horizontal="center"/>
    </xf>
    <xf numFmtId="0" fontId="105" fillId="0" borderId="63" xfId="44" applyFont="1" applyFill="1" applyBorder="1" applyAlignment="1">
      <alignment horizontal="center"/>
    </xf>
    <xf numFmtId="43" fontId="43" fillId="0" borderId="63" xfId="45" applyFont="1" applyBorder="1" applyAlignment="1">
      <alignment horizontal="center" wrapText="1"/>
    </xf>
    <xf numFmtId="0" fontId="105" fillId="0" borderId="63" xfId="44" applyFont="1" applyBorder="1" applyAlignment="1">
      <alignment horizontal="center" wrapText="1"/>
    </xf>
    <xf numFmtId="0" fontId="105" fillId="0" borderId="63" xfId="44" applyFont="1" applyFill="1" applyBorder="1" applyAlignment="1">
      <alignment horizontal="center" wrapText="1"/>
    </xf>
    <xf numFmtId="0" fontId="49" fillId="0" borderId="63" xfId="44" quotePrefix="1" applyFont="1" applyBorder="1"/>
    <xf numFmtId="0" fontId="49" fillId="0" borderId="63" xfId="44" applyFont="1" applyBorder="1"/>
    <xf numFmtId="0" fontId="102" fillId="0" borderId="63" xfId="44" applyFill="1" applyBorder="1" applyAlignment="1">
      <alignment horizontal="center"/>
    </xf>
    <xf numFmtId="43" fontId="49" fillId="0" borderId="63" xfId="45" applyFont="1" applyBorder="1"/>
    <xf numFmtId="0" fontId="102" fillId="0" borderId="63" xfId="44" applyBorder="1" applyAlignment="1">
      <alignment wrapText="1"/>
    </xf>
    <xf numFmtId="164" fontId="54" fillId="0" borderId="63" xfId="48" applyNumberFormat="1" applyFont="1" applyBorder="1"/>
    <xf numFmtId="164" fontId="54" fillId="0" borderId="63" xfId="44" applyNumberFormat="1" applyFont="1" applyBorder="1"/>
    <xf numFmtId="164" fontId="54" fillId="0" borderId="63" xfId="49" applyNumberFormat="1" applyFont="1" applyBorder="1"/>
    <xf numFmtId="164" fontId="102" fillId="0" borderId="63" xfId="44" applyNumberFormat="1" applyFont="1" applyFill="1" applyBorder="1"/>
    <xf numFmtId="164" fontId="49" fillId="0" borderId="63" xfId="45" applyNumberFormat="1" applyFont="1" applyBorder="1"/>
    <xf numFmtId="164" fontId="43" fillId="0" borderId="63" xfId="45" applyNumberFormat="1" applyFont="1" applyBorder="1"/>
    <xf numFmtId="43" fontId="49" fillId="0" borderId="63" xfId="45" applyNumberFormat="1" applyFont="1" applyBorder="1"/>
    <xf numFmtId="43" fontId="43" fillId="0" borderId="63" xfId="45" applyNumberFormat="1" applyFont="1" applyBorder="1"/>
    <xf numFmtId="164" fontId="54" fillId="0" borderId="63" xfId="49" applyNumberFormat="1" applyFont="1" applyFill="1" applyBorder="1"/>
    <xf numFmtId="0" fontId="123" fillId="0" borderId="63" xfId="46" applyFont="1" applyFill="1" applyBorder="1"/>
    <xf numFmtId="0" fontId="49" fillId="0" borderId="63" xfId="44" applyFont="1" applyFill="1" applyBorder="1"/>
    <xf numFmtId="0" fontId="1" fillId="0" borderId="63" xfId="46" applyFill="1" applyBorder="1"/>
    <xf numFmtId="164" fontId="102" fillId="0" borderId="63" xfId="45" applyNumberFormat="1" applyFont="1" applyFill="1" applyBorder="1"/>
    <xf numFmtId="43" fontId="49" fillId="0" borderId="63" xfId="45" applyNumberFormat="1" applyFont="1" applyFill="1" applyBorder="1"/>
    <xf numFmtId="164" fontId="49" fillId="0" borderId="63" xfId="45" applyNumberFormat="1" applyFont="1" applyFill="1" applyBorder="1"/>
    <xf numFmtId="0" fontId="1" fillId="0" borderId="0" xfId="46" applyFill="1"/>
    <xf numFmtId="164" fontId="105" fillId="0" borderId="63" xfId="45" applyNumberFormat="1" applyFont="1" applyFill="1" applyBorder="1"/>
    <xf numFmtId="43" fontId="43" fillId="0" borderId="63" xfId="45" applyNumberFormat="1" applyFont="1" applyFill="1" applyBorder="1"/>
    <xf numFmtId="0" fontId="123" fillId="0" borderId="63" xfId="46" applyFont="1" applyBorder="1"/>
    <xf numFmtId="0" fontId="1" fillId="0" borderId="63" xfId="46" applyBorder="1"/>
    <xf numFmtId="164" fontId="102" fillId="0" borderId="63" xfId="45" applyNumberFormat="1" applyFont="1" applyBorder="1"/>
    <xf numFmtId="164" fontId="105" fillId="0" borderId="63" xfId="45" applyNumberFormat="1" applyFont="1" applyBorder="1"/>
    <xf numFmtId="164" fontId="54" fillId="3" borderId="63" xfId="49" applyNumberFormat="1" applyFont="1" applyFill="1" applyBorder="1"/>
    <xf numFmtId="0" fontId="122" fillId="0" borderId="0" xfId="0" applyFont="1" applyFill="1"/>
    <xf numFmtId="0" fontId="68" fillId="14" borderId="24" xfId="0" applyFont="1" applyFill="1" applyBorder="1" applyAlignment="1">
      <alignment horizontal="center"/>
    </xf>
    <xf numFmtId="0" fontId="68" fillId="14" borderId="24" xfId="0" applyFont="1" applyFill="1" applyBorder="1" applyAlignment="1"/>
    <xf numFmtId="0" fontId="68" fillId="14" borderId="24" xfId="0" applyFont="1" applyFill="1" applyBorder="1" applyAlignment="1">
      <alignment horizontal="center" wrapText="1"/>
    </xf>
    <xf numFmtId="0" fontId="9" fillId="0" borderId="0" xfId="0" applyFont="1" applyFill="1"/>
    <xf numFmtId="0" fontId="4" fillId="0" borderId="63" xfId="0" applyFont="1" applyFill="1" applyBorder="1" applyAlignment="1">
      <alignment horizontal="center"/>
    </xf>
    <xf numFmtId="0" fontId="4" fillId="0" borderId="63" xfId="0" applyFont="1" applyFill="1" applyBorder="1"/>
    <xf numFmtId="10" fontId="10" fillId="3" borderId="63" xfId="3" applyNumberFormat="1" applyFont="1" applyFill="1" applyBorder="1"/>
    <xf numFmtId="0" fontId="4" fillId="0" borderId="63" xfId="0" applyFont="1" applyBorder="1" applyAlignment="1">
      <alignment horizontal="center"/>
    </xf>
    <xf numFmtId="38" fontId="10" fillId="3" borderId="63" xfId="0" applyNumberFormat="1" applyFont="1" applyFill="1" applyBorder="1"/>
    <xf numFmtId="0" fontId="4" fillId="0" borderId="63" xfId="0" applyFont="1" applyFill="1" applyBorder="1" applyAlignment="1">
      <alignment horizontal="center" vertical="top"/>
    </xf>
    <xf numFmtId="0" fontId="4" fillId="0" borderId="63" xfId="0" applyFont="1" applyFill="1" applyBorder="1" applyAlignment="1">
      <alignment vertical="top"/>
    </xf>
    <xf numFmtId="38" fontId="10" fillId="3" borderId="63" xfId="0" applyNumberFormat="1" applyFont="1" applyFill="1" applyBorder="1" applyAlignment="1">
      <alignment vertical="top"/>
    </xf>
    <xf numFmtId="0" fontId="4" fillId="0" borderId="63" xfId="0" applyFont="1" applyBorder="1" applyAlignment="1">
      <alignment horizontal="center" vertical="top"/>
    </xf>
    <xf numFmtId="0" fontId="0" fillId="0" borderId="0" xfId="0" applyAlignment="1">
      <alignment vertical="top"/>
    </xf>
    <xf numFmtId="37" fontId="10" fillId="3" borderId="63" xfId="0" applyNumberFormat="1" applyFont="1" applyFill="1" applyBorder="1"/>
    <xf numFmtId="0" fontId="124" fillId="0" borderId="0" xfId="0" applyFont="1" applyBorder="1" applyAlignment="1">
      <alignment horizontal="left"/>
    </xf>
    <xf numFmtId="0" fontId="125" fillId="0" borderId="38" xfId="0" applyFont="1" applyBorder="1" applyAlignment="1">
      <alignment horizontal="center"/>
    </xf>
    <xf numFmtId="0" fontId="126" fillId="0" borderId="0" xfId="0" applyFont="1" applyBorder="1" applyAlignment="1">
      <alignment vertical="center"/>
    </xf>
    <xf numFmtId="0" fontId="127" fillId="0" borderId="22" xfId="0" applyFont="1" applyBorder="1" applyAlignment="1">
      <alignment vertical="center"/>
    </xf>
    <xf numFmtId="0" fontId="127" fillId="0" borderId="0" xfId="0" applyFont="1" applyBorder="1" applyAlignment="1">
      <alignment horizontal="center"/>
    </xf>
    <xf numFmtId="0" fontId="127" fillId="0" borderId="0" xfId="0" applyFont="1" applyBorder="1" applyAlignment="1">
      <alignment horizontal="right"/>
    </xf>
    <xf numFmtId="0" fontId="52" fillId="0" borderId="0" xfId="0" applyFont="1" applyBorder="1" applyAlignment="1">
      <alignment horizontal="center"/>
    </xf>
    <xf numFmtId="0" fontId="52" fillId="0" borderId="39" xfId="0" applyFont="1" applyBorder="1" applyAlignment="1">
      <alignment horizontal="center"/>
    </xf>
    <xf numFmtId="0" fontId="0" fillId="0" borderId="7" xfId="0" applyBorder="1" applyAlignment="1">
      <alignment horizontal="center"/>
    </xf>
    <xf numFmtId="37" fontId="0" fillId="0" borderId="8" xfId="0" applyNumberFormat="1" applyBorder="1"/>
    <xf numFmtId="0" fontId="0" fillId="0" borderId="29" xfId="0" applyBorder="1"/>
    <xf numFmtId="0" fontId="9" fillId="3" borderId="8" xfId="8" applyFont="1" applyFill="1" applyBorder="1" applyAlignment="1">
      <alignment horizontal="left"/>
    </xf>
    <xf numFmtId="0" fontId="0" fillId="0" borderId="62" xfId="0" applyBorder="1" applyAlignment="1">
      <alignment horizontal="center"/>
    </xf>
    <xf numFmtId="0" fontId="0" fillId="0" borderId="63" xfId="0" applyBorder="1"/>
    <xf numFmtId="0" fontId="9" fillId="3" borderId="63" xfId="8" applyFont="1" applyFill="1" applyBorder="1" applyAlignment="1">
      <alignment horizontal="left"/>
    </xf>
    <xf numFmtId="0" fontId="4" fillId="0" borderId="63" xfId="8" applyFont="1" applyFill="1" applyBorder="1"/>
    <xf numFmtId="0" fontId="4" fillId="0" borderId="29" xfId="8" applyFont="1" applyFill="1" applyBorder="1"/>
    <xf numFmtId="37" fontId="0" fillId="0" borderId="29" xfId="0" applyNumberFormat="1" applyFill="1" applyBorder="1"/>
    <xf numFmtId="37" fontId="0" fillId="0" borderId="63" xfId="0" applyNumberFormat="1" applyFill="1" applyBorder="1"/>
    <xf numFmtId="0" fontId="9" fillId="0" borderId="63" xfId="8" applyFont="1" applyFill="1" applyBorder="1" applyAlignment="1">
      <alignment horizontal="left"/>
    </xf>
    <xf numFmtId="37" fontId="4" fillId="0" borderId="63" xfId="8" quotePrefix="1" applyNumberFormat="1" applyFont="1" applyFill="1" applyBorder="1" applyAlignment="1">
      <alignment horizontal="left"/>
    </xf>
    <xf numFmtId="37" fontId="4" fillId="0" borderId="63" xfId="8" quotePrefix="1" applyNumberFormat="1" applyFont="1" applyFill="1" applyBorder="1" applyAlignment="1">
      <alignment horizontal="right"/>
    </xf>
    <xf numFmtId="0" fontId="9" fillId="0" borderId="63" xfId="0" applyFont="1" applyFill="1" applyBorder="1" applyAlignment="1">
      <alignment horizontal="left"/>
    </xf>
    <xf numFmtId="38" fontId="9" fillId="0" borderId="64" xfId="0" applyNumberFormat="1" applyFont="1" applyFill="1" applyBorder="1"/>
    <xf numFmtId="0" fontId="0" fillId="0" borderId="29" xfId="0" applyFill="1" applyBorder="1"/>
    <xf numFmtId="37" fontId="9" fillId="0" borderId="63" xfId="8" quotePrefix="1" applyNumberFormat="1" applyFont="1" applyFill="1" applyBorder="1" applyAlignment="1">
      <alignment horizontal="left"/>
    </xf>
    <xf numFmtId="0" fontId="0" fillId="0" borderId="29" xfId="0" applyBorder="1" applyAlignment="1">
      <alignment horizontal="left"/>
    </xf>
    <xf numFmtId="41" fontId="0" fillId="0" borderId="63" xfId="0" applyNumberFormat="1" applyFill="1" applyBorder="1"/>
    <xf numFmtId="0" fontId="9" fillId="3" borderId="63" xfId="0" applyFont="1" applyFill="1" applyBorder="1" applyAlignment="1">
      <alignment horizontal="left"/>
    </xf>
    <xf numFmtId="164" fontId="4" fillId="0" borderId="63" xfId="5" quotePrefix="1" applyNumberFormat="1" applyFont="1" applyFill="1" applyBorder="1" applyAlignment="1">
      <alignment horizontal="left"/>
    </xf>
    <xf numFmtId="37" fontId="4" fillId="0" borderId="63" xfId="0" applyNumberFormat="1" applyFont="1" applyFill="1" applyBorder="1"/>
    <xf numFmtId="38" fontId="4" fillId="0" borderId="63" xfId="0" quotePrefix="1" applyNumberFormat="1" applyFont="1" applyFill="1" applyBorder="1"/>
    <xf numFmtId="38" fontId="0" fillId="0" borderId="0" xfId="0" applyNumberFormat="1"/>
    <xf numFmtId="0" fontId="68" fillId="14" borderId="24" xfId="0" applyFont="1" applyFill="1" applyBorder="1" applyAlignment="1">
      <alignment horizontal="center" vertical="center"/>
    </xf>
    <xf numFmtId="0" fontId="68" fillId="14" borderId="21" xfId="0" applyFont="1" applyFill="1" applyBorder="1" applyAlignment="1"/>
    <xf numFmtId="0" fontId="68" fillId="14" borderId="22" xfId="0" applyFont="1" applyFill="1" applyBorder="1" applyAlignment="1"/>
    <xf numFmtId="0" fontId="52" fillId="0" borderId="0" xfId="0" applyFont="1" applyBorder="1" applyAlignment="1">
      <alignment vertical="center"/>
    </xf>
    <xf numFmtId="0" fontId="52" fillId="0" borderId="0" xfId="0" applyFont="1" applyBorder="1" applyAlignment="1">
      <alignment horizontal="center" vertical="center"/>
    </xf>
    <xf numFmtId="0" fontId="10" fillId="0" borderId="0" xfId="0" applyFont="1" applyBorder="1" applyAlignment="1">
      <alignment horizontal="center" wrapText="1"/>
    </xf>
    <xf numFmtId="0" fontId="9" fillId="0" borderId="65" xfId="0" applyFont="1" applyFill="1" applyBorder="1" applyAlignment="1">
      <alignment horizontal="left" vertical="top" wrapText="1"/>
    </xf>
    <xf numFmtId="37" fontId="9" fillId="0" borderId="63" xfId="0" applyNumberFormat="1" applyFont="1" applyFill="1" applyBorder="1" applyAlignment="1">
      <alignment vertical="top"/>
    </xf>
    <xf numFmtId="10" fontId="9" fillId="0" borderId="63" xfId="3" applyNumberFormat="1" applyFont="1" applyFill="1" applyBorder="1" applyAlignment="1">
      <alignment vertical="top"/>
    </xf>
    <xf numFmtId="0" fontId="0" fillId="0" borderId="63" xfId="0" applyBorder="1" applyAlignment="1">
      <alignment vertical="top"/>
    </xf>
    <xf numFmtId="0" fontId="0" fillId="0" borderId="0" xfId="0" applyAlignment="1">
      <alignment vertical="center"/>
    </xf>
    <xf numFmtId="0" fontId="4" fillId="0" borderId="63" xfId="0" applyFont="1" applyBorder="1" applyAlignment="1">
      <alignment vertical="top"/>
    </xf>
    <xf numFmtId="37" fontId="0" fillId="0" borderId="0" xfId="0" applyNumberFormat="1" applyAlignment="1">
      <alignment vertical="center"/>
    </xf>
    <xf numFmtId="0" fontId="4" fillId="0" borderId="63" xfId="0" applyFont="1" applyBorder="1" applyAlignment="1">
      <alignment vertical="top" wrapText="1"/>
    </xf>
    <xf numFmtId="0" fontId="0" fillId="0" borderId="0" xfId="0" applyBorder="1" applyAlignment="1">
      <alignment horizontal="center"/>
    </xf>
    <xf numFmtId="17" fontId="0" fillId="0" borderId="0" xfId="0" applyNumberFormat="1"/>
    <xf numFmtId="164" fontId="0" fillId="0" borderId="0" xfId="5" applyNumberFormat="1" applyFont="1" applyAlignment="1">
      <alignment horizontal="left"/>
    </xf>
    <xf numFmtId="164" fontId="0" fillId="0" borderId="0" xfId="0" applyNumberFormat="1" applyAlignment="1">
      <alignment horizontal="left"/>
    </xf>
    <xf numFmtId="0" fontId="58" fillId="0" borderId="0" xfId="0" applyFont="1" applyFill="1"/>
    <xf numFmtId="0" fontId="130" fillId="0" borderId="0" xfId="0" applyFont="1" applyFill="1"/>
    <xf numFmtId="3" fontId="4" fillId="0" borderId="0" xfId="0" applyNumberFormat="1" applyFont="1"/>
    <xf numFmtId="0" fontId="52" fillId="0" borderId="0" xfId="0" applyFont="1" applyFill="1" applyAlignment="1">
      <alignment horizontal="centerContinuous"/>
    </xf>
    <xf numFmtId="0" fontId="52" fillId="0" borderId="0" xfId="0" applyFont="1" applyAlignment="1"/>
    <xf numFmtId="0" fontId="74" fillId="0" borderId="0" xfId="12"/>
    <xf numFmtId="0" fontId="131" fillId="0" borderId="0" xfId="12" applyFont="1"/>
    <xf numFmtId="0" fontId="132" fillId="15" borderId="63" xfId="12" applyFont="1" applyFill="1" applyBorder="1" applyAlignment="1" applyProtection="1">
      <alignment horizontal="center" vertical="center"/>
    </xf>
    <xf numFmtId="0" fontId="132" fillId="15" borderId="63" xfId="12" applyFont="1" applyFill="1" applyBorder="1" applyAlignment="1" applyProtection="1">
      <alignment vertical="center"/>
    </xf>
    <xf numFmtId="0" fontId="133" fillId="0" borderId="63" xfId="12" applyFont="1" applyFill="1" applyBorder="1" applyAlignment="1" applyProtection="1">
      <alignment horizontal="right" vertical="center" wrapText="1"/>
    </xf>
    <xf numFmtId="191" fontId="134" fillId="0" borderId="63" xfId="12" applyNumberFormat="1" applyFont="1" applyFill="1" applyBorder="1" applyAlignment="1" applyProtection="1">
      <alignment vertical="center" wrapText="1"/>
    </xf>
    <xf numFmtId="0" fontId="133" fillId="0" borderId="63" xfId="12" applyFont="1" applyFill="1" applyBorder="1" applyAlignment="1" applyProtection="1">
      <alignment vertical="center" wrapText="1"/>
    </xf>
    <xf numFmtId="191" fontId="133" fillId="0" borderId="63" xfId="12" applyNumberFormat="1" applyFont="1" applyFill="1" applyBorder="1" applyAlignment="1" applyProtection="1">
      <alignment horizontal="right" vertical="center" wrapText="1"/>
    </xf>
    <xf numFmtId="191" fontId="133" fillId="13" borderId="63" xfId="12" applyNumberFormat="1" applyFont="1" applyFill="1" applyBorder="1" applyAlignment="1" applyProtection="1">
      <alignment horizontal="right" vertical="center" wrapText="1"/>
    </xf>
    <xf numFmtId="191" fontId="133" fillId="0" borderId="63" xfId="12" applyNumberFormat="1" applyFont="1" applyFill="1" applyBorder="1" applyAlignment="1" applyProtection="1">
      <alignment vertical="center" wrapText="1"/>
    </xf>
    <xf numFmtId="0" fontId="133" fillId="6" borderId="63" xfId="12" applyFont="1" applyFill="1" applyBorder="1" applyAlignment="1" applyProtection="1">
      <alignment horizontal="right" vertical="center" wrapText="1"/>
    </xf>
    <xf numFmtId="0" fontId="133" fillId="6" borderId="63" xfId="12" applyFont="1" applyFill="1" applyBorder="1" applyAlignment="1" applyProtection="1">
      <alignment vertical="center" wrapText="1"/>
    </xf>
    <xf numFmtId="0" fontId="4" fillId="16" borderId="63" xfId="0" applyFont="1" applyFill="1" applyBorder="1"/>
    <xf numFmtId="10" fontId="10" fillId="16" borderId="63" xfId="3" applyNumberFormat="1" applyFont="1" applyFill="1" applyBorder="1"/>
    <xf numFmtId="38" fontId="10" fillId="16" borderId="63" xfId="0" applyNumberFormat="1" applyFont="1" applyFill="1" applyBorder="1"/>
    <xf numFmtId="0" fontId="4" fillId="16" borderId="63" xfId="0" applyFont="1" applyFill="1" applyBorder="1" applyAlignment="1">
      <alignment vertical="top"/>
    </xf>
    <xf numFmtId="38" fontId="10" fillId="16" borderId="63" xfId="0" applyNumberFormat="1" applyFont="1" applyFill="1" applyBorder="1" applyAlignment="1">
      <alignment vertical="top"/>
    </xf>
    <xf numFmtId="0" fontId="0" fillId="16" borderId="63" xfId="0" applyFill="1" applyBorder="1" applyAlignment="1">
      <alignment horizontal="left"/>
    </xf>
    <xf numFmtId="0" fontId="0" fillId="16" borderId="65" xfId="3" applyNumberFormat="1" applyFont="1" applyFill="1" applyBorder="1" applyAlignment="1">
      <alignment horizontal="center"/>
    </xf>
    <xf numFmtId="0" fontId="9" fillId="16" borderId="63" xfId="0" applyFont="1" applyFill="1" applyBorder="1" applyAlignment="1">
      <alignment horizontal="left"/>
    </xf>
    <xf numFmtId="38" fontId="4" fillId="16" borderId="63" xfId="0" quotePrefix="1" applyNumberFormat="1" applyFont="1" applyFill="1" applyBorder="1" applyAlignment="1">
      <alignment horizontal="left"/>
    </xf>
    <xf numFmtId="0" fontId="4" fillId="16" borderId="63" xfId="0" applyFont="1" applyFill="1" applyBorder="1" applyAlignment="1">
      <alignment horizontal="center"/>
    </xf>
    <xf numFmtId="37" fontId="4" fillId="16" borderId="63" xfId="0" quotePrefix="1" applyNumberFormat="1" applyFont="1" applyFill="1" applyBorder="1" applyAlignment="1">
      <alignment horizontal="left" vertical="top"/>
    </xf>
    <xf numFmtId="0" fontId="4" fillId="16" borderId="63" xfId="0" applyFont="1" applyFill="1" applyBorder="1" applyAlignment="1">
      <alignment horizontal="center" vertical="top"/>
    </xf>
    <xf numFmtId="0" fontId="9" fillId="16" borderId="63" xfId="0" applyFont="1" applyFill="1" applyBorder="1" applyAlignment="1">
      <alignment horizontal="left" vertical="top"/>
    </xf>
    <xf numFmtId="38" fontId="4" fillId="16" borderId="63" xfId="0" quotePrefix="1" applyNumberFormat="1" applyFont="1" applyFill="1" applyBorder="1"/>
    <xf numFmtId="0" fontId="0" fillId="16" borderId="63" xfId="3" applyNumberFormat="1" applyFont="1" applyFill="1" applyBorder="1" applyAlignment="1">
      <alignment horizontal="center"/>
    </xf>
    <xf numFmtId="37" fontId="0" fillId="16" borderId="8" xfId="0" applyNumberFormat="1" applyFill="1" applyBorder="1"/>
    <xf numFmtId="37" fontId="0" fillId="16" borderId="63" xfId="0" applyNumberFormat="1" applyFill="1" applyBorder="1"/>
    <xf numFmtId="37" fontId="0" fillId="16" borderId="29" xfId="0" applyNumberFormat="1" applyFill="1" applyBorder="1"/>
    <xf numFmtId="37" fontId="4" fillId="16" borderId="8" xfId="8" quotePrefix="1" applyNumberFormat="1" applyFont="1" applyFill="1" applyBorder="1" applyAlignment="1">
      <alignment horizontal="left"/>
    </xf>
    <xf numFmtId="37" fontId="4" fillId="16" borderId="8" xfId="8" quotePrefix="1" applyNumberFormat="1" applyFont="1" applyFill="1" applyBorder="1" applyAlignment="1">
      <alignment horizontal="right"/>
    </xf>
    <xf numFmtId="37" fontId="4" fillId="16" borderId="63" xfId="8" quotePrefix="1" applyNumberFormat="1" applyFont="1" applyFill="1" applyBorder="1" applyAlignment="1">
      <alignment horizontal="left"/>
    </xf>
    <xf numFmtId="37" fontId="4" fillId="16" borderId="63" xfId="8" quotePrefix="1" applyNumberFormat="1" applyFont="1" applyFill="1" applyBorder="1" applyAlignment="1">
      <alignment horizontal="right"/>
    </xf>
    <xf numFmtId="37" fontId="9" fillId="16" borderId="29" xfId="0" applyNumberFormat="1" applyFont="1" applyFill="1" applyBorder="1"/>
    <xf numFmtId="164" fontId="4" fillId="16" borderId="63" xfId="5" quotePrefix="1" applyNumberFormat="1" applyFont="1" applyFill="1" applyBorder="1" applyAlignment="1">
      <alignment horizontal="left"/>
    </xf>
    <xf numFmtId="37" fontId="4" fillId="16" borderId="63" xfId="0" applyNumberFormat="1" applyFont="1" applyFill="1" applyBorder="1"/>
    <xf numFmtId="38" fontId="9" fillId="16" borderId="64" xfId="0" applyNumberFormat="1" applyFont="1" applyFill="1" applyBorder="1"/>
    <xf numFmtId="37" fontId="9" fillId="16" borderId="63" xfId="8" quotePrefix="1" applyNumberFormat="1" applyFont="1" applyFill="1" applyBorder="1" applyAlignment="1">
      <alignment horizontal="left"/>
    </xf>
    <xf numFmtId="0" fontId="9" fillId="16" borderId="8" xfId="0" applyFont="1" applyFill="1" applyBorder="1" applyAlignment="1">
      <alignment horizontal="left"/>
    </xf>
    <xf numFmtId="38" fontId="9" fillId="16" borderId="9" xfId="0" applyNumberFormat="1" applyFont="1" applyFill="1" applyBorder="1"/>
    <xf numFmtId="0" fontId="9" fillId="16" borderId="63" xfId="0" applyFont="1" applyFill="1" applyBorder="1"/>
    <xf numFmtId="0" fontId="9" fillId="16" borderId="63" xfId="0" applyFont="1" applyFill="1" applyBorder="1" applyAlignment="1">
      <alignment vertical="top" wrapText="1"/>
    </xf>
    <xf numFmtId="37" fontId="18" fillId="0" borderId="0" xfId="0" applyNumberFormat="1" applyFont="1" applyFill="1" applyBorder="1"/>
    <xf numFmtId="37" fontId="3" fillId="0" borderId="78" xfId="13" applyNumberFormat="1" applyFont="1" applyFill="1" applyBorder="1" applyAlignment="1">
      <alignment horizontal="right"/>
    </xf>
    <xf numFmtId="37" fontId="7" fillId="0" borderId="78" xfId="13" applyNumberFormat="1" applyFont="1" applyFill="1" applyBorder="1" applyAlignment="1">
      <alignment horizontal="right"/>
    </xf>
    <xf numFmtId="0" fontId="52" fillId="0" borderId="0" xfId="0" applyFont="1"/>
    <xf numFmtId="177" fontId="4" fillId="3" borderId="65" xfId="9" applyNumberFormat="1" applyFont="1" applyFill="1" applyBorder="1" applyAlignment="1" applyProtection="1">
      <alignment horizontal="center"/>
      <protection locked="0"/>
    </xf>
    <xf numFmtId="178" fontId="4" fillId="3" borderId="75" xfId="9" applyNumberFormat="1" applyFont="1" applyFill="1" applyBorder="1" applyAlignment="1" applyProtection="1">
      <alignment horizontal="center"/>
      <protection locked="0"/>
    </xf>
    <xf numFmtId="177" fontId="0" fillId="3" borderId="75" xfId="9" applyNumberFormat="1" applyFont="1" applyFill="1" applyBorder="1" applyAlignment="1" applyProtection="1">
      <protection locked="0"/>
    </xf>
    <xf numFmtId="177" fontId="4" fillId="3" borderId="77" xfId="9" applyNumberFormat="1" applyFont="1" applyFill="1" applyBorder="1" applyAlignment="1" applyProtection="1">
      <alignment vertical="top"/>
      <protection locked="0"/>
    </xf>
    <xf numFmtId="0" fontId="4" fillId="3" borderId="63" xfId="8" applyFont="1" applyFill="1" applyBorder="1" applyAlignment="1">
      <alignment horizontal="left" vertical="top" wrapText="1"/>
    </xf>
    <xf numFmtId="0" fontId="43" fillId="0" borderId="65" xfId="8" applyFont="1" applyFill="1" applyBorder="1" applyAlignment="1">
      <alignment horizontal="left"/>
    </xf>
    <xf numFmtId="0" fontId="43" fillId="0" borderId="75" xfId="8" applyFont="1" applyFill="1" applyBorder="1" applyAlignment="1">
      <alignment horizontal="left"/>
    </xf>
    <xf numFmtId="0" fontId="43" fillId="0" borderId="77" xfId="8" applyFont="1" applyFill="1" applyBorder="1" applyAlignment="1">
      <alignment horizontal="left"/>
    </xf>
    <xf numFmtId="37" fontId="4" fillId="0" borderId="63" xfId="8" applyNumberFormat="1" applyFont="1" applyFill="1" applyBorder="1" applyAlignment="1">
      <alignment wrapText="1"/>
    </xf>
    <xf numFmtId="0" fontId="43" fillId="0" borderId="63" xfId="8" applyFont="1" applyFill="1" applyBorder="1" applyAlignment="1"/>
    <xf numFmtId="177" fontId="52" fillId="3" borderId="65" xfId="9" applyNumberFormat="1" applyFont="1" applyFill="1" applyBorder="1" applyAlignment="1" applyProtection="1">
      <alignment horizontal="left"/>
      <protection locked="0"/>
    </xf>
    <xf numFmtId="177" fontId="52" fillId="3" borderId="75" xfId="9" applyNumberFormat="1" applyFont="1" applyFill="1" applyBorder="1" applyAlignment="1" applyProtection="1">
      <alignment horizontal="left"/>
      <protection locked="0"/>
    </xf>
    <xf numFmtId="177" fontId="4" fillId="3" borderId="75" xfId="9" applyNumberFormat="1" applyFont="1" applyFill="1" applyBorder="1" applyAlignment="1" applyProtection="1">
      <protection locked="0"/>
    </xf>
    <xf numFmtId="177" fontId="4" fillId="3" borderId="77" xfId="9" applyNumberFormat="1" applyFont="1" applyFill="1" applyBorder="1" applyAlignment="1" applyProtection="1">
      <protection locked="0"/>
    </xf>
    <xf numFmtId="37" fontId="4" fillId="3" borderId="63" xfId="8" applyNumberFormat="1" applyFont="1" applyFill="1" applyBorder="1" applyAlignment="1">
      <alignment wrapText="1"/>
    </xf>
    <xf numFmtId="0" fontId="4" fillId="3" borderId="63" xfId="8" applyFont="1" applyFill="1" applyBorder="1" applyAlignment="1">
      <alignment horizontal="left"/>
    </xf>
    <xf numFmtId="37" fontId="56" fillId="3" borderId="63" xfId="8" applyNumberFormat="1" applyFont="1" applyFill="1" applyBorder="1" applyAlignment="1">
      <alignment wrapText="1"/>
    </xf>
    <xf numFmtId="0" fontId="0" fillId="3" borderId="63" xfId="8" applyFont="1" applyFill="1" applyBorder="1" applyAlignment="1">
      <alignment horizontal="left" vertical="top" wrapText="1"/>
    </xf>
    <xf numFmtId="37" fontId="57" fillId="3" borderId="75" xfId="8" applyNumberFormat="1" applyFont="1" applyFill="1" applyBorder="1" applyAlignment="1"/>
    <xf numFmtId="37" fontId="9" fillId="3" borderId="63" xfId="8" applyNumberFormat="1" applyFont="1" applyFill="1" applyBorder="1" applyAlignment="1">
      <alignment wrapText="1"/>
    </xf>
    <xf numFmtId="177" fontId="0" fillId="3" borderId="75" xfId="9" applyNumberFormat="1" applyFont="1" applyFill="1" applyBorder="1" applyAlignment="1" applyProtection="1">
      <alignment horizontal="left"/>
      <protection locked="0"/>
    </xf>
    <xf numFmtId="0" fontId="57" fillId="3" borderId="63" xfId="8" applyFont="1" applyFill="1" applyBorder="1" applyAlignment="1">
      <alignment horizontal="left" vertical="top" wrapText="1"/>
    </xf>
    <xf numFmtId="178" fontId="4" fillId="3" borderId="75" xfId="9" applyNumberFormat="1" applyFont="1" applyFill="1" applyBorder="1" applyAlignment="1" applyProtection="1">
      <alignment horizontal="left"/>
      <protection locked="0"/>
    </xf>
    <xf numFmtId="0" fontId="4" fillId="0" borderId="65" xfId="8" applyFont="1" applyFill="1" applyBorder="1" applyAlignment="1"/>
    <xf numFmtId="0" fontId="4" fillId="0" borderId="75" xfId="8" applyFont="1" applyFill="1" applyBorder="1" applyAlignment="1"/>
    <xf numFmtId="177" fontId="4" fillId="0" borderId="75" xfId="9" applyNumberFormat="1" applyFont="1" applyFill="1" applyBorder="1" applyAlignment="1" applyProtection="1">
      <alignment horizontal="left"/>
      <protection locked="0"/>
    </xf>
    <xf numFmtId="177" fontId="4" fillId="0" borderId="77" xfId="9" applyNumberFormat="1" applyFont="1" applyFill="1" applyBorder="1" applyAlignment="1" applyProtection="1">
      <alignment horizontal="left"/>
      <protection locked="0"/>
    </xf>
    <xf numFmtId="0" fontId="57" fillId="0" borderId="63" xfId="8" applyFont="1" applyFill="1" applyBorder="1" applyAlignment="1">
      <alignment wrapText="1"/>
    </xf>
    <xf numFmtId="0" fontId="52" fillId="0" borderId="65" xfId="8" applyFont="1" applyFill="1" applyBorder="1" applyAlignment="1"/>
    <xf numFmtId="0" fontId="52" fillId="0" borderId="75" xfId="8" applyFont="1" applyFill="1" applyBorder="1" applyAlignment="1"/>
    <xf numFmtId="0" fontId="4" fillId="0" borderId="77" xfId="8" applyFont="1" applyFill="1" applyBorder="1" applyAlignment="1"/>
    <xf numFmtId="0" fontId="52" fillId="0" borderId="29" xfId="8" applyFont="1" applyFill="1" applyBorder="1" applyAlignment="1"/>
    <xf numFmtId="0" fontId="52" fillId="0" borderId="30" xfId="8" applyFont="1" applyFill="1" applyBorder="1" applyAlignment="1"/>
    <xf numFmtId="0" fontId="4" fillId="0" borderId="20" xfId="8" applyFont="1" applyFill="1" applyBorder="1" applyAlignment="1"/>
    <xf numFmtId="0" fontId="4" fillId="0" borderId="30" xfId="8" applyFont="1" applyFill="1" applyBorder="1" applyAlignment="1"/>
    <xf numFmtId="0" fontId="4" fillId="0" borderId="63" xfId="8" applyFont="1" applyFill="1" applyBorder="1" applyAlignment="1">
      <alignment wrapText="1"/>
    </xf>
    <xf numFmtId="0" fontId="52" fillId="0" borderId="31" xfId="8" applyFont="1" applyFill="1" applyBorder="1" applyAlignment="1"/>
    <xf numFmtId="0" fontId="52" fillId="0" borderId="32" xfId="8" applyFont="1" applyFill="1" applyBorder="1" applyAlignment="1"/>
    <xf numFmtId="0" fontId="52" fillId="0" borderId="79" xfId="8" applyFont="1" applyFill="1" applyBorder="1" applyAlignment="1"/>
    <xf numFmtId="0" fontId="4" fillId="0" borderId="66" xfId="8" applyFont="1" applyFill="1" applyBorder="1" applyAlignment="1">
      <alignment wrapText="1"/>
    </xf>
    <xf numFmtId="37" fontId="4" fillId="0" borderId="66" xfId="8" applyNumberFormat="1" applyFont="1" applyFill="1" applyBorder="1" applyAlignment="1">
      <alignment wrapText="1"/>
    </xf>
    <xf numFmtId="37" fontId="4" fillId="0" borderId="66" xfId="8" applyNumberFormat="1" applyFont="1" applyFill="1" applyBorder="1" applyAlignment="1">
      <alignment horizontal="center" wrapText="1"/>
    </xf>
    <xf numFmtId="0" fontId="4" fillId="0" borderId="80" xfId="8" applyFont="1" applyFill="1" applyBorder="1" applyAlignment="1">
      <alignment horizontal="center" wrapText="1"/>
    </xf>
    <xf numFmtId="0" fontId="52" fillId="0" borderId="65" xfId="10" applyFont="1" applyFill="1" applyBorder="1" applyAlignment="1">
      <alignment horizontal="left"/>
    </xf>
    <xf numFmtId="0" fontId="52" fillId="0" borderId="75" xfId="10" applyFont="1" applyFill="1" applyBorder="1" applyAlignment="1">
      <alignment horizontal="left"/>
    </xf>
    <xf numFmtId="0" fontId="52" fillId="0" borderId="75" xfId="10" applyFont="1" applyFill="1" applyBorder="1" applyAlignment="1">
      <alignment horizontal="left" wrapText="1"/>
    </xf>
    <xf numFmtId="0" fontId="52" fillId="0" borderId="63" xfId="10" applyFont="1" applyFill="1" applyBorder="1" applyAlignment="1">
      <alignment wrapText="1"/>
    </xf>
    <xf numFmtId="37" fontId="57" fillId="0" borderId="63" xfId="8" applyNumberFormat="1" applyFont="1" applyFill="1" applyBorder="1" applyAlignment="1">
      <alignment wrapText="1"/>
    </xf>
    <xf numFmtId="0" fontId="52" fillId="0" borderId="63" xfId="8" applyFont="1" applyFill="1" applyBorder="1" applyAlignment="1">
      <alignment wrapText="1"/>
    </xf>
    <xf numFmtId="0" fontId="52" fillId="3" borderId="65" xfId="10" applyFont="1" applyFill="1" applyBorder="1" applyAlignment="1">
      <alignment horizontal="left"/>
    </xf>
    <xf numFmtId="0" fontId="52" fillId="3" borderId="75" xfId="10" applyFont="1" applyFill="1" applyBorder="1" applyAlignment="1">
      <alignment horizontal="left"/>
    </xf>
    <xf numFmtId="0" fontId="52" fillId="3" borderId="75" xfId="10" applyFont="1" applyFill="1" applyBorder="1" applyAlignment="1">
      <alignment horizontal="left" wrapText="1"/>
    </xf>
    <xf numFmtId="0" fontId="52" fillId="3" borderId="63" xfId="10" applyFont="1" applyFill="1" applyBorder="1" applyAlignment="1">
      <alignment wrapText="1"/>
    </xf>
    <xf numFmtId="0" fontId="4" fillId="3" borderId="63" xfId="8" applyFont="1" applyFill="1" applyBorder="1" applyAlignment="1">
      <alignment wrapText="1"/>
    </xf>
    <xf numFmtId="37" fontId="9" fillId="3" borderId="63" xfId="8" applyNumberFormat="1" applyFont="1" applyFill="1" applyBorder="1" applyAlignment="1"/>
    <xf numFmtId="0" fontId="4" fillId="3" borderId="63" xfId="8" applyNumberFormat="1" applyFont="1" applyFill="1" applyBorder="1" applyAlignment="1">
      <alignment horizontal="left" vertical="top" wrapText="1"/>
    </xf>
    <xf numFmtId="177" fontId="4" fillId="3" borderId="65" xfId="9" applyNumberFormat="1" applyFont="1" applyFill="1" applyBorder="1" applyAlignment="1" applyProtection="1">
      <alignment horizontal="left"/>
      <protection locked="0"/>
    </xf>
    <xf numFmtId="0" fontId="4" fillId="0" borderId="65" xfId="8" applyFont="1" applyFill="1" applyBorder="1" applyAlignment="1">
      <alignment horizontal="center"/>
    </xf>
    <xf numFmtId="0" fontId="4" fillId="0" borderId="75" xfId="8" applyFont="1" applyFill="1" applyBorder="1" applyAlignment="1">
      <alignment horizontal="center"/>
    </xf>
    <xf numFmtId="0" fontId="4" fillId="0" borderId="77" xfId="8" applyFont="1" applyFill="1" applyBorder="1" applyAlignment="1">
      <alignment horizontal="center"/>
    </xf>
    <xf numFmtId="0" fontId="4" fillId="0" borderId="77" xfId="8" applyFont="1" applyFill="1" applyBorder="1"/>
    <xf numFmtId="37" fontId="4" fillId="0" borderId="63" xfId="8" applyNumberFormat="1" applyFont="1" applyFill="1" applyBorder="1" applyAlignment="1"/>
    <xf numFmtId="37" fontId="57" fillId="0" borderId="63" xfId="8" applyNumberFormat="1" applyFont="1" applyFill="1" applyBorder="1" applyAlignment="1"/>
    <xf numFmtId="0" fontId="4" fillId="0" borderId="66" xfId="8" applyFont="1" applyFill="1" applyBorder="1"/>
    <xf numFmtId="0" fontId="4" fillId="0" borderId="66" xfId="8" applyFont="1" applyFill="1" applyBorder="1" applyAlignment="1"/>
    <xf numFmtId="0" fontId="4" fillId="0" borderId="66" xfId="8" applyFont="1" applyFill="1" applyBorder="1" applyAlignment="1">
      <alignment horizontal="center"/>
    </xf>
    <xf numFmtId="0" fontId="4" fillId="0" borderId="80" xfId="8" applyFont="1" applyFill="1" applyBorder="1" applyAlignment="1">
      <alignment horizontal="center"/>
    </xf>
    <xf numFmtId="0" fontId="43" fillId="0" borderId="65" xfId="10" applyFont="1" applyFill="1" applyBorder="1" applyAlignment="1">
      <alignment horizontal="left"/>
    </xf>
    <xf numFmtId="0" fontId="43" fillId="0" borderId="75" xfId="10" applyFont="1" applyFill="1" applyBorder="1" applyAlignment="1">
      <alignment horizontal="left"/>
    </xf>
    <xf numFmtId="0" fontId="43" fillId="0" borderId="75" xfId="10" applyFont="1" applyFill="1" applyBorder="1" applyAlignment="1">
      <alignment horizontal="left" wrapText="1"/>
    </xf>
    <xf numFmtId="0" fontId="43" fillId="0" borderId="77" xfId="10" applyFont="1" applyFill="1" applyBorder="1" applyAlignment="1">
      <alignment horizontal="left" wrapText="1"/>
    </xf>
    <xf numFmtId="0" fontId="60" fillId="0" borderId="63" xfId="10" applyFont="1" applyFill="1" applyBorder="1" applyAlignment="1">
      <alignment wrapText="1"/>
    </xf>
    <xf numFmtId="0" fontId="43" fillId="0" borderId="63" xfId="8" applyFont="1" applyFill="1" applyBorder="1" applyAlignment="1">
      <alignment wrapText="1"/>
    </xf>
    <xf numFmtId="37" fontId="57" fillId="3" borderId="77" xfId="8" applyNumberFormat="1" applyFont="1" applyFill="1" applyBorder="1" applyAlignment="1">
      <alignment vertical="top"/>
    </xf>
    <xf numFmtId="177" fontId="4" fillId="3" borderId="75" xfId="9" quotePrefix="1" applyNumberFormat="1" applyFont="1" applyFill="1" applyBorder="1" applyAlignment="1" applyProtection="1">
      <alignment horizontal="center"/>
      <protection locked="0"/>
    </xf>
    <xf numFmtId="0" fontId="52" fillId="0" borderId="63" xfId="8" applyFont="1" applyFill="1" applyBorder="1" applyAlignment="1"/>
    <xf numFmtId="0" fontId="52" fillId="0" borderId="77" xfId="8" applyFont="1" applyFill="1" applyBorder="1" applyAlignment="1"/>
    <xf numFmtId="37" fontId="4" fillId="3" borderId="63" xfId="8" applyNumberFormat="1" applyFont="1" applyFill="1" applyBorder="1" applyAlignment="1"/>
    <xf numFmtId="0" fontId="52" fillId="0" borderId="76" xfId="8" applyFont="1" applyFill="1" applyBorder="1" applyAlignment="1"/>
    <xf numFmtId="0" fontId="52" fillId="0" borderId="80" xfId="8" applyFont="1" applyFill="1" applyBorder="1" applyAlignment="1"/>
    <xf numFmtId="0" fontId="4" fillId="0" borderId="80" xfId="8" applyFont="1" applyFill="1" applyBorder="1"/>
    <xf numFmtId="0" fontId="43" fillId="0" borderId="77" xfId="10" applyFont="1" applyFill="1" applyBorder="1" applyAlignment="1">
      <alignment horizontal="left"/>
    </xf>
    <xf numFmtId="38" fontId="4" fillId="0" borderId="63" xfId="8" applyNumberFormat="1" applyFont="1" applyFill="1" applyBorder="1" applyAlignment="1"/>
    <xf numFmtId="0" fontId="1" fillId="0" borderId="0" xfId="11" applyAlignment="1"/>
    <xf numFmtId="178" fontId="0" fillId="3" borderId="75" xfId="9" applyNumberFormat="1" applyFont="1" applyFill="1" applyBorder="1" applyAlignment="1" applyProtection="1">
      <alignment horizontal="center"/>
      <protection locked="0"/>
    </xf>
    <xf numFmtId="0" fontId="4" fillId="0" borderId="77" xfId="8" applyFont="1" applyFill="1" applyBorder="1" applyAlignment="1">
      <alignment horizontal="left" vertical="top" indent="1"/>
    </xf>
    <xf numFmtId="0" fontId="57" fillId="0" borderId="63" xfId="8" applyFont="1" applyFill="1" applyBorder="1" applyAlignment="1">
      <alignment vertical="top"/>
    </xf>
    <xf numFmtId="37" fontId="9" fillId="3" borderId="63" xfId="5" applyNumberFormat="1" applyFont="1" applyFill="1" applyBorder="1" applyAlignment="1">
      <alignment horizontal="right"/>
    </xf>
    <xf numFmtId="0" fontId="52" fillId="0" borderId="36" xfId="8" applyFont="1" applyFill="1" applyBorder="1" applyAlignment="1"/>
    <xf numFmtId="0" fontId="52" fillId="0" borderId="20" xfId="8" applyFont="1" applyFill="1" applyBorder="1" applyAlignment="1"/>
    <xf numFmtId="0" fontId="4" fillId="0" borderId="30" xfId="8" applyFont="1" applyFill="1" applyBorder="1"/>
    <xf numFmtId="37" fontId="4" fillId="0" borderId="63" xfId="5" applyNumberFormat="1" applyFont="1" applyFill="1" applyBorder="1" applyAlignment="1">
      <alignment horizontal="right"/>
    </xf>
    <xf numFmtId="0" fontId="52" fillId="0" borderId="0" xfId="8" applyFont="1" applyFill="1" applyBorder="1" applyAlignment="1"/>
    <xf numFmtId="0" fontId="4" fillId="0" borderId="35" xfId="8" applyFont="1" applyFill="1" applyBorder="1" applyAlignment="1">
      <alignment wrapText="1"/>
    </xf>
    <xf numFmtId="0" fontId="4" fillId="0" borderId="0" xfId="8" applyAlignment="1"/>
    <xf numFmtId="37" fontId="4" fillId="0" borderId="75" xfId="8" applyNumberFormat="1" applyFont="1" applyFill="1" applyBorder="1" applyAlignment="1"/>
    <xf numFmtId="0" fontId="43" fillId="0" borderId="0" xfId="8" applyFont="1" applyFill="1" applyAlignment="1"/>
    <xf numFmtId="37" fontId="52" fillId="0" borderId="63" xfId="5" applyNumberFormat="1" applyFont="1" applyFill="1" applyBorder="1" applyAlignment="1"/>
    <xf numFmtId="164" fontId="99" fillId="3" borderId="38" xfId="22" applyNumberFormat="1" applyFont="1" applyFill="1" applyBorder="1" applyAlignment="1">
      <alignment horizontal="center" vertical="center" wrapText="1"/>
    </xf>
    <xf numFmtId="164" fontId="99" fillId="3" borderId="0" xfId="22" applyNumberFormat="1" applyFont="1" applyFill="1" applyBorder="1" applyAlignment="1">
      <alignment horizontal="center" vertical="center" wrapText="1"/>
    </xf>
    <xf numFmtId="164" fontId="99" fillId="3" borderId="11" xfId="22" applyNumberFormat="1" applyFont="1" applyFill="1" applyBorder="1" applyAlignment="1">
      <alignment horizontal="center" vertical="center" wrapText="1"/>
    </xf>
    <xf numFmtId="164" fontId="99" fillId="3" borderId="1" xfId="22" applyNumberFormat="1" applyFont="1" applyFill="1" applyBorder="1" applyAlignment="1">
      <alignment horizontal="center" vertical="center" wrapText="1"/>
    </xf>
    <xf numFmtId="0" fontId="0" fillId="0" borderId="22" xfId="0" applyBorder="1" applyAlignment="1">
      <alignment horizontal="center" wrapText="1"/>
    </xf>
    <xf numFmtId="43" fontId="97" fillId="0" borderId="21" xfId="21" applyNumberFormat="1" applyFont="1" applyFill="1" applyBorder="1"/>
    <xf numFmtId="10" fontId="0" fillId="0" borderId="0" xfId="3" applyNumberFormat="1" applyFont="1"/>
    <xf numFmtId="43" fontId="99" fillId="3" borderId="39" xfId="21" applyNumberFormat="1" applyFont="1" applyFill="1" applyBorder="1"/>
    <xf numFmtId="0" fontId="0" fillId="0" borderId="79" xfId="0" applyBorder="1"/>
    <xf numFmtId="189" fontId="85" fillId="0" borderId="66" xfId="4" applyNumberFormat="1" applyFont="1" applyFill="1" applyBorder="1" applyAlignment="1">
      <alignment horizontal="center"/>
    </xf>
    <xf numFmtId="0" fontId="85" fillId="0" borderId="80" xfId="4" applyFont="1" applyFill="1" applyBorder="1" applyAlignment="1">
      <alignment horizontal="center"/>
    </xf>
    <xf numFmtId="164" fontId="0" fillId="0" borderId="0" xfId="0" applyNumberFormat="1"/>
    <xf numFmtId="0" fontId="4" fillId="0" borderId="0" xfId="8" applyFill="1" applyBorder="1" applyAlignment="1">
      <alignment horizontal="center"/>
    </xf>
    <xf numFmtId="37" fontId="4" fillId="0" borderId="0" xfId="8" applyNumberFormat="1" applyFill="1" applyBorder="1"/>
    <xf numFmtId="164" fontId="4" fillId="0" borderId="0" xfId="5" applyNumberFormat="1" applyFill="1" applyBorder="1"/>
    <xf numFmtId="37" fontId="52" fillId="0" borderId="65" xfId="5" applyNumberFormat="1" applyFont="1" applyFill="1" applyBorder="1" applyAlignment="1"/>
    <xf numFmtId="178" fontId="0" fillId="3" borderId="75" xfId="9" quotePrefix="1" applyNumberFormat="1" applyFont="1" applyFill="1" applyBorder="1" applyAlignment="1" applyProtection="1">
      <alignment horizontal="center"/>
      <protection locked="0"/>
    </xf>
    <xf numFmtId="0" fontId="0" fillId="0" borderId="63" xfId="0" applyFill="1" applyBorder="1"/>
    <xf numFmtId="0" fontId="135" fillId="0" borderId="0" xfId="0" applyFont="1"/>
    <xf numFmtId="164" fontId="97" fillId="0" borderId="21" xfId="21" applyNumberFormat="1" applyFont="1" applyFill="1" applyBorder="1" applyAlignment="1">
      <alignment horizontal="center"/>
    </xf>
    <xf numFmtId="43" fontId="3" fillId="0" borderId="0" xfId="5" applyFont="1" applyFill="1"/>
    <xf numFmtId="43" fontId="4" fillId="0" borderId="0" xfId="5" applyFont="1" applyFill="1"/>
    <xf numFmtId="0" fontId="3" fillId="0" borderId="0" xfId="5" applyNumberFormat="1" applyFont="1" applyFill="1"/>
    <xf numFmtId="37" fontId="136" fillId="3" borderId="2" xfId="38" quotePrefix="1" applyNumberFormat="1" applyFont="1" applyFill="1" applyBorder="1" applyAlignment="1" applyProtection="1">
      <alignment horizontal="right" vertical="center"/>
      <protection locked="0"/>
    </xf>
    <xf numFmtId="37" fontId="136" fillId="3" borderId="3" xfId="38" quotePrefix="1" applyNumberFormat="1" applyFont="1" applyFill="1" applyBorder="1" applyAlignment="1" applyProtection="1">
      <alignment horizontal="right" vertical="center"/>
      <protection locked="0"/>
    </xf>
    <xf numFmtId="37" fontId="136" fillId="3" borderId="55" xfId="38" quotePrefix="1" applyNumberFormat="1" applyFont="1" applyFill="1" applyBorder="1" applyAlignment="1" applyProtection="1">
      <alignment horizontal="right" vertical="center"/>
      <protection locked="0"/>
    </xf>
    <xf numFmtId="37" fontId="136" fillId="3" borderId="47" xfId="38" quotePrefix="1" applyNumberFormat="1" applyFont="1" applyFill="1" applyBorder="1" applyAlignment="1" applyProtection="1">
      <alignment horizontal="right" vertical="center"/>
      <protection locked="0"/>
    </xf>
    <xf numFmtId="37" fontId="136" fillId="3" borderId="38" xfId="38" quotePrefix="1" applyNumberFormat="1" applyFont="1" applyFill="1" applyBorder="1" applyAlignment="1" applyProtection="1">
      <alignment horizontal="right" vertical="center"/>
      <protection locked="0"/>
    </xf>
    <xf numFmtId="37" fontId="136" fillId="3" borderId="31" xfId="38" quotePrefix="1" applyNumberFormat="1" applyFont="1" applyFill="1" applyBorder="1" applyAlignment="1" applyProtection="1">
      <alignment horizontal="right" vertical="center"/>
      <protection locked="0"/>
    </xf>
    <xf numFmtId="37" fontId="136" fillId="3" borderId="53" xfId="38" quotePrefix="1" applyNumberFormat="1" applyFont="1" applyFill="1" applyBorder="1" applyAlignment="1" applyProtection="1">
      <alignment horizontal="right" vertical="center"/>
      <protection locked="0"/>
    </xf>
    <xf numFmtId="37" fontId="136" fillId="3" borderId="13" xfId="38" quotePrefix="1" applyNumberFormat="1" applyFont="1" applyFill="1" applyBorder="1" applyAlignment="1" applyProtection="1">
      <alignment horizontal="right" vertical="center"/>
      <protection locked="0"/>
    </xf>
    <xf numFmtId="37" fontId="136" fillId="3" borderId="11" xfId="38" quotePrefix="1" applyNumberFormat="1" applyFont="1" applyFill="1" applyBorder="1" applyAlignment="1" applyProtection="1">
      <alignment horizontal="right" vertical="center"/>
      <protection locked="0"/>
    </xf>
    <xf numFmtId="37" fontId="136" fillId="3" borderId="58" xfId="38" quotePrefix="1" applyNumberFormat="1" applyFont="1" applyFill="1" applyBorder="1" applyAlignment="1" applyProtection="1">
      <alignment horizontal="right" vertical="center"/>
      <protection locked="0"/>
    </xf>
    <xf numFmtId="37" fontId="136" fillId="3" borderId="12" xfId="38" quotePrefix="1" applyNumberFormat="1" applyFont="1" applyFill="1" applyBorder="1" applyAlignment="1" applyProtection="1">
      <alignment horizontal="right" vertical="center"/>
      <protection locked="0"/>
    </xf>
    <xf numFmtId="0" fontId="54" fillId="0" borderId="0" xfId="33" applyFont="1"/>
    <xf numFmtId="4" fontId="102" fillId="0" borderId="0" xfId="23" applyNumberFormat="1" applyFont="1"/>
    <xf numFmtId="37" fontId="4" fillId="0" borderId="0" xfId="8" applyNumberFormat="1" applyFont="1"/>
    <xf numFmtId="3" fontId="9" fillId="3" borderId="76" xfId="8" applyNumberFormat="1" applyFont="1" applyFill="1" applyBorder="1" applyAlignment="1">
      <alignment horizontal="right"/>
    </xf>
    <xf numFmtId="37" fontId="4" fillId="0" borderId="66" xfId="8" applyNumberFormat="1" applyFont="1" applyBorder="1" applyAlignment="1">
      <alignment horizontal="right" wrapText="1"/>
    </xf>
    <xf numFmtId="37" fontId="4" fillId="0" borderId="66" xfId="8" applyNumberFormat="1" applyFont="1" applyFill="1" applyBorder="1" applyAlignment="1">
      <alignment horizontal="right" wrapText="1"/>
    </xf>
    <xf numFmtId="191" fontId="133" fillId="17" borderId="63" xfId="12" applyNumberFormat="1" applyFont="1" applyFill="1" applyBorder="1" applyAlignment="1" applyProtection="1">
      <alignment horizontal="right" vertical="center" wrapText="1"/>
    </xf>
    <xf numFmtId="185" fontId="4" fillId="0" borderId="0" xfId="8" applyNumberFormat="1" applyFont="1" applyFill="1" applyAlignment="1">
      <alignment vertical="center"/>
    </xf>
    <xf numFmtId="178" fontId="0" fillId="3" borderId="75" xfId="9" applyNumberFormat="1" applyFont="1" applyFill="1" applyBorder="1" applyAlignment="1" applyProtection="1">
      <alignment horizontal="left"/>
      <protection locked="0"/>
    </xf>
    <xf numFmtId="177" fontId="0" fillId="3" borderId="75" xfId="9" quotePrefix="1" applyNumberFormat="1" applyFont="1" applyFill="1" applyBorder="1" applyAlignment="1" applyProtection="1">
      <alignment horizontal="left"/>
      <protection locked="0"/>
    </xf>
    <xf numFmtId="38" fontId="4" fillId="3" borderId="63" xfId="8" applyNumberFormat="1" applyFont="1" applyFill="1" applyBorder="1" applyAlignment="1"/>
    <xf numFmtId="37" fontId="4" fillId="0" borderId="0" xfId="8" applyNumberFormat="1" applyFill="1" applyAlignment="1"/>
    <xf numFmtId="186" fontId="97" fillId="0" borderId="21" xfId="21" applyNumberFormat="1" applyFont="1" applyFill="1" applyBorder="1"/>
    <xf numFmtId="186" fontId="97" fillId="0" borderId="22" xfId="21" applyNumberFormat="1" applyFont="1" applyFill="1" applyBorder="1"/>
    <xf numFmtId="43" fontId="97" fillId="0" borderId="0" xfId="21" applyNumberFormat="1" applyFont="1" applyFill="1"/>
    <xf numFmtId="193" fontId="99" fillId="3" borderId="38" xfId="20" applyNumberFormat="1" applyFont="1" applyFill="1" applyBorder="1" applyAlignment="1">
      <alignment horizontal="center"/>
    </xf>
    <xf numFmtId="193" fontId="97" fillId="0" borderId="2" xfId="20" applyNumberFormat="1" applyFont="1" applyBorder="1"/>
    <xf numFmtId="193" fontId="97" fillId="0" borderId="47" xfId="20" applyNumberFormat="1" applyFont="1" applyBorder="1"/>
    <xf numFmtId="164" fontId="97" fillId="0" borderId="38" xfId="22" applyNumberFormat="1" applyFont="1" applyFill="1" applyBorder="1"/>
    <xf numFmtId="164" fontId="99" fillId="3" borderId="5" xfId="21" applyNumberFormat="1" applyFont="1" applyFill="1" applyBorder="1" applyAlignment="1">
      <alignment horizontal="center" wrapText="1"/>
    </xf>
    <xf numFmtId="43" fontId="99" fillId="3" borderId="38" xfId="21" applyNumberFormat="1" applyFont="1" applyFill="1" applyBorder="1"/>
    <xf numFmtId="43" fontId="99" fillId="3" borderId="11" xfId="21" applyNumberFormat="1" applyFont="1" applyFill="1" applyBorder="1"/>
    <xf numFmtId="43" fontId="97" fillId="0" borderId="0" xfId="20" applyNumberFormat="1" applyFont="1" applyFill="1"/>
    <xf numFmtId="164" fontId="99" fillId="3" borderId="3" xfId="21" applyNumberFormat="1" applyFont="1" applyFill="1" applyBorder="1" applyAlignment="1">
      <alignment horizontal="center" wrapText="1"/>
    </xf>
    <xf numFmtId="164" fontId="97" fillId="3" borderId="23" xfId="22" applyNumberFormat="1" applyFont="1" applyFill="1" applyBorder="1" applyAlignment="1">
      <alignment horizontal="center"/>
    </xf>
    <xf numFmtId="164" fontId="97" fillId="0" borderId="23" xfId="22" applyNumberFormat="1" applyFont="1" applyFill="1" applyBorder="1" applyAlignment="1">
      <alignment horizontal="center"/>
    </xf>
    <xf numFmtId="164" fontId="97" fillId="0" borderId="39" xfId="22" applyNumberFormat="1" applyFont="1" applyFill="1" applyBorder="1" applyAlignment="1">
      <alignment horizontal="center" wrapText="1"/>
    </xf>
    <xf numFmtId="164" fontId="99" fillId="3" borderId="39" xfId="22" applyNumberFormat="1" applyFont="1" applyFill="1" applyBorder="1" applyAlignment="1">
      <alignment horizontal="center"/>
    </xf>
    <xf numFmtId="164" fontId="99" fillId="3" borderId="11" xfId="21" applyNumberFormat="1" applyFont="1" applyFill="1" applyBorder="1" applyAlignment="1">
      <alignment horizontal="center"/>
    </xf>
    <xf numFmtId="164" fontId="97" fillId="0" borderId="12" xfId="22" applyNumberFormat="1" applyFont="1" applyFill="1" applyBorder="1" applyAlignment="1">
      <alignment horizontal="center"/>
    </xf>
    <xf numFmtId="164" fontId="99" fillId="3" borderId="13" xfId="21" applyNumberFormat="1" applyFont="1" applyFill="1" applyBorder="1" applyAlignment="1">
      <alignment horizontal="center" wrapText="1"/>
    </xf>
    <xf numFmtId="164" fontId="99" fillId="3" borderId="39" xfId="21" applyNumberFormat="1" applyFont="1" applyFill="1" applyBorder="1" applyAlignment="1">
      <alignment horizontal="center" wrapText="1"/>
    </xf>
    <xf numFmtId="37" fontId="102" fillId="0" borderId="66" xfId="34" applyNumberFormat="1" applyFont="1" applyBorder="1"/>
    <xf numFmtId="37" fontId="57" fillId="0" borderId="0" xfId="0" applyNumberFormat="1" applyFont="1"/>
    <xf numFmtId="37" fontId="104" fillId="0" borderId="75" xfId="0" applyNumberFormat="1" applyFont="1" applyBorder="1" applyAlignment="1">
      <alignment horizontal="centerContinuous"/>
    </xf>
    <xf numFmtId="37" fontId="104" fillId="0" borderId="66" xfId="0" applyNumberFormat="1" applyFont="1" applyBorder="1" applyAlignment="1">
      <alignment horizontal="centerContinuous"/>
    </xf>
    <xf numFmtId="37" fontId="104" fillId="0" borderId="20" xfId="0" applyNumberFormat="1" applyFont="1" applyBorder="1" applyAlignment="1">
      <alignment horizontal="center"/>
    </xf>
    <xf numFmtId="37" fontId="57" fillId="0" borderId="0" xfId="0" applyNumberFormat="1" applyFont="1" applyBorder="1"/>
    <xf numFmtId="37" fontId="104" fillId="0" borderId="0" xfId="0" applyNumberFormat="1" applyFont="1" applyBorder="1" applyAlignment="1">
      <alignment horizontal="centerContinuous"/>
    </xf>
    <xf numFmtId="37" fontId="57" fillId="0" borderId="0" xfId="0" applyNumberFormat="1" applyFont="1" applyAlignment="1"/>
    <xf numFmtId="37" fontId="57" fillId="0" borderId="0" xfId="0" applyNumberFormat="1" applyFont="1" applyBorder="1" applyAlignment="1"/>
    <xf numFmtId="37" fontId="104" fillId="0" borderId="0" xfId="0" applyNumberFormat="1" applyFont="1" applyBorder="1" applyAlignment="1"/>
    <xf numFmtId="37" fontId="104" fillId="0" borderId="0" xfId="0" applyNumberFormat="1" applyFont="1" applyAlignment="1"/>
    <xf numFmtId="37" fontId="104" fillId="0" borderId="75" xfId="0" applyNumberFormat="1" applyFont="1" applyBorder="1" applyAlignment="1">
      <alignment horizontal="left" indent="2"/>
    </xf>
    <xf numFmtId="37" fontId="63" fillId="0" borderId="0" xfId="8" applyNumberFormat="1" applyFont="1" applyAlignment="1">
      <alignment horizontal="left"/>
    </xf>
    <xf numFmtId="37" fontId="4" fillId="0" borderId="0" xfId="8" applyNumberFormat="1" applyFont="1" applyBorder="1" applyAlignment="1"/>
    <xf numFmtId="37" fontId="104" fillId="0" borderId="20" xfId="8" applyNumberFormat="1" applyFont="1" applyBorder="1" applyAlignment="1">
      <alignment horizontal="centerContinuous"/>
    </xf>
    <xf numFmtId="37" fontId="104" fillId="3" borderId="81" xfId="0" applyNumberFormat="1" applyFont="1" applyFill="1" applyBorder="1" applyAlignment="1">
      <alignment horizontal="center"/>
    </xf>
    <xf numFmtId="37" fontId="57" fillId="3" borderId="82" xfId="0" applyNumberFormat="1" applyFont="1" applyFill="1" applyBorder="1"/>
    <xf numFmtId="37" fontId="57" fillId="3" borderId="84" xfId="0" applyNumberFormat="1" applyFont="1" applyFill="1" applyBorder="1"/>
    <xf numFmtId="37" fontId="57" fillId="3" borderId="81" xfId="0" applyNumberFormat="1" applyFont="1" applyFill="1" applyBorder="1"/>
    <xf numFmtId="37" fontId="57" fillId="3" borderId="83" xfId="0" applyNumberFormat="1" applyFont="1" applyFill="1" applyBorder="1"/>
    <xf numFmtId="37" fontId="104" fillId="0" borderId="75" xfId="0" applyNumberFormat="1" applyFont="1" applyFill="1" applyBorder="1"/>
    <xf numFmtId="37" fontId="57" fillId="0" borderId="0" xfId="0" applyNumberFormat="1" applyFont="1" applyFill="1" applyAlignment="1"/>
    <xf numFmtId="164" fontId="84" fillId="0" borderId="66" xfId="4" applyNumberFormat="1" applyFont="1" applyBorder="1"/>
    <xf numFmtId="0" fontId="4" fillId="0" borderId="35" xfId="8" applyFont="1" applyFill="1" applyBorder="1" applyAlignment="1">
      <alignment horizontal="left" wrapText="1"/>
    </xf>
    <xf numFmtId="0" fontId="4" fillId="0" borderId="0" xfId="8" applyFont="1" applyFill="1" applyBorder="1" applyAlignment="1">
      <alignment horizontal="left" wrapText="1"/>
    </xf>
    <xf numFmtId="0" fontId="4" fillId="0" borderId="32" xfId="8" applyFont="1" applyFill="1" applyBorder="1" applyAlignment="1">
      <alignment horizontal="left" wrapText="1"/>
    </xf>
    <xf numFmtId="0" fontId="7" fillId="0" borderId="0" xfId="0" applyFont="1" applyFill="1" applyAlignment="1">
      <alignment horizontal="center"/>
    </xf>
    <xf numFmtId="0" fontId="42" fillId="0" borderId="0" xfId="0" applyFont="1" applyFill="1"/>
    <xf numFmtId="3" fontId="19" fillId="0" borderId="0" xfId="0" applyNumberFormat="1" applyFont="1" applyFill="1" applyBorder="1" applyAlignment="1">
      <alignment horizontal="right"/>
    </xf>
    <xf numFmtId="168" fontId="7" fillId="0" borderId="19" xfId="0" applyNumberFormat="1" applyFont="1" applyFill="1" applyBorder="1" applyAlignment="1">
      <alignment horizontal="left"/>
    </xf>
    <xf numFmtId="0" fontId="7" fillId="0" borderId="19" xfId="0" applyFont="1" applyFill="1" applyBorder="1" applyAlignment="1"/>
    <xf numFmtId="170" fontId="7" fillId="0" borderId="19" xfId="0" applyNumberFormat="1" applyFont="1" applyFill="1" applyBorder="1" applyAlignment="1"/>
    <xf numFmtId="164" fontId="99" fillId="3" borderId="5" xfId="22" applyNumberFormat="1" applyFont="1" applyFill="1" applyBorder="1" applyAlignment="1">
      <alignment horizontal="center" vertical="center" wrapText="1"/>
    </xf>
    <xf numFmtId="164" fontId="99" fillId="3" borderId="12" xfId="22" applyNumberFormat="1" applyFont="1" applyFill="1" applyBorder="1" applyAlignment="1">
      <alignment horizontal="center" vertical="center" wrapText="1"/>
    </xf>
    <xf numFmtId="193" fontId="97" fillId="0" borderId="13" xfId="20" applyNumberFormat="1" applyFont="1" applyBorder="1"/>
    <xf numFmtId="0" fontId="0" fillId="0" borderId="22" xfId="0" applyBorder="1" applyAlignment="1">
      <alignment horizontal="center" wrapText="1"/>
    </xf>
    <xf numFmtId="164" fontId="97" fillId="3" borderId="5" xfId="21" applyNumberFormat="1" applyFont="1" applyFill="1" applyBorder="1" applyAlignment="1">
      <alignment horizontal="center"/>
    </xf>
    <xf numFmtId="43" fontId="99" fillId="3" borderId="1" xfId="21" applyFont="1" applyFill="1" applyBorder="1"/>
    <xf numFmtId="0" fontId="0" fillId="0" borderId="0" xfId="0" applyBorder="1" applyAlignment="1">
      <alignment horizontal="center" wrapText="1"/>
    </xf>
    <xf numFmtId="164" fontId="99" fillId="3" borderId="12" xfId="22" applyNumberFormat="1" applyFont="1" applyFill="1" applyBorder="1" applyAlignment="1">
      <alignment horizontal="center"/>
    </xf>
    <xf numFmtId="0" fontId="63" fillId="0" borderId="0" xfId="8" applyFont="1" applyFill="1"/>
    <xf numFmtId="37" fontId="4" fillId="0" borderId="20" xfId="8" applyNumberFormat="1" applyFont="1" applyBorder="1" applyAlignment="1">
      <alignment horizontal="centerContinuous"/>
    </xf>
    <xf numFmtId="0" fontId="57" fillId="0" borderId="20" xfId="0" applyFont="1" applyBorder="1" applyAlignment="1">
      <alignment horizontal="centerContinuous"/>
    </xf>
    <xf numFmtId="37" fontId="3" fillId="0" borderId="0" xfId="5" applyNumberFormat="1" applyFont="1" applyFill="1"/>
    <xf numFmtId="10" fontId="7" fillId="0" borderId="0" xfId="3" applyNumberFormat="1" applyFont="1" applyFill="1" applyAlignment="1"/>
    <xf numFmtId="169" fontId="7" fillId="0" borderId="0" xfId="0" applyNumberFormat="1" applyFont="1" applyFill="1" applyAlignment="1"/>
    <xf numFmtId="169" fontId="3" fillId="0" borderId="0" xfId="0" applyNumberFormat="1" applyFont="1" applyFill="1" applyAlignment="1"/>
    <xf numFmtId="10" fontId="3" fillId="0" borderId="0" xfId="0" applyNumberFormat="1" applyFont="1" applyFill="1"/>
    <xf numFmtId="3" fontId="24" fillId="0" borderId="0" xfId="0" applyNumberFormat="1" applyFont="1" applyFill="1" applyBorder="1" applyAlignment="1">
      <alignment horizontal="right"/>
    </xf>
    <xf numFmtId="3" fontId="31" fillId="0" borderId="0" xfId="0" applyNumberFormat="1" applyFont="1" applyFill="1" applyBorder="1" applyAlignment="1">
      <alignment horizontal="right"/>
    </xf>
    <xf numFmtId="49" fontId="4" fillId="0" borderId="0" xfId="8" applyNumberFormat="1" applyFill="1" applyAlignment="1">
      <alignment vertical="top" wrapText="1"/>
    </xf>
    <xf numFmtId="0" fontId="99" fillId="3" borderId="5" xfId="20" applyFont="1" applyFill="1" applyBorder="1" applyAlignment="1">
      <alignment horizontal="center" wrapText="1"/>
    </xf>
    <xf numFmtId="43" fontId="97" fillId="0" borderId="2" xfId="22" applyFont="1" applyFill="1" applyBorder="1" applyAlignment="1">
      <alignment horizontal="center"/>
    </xf>
    <xf numFmtId="164" fontId="99" fillId="3" borderId="3" xfId="22" applyNumberFormat="1" applyFont="1" applyFill="1" applyBorder="1" applyAlignment="1">
      <alignment horizontal="center" wrapText="1"/>
    </xf>
    <xf numFmtId="164" fontId="99" fillId="3" borderId="4" xfId="22" applyNumberFormat="1" applyFont="1" applyFill="1" applyBorder="1" applyAlignment="1">
      <alignment horizontal="center" wrapText="1"/>
    </xf>
    <xf numFmtId="164" fontId="99" fillId="3" borderId="5" xfId="22" applyNumberFormat="1" applyFont="1" applyFill="1" applyBorder="1" applyAlignment="1">
      <alignment horizontal="center" wrapText="1"/>
    </xf>
    <xf numFmtId="164" fontId="99" fillId="3" borderId="12" xfId="21" applyNumberFormat="1" applyFont="1" applyFill="1" applyBorder="1" applyAlignment="1">
      <alignment horizontal="center"/>
    </xf>
    <xf numFmtId="193" fontId="99" fillId="3" borderId="47" xfId="20" applyNumberFormat="1" applyFont="1" applyFill="1" applyBorder="1" applyAlignment="1">
      <alignment horizontal="center"/>
    </xf>
    <xf numFmtId="0" fontId="99" fillId="3" borderId="11" xfId="20" applyFont="1" applyFill="1" applyBorder="1" applyAlignment="1">
      <alignment horizontal="center"/>
    </xf>
    <xf numFmtId="193" fontId="99" fillId="3" borderId="13" xfId="20" applyNumberFormat="1" applyFont="1" applyFill="1" applyBorder="1" applyAlignment="1">
      <alignment horizontal="center"/>
    </xf>
    <xf numFmtId="37" fontId="105" fillId="0" borderId="0" xfId="0" applyNumberFormat="1" applyFont="1" applyAlignment="1">
      <alignment horizontal="centerContinuous"/>
    </xf>
    <xf numFmtId="37" fontId="102" fillId="0" borderId="0" xfId="0" applyNumberFormat="1" applyFont="1" applyBorder="1" applyAlignment="1">
      <alignment horizontal="centerContinuous"/>
    </xf>
    <xf numFmtId="37" fontId="102" fillId="0" borderId="0" xfId="0" applyNumberFormat="1" applyFont="1" applyAlignment="1">
      <alignment horizontal="centerContinuous"/>
    </xf>
    <xf numFmtId="37" fontId="105" fillId="0" borderId="0" xfId="0" applyNumberFormat="1" applyFont="1" applyBorder="1" applyAlignment="1">
      <alignment horizontal="centerContinuous"/>
    </xf>
    <xf numFmtId="37" fontId="57" fillId="0" borderId="66" xfId="0" applyNumberFormat="1" applyFont="1" applyBorder="1" applyAlignment="1">
      <alignment horizontal="centerContinuous"/>
    </xf>
    <xf numFmtId="37" fontId="57" fillId="0" borderId="28" xfId="0" applyNumberFormat="1" applyFont="1" applyBorder="1" applyAlignment="1">
      <alignment horizontal="centerContinuous"/>
    </xf>
    <xf numFmtId="37" fontId="104" fillId="0" borderId="28" xfId="0" applyNumberFormat="1" applyFont="1" applyBorder="1" applyAlignment="1">
      <alignment horizontal="centerContinuous"/>
    </xf>
    <xf numFmtId="37" fontId="104" fillId="0" borderId="28" xfId="0" applyNumberFormat="1" applyFont="1" applyBorder="1"/>
    <xf numFmtId="37" fontId="57" fillId="0" borderId="28" xfId="0" applyNumberFormat="1" applyFont="1" applyBorder="1"/>
    <xf numFmtId="37" fontId="104" fillId="0" borderId="28" xfId="0" applyNumberFormat="1" applyFont="1" applyFill="1" applyBorder="1" applyAlignment="1">
      <alignment horizontal="center"/>
    </xf>
    <xf numFmtId="37" fontId="57" fillId="0" borderId="28" xfId="0" applyNumberFormat="1" applyFont="1" applyFill="1" applyBorder="1"/>
    <xf numFmtId="37" fontId="104" fillId="0" borderId="28" xfId="0" applyNumberFormat="1" applyFont="1" applyFill="1" applyBorder="1"/>
    <xf numFmtId="37" fontId="57" fillId="0" borderId="85" xfId="0" applyNumberFormat="1" applyFont="1" applyBorder="1"/>
    <xf numFmtId="0" fontId="57" fillId="0" borderId="85" xfId="0" applyNumberFormat="1" applyFont="1" applyFill="1" applyBorder="1" applyAlignment="1">
      <alignment horizontal="right" indent="4"/>
    </xf>
    <xf numFmtId="37" fontId="57" fillId="0" borderId="85" xfId="0" applyNumberFormat="1" applyFont="1" applyFill="1" applyBorder="1"/>
    <xf numFmtId="0" fontId="57" fillId="0" borderId="85" xfId="0" applyNumberFormat="1" applyFont="1" applyBorder="1" applyAlignment="1">
      <alignment horizontal="right" indent="4"/>
    </xf>
    <xf numFmtId="37" fontId="57" fillId="0" borderId="82" xfId="0" applyNumberFormat="1" applyFont="1" applyBorder="1"/>
    <xf numFmtId="0" fontId="57" fillId="0" borderId="82" xfId="0" applyNumberFormat="1" applyFont="1" applyFill="1" applyBorder="1" applyAlignment="1">
      <alignment horizontal="right" indent="4"/>
    </xf>
    <xf numFmtId="37" fontId="57" fillId="0" borderId="82" xfId="0" applyNumberFormat="1" applyFont="1" applyFill="1" applyBorder="1"/>
    <xf numFmtId="0" fontId="57" fillId="0" borderId="82" xfId="0" applyNumberFormat="1" applyFont="1" applyBorder="1" applyAlignment="1">
      <alignment horizontal="right" indent="4"/>
    </xf>
    <xf numFmtId="37" fontId="57" fillId="0" borderId="83" xfId="0" applyNumberFormat="1" applyFont="1" applyBorder="1"/>
    <xf numFmtId="0" fontId="57" fillId="0" borderId="83" xfId="0" applyNumberFormat="1" applyFont="1" applyFill="1" applyBorder="1" applyAlignment="1">
      <alignment horizontal="right" indent="4"/>
    </xf>
    <xf numFmtId="37" fontId="57" fillId="0" borderId="83" xfId="0" applyNumberFormat="1" applyFont="1" applyFill="1" applyBorder="1"/>
    <xf numFmtId="0" fontId="57" fillId="0" borderId="83" xfId="0" applyNumberFormat="1" applyFont="1" applyBorder="1" applyAlignment="1">
      <alignment horizontal="right" indent="4"/>
    </xf>
    <xf numFmtId="37" fontId="104" fillId="0" borderId="85" xfId="0" applyNumberFormat="1" applyFont="1" applyBorder="1"/>
    <xf numFmtId="0" fontId="104" fillId="0" borderId="85" xfId="0" applyNumberFormat="1" applyFont="1" applyFill="1" applyBorder="1" applyAlignment="1">
      <alignment horizontal="right" indent="4"/>
    </xf>
    <xf numFmtId="37" fontId="104" fillId="0" borderId="85" xfId="0" applyNumberFormat="1" applyFont="1" applyFill="1" applyBorder="1"/>
    <xf numFmtId="37" fontId="104" fillId="0" borderId="0" xfId="0" applyNumberFormat="1" applyFont="1"/>
    <xf numFmtId="0" fontId="57" fillId="0" borderId="82" xfId="0" quotePrefix="1" applyNumberFormat="1" applyFont="1" applyFill="1" applyBorder="1" applyAlignment="1">
      <alignment horizontal="right" indent="4"/>
    </xf>
    <xf numFmtId="0" fontId="57" fillId="0" borderId="82" xfId="0" quotePrefix="1" applyNumberFormat="1" applyFont="1" applyBorder="1" applyAlignment="1">
      <alignment horizontal="right" indent="4"/>
    </xf>
    <xf numFmtId="0" fontId="57" fillId="0" borderId="83" xfId="0" quotePrefix="1" applyNumberFormat="1" applyFont="1" applyFill="1" applyBorder="1" applyAlignment="1">
      <alignment horizontal="right" indent="4"/>
    </xf>
    <xf numFmtId="0" fontId="57" fillId="0" borderId="83" xfId="0" quotePrefix="1" applyNumberFormat="1" applyFont="1" applyBorder="1" applyAlignment="1">
      <alignment horizontal="right" indent="4"/>
    </xf>
    <xf numFmtId="0" fontId="104" fillId="0" borderId="28" xfId="0" quotePrefix="1" applyNumberFormat="1" applyFont="1" applyFill="1" applyBorder="1" applyAlignment="1">
      <alignment horizontal="right" indent="4"/>
    </xf>
    <xf numFmtId="0" fontId="104" fillId="0" borderId="28" xfId="0" quotePrefix="1" applyNumberFormat="1" applyFont="1" applyBorder="1" applyAlignment="1">
      <alignment horizontal="right" indent="4"/>
    </xf>
    <xf numFmtId="37" fontId="63" fillId="0" borderId="0" xfId="0" applyNumberFormat="1" applyFont="1" applyAlignment="1">
      <alignment horizontal="left"/>
    </xf>
    <xf numFmtId="37" fontId="63" fillId="0" borderId="0" xfId="0" applyNumberFormat="1" applyFont="1"/>
    <xf numFmtId="37" fontId="52" fillId="0" borderId="28" xfId="8" applyNumberFormat="1" applyFont="1" applyBorder="1" applyAlignment="1">
      <alignment horizontal="centerContinuous"/>
    </xf>
    <xf numFmtId="37" fontId="104" fillId="0" borderId="20" xfId="0" applyNumberFormat="1" applyFont="1" applyBorder="1" applyAlignment="1">
      <alignment horizontal="centerContinuous"/>
    </xf>
    <xf numFmtId="37" fontId="57" fillId="0" borderId="20" xfId="0" applyNumberFormat="1" applyFont="1" applyBorder="1" applyAlignment="1">
      <alignment horizontal="centerContinuous"/>
    </xf>
    <xf numFmtId="37" fontId="104" fillId="0" borderId="0" xfId="0" applyNumberFormat="1" applyFont="1" applyBorder="1" applyAlignment="1">
      <alignment horizontal="center"/>
    </xf>
    <xf numFmtId="37" fontId="57" fillId="0" borderId="0" xfId="0" applyNumberFormat="1" applyFont="1" applyBorder="1" applyAlignment="1">
      <alignment horizontal="centerContinuous"/>
    </xf>
    <xf numFmtId="37" fontId="57" fillId="0" borderId="0" xfId="0" applyNumberFormat="1" applyFont="1" applyBorder="1" applyAlignment="1">
      <alignment horizontal="center"/>
    </xf>
    <xf numFmtId="37" fontId="104" fillId="0" borderId="0" xfId="8" applyNumberFormat="1" applyFont="1" applyBorder="1" applyAlignment="1">
      <alignment horizontal="centerContinuous"/>
    </xf>
    <xf numFmtId="0" fontId="57" fillId="0" borderId="0" xfId="0" applyFont="1" applyBorder="1" applyAlignment="1">
      <alignment horizontal="centerContinuous"/>
    </xf>
    <xf numFmtId="0" fontId="104" fillId="0" borderId="66" xfId="0" applyFont="1" applyBorder="1" applyAlignment="1">
      <alignment horizontal="centerContinuous"/>
    </xf>
    <xf numFmtId="37" fontId="104" fillId="0" borderId="0" xfId="0" applyNumberFormat="1" applyFont="1" applyAlignment="1">
      <alignment horizontal="center"/>
    </xf>
    <xf numFmtId="37" fontId="57" fillId="0" borderId="0" xfId="0" applyNumberFormat="1" applyFont="1" applyAlignment="1">
      <alignment horizontal="center"/>
    </xf>
    <xf numFmtId="37" fontId="104" fillId="0" borderId="28" xfId="0" applyNumberFormat="1" applyFont="1" applyBorder="1" applyAlignment="1">
      <alignment horizontal="center"/>
    </xf>
    <xf numFmtId="192" fontId="57" fillId="0" borderId="85" xfId="0" applyNumberFormat="1" applyFont="1" applyBorder="1"/>
    <xf numFmtId="37" fontId="57" fillId="0" borderId="85" xfId="0" quotePrefix="1" applyNumberFormat="1" applyFont="1" applyBorder="1" applyAlignment="1">
      <alignment horizontal="center"/>
    </xf>
    <xf numFmtId="182" fontId="57" fillId="3" borderId="85" xfId="0" applyNumberFormat="1" applyFont="1" applyFill="1" applyBorder="1" applyAlignment="1">
      <alignment horizontal="center"/>
    </xf>
    <xf numFmtId="37" fontId="57" fillId="3" borderId="85" xfId="0" applyNumberFormat="1" applyFont="1" applyFill="1" applyBorder="1"/>
    <xf numFmtId="192" fontId="57" fillId="0" borderId="82" xfId="0" applyNumberFormat="1" applyFont="1" applyBorder="1"/>
    <xf numFmtId="37" fontId="57" fillId="0" borderId="82" xfId="0" quotePrefix="1" applyNumberFormat="1" applyFont="1" applyBorder="1" applyAlignment="1">
      <alignment horizontal="center"/>
    </xf>
    <xf numFmtId="182" fontId="57" fillId="3" borderId="82" xfId="0" applyNumberFormat="1" applyFont="1" applyFill="1" applyBorder="1" applyAlignment="1">
      <alignment horizontal="center"/>
    </xf>
    <xf numFmtId="182" fontId="57" fillId="3" borderId="82" xfId="0" quotePrefix="1" applyNumberFormat="1" applyFont="1" applyFill="1" applyBorder="1" applyAlignment="1">
      <alignment horizontal="center"/>
    </xf>
    <xf numFmtId="192" fontId="57" fillId="0" borderId="83" xfId="0" applyNumberFormat="1" applyFont="1" applyBorder="1"/>
    <xf numFmtId="37" fontId="57" fillId="0" borderId="83" xfId="0" quotePrefix="1" applyNumberFormat="1" applyFont="1" applyBorder="1" applyAlignment="1">
      <alignment horizontal="center"/>
    </xf>
    <xf numFmtId="182" fontId="57" fillId="3" borderId="83" xfId="0" applyNumberFormat="1" applyFont="1" applyFill="1" applyBorder="1" applyAlignment="1">
      <alignment horizontal="center"/>
    </xf>
    <xf numFmtId="0" fontId="35" fillId="0" borderId="0" xfId="12" applyFont="1" applyFill="1" applyBorder="1" applyAlignment="1"/>
    <xf numFmtId="37" fontId="35" fillId="0" borderId="0" xfId="12" applyNumberFormat="1" applyFont="1" applyFill="1" applyBorder="1" applyAlignment="1"/>
    <xf numFmtId="0" fontId="75" fillId="0" borderId="0" xfId="12" applyFont="1" applyFill="1" applyBorder="1" applyAlignment="1"/>
    <xf numFmtId="0" fontId="3" fillId="0" borderId="1" xfId="12" applyFont="1" applyFill="1" applyBorder="1" applyAlignment="1">
      <alignment horizontal="center"/>
    </xf>
    <xf numFmtId="0" fontId="3" fillId="0" borderId="0" xfId="12" applyFont="1" applyFill="1"/>
    <xf numFmtId="0" fontId="3" fillId="0" borderId="4" xfId="12" applyFont="1" applyFill="1" applyBorder="1" applyAlignment="1">
      <alignment horizontal="center"/>
    </xf>
    <xf numFmtId="0" fontId="52" fillId="0" borderId="21" xfId="28" applyFont="1" applyFill="1" applyBorder="1" applyAlignment="1" applyProtection="1">
      <alignment horizontal="center" wrapText="1"/>
      <protection locked="0"/>
    </xf>
    <xf numFmtId="42" fontId="9" fillId="3" borderId="72" xfId="8" applyNumberFormat="1" applyFont="1" applyFill="1" applyBorder="1" applyAlignment="1">
      <alignment horizontal="right"/>
    </xf>
    <xf numFmtId="37" fontId="52" fillId="0" borderId="20" xfId="0" applyNumberFormat="1" applyFont="1" applyBorder="1" applyAlignment="1">
      <alignment horizontal="centerContinuous"/>
    </xf>
    <xf numFmtId="37" fontId="52" fillId="0" borderId="0" xfId="0" applyNumberFormat="1" applyFont="1"/>
    <xf numFmtId="37" fontId="52" fillId="0" borderId="0" xfId="0" applyNumberFormat="1" applyFont="1" applyAlignment="1">
      <alignment horizontal="center"/>
    </xf>
    <xf numFmtId="37" fontId="4" fillId="0" borderId="0" xfId="0" applyNumberFormat="1" applyFont="1"/>
    <xf numFmtId="37" fontId="52" fillId="0" borderId="0" xfId="0" applyNumberFormat="1" applyFont="1" applyBorder="1" applyAlignment="1">
      <alignment horizontal="center"/>
    </xf>
    <xf numFmtId="37" fontId="52" fillId="0" borderId="0" xfId="8" applyNumberFormat="1" applyFont="1" applyBorder="1" applyAlignment="1">
      <alignment horizontal="center"/>
    </xf>
    <xf numFmtId="37" fontId="52" fillId="0" borderId="0" xfId="8" applyNumberFormat="1" applyFont="1" applyAlignment="1">
      <alignment horizontal="center"/>
    </xf>
    <xf numFmtId="37" fontId="52" fillId="0" borderId="20" xfId="8" applyNumberFormat="1" applyFont="1" applyFill="1" applyBorder="1" applyAlignment="1">
      <alignment horizontal="centerContinuous"/>
    </xf>
    <xf numFmtId="37" fontId="4" fillId="0" borderId="0" xfId="0" applyNumberFormat="1" applyFont="1" applyBorder="1" applyAlignment="1">
      <alignment horizontal="center"/>
    </xf>
    <xf numFmtId="37" fontId="52" fillId="0" borderId="20" xfId="8" applyNumberFormat="1" applyFont="1" applyBorder="1" applyAlignment="1">
      <alignment horizontal="center"/>
    </xf>
    <xf numFmtId="37" fontId="52" fillId="0" borderId="0" xfId="8" applyNumberFormat="1" applyFont="1" applyFill="1" applyAlignment="1">
      <alignment horizontal="center"/>
    </xf>
    <xf numFmtId="37" fontId="4" fillId="0" borderId="28" xfId="0" applyNumberFormat="1" applyFont="1" applyFill="1" applyBorder="1" applyAlignment="1">
      <alignment horizontal="centerContinuous"/>
    </xf>
    <xf numFmtId="0" fontId="104" fillId="18" borderId="85" xfId="0" applyNumberFormat="1" applyFont="1" applyFill="1" applyBorder="1" applyAlignment="1">
      <alignment horizontal="right" indent="4"/>
    </xf>
    <xf numFmtId="0" fontId="57" fillId="18" borderId="83" xfId="0" applyNumberFormat="1" applyFont="1" applyFill="1" applyBorder="1" applyAlignment="1">
      <alignment horizontal="right" indent="4"/>
    </xf>
    <xf numFmtId="37" fontId="4" fillId="0" borderId="0" xfId="0" applyNumberFormat="1" applyFont="1" applyFill="1"/>
    <xf numFmtId="37" fontId="4" fillId="0" borderId="0" xfId="0" applyNumberFormat="1" applyFont="1" applyAlignment="1">
      <alignment horizontal="right"/>
    </xf>
    <xf numFmtId="37" fontId="4" fillId="0" borderId="0" xfId="0" applyNumberFormat="1" applyFont="1" applyAlignment="1">
      <alignment horizontal="center"/>
    </xf>
    <xf numFmtId="181" fontId="4" fillId="0" borderId="0" xfId="1" applyNumberFormat="1" applyFont="1" applyFill="1" applyAlignment="1">
      <alignment horizontal="center" vertical="center"/>
    </xf>
    <xf numFmtId="181" fontId="4" fillId="0" borderId="0" xfId="1" applyNumberFormat="1" applyFont="1" applyFill="1" applyAlignment="1">
      <alignment vertical="center"/>
    </xf>
    <xf numFmtId="181" fontId="4" fillId="0" borderId="0" xfId="1" applyNumberFormat="1" applyFont="1" applyFill="1"/>
    <xf numFmtId="181" fontId="4" fillId="0" borderId="0" xfId="1" applyNumberFormat="1" applyFont="1" applyFill="1" applyBorder="1" applyAlignment="1">
      <alignment vertical="center"/>
    </xf>
    <xf numFmtId="181" fontId="4" fillId="0" borderId="0" xfId="1" applyNumberFormat="1" applyFont="1" applyAlignment="1">
      <alignment vertical="center"/>
    </xf>
    <xf numFmtId="181" fontId="0" fillId="0" borderId="0" xfId="1" applyNumberFormat="1" applyFont="1"/>
    <xf numFmtId="0" fontId="41" fillId="0" borderId="0" xfId="0" applyFont="1" applyFill="1" applyAlignment="1">
      <alignment horizontal="left" wrapText="1"/>
    </xf>
    <xf numFmtId="0" fontId="7" fillId="2" borderId="3" xfId="0" applyFont="1" applyFill="1" applyBorder="1" applyAlignment="1">
      <alignment vertical="center"/>
    </xf>
    <xf numFmtId="0" fontId="0" fillId="2" borderId="4" xfId="0" applyFill="1" applyBorder="1" applyAlignment="1"/>
    <xf numFmtId="0" fontId="0" fillId="2" borderId="5" xfId="0" applyFill="1" applyBorder="1" applyAlignment="1"/>
    <xf numFmtId="0" fontId="0" fillId="2" borderId="11" xfId="0" applyFill="1" applyBorder="1" applyAlignment="1"/>
    <xf numFmtId="0" fontId="0" fillId="2" borderId="1" xfId="0" applyFill="1" applyBorder="1" applyAlignment="1"/>
    <xf numFmtId="0" fontId="0" fillId="2" borderId="12" xfId="0" applyFill="1" applyBorder="1" applyAlignment="1"/>
    <xf numFmtId="0" fontId="7" fillId="2" borderId="2" xfId="0" applyNumberFormat="1" applyFont="1" applyFill="1" applyBorder="1" applyAlignment="1">
      <alignment horizontal="center" vertical="center"/>
    </xf>
    <xf numFmtId="0" fontId="0" fillId="2" borderId="13" xfId="0" applyFill="1" applyBorder="1" applyAlignment="1">
      <alignment horizontal="center"/>
    </xf>
    <xf numFmtId="0" fontId="32" fillId="0" borderId="0" xfId="0" quotePrefix="1" applyFont="1" applyFill="1" applyBorder="1" applyAlignment="1">
      <alignment horizontal="left" vertical="top" wrapText="1"/>
    </xf>
    <xf numFmtId="0" fontId="41" fillId="0" borderId="0" xfId="0" applyFont="1" applyFill="1" applyAlignment="1">
      <alignment horizontal="left" vertical="top"/>
    </xf>
    <xf numFmtId="0" fontId="41" fillId="0" borderId="0" xfId="0" applyFont="1" applyFill="1" applyAlignment="1">
      <alignment horizontal="left" vertical="top" wrapText="1"/>
    </xf>
    <xf numFmtId="0" fontId="4" fillId="0" borderId="65" xfId="8" applyFont="1" applyFill="1" applyBorder="1" applyAlignment="1">
      <alignment horizontal="left" vertical="top" indent="1"/>
    </xf>
    <xf numFmtId="0" fontId="4" fillId="0" borderId="75" xfId="8" applyFont="1" applyFill="1" applyBorder="1" applyAlignment="1">
      <alignment horizontal="left" vertical="top" indent="1"/>
    </xf>
    <xf numFmtId="0" fontId="0" fillId="0" borderId="36" xfId="8" applyFont="1" applyFill="1" applyBorder="1" applyAlignment="1">
      <alignment horizontal="left" wrapText="1"/>
    </xf>
    <xf numFmtId="0" fontId="4" fillId="0" borderId="20" xfId="8" applyFont="1" applyFill="1" applyBorder="1" applyAlignment="1">
      <alignment horizontal="left" wrapText="1"/>
    </xf>
    <xf numFmtId="0" fontId="4" fillId="0" borderId="30" xfId="8" applyFont="1" applyFill="1" applyBorder="1" applyAlignment="1">
      <alignment horizontal="left" wrapText="1"/>
    </xf>
    <xf numFmtId="0" fontId="4" fillId="0" borderId="36" xfId="8" applyFont="1" applyFill="1" applyBorder="1" applyAlignment="1">
      <alignment horizontal="left" wrapText="1"/>
    </xf>
    <xf numFmtId="0" fontId="4" fillId="0" borderId="35" xfId="8" applyFont="1" applyFill="1" applyBorder="1" applyAlignment="1">
      <alignment horizontal="left" wrapText="1"/>
    </xf>
    <xf numFmtId="0" fontId="4" fillId="0" borderId="0" xfId="8" applyFont="1" applyFill="1" applyBorder="1" applyAlignment="1">
      <alignment horizontal="left" wrapText="1"/>
    </xf>
    <xf numFmtId="0" fontId="4" fillId="0" borderId="32" xfId="8" applyFont="1" applyFill="1" applyBorder="1" applyAlignment="1">
      <alignment horizontal="left" wrapText="1"/>
    </xf>
    <xf numFmtId="0" fontId="4" fillId="0" borderId="0" xfId="8" applyFill="1" applyBorder="1" applyAlignment="1">
      <alignment horizontal="center" wrapText="1"/>
    </xf>
    <xf numFmtId="37" fontId="105" fillId="0" borderId="0" xfId="0" applyNumberFormat="1" applyFont="1" applyAlignment="1">
      <alignment horizontal="center" vertical="center" wrapText="1"/>
    </xf>
    <xf numFmtId="0" fontId="42" fillId="0" borderId="0" xfId="0" applyFont="1" applyAlignment="1">
      <alignment horizontal="center" vertical="center" wrapText="1"/>
    </xf>
    <xf numFmtId="0" fontId="43" fillId="0" borderId="0" xfId="8" applyFont="1" applyBorder="1" applyAlignment="1">
      <alignment horizontal="center" vertical="center" wrapText="1"/>
    </xf>
    <xf numFmtId="0" fontId="0" fillId="0" borderId="0" xfId="0" applyAlignment="1">
      <alignment horizontal="center" vertical="center" wrapText="1"/>
    </xf>
    <xf numFmtId="0" fontId="33" fillId="0" borderId="0" xfId="8" applyFont="1" applyFill="1" applyAlignment="1">
      <alignment horizontal="center"/>
    </xf>
    <xf numFmtId="0" fontId="17" fillId="9" borderId="40" xfId="0" applyFont="1" applyFill="1" applyBorder="1" applyAlignment="1"/>
    <xf numFmtId="0" fontId="17" fillId="9" borderId="41" xfId="0" applyFont="1" applyFill="1" applyBorder="1" applyAlignment="1"/>
    <xf numFmtId="0" fontId="17" fillId="9" borderId="42" xfId="0" applyFont="1" applyFill="1" applyBorder="1" applyAlignment="1"/>
    <xf numFmtId="0" fontId="17" fillId="9" borderId="41" xfId="0" applyFont="1" applyFill="1" applyBorder="1" applyAlignment="1">
      <alignment wrapText="1"/>
    </xf>
    <xf numFmtId="0" fontId="17" fillId="9" borderId="42" xfId="0" applyFont="1" applyFill="1" applyBorder="1" applyAlignment="1">
      <alignment wrapText="1"/>
    </xf>
    <xf numFmtId="0" fontId="3" fillId="0" borderId="1" xfId="0" applyFont="1" applyFill="1" applyBorder="1" applyAlignment="1">
      <alignment horizontal="left" wrapText="1"/>
    </xf>
    <xf numFmtId="0" fontId="3" fillId="0" borderId="12" xfId="0" applyFont="1" applyFill="1" applyBorder="1" applyAlignment="1">
      <alignment horizontal="left" wrapText="1"/>
    </xf>
    <xf numFmtId="0" fontId="17" fillId="9" borderId="40" xfId="12" applyFont="1" applyFill="1" applyBorder="1" applyAlignment="1"/>
    <xf numFmtId="0" fontId="17" fillId="9" borderId="41" xfId="12" applyFont="1" applyFill="1" applyBorder="1" applyAlignment="1"/>
    <xf numFmtId="0" fontId="17" fillId="9" borderId="42" xfId="12" applyFont="1" applyFill="1" applyBorder="1" applyAlignment="1"/>
    <xf numFmtId="0" fontId="17" fillId="9" borderId="40" xfId="0" applyFont="1" applyFill="1" applyBorder="1" applyAlignment="1">
      <alignment horizontal="left"/>
    </xf>
    <xf numFmtId="0" fontId="17" fillId="9" borderId="41" xfId="0" applyFont="1" applyFill="1" applyBorder="1" applyAlignment="1">
      <alignment horizontal="left"/>
    </xf>
    <xf numFmtId="0" fontId="17" fillId="9" borderId="42" xfId="0" applyFont="1" applyFill="1" applyBorder="1" applyAlignment="1">
      <alignment horizontal="left"/>
    </xf>
    <xf numFmtId="0" fontId="87" fillId="3" borderId="21" xfId="0" applyFont="1" applyFill="1" applyBorder="1" applyAlignment="1">
      <alignment horizontal="center" wrapText="1"/>
    </xf>
    <xf numFmtId="0" fontId="87" fillId="3" borderId="22" xfId="0" applyFont="1" applyFill="1" applyBorder="1" applyAlignment="1">
      <alignment horizontal="center"/>
    </xf>
    <xf numFmtId="0" fontId="87" fillId="3" borderId="22" xfId="0" applyFont="1" applyFill="1" applyBorder="1" applyAlignment="1">
      <alignment horizontal="center" wrapText="1"/>
    </xf>
    <xf numFmtId="0" fontId="87" fillId="3" borderId="23" xfId="0" applyFont="1" applyFill="1" applyBorder="1" applyAlignment="1">
      <alignment horizontal="center" wrapText="1"/>
    </xf>
    <xf numFmtId="0" fontId="87" fillId="3" borderId="21" xfId="0" applyFont="1" applyFill="1" applyBorder="1" applyAlignment="1">
      <alignment horizontal="center"/>
    </xf>
    <xf numFmtId="0" fontId="4" fillId="0" borderId="0" xfId="18" applyFont="1" applyAlignment="1">
      <alignment wrapText="1"/>
    </xf>
    <xf numFmtId="0" fontId="52" fillId="0" borderId="3" xfId="18" applyFont="1" applyBorder="1" applyAlignment="1">
      <alignment horizontal="center"/>
    </xf>
    <xf numFmtId="0" fontId="52" fillId="0" borderId="48" xfId="18" applyFont="1" applyBorder="1" applyAlignment="1">
      <alignment horizontal="center"/>
    </xf>
    <xf numFmtId="0" fontId="52" fillId="0" borderId="0" xfId="18" applyFont="1"/>
    <xf numFmtId="0" fontId="4" fillId="0" borderId="0" xfId="18" applyFont="1" applyAlignment="1"/>
    <xf numFmtId="0" fontId="52" fillId="0" borderId="21" xfId="18" applyFont="1" applyBorder="1" applyAlignment="1">
      <alignment horizontal="center"/>
    </xf>
    <xf numFmtId="0" fontId="52" fillId="0" borderId="23" xfId="18" applyFont="1" applyBorder="1" applyAlignment="1">
      <alignment horizontal="center"/>
    </xf>
    <xf numFmtId="0" fontId="96" fillId="0" borderId="0" xfId="20" applyFont="1" applyFill="1" applyAlignment="1">
      <alignment horizontal="center"/>
    </xf>
    <xf numFmtId="164" fontId="97" fillId="0" borderId="21" xfId="21" applyNumberFormat="1" applyFont="1" applyFill="1" applyBorder="1" applyAlignment="1">
      <alignment horizontal="center" wrapText="1"/>
    </xf>
    <xf numFmtId="164" fontId="97" fillId="0" borderId="22" xfId="21" applyNumberFormat="1" applyFont="1" applyFill="1" applyBorder="1" applyAlignment="1">
      <alignment horizontal="center" wrapText="1"/>
    </xf>
    <xf numFmtId="0" fontId="0" fillId="0" borderId="22" xfId="0" applyBorder="1" applyAlignment="1">
      <alignment horizontal="center" wrapText="1"/>
    </xf>
    <xf numFmtId="164" fontId="96" fillId="0" borderId="2" xfId="21" applyNumberFormat="1" applyFont="1" applyFill="1" applyBorder="1" applyAlignment="1">
      <alignment horizontal="center" wrapText="1"/>
    </xf>
    <xf numFmtId="164" fontId="96" fillId="0" borderId="13" xfId="21" applyNumberFormat="1" applyFont="1" applyFill="1" applyBorder="1" applyAlignment="1">
      <alignment horizontal="center" wrapText="1"/>
    </xf>
    <xf numFmtId="164" fontId="96" fillId="0" borderId="21" xfId="21" applyNumberFormat="1" applyFont="1" applyFill="1" applyBorder="1" applyAlignment="1">
      <alignment horizontal="center" wrapText="1"/>
    </xf>
    <xf numFmtId="0" fontId="0" fillId="0" borderId="23" xfId="0" applyBorder="1" applyAlignment="1">
      <alignment horizontal="center" wrapText="1"/>
    </xf>
    <xf numFmtId="0" fontId="0" fillId="0" borderId="22" xfId="0" applyBorder="1" applyAlignment="1">
      <alignment wrapText="1"/>
    </xf>
    <xf numFmtId="0" fontId="0" fillId="0" borderId="23" xfId="0" applyBorder="1" applyAlignment="1">
      <alignment wrapText="1"/>
    </xf>
    <xf numFmtId="0" fontId="100" fillId="0" borderId="0" xfId="20" applyFont="1" applyFill="1" applyAlignment="1">
      <alignment horizontal="center"/>
    </xf>
    <xf numFmtId="164" fontId="97" fillId="0" borderId="21" xfId="21" applyNumberFormat="1" applyFont="1" applyFill="1" applyBorder="1" applyAlignment="1">
      <alignment horizontal="center"/>
    </xf>
    <xf numFmtId="164" fontId="97" fillId="0" borderId="22" xfId="21" applyNumberFormat="1" applyFont="1" applyFill="1" applyBorder="1" applyAlignment="1">
      <alignment horizontal="center"/>
    </xf>
    <xf numFmtId="164" fontId="97" fillId="0" borderId="23" xfId="21" applyNumberFormat="1" applyFont="1" applyFill="1" applyBorder="1" applyAlignment="1">
      <alignment horizontal="center"/>
    </xf>
    <xf numFmtId="164" fontId="97" fillId="0" borderId="21" xfId="21" applyNumberFormat="1" applyFont="1" applyBorder="1" applyAlignment="1">
      <alignment horizontal="center" wrapText="1"/>
    </xf>
    <xf numFmtId="164" fontId="97" fillId="0" borderId="22" xfId="21" applyNumberFormat="1" applyFont="1" applyBorder="1" applyAlignment="1">
      <alignment horizontal="center" wrapText="1"/>
    </xf>
    <xf numFmtId="164" fontId="72" fillId="0" borderId="21" xfId="21" applyNumberFormat="1" applyFont="1" applyFill="1" applyBorder="1" applyAlignment="1">
      <alignment horizontal="center" wrapText="1"/>
    </xf>
    <xf numFmtId="0" fontId="4" fillId="0" borderId="22" xfId="0" applyFont="1" applyBorder="1" applyAlignment="1">
      <alignment wrapText="1"/>
    </xf>
    <xf numFmtId="0" fontId="4" fillId="0" borderId="23" xfId="0" applyFont="1" applyBorder="1" applyAlignment="1">
      <alignment wrapText="1"/>
    </xf>
    <xf numFmtId="0" fontId="7" fillId="0" borderId="0" xfId="8" applyFont="1" applyAlignment="1">
      <alignment horizontal="center"/>
    </xf>
    <xf numFmtId="0" fontId="43" fillId="0" borderId="0" xfId="8" applyFont="1" applyAlignment="1">
      <alignment horizontal="center"/>
    </xf>
    <xf numFmtId="0" fontId="103" fillId="0" borderId="0" xfId="8" applyFont="1" applyAlignment="1">
      <alignment horizontal="center"/>
    </xf>
    <xf numFmtId="0" fontId="4" fillId="0" borderId="0" xfId="8" applyFont="1" applyAlignment="1">
      <alignment wrapText="1"/>
    </xf>
    <xf numFmtId="0" fontId="52" fillId="0" borderId="20" xfId="8" applyFont="1" applyBorder="1" applyAlignment="1">
      <alignment horizontal="center"/>
    </xf>
    <xf numFmtId="0" fontId="0" fillId="3" borderId="0" xfId="0" applyFill="1" applyAlignment="1">
      <alignment horizontal="left" vertical="top" wrapText="1"/>
    </xf>
    <xf numFmtId="0" fontId="9" fillId="16" borderId="65" xfId="0" applyFont="1" applyFill="1" applyBorder="1" applyAlignment="1">
      <alignment horizontal="left" vertical="top" wrapText="1"/>
    </xf>
    <xf numFmtId="0" fontId="9" fillId="16" borderId="77" xfId="0" applyFont="1" applyFill="1" applyBorder="1" applyAlignment="1">
      <alignment horizontal="left" vertical="top" wrapText="1"/>
    </xf>
    <xf numFmtId="0" fontId="37" fillId="16" borderId="21" xfId="0" applyFont="1" applyFill="1" applyBorder="1" applyAlignment="1">
      <alignment horizontal="center" vertical="top" wrapText="1"/>
    </xf>
    <xf numFmtId="0" fontId="37" fillId="16" borderId="22" xfId="0" applyFont="1" applyFill="1" applyBorder="1" applyAlignment="1">
      <alignment horizontal="center" vertical="top" wrapText="1"/>
    </xf>
    <xf numFmtId="0" fontId="37" fillId="16" borderId="23" xfId="0" applyFont="1" applyFill="1" applyBorder="1" applyAlignment="1">
      <alignment horizontal="center" vertical="top" wrapText="1"/>
    </xf>
    <xf numFmtId="37" fontId="4" fillId="16" borderId="76" xfId="8" quotePrefix="1" applyNumberFormat="1" applyFont="1" applyFill="1" applyBorder="1" applyAlignment="1">
      <alignment horizontal="right" vertical="center"/>
    </xf>
    <xf numFmtId="37" fontId="4" fillId="16" borderId="29" xfId="8" quotePrefix="1" applyNumberFormat="1" applyFont="1" applyFill="1" applyBorder="1" applyAlignment="1">
      <alignment horizontal="right" vertical="center"/>
    </xf>
    <xf numFmtId="0" fontId="68" fillId="14" borderId="22" xfId="0" applyFont="1" applyFill="1" applyBorder="1" applyAlignment="1">
      <alignment horizontal="left"/>
    </xf>
    <xf numFmtId="0" fontId="68" fillId="14" borderId="23" xfId="0" applyFont="1" applyFill="1" applyBorder="1" applyAlignment="1">
      <alignment horizontal="left"/>
    </xf>
  </cellXfs>
  <cellStyles count="50">
    <cellStyle name="Comma" xfId="1" builtinId="3"/>
    <cellStyle name="Comma 12 3" xfId="42"/>
    <cellStyle name="Comma 14 9" xfId="38"/>
    <cellStyle name="Comma 15 9" xfId="21"/>
    <cellStyle name="Comma 16 9" xfId="22"/>
    <cellStyle name="Comma 2" xfId="5"/>
    <cellStyle name="Comma 2 2" xfId="13"/>
    <cellStyle name="Comma 2 2 2 2" xfId="45"/>
    <cellStyle name="Comma 2 4 8" xfId="43"/>
    <cellStyle name="Comma 2 7 2" xfId="49"/>
    <cellStyle name="Comma 2 7 3" xfId="19"/>
    <cellStyle name="Comma 6 2 11 2" xfId="35"/>
    <cellStyle name="Currency" xfId="2" builtinId="4"/>
    <cellStyle name="Currency 2" xfId="15"/>
    <cellStyle name="Currency 2 2" xfId="40"/>
    <cellStyle name="Currency 2 2 2" xfId="7"/>
    <cellStyle name="Normal" xfId="0" builtinId="0"/>
    <cellStyle name="Normal 10 2" xfId="8"/>
    <cellStyle name="Normal 14 10 3" xfId="29"/>
    <cellStyle name="Normal 14 8" xfId="32"/>
    <cellStyle name="Normal 15 2" xfId="14"/>
    <cellStyle name="Normal 16 9" xfId="36"/>
    <cellStyle name="Normal 17 2 2 2 2 2" xfId="39"/>
    <cellStyle name="Normal 17 9" xfId="20"/>
    <cellStyle name="Normal 2 2" xfId="4"/>
    <cellStyle name="Normal 2 2 2 2" xfId="44"/>
    <cellStyle name="Normal 20" xfId="17"/>
    <cellStyle name="Normal 21" xfId="48"/>
    <cellStyle name="Normal 24" xfId="46"/>
    <cellStyle name="Normal 3 2" xfId="12"/>
    <cellStyle name="Normal 4" xfId="18"/>
    <cellStyle name="Normal 5" xfId="6"/>
    <cellStyle name="Normal 8 10" xfId="33"/>
    <cellStyle name="Normal 8 12" xfId="23"/>
    <cellStyle name="Normal 8 12 3" xfId="27"/>
    <cellStyle name="Normal 9 2 11 2" xfId="34"/>
    <cellStyle name="Normal_2002 Sch M Adds and Deducts 8-14-03" xfId="9"/>
    <cellStyle name="Normal_AR workpaper --2002 Def Tax Exp by Account 8-14-02" xfId="10"/>
    <cellStyle name="Normal_FERC 283 by M Item 2" xfId="11"/>
    <cellStyle name="Normal_TrAILCo attach 6 &amp; 7 and Appendix A" xfId="16"/>
    <cellStyle name="Normal_TrAILCo attach 6 &amp; 7 and Appendix A 2" xfId="41"/>
    <cellStyle name="Percent" xfId="3" builtinId="5"/>
    <cellStyle name="Percent 9" xfId="47"/>
    <cellStyle name="SAPBEXchaText 2 10 3 2" xfId="28"/>
    <cellStyle name="SAPBEXchaText 9" xfId="24"/>
    <cellStyle name="SAPBEXstdItem 11" xfId="26"/>
    <cellStyle name="SAPBEXstdItem 2 10 3 2" xfId="31"/>
    <cellStyle name="SAPBEXstdItem 5 12 3" xfId="37"/>
    <cellStyle name="SAPBEXstdItemX 2 10 3 2" xfId="30"/>
    <cellStyle name="SAPBEXstdItemX 9" xfId="25"/>
  </cellStyles>
  <dxfs count="0"/>
  <tableStyles count="0" defaultTableStyle="TableStyleMedium2" defaultPivotStyle="PivotStyleLight16"/>
  <colors>
    <mruColors>
      <color rgb="FFFFFFCC"/>
      <color rgb="FFA395C7"/>
      <color rgb="FF9B90CC"/>
      <color rgb="FFCEC8E6"/>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09%20transmission%20rate%20case\Last%20File%20Schedules%20(version%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2"/>
      <sheetName val="AB2"/>
      <sheetName val="AC2"/>
      <sheetName val="AD2"/>
      <sheetName val="AE1"/>
      <sheetName val="AE2"/>
      <sheetName val="AF2 253"/>
      <sheetName val="AF2 254"/>
      <sheetName val="AF2 255"/>
      <sheetName val="AF2 ADIT New"/>
      <sheetName val="AF 253"/>
      <sheetName val="AF 255"/>
      <sheetName val="AF ADIT New"/>
      <sheetName val="AG2 114"/>
      <sheetName val="AG2 182.3"/>
      <sheetName val="AG2 186"/>
      <sheetName val="AG2 190 New"/>
      <sheetName val="AG 114"/>
      <sheetName val="AG 182.3"/>
      <sheetName val="AG 186"/>
      <sheetName val="AG 190 New"/>
      <sheetName val="AH2 Summary"/>
      <sheetName val="AH2 Prod"/>
      <sheetName val="AH2 Prod (2)"/>
      <sheetName val="AH2 Def Fuel"/>
      <sheetName val="AH2 930"/>
      <sheetName val="AH2 Fuel"/>
      <sheetName val="AH2 PurchPower"/>
      <sheetName val="AH Summary"/>
      <sheetName val="AH Prod"/>
      <sheetName val="AH Prod (2)"/>
      <sheetName val="AH Def Fuel"/>
      <sheetName val="AH 930"/>
      <sheetName val="AH Fuel"/>
      <sheetName val="AH PurchPower"/>
      <sheetName val="AI2 P1"/>
      <sheetName val="AI2 P2"/>
      <sheetName val="AI2 P3"/>
      <sheetName val="AI P1"/>
      <sheetName val="AI P2"/>
      <sheetName val="AI P3"/>
      <sheetName val="AI Labor WP"/>
      <sheetName val="AJ2"/>
      <sheetName val="AK2 P1"/>
      <sheetName val="AK2 PropTax"/>
      <sheetName val="AL2 Summary"/>
      <sheetName val="AL2 151"/>
      <sheetName val="AL2 120"/>
      <sheetName val="AL2 154"/>
      <sheetName val="AL2 163"/>
      <sheetName val="AL2 165"/>
      <sheetName val="AL Summary"/>
      <sheetName val="AL 151"/>
      <sheetName val="AL 120"/>
      <sheetName val="AL154"/>
      <sheetName val="AL 163"/>
      <sheetName val="AL 165"/>
      <sheetName val="AM 2"/>
      <sheetName val="AN 2"/>
      <sheetName val="AN"/>
      <sheetName val="AO2 AFUDC"/>
      <sheetName val="AO2 S-T"/>
      <sheetName val="AO2 L-T and Pref rate"/>
      <sheetName val="AO AFUDC"/>
      <sheetName val="AO S-T"/>
      <sheetName val="AO L-T and Pref rate"/>
      <sheetName val="AP-Period II"/>
      <sheetName val="AP"/>
      <sheetName val="AQ 2 AQ 1"/>
      <sheetName val="AQ 2 AQ2"/>
      <sheetName val="AQ AQ 1"/>
      <sheetName val="AQ AQ"/>
      <sheetName val="AR 2 A"/>
      <sheetName val="AR 2 ITC"/>
      <sheetName val="AR A"/>
      <sheetName val="AR ITC"/>
      <sheetName val="AS 2 AS"/>
      <sheetName val="AS AS"/>
      <sheetName val="AT 2 A"/>
      <sheetName val="AT A"/>
      <sheetName val="AU 2 AU"/>
      <sheetName val="AU AU"/>
      <sheetName val="AU AU (2)"/>
      <sheetName val="AV 2 COC"/>
      <sheetName val="AV 2 LTD"/>
      <sheetName val="AV 2 SUN"/>
      <sheetName val="AV 2 PCB"/>
      <sheetName val="AV 2 FMB"/>
      <sheetName val="AV 2 Prfd"/>
      <sheetName val="AV 2 Sheet1"/>
      <sheetName val="AV 2 Common"/>
      <sheetName val="AV 2 Cash Flow"/>
      <sheetName val="AV COC"/>
      <sheetName val="AV LTD"/>
      <sheetName val="AV SUN"/>
      <sheetName val="AV PCB"/>
      <sheetName val="AV FMB"/>
      <sheetName val="AV Prfd"/>
      <sheetName val="AV Sheet1"/>
      <sheetName val="AV Common"/>
      <sheetName val="AW 2 AW-Period II"/>
      <sheetName val="AW AW"/>
      <sheetName val="AW ST Debt Bal"/>
      <sheetName val="AX 2 AX"/>
      <sheetName val="AX AX"/>
      <sheetName val="AY 2 AY"/>
      <sheetName val="AY AY"/>
      <sheetName val="BA 2 BA"/>
      <sheetName val="BA BA"/>
      <sheetName val="BB 2 p1"/>
      <sheetName val="BB p1"/>
      <sheetName val="BC 2 2005BC"/>
      <sheetName val="BC 2000_2003"/>
      <sheetName val="BD 2 BD"/>
      <sheetName val="BD BD"/>
      <sheetName val="BD_6-12-06"/>
      <sheetName val="BG 2 p2"/>
      <sheetName val="BG p2"/>
      <sheetName val="BH 2 p1"/>
      <sheetName val="BH 2 p2"/>
      <sheetName val="BH p1"/>
      <sheetName val="BH p2"/>
      <sheetName val="BI 2 BI"/>
      <sheetName val="BI BI"/>
      <sheetName val="BK 2 BK"/>
      <sheetName val="BL 2 Rate design-Schedule BL"/>
      <sheetName val="BL BI"/>
      <sheetName val="CAPST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35"/>
  <sheetViews>
    <sheetView view="pageBreakPreview" zoomScale="60" zoomScaleNormal="90" workbookViewId="0">
      <selection activeCell="H12" sqref="H12"/>
    </sheetView>
  </sheetViews>
  <sheetFormatPr defaultRowHeight="15" outlineLevelCol="1"/>
  <cols>
    <col min="1" max="1" width="7.42578125" customWidth="1"/>
    <col min="2" max="2" width="3.42578125" customWidth="1"/>
    <col min="3" max="3" width="65.85546875" customWidth="1"/>
    <col min="4" max="4" width="31.85546875" customWidth="1"/>
    <col min="5" max="5" width="36.28515625" customWidth="1"/>
    <col min="6" max="6" width="47.28515625" customWidth="1"/>
    <col min="7" max="7" width="19" customWidth="1"/>
    <col min="8" max="8" width="29.42578125" customWidth="1"/>
    <col min="9" max="9" width="7.140625" customWidth="1"/>
    <col min="10" max="12" width="29.42578125" hidden="1" customWidth="1" outlineLevel="1"/>
    <col min="13" max="13" width="7.140625" hidden="1" customWidth="1" outlineLevel="1"/>
    <col min="14" max="14" width="29.42578125" customWidth="1" collapsed="1"/>
    <col min="15" max="16" width="29.42578125" customWidth="1"/>
    <col min="17" max="17" width="5.5703125" customWidth="1"/>
    <col min="18" max="19" width="19.140625" bestFit="1" customWidth="1"/>
  </cols>
  <sheetData>
    <row r="1" spans="1:19" ht="18">
      <c r="A1" s="1" t="s">
        <v>0</v>
      </c>
      <c r="B1" s="1"/>
      <c r="C1" s="1"/>
      <c r="D1" s="1"/>
      <c r="E1" s="1"/>
      <c r="F1" s="1"/>
      <c r="G1" s="1"/>
      <c r="H1" s="1"/>
      <c r="I1" s="1"/>
      <c r="J1" s="1" t="s">
        <v>1</v>
      </c>
      <c r="K1" s="1"/>
      <c r="L1" s="1"/>
      <c r="M1" s="2"/>
      <c r="N1" s="1"/>
      <c r="O1" s="1"/>
      <c r="P1" s="1"/>
      <c r="Q1" s="3"/>
      <c r="R1" s="4"/>
    </row>
    <row r="2" spans="1:19" ht="18">
      <c r="A2" s="1" t="s">
        <v>2</v>
      </c>
      <c r="B2" s="1"/>
      <c r="C2" s="1"/>
      <c r="D2" s="1"/>
      <c r="E2" s="1"/>
      <c r="F2" s="1"/>
      <c r="G2" s="1"/>
      <c r="H2" s="1"/>
      <c r="I2" s="1"/>
      <c r="J2" s="1" t="s">
        <v>1</v>
      </c>
      <c r="K2" s="1"/>
      <c r="L2" s="1"/>
      <c r="M2" s="2"/>
      <c r="N2" s="1"/>
      <c r="O2" s="1"/>
      <c r="P2" s="1"/>
      <c r="Q2" s="3"/>
      <c r="R2" s="4"/>
    </row>
    <row r="3" spans="1:19" ht="18">
      <c r="A3" s="1" t="s">
        <v>3</v>
      </c>
      <c r="B3" s="1"/>
      <c r="C3" s="1"/>
      <c r="D3" s="1"/>
      <c r="E3" s="1"/>
      <c r="F3" s="1"/>
      <c r="G3" s="1"/>
      <c r="H3" s="1"/>
      <c r="I3" s="1"/>
      <c r="J3" s="1" t="s">
        <v>1</v>
      </c>
      <c r="K3" s="1"/>
      <c r="L3" s="1"/>
      <c r="M3" s="2"/>
      <c r="N3" s="1"/>
      <c r="O3" s="1"/>
      <c r="P3" s="1"/>
      <c r="Q3" s="3"/>
      <c r="R3" s="4"/>
    </row>
    <row r="4" spans="1:19" ht="18.75" thickBot="1">
      <c r="A4" s="1"/>
      <c r="B4" s="1"/>
      <c r="C4" s="1"/>
      <c r="D4" s="1"/>
      <c r="E4" s="1"/>
      <c r="F4" s="1"/>
      <c r="G4" s="1"/>
      <c r="H4" s="1"/>
      <c r="I4" s="1"/>
      <c r="J4" s="1"/>
      <c r="K4" s="1"/>
      <c r="L4" s="1"/>
      <c r="M4" s="2"/>
      <c r="N4" s="1"/>
      <c r="O4" s="1"/>
      <c r="P4" s="1"/>
      <c r="Q4" s="3"/>
      <c r="R4" s="4"/>
    </row>
    <row r="5" spans="1:19" ht="16.5" thickBot="1">
      <c r="A5" s="5"/>
      <c r="B5" s="6"/>
      <c r="C5" s="6"/>
      <c r="D5" s="6"/>
      <c r="E5" s="6"/>
      <c r="F5" s="6"/>
      <c r="G5" s="6"/>
      <c r="H5" s="7" t="str">
        <f>IF(Toggle=Projection,data_year+1&amp;" "&amp;Toggle,IF(Toggle=True_up,data_year&amp;" "&amp;Toggle,"Set toggle!"))</f>
        <v>2019 True-Up</v>
      </c>
      <c r="I5" s="8"/>
      <c r="J5" s="9" t="s">
        <v>1915</v>
      </c>
      <c r="K5" s="8"/>
      <c r="L5" s="8"/>
      <c r="M5" s="8"/>
      <c r="N5" s="9" t="s">
        <v>1917</v>
      </c>
      <c r="O5" s="8"/>
      <c r="P5" s="8"/>
      <c r="Q5" s="10"/>
      <c r="R5" s="11" t="s">
        <v>4</v>
      </c>
      <c r="S5" s="11" t="s">
        <v>283</v>
      </c>
    </row>
    <row r="6" spans="1:19" ht="15.75">
      <c r="A6" s="2412" t="s">
        <v>5</v>
      </c>
      <c r="B6" s="2413"/>
      <c r="C6" s="2413"/>
      <c r="D6" s="2414"/>
      <c r="E6" s="2418" t="s">
        <v>6</v>
      </c>
      <c r="F6" s="2412" t="s">
        <v>7</v>
      </c>
      <c r="G6" s="2414"/>
      <c r="H6" s="12">
        <v>2019</v>
      </c>
      <c r="I6" s="13"/>
      <c r="J6" s="14">
        <v>2017</v>
      </c>
      <c r="K6" s="15" t="s">
        <v>8</v>
      </c>
      <c r="L6" s="16" t="s">
        <v>9</v>
      </c>
      <c r="M6" s="17"/>
      <c r="N6" s="14">
        <v>2018</v>
      </c>
      <c r="O6" s="15" t="s">
        <v>8</v>
      </c>
      <c r="P6" s="16" t="s">
        <v>9</v>
      </c>
      <c r="Q6" s="18"/>
      <c r="R6" s="19" t="s">
        <v>10</v>
      </c>
      <c r="S6" s="19" t="s">
        <v>11</v>
      </c>
    </row>
    <row r="7" spans="1:19" ht="16.5" thickBot="1">
      <c r="A7" s="2415"/>
      <c r="B7" s="2416"/>
      <c r="C7" s="2416"/>
      <c r="D7" s="2417"/>
      <c r="E7" s="2419"/>
      <c r="F7" s="2415"/>
      <c r="G7" s="2417"/>
      <c r="H7" s="20" t="s">
        <v>2636</v>
      </c>
      <c r="I7" s="21"/>
      <c r="J7" s="22" t="s">
        <v>1846</v>
      </c>
      <c r="K7" s="23" t="str">
        <f>$H$5&amp;" value minus "&amp;$J$5&amp;" value"</f>
        <v>2019 True-Up value minus 2018 Projection (as-filed) value</v>
      </c>
      <c r="L7" s="24" t="str">
        <f>"Change over "&amp;$J$5</f>
        <v>Change over 2018 Projection (as-filed)</v>
      </c>
      <c r="M7" s="25"/>
      <c r="N7" s="22" t="s">
        <v>1916</v>
      </c>
      <c r="O7" s="23" t="str">
        <f>$H$5&amp;" value minus "&amp;$N$5&amp;" value"</f>
        <v>2019 True-Up value minus 2019 Projection (as-filed) value</v>
      </c>
      <c r="P7" s="24" t="str">
        <f>"Change over "&amp;$N$5</f>
        <v>Change over 2019 Projection (as-filed)</v>
      </c>
      <c r="Q7" s="26"/>
      <c r="R7" s="27" t="s">
        <v>12</v>
      </c>
      <c r="S7" s="27" t="s">
        <v>284</v>
      </c>
    </row>
    <row r="8" spans="1:19">
      <c r="Q8" s="28"/>
      <c r="R8" s="29"/>
    </row>
    <row r="9" spans="1:19" ht="15.75">
      <c r="A9" s="30" t="s">
        <v>13</v>
      </c>
      <c r="B9" s="31"/>
      <c r="C9" s="32"/>
      <c r="D9" s="32"/>
      <c r="E9" s="33"/>
      <c r="F9" s="34"/>
      <c r="G9" s="35"/>
      <c r="H9" s="36"/>
      <c r="J9" s="36"/>
      <c r="K9" s="36"/>
      <c r="L9" s="36"/>
      <c r="M9" s="37"/>
      <c r="N9" s="36"/>
      <c r="O9" s="36"/>
      <c r="P9" s="36"/>
      <c r="Q9" s="28"/>
      <c r="R9" s="38"/>
    </row>
    <row r="10" spans="1:19" ht="15.75">
      <c r="A10" s="39"/>
      <c r="B10" s="40"/>
      <c r="C10" s="40"/>
      <c r="D10" s="40"/>
      <c r="E10" s="41"/>
      <c r="F10" s="42"/>
      <c r="G10" s="42"/>
      <c r="H10" s="43"/>
      <c r="J10" s="43"/>
      <c r="K10" s="43"/>
      <c r="L10" s="43"/>
      <c r="M10" s="37"/>
      <c r="N10" s="43"/>
      <c r="O10" s="43"/>
      <c r="P10" s="43"/>
      <c r="Q10" s="28"/>
      <c r="R10" s="38"/>
    </row>
    <row r="11" spans="1:19" ht="15.75">
      <c r="A11" s="44"/>
      <c r="B11" s="45" t="s">
        <v>14</v>
      </c>
      <c r="C11" s="46"/>
      <c r="D11" s="46"/>
      <c r="E11" s="47"/>
      <c r="F11" s="48"/>
      <c r="G11" s="49"/>
      <c r="H11" s="48"/>
      <c r="J11" s="48"/>
      <c r="K11" s="48"/>
      <c r="L11" s="48"/>
      <c r="M11" s="37"/>
      <c r="N11" s="48"/>
      <c r="O11" s="48"/>
      <c r="P11" s="48"/>
      <c r="Q11" s="26"/>
      <c r="R11" s="38"/>
    </row>
    <row r="12" spans="1:19" ht="15.75">
      <c r="A12" s="50">
        <v>1</v>
      </c>
      <c r="B12" s="50"/>
      <c r="C12" s="42" t="s">
        <v>15</v>
      </c>
      <c r="D12" s="51"/>
      <c r="E12" s="52"/>
      <c r="F12" s="48" t="s">
        <v>16</v>
      </c>
      <c r="G12" s="46"/>
      <c r="H12" s="53">
        <f>INDEX(Inputs_EndYrBal,MATCH(F12,Inputs_FF1_Map,0))</f>
        <v>26859544</v>
      </c>
      <c r="I12" s="54"/>
      <c r="J12" s="55">
        <v>26634206</v>
      </c>
      <c r="K12" s="53">
        <f>$H12-J12</f>
        <v>225338</v>
      </c>
      <c r="L12" s="56">
        <f>IF(J12=0,"n/m",K12/ABS(J12))</f>
        <v>8.4604737231513492E-3</v>
      </c>
      <c r="M12" s="37"/>
      <c r="N12" s="55">
        <v>26690861</v>
      </c>
      <c r="O12" s="53">
        <f>$H12-N12</f>
        <v>168683</v>
      </c>
      <c r="P12" s="56">
        <f>IF(N12=0,"n/m",O12/ABS(N12))</f>
        <v>6.319878553187175E-3</v>
      </c>
      <c r="Q12" s="26"/>
      <c r="R12" s="38"/>
    </row>
    <row r="13" spans="1:19" ht="15.75">
      <c r="A13" s="57"/>
      <c r="B13" s="46"/>
      <c r="C13" s="46"/>
      <c r="D13" s="46"/>
      <c r="E13" s="57"/>
      <c r="F13" s="37"/>
      <c r="G13" s="2"/>
      <c r="H13" s="58"/>
      <c r="I13" s="59"/>
      <c r="J13" s="58"/>
      <c r="K13" s="58"/>
      <c r="L13" s="58"/>
      <c r="M13" s="37"/>
      <c r="N13" s="58"/>
      <c r="O13" s="58"/>
      <c r="P13" s="58"/>
      <c r="Q13" s="26"/>
      <c r="R13" s="38"/>
    </row>
    <row r="14" spans="1:19" ht="15.75">
      <c r="A14" s="50">
        <f>+A12+1</f>
        <v>2</v>
      </c>
      <c r="B14" s="50"/>
      <c r="C14" s="42" t="s">
        <v>17</v>
      </c>
      <c r="D14" s="42"/>
      <c r="E14" s="60"/>
      <c r="F14" s="42" t="s">
        <v>18</v>
      </c>
      <c r="G14" s="46"/>
      <c r="H14" s="53">
        <f>INDEX(Inputs_EndYrBal,MATCH(F14,Inputs_FF1_Map,0))</f>
        <v>362000992</v>
      </c>
      <c r="I14" s="54"/>
      <c r="J14" s="55">
        <v>356448651</v>
      </c>
      <c r="K14" s="53">
        <f>$H14-J14</f>
        <v>5552341</v>
      </c>
      <c r="L14" s="56">
        <f>IF(J14=0,"n/m",K14/ABS(J14))</f>
        <v>1.5576832692235382E-2</v>
      </c>
      <c r="M14" s="37"/>
      <c r="N14" s="55">
        <v>351120432</v>
      </c>
      <c r="O14" s="53">
        <f>$H14-N14</f>
        <v>10880560</v>
      </c>
      <c r="P14" s="56">
        <f>IF(N14=0,"n/m",O14/ABS(N14))</f>
        <v>3.0988114072495788E-2</v>
      </c>
      <c r="Q14" s="26"/>
      <c r="R14" s="38"/>
    </row>
    <row r="15" spans="1:19" ht="15.75">
      <c r="A15" s="50">
        <f>+A14+1</f>
        <v>3</v>
      </c>
      <c r="B15" s="50"/>
      <c r="C15" s="42" t="s">
        <v>19</v>
      </c>
      <c r="D15" s="42"/>
      <c r="E15" s="57"/>
      <c r="F15" s="42" t="s">
        <v>20</v>
      </c>
      <c r="G15" s="46"/>
      <c r="H15" s="53">
        <f>INDEX(Inputs_EndYrBal,MATCH(F15,Inputs_FF1_Map,0))</f>
        <v>42795683</v>
      </c>
      <c r="I15" s="54"/>
      <c r="J15" s="55">
        <v>42557961</v>
      </c>
      <c r="K15" s="53">
        <f>$H15-J15</f>
        <v>237722</v>
      </c>
      <c r="L15" s="56">
        <f>IF(J15=0,"n/m",K15/ABS(J15))</f>
        <v>5.5858409193993109E-3</v>
      </c>
      <c r="M15" s="37"/>
      <c r="N15" s="55">
        <v>43863713</v>
      </c>
      <c r="O15" s="53">
        <f>$H15-N15</f>
        <v>-1068030</v>
      </c>
      <c r="P15" s="56">
        <f>IF(N15=0,"n/m",O15/ABS(N15))</f>
        <v>-2.4348827925260226E-2</v>
      </c>
      <c r="Q15" s="26"/>
      <c r="R15" s="38"/>
    </row>
    <row r="16" spans="1:19" ht="15.75">
      <c r="A16" s="50">
        <f>+A15+1</f>
        <v>4</v>
      </c>
      <c r="B16" s="50"/>
      <c r="C16" s="61" t="s">
        <v>21</v>
      </c>
      <c r="D16" s="62"/>
      <c r="E16" s="63"/>
      <c r="F16" s="64" t="str">
        <f>"(Line "&amp;A14&amp;" - Line "&amp;A15&amp;")"</f>
        <v>(Line 2 - Line 3)</v>
      </c>
      <c r="G16" s="65"/>
      <c r="H16" s="66">
        <f>H14-H15</f>
        <v>319205309</v>
      </c>
      <c r="I16" s="54"/>
      <c r="J16" s="66">
        <v>313890690</v>
      </c>
      <c r="K16" s="67">
        <f>$H16-J16</f>
        <v>5314619</v>
      </c>
      <c r="L16" s="68">
        <f>IF(J16=0,"n/m",K16/ABS(J16))</f>
        <v>1.6931432404063976E-2</v>
      </c>
      <c r="M16" s="37"/>
      <c r="N16" s="66">
        <v>307256719</v>
      </c>
      <c r="O16" s="67">
        <f>$H16-N16</f>
        <v>11948590</v>
      </c>
      <c r="P16" s="68">
        <f>IF(N16=0,"n/m",O16/ABS(N16))</f>
        <v>3.888796976967003E-2</v>
      </c>
      <c r="Q16" s="26"/>
      <c r="R16" s="38"/>
    </row>
    <row r="17" spans="1:18" ht="15.75">
      <c r="A17" s="50"/>
      <c r="B17" s="50"/>
      <c r="C17" s="69"/>
      <c r="D17" s="46"/>
      <c r="E17" s="47"/>
      <c r="F17" s="70"/>
      <c r="G17" s="46"/>
      <c r="H17" s="48"/>
      <c r="J17" s="48"/>
      <c r="K17" s="48"/>
      <c r="L17" s="48"/>
      <c r="M17" s="37"/>
      <c r="N17" s="48"/>
      <c r="O17" s="48"/>
      <c r="P17" s="48"/>
      <c r="Q17" s="26"/>
      <c r="R17" s="38"/>
    </row>
    <row r="18" spans="1:18" ht="16.5" thickBot="1">
      <c r="A18" s="71">
        <f>A16+1</f>
        <v>5</v>
      </c>
      <c r="B18" s="72" t="s">
        <v>22</v>
      </c>
      <c r="C18" s="72"/>
      <c r="D18" s="73"/>
      <c r="E18" s="74"/>
      <c r="F18" s="75" t="str">
        <f>"(Line "&amp;A12&amp;" / Line "&amp;A16&amp;")"</f>
        <v>(Line 1 / Line 4)</v>
      </c>
      <c r="G18" s="76"/>
      <c r="H18" s="77">
        <f>H12/H16</f>
        <v>8.414504158513228E-2</v>
      </c>
      <c r="I18" s="54"/>
      <c r="J18" s="77">
        <v>8.4851850814689656E-2</v>
      </c>
      <c r="K18" s="78">
        <f>$H18-J18</f>
        <v>-7.068092295573758E-4</v>
      </c>
      <c r="L18" s="79">
        <f>IF(J18=0,"n/m",K18/ABS(J18))</f>
        <v>-8.3299211834635921E-3</v>
      </c>
      <c r="M18" s="37"/>
      <c r="N18" s="77">
        <v>8.6868274473763427E-2</v>
      </c>
      <c r="O18" s="78">
        <f>$H18-N18</f>
        <v>-2.7232328886311469E-3</v>
      </c>
      <c r="P18" s="79">
        <f>IF(N18=0,"n/m",O18/ABS(N18))</f>
        <v>-3.1348992542192568E-2</v>
      </c>
      <c r="Q18" s="26"/>
      <c r="R18" s="38"/>
    </row>
    <row r="19" spans="1:18" ht="16.5" thickTop="1">
      <c r="A19" s="50"/>
      <c r="B19" s="50"/>
      <c r="C19" s="45"/>
      <c r="D19" s="70"/>
      <c r="E19" s="80"/>
      <c r="F19" s="70"/>
      <c r="G19" s="46"/>
      <c r="H19" s="81"/>
      <c r="J19" s="81"/>
      <c r="K19" s="81"/>
      <c r="L19" s="81"/>
      <c r="M19" s="37"/>
      <c r="N19" s="81"/>
      <c r="O19" s="81"/>
      <c r="P19" s="81"/>
      <c r="Q19" s="26"/>
      <c r="R19" s="38"/>
    </row>
    <row r="20" spans="1:18" ht="15.75">
      <c r="A20" s="57"/>
      <c r="B20" s="45" t="s">
        <v>23</v>
      </c>
      <c r="C20" s="46"/>
      <c r="D20" s="2"/>
      <c r="E20" s="57"/>
      <c r="F20" s="37"/>
      <c r="G20" s="2"/>
      <c r="H20" s="37"/>
      <c r="J20" s="37"/>
      <c r="K20" s="37"/>
      <c r="L20" s="37"/>
      <c r="M20" s="37"/>
      <c r="N20" s="37"/>
      <c r="O20" s="37"/>
      <c r="P20" s="37"/>
      <c r="Q20" s="26"/>
      <c r="R20" s="38"/>
    </row>
    <row r="21" spans="1:18" ht="15.75">
      <c r="A21" s="71">
        <f>+A18+1</f>
        <v>6</v>
      </c>
      <c r="B21" s="2"/>
      <c r="C21" s="42" t="s">
        <v>24</v>
      </c>
      <c r="D21" s="46"/>
      <c r="E21" s="82" t="str">
        <f>"(Note "&amp;B$322&amp;")"</f>
        <v>(Note M)</v>
      </c>
      <c r="F21" s="42" t="s">
        <v>25</v>
      </c>
      <c r="G21" s="2"/>
      <c r="H21" s="83">
        <f>'Att 5 - Cost Support'!G68</f>
        <v>28268028990.781921</v>
      </c>
      <c r="J21" s="55">
        <v>27658984089.41</v>
      </c>
      <c r="K21" s="53">
        <f>$H21-J21</f>
        <v>609044901.37192154</v>
      </c>
      <c r="L21" s="56">
        <f>IF(J21=0,"n/m",K21/ABS(J21))</f>
        <v>2.2019785665414626E-2</v>
      </c>
      <c r="M21" s="37"/>
      <c r="N21" s="55">
        <v>28070040963.709995</v>
      </c>
      <c r="O21" s="53">
        <f>$H21-N21</f>
        <v>197988027.07192612</v>
      </c>
      <c r="P21" s="56">
        <f>IF(N21=0,"n/m",O21/ABS(N21))</f>
        <v>7.0533572547290717E-3</v>
      </c>
      <c r="Q21" s="26"/>
      <c r="R21" s="38"/>
    </row>
    <row r="22" spans="1:18" ht="15.75">
      <c r="A22" s="52"/>
      <c r="B22" s="2"/>
      <c r="C22" s="42"/>
      <c r="D22" s="46"/>
      <c r="E22" s="57"/>
      <c r="F22" s="42"/>
      <c r="G22" s="2"/>
      <c r="H22" s="83"/>
      <c r="J22" s="83"/>
      <c r="K22" s="83"/>
      <c r="L22" s="83"/>
      <c r="M22" s="37"/>
      <c r="N22" s="84"/>
      <c r="O22" s="83"/>
      <c r="P22" s="83"/>
      <c r="Q22" s="26"/>
      <c r="R22" s="38"/>
    </row>
    <row r="23" spans="1:18" ht="15.75">
      <c r="A23" s="71">
        <f>A21+1</f>
        <v>7</v>
      </c>
      <c r="B23" s="2"/>
      <c r="C23" s="42" t="s">
        <v>26</v>
      </c>
      <c r="D23" s="46"/>
      <c r="E23" s="82" t="str">
        <f>"(Note "&amp;B$322&amp;")"</f>
        <v>(Note M)</v>
      </c>
      <c r="F23" s="42" t="s">
        <v>25</v>
      </c>
      <c r="G23" s="2"/>
      <c r="H23" s="83">
        <f>'Att 5 - Cost Support'!$G$132</f>
        <v>10303267901.138847</v>
      </c>
      <c r="J23" s="55">
        <v>9560641914.5600014</v>
      </c>
      <c r="K23" s="53">
        <f>$H23-J23</f>
        <v>742625986.57884598</v>
      </c>
      <c r="L23" s="56">
        <f>IF(J23=0,"n/m",K23/ABS(J23))</f>
        <v>7.7675326951414533E-2</v>
      </c>
      <c r="M23" s="37"/>
      <c r="N23" s="55">
        <v>10240036402.77</v>
      </c>
      <c r="O23" s="53">
        <f>$H23-N23</f>
        <v>63231498.368846893</v>
      </c>
      <c r="P23" s="56">
        <f>IF(N23=0,"n/m",O23/ABS(N23))</f>
        <v>6.1749290609691915E-3</v>
      </c>
      <c r="Q23" s="26"/>
      <c r="R23" s="38"/>
    </row>
    <row r="24" spans="1:18" ht="15.75">
      <c r="A24" s="71">
        <f>+A23+1</f>
        <v>8</v>
      </c>
      <c r="B24" s="2"/>
      <c r="C24" s="42" t="s">
        <v>27</v>
      </c>
      <c r="D24" s="46"/>
      <c r="E24" s="82" t="str">
        <f>"(Note "&amp;B$323&amp;")"</f>
        <v>(Note N)</v>
      </c>
      <c r="F24" s="48" t="s">
        <v>25</v>
      </c>
      <c r="G24" s="2"/>
      <c r="H24" s="83">
        <f>'Att 5 - Cost Support'!G109</f>
        <v>633756884.82500005</v>
      </c>
      <c r="J24" s="55">
        <v>580005314.62</v>
      </c>
      <c r="K24" s="53">
        <f>$H24-J24</f>
        <v>53751570.205000043</v>
      </c>
      <c r="L24" s="56">
        <f>IF(J24=0,"n/m",K24/ABS(J24))</f>
        <v>9.2674271855967841E-2</v>
      </c>
      <c r="N24" s="55">
        <v>614571347.25999999</v>
      </c>
      <c r="O24" s="53">
        <f>$H24-N24</f>
        <v>19185537.565000057</v>
      </c>
      <c r="P24" s="56">
        <f>IF(N24=0,"n/m",O24/ABS(N24))</f>
        <v>3.1217754700958163E-2</v>
      </c>
      <c r="Q24" s="26"/>
      <c r="R24" s="38"/>
    </row>
    <row r="25" spans="1:18" ht="15.75">
      <c r="A25" s="71">
        <f>A24+1</f>
        <v>9</v>
      </c>
      <c r="B25" s="46"/>
      <c r="C25" s="85" t="s">
        <v>28</v>
      </c>
      <c r="D25" s="65"/>
      <c r="E25" s="86"/>
      <c r="F25" s="64" t="str">
        <f>"(Line "&amp;A23&amp;" + "&amp;A24&amp;")"</f>
        <v>(Line 7 + 8)</v>
      </c>
      <c r="G25" s="87"/>
      <c r="H25" s="66">
        <f>SUM(H23:H24)</f>
        <v>10937024785.963848</v>
      </c>
      <c r="J25" s="66">
        <v>10140647229.180002</v>
      </c>
      <c r="K25" s="67">
        <f>$H25-J25</f>
        <v>796377556.7838459</v>
      </c>
      <c r="L25" s="68">
        <f>IF(J25=0,"n/m",K25/ABS(J25))</f>
        <v>7.8533207869833671E-2</v>
      </c>
      <c r="M25" s="37"/>
      <c r="N25" s="66">
        <v>10854607750.030001</v>
      </c>
      <c r="O25" s="67">
        <f>$H25-N25</f>
        <v>82417035.933847427</v>
      </c>
      <c r="P25" s="68">
        <f>IF(N25=0,"n/m",O25/ABS(N25))</f>
        <v>7.592815680844813E-3</v>
      </c>
      <c r="Q25" s="26"/>
      <c r="R25" s="38"/>
    </row>
    <row r="26" spans="1:18" ht="15.75">
      <c r="A26" s="57"/>
      <c r="B26" s="46"/>
      <c r="C26" s="40"/>
      <c r="D26" s="46"/>
      <c r="E26" s="57"/>
      <c r="F26" s="48"/>
      <c r="G26" s="2"/>
      <c r="H26" s="58"/>
      <c r="J26" s="58"/>
      <c r="K26" s="58"/>
      <c r="L26" s="58"/>
      <c r="M26" s="37"/>
      <c r="N26" s="58"/>
      <c r="O26" s="58"/>
      <c r="P26" s="58"/>
      <c r="Q26" s="26"/>
      <c r="R26" s="38"/>
    </row>
    <row r="27" spans="1:18" ht="15.75">
      <c r="A27" s="50">
        <f>+A25+1</f>
        <v>10</v>
      </c>
      <c r="B27" s="2"/>
      <c r="C27" s="87" t="s">
        <v>29</v>
      </c>
      <c r="D27" s="87"/>
      <c r="E27" s="86"/>
      <c r="F27" s="64" t="str">
        <f>"(Line "&amp;A21&amp;" - Line "&amp;A25&amp;")"</f>
        <v>(Line 6 - Line 9)</v>
      </c>
      <c r="G27" s="87"/>
      <c r="H27" s="66">
        <f>H21-H25</f>
        <v>17331004204.818073</v>
      </c>
      <c r="J27" s="66">
        <v>17518336860.229996</v>
      </c>
      <c r="K27" s="67">
        <f>$H27-J27</f>
        <v>-187332655.41192245</v>
      </c>
      <c r="L27" s="68">
        <f>IF(J27=0,"n/m",K27/ABS(J27))</f>
        <v>-1.0693518277822578E-2</v>
      </c>
      <c r="M27" s="37"/>
      <c r="N27" s="66">
        <v>17215433213.679993</v>
      </c>
      <c r="O27" s="67">
        <f>$H27-N27</f>
        <v>115570991.1380806</v>
      </c>
      <c r="P27" s="68">
        <f>IF(N27=0,"n/m",O27/ABS(N27))</f>
        <v>6.7132200336523506E-3</v>
      </c>
      <c r="Q27" s="26"/>
      <c r="R27" s="38"/>
    </row>
    <row r="28" spans="1:18" ht="15.75">
      <c r="A28" s="57"/>
      <c r="B28" s="2"/>
      <c r="C28" s="2"/>
      <c r="D28" s="2"/>
      <c r="E28" s="57"/>
      <c r="F28" s="37"/>
      <c r="G28" s="2"/>
      <c r="H28" s="58"/>
      <c r="J28" s="58"/>
      <c r="K28" s="58"/>
      <c r="L28" s="58"/>
      <c r="M28" s="37"/>
      <c r="N28" s="58"/>
      <c r="O28" s="58"/>
      <c r="P28" s="58"/>
      <c r="Q28" s="26"/>
      <c r="R28" s="38"/>
    </row>
    <row r="29" spans="1:18" ht="15.75">
      <c r="A29" s="71">
        <f>+A27+1</f>
        <v>11</v>
      </c>
      <c r="B29" s="2"/>
      <c r="C29" s="2" t="s">
        <v>30</v>
      </c>
      <c r="D29" s="2"/>
      <c r="E29" s="57"/>
      <c r="F29" s="88" t="str">
        <f>"(Line "&amp;A50&amp;" - Line "&amp;A48&amp;")"</f>
        <v>(Line 24 - Line 23)</v>
      </c>
      <c r="G29" s="2"/>
      <c r="H29" s="58">
        <f>H50-H48</f>
        <v>6627708823.3102102</v>
      </c>
      <c r="J29" s="58">
        <v>6475717425.9266577</v>
      </c>
      <c r="K29" s="89">
        <f>$H29-J29</f>
        <v>151991397.38355255</v>
      </c>
      <c r="L29" s="90">
        <f>IF(J29=0,"n/m",K29/ABS(J29))</f>
        <v>2.3470974316301796E-2</v>
      </c>
      <c r="M29" s="37"/>
      <c r="N29" s="58">
        <v>6639809907.0088863</v>
      </c>
      <c r="O29" s="89">
        <f>$H29-N29</f>
        <v>-12101083.698676109</v>
      </c>
      <c r="P29" s="90">
        <f>IF(N29=0,"n/m",O29/ABS(N29))</f>
        <v>-1.8225045397613541E-3</v>
      </c>
      <c r="Q29" s="26"/>
      <c r="R29" s="38"/>
    </row>
    <row r="30" spans="1:18" ht="16.5" thickBot="1">
      <c r="A30" s="50">
        <f>+A29+1</f>
        <v>12</v>
      </c>
      <c r="B30" s="91" t="s">
        <v>31</v>
      </c>
      <c r="C30" s="91"/>
      <c r="D30" s="92"/>
      <c r="E30" s="93"/>
      <c r="F30" s="75" t="str">
        <f>"(Line "&amp;A29&amp;" / Line "&amp;A21&amp;")"</f>
        <v>(Line 11 / Line 6)</v>
      </c>
      <c r="G30" s="92"/>
      <c r="H30" s="77">
        <f>H29/H21</f>
        <v>0.23445953113573914</v>
      </c>
      <c r="J30" s="77">
        <v>0.23412708886896766</v>
      </c>
      <c r="K30" s="78">
        <f>$H30-J30</f>
        <v>3.3244226677148214E-4</v>
      </c>
      <c r="L30" s="79">
        <f>IF(J30=0,"n/m",K30/ABS(J30))</f>
        <v>1.4199222669083707E-3</v>
      </c>
      <c r="M30" s="37"/>
      <c r="N30" s="77">
        <v>0.2365443611426532</v>
      </c>
      <c r="O30" s="78">
        <f>$H30-N30</f>
        <v>-2.0848300069140624E-3</v>
      </c>
      <c r="P30" s="79">
        <f>IF(N30=0,"n/m",O30/ABS(N30))</f>
        <v>-8.8136956503341059E-3</v>
      </c>
      <c r="Q30" s="26"/>
      <c r="R30" s="38"/>
    </row>
    <row r="31" spans="1:18" ht="16.5" thickTop="1">
      <c r="A31" s="57"/>
      <c r="B31" s="46"/>
      <c r="C31" s="46"/>
      <c r="D31" s="46"/>
      <c r="E31" s="57"/>
      <c r="F31" s="37"/>
      <c r="G31" s="2"/>
      <c r="H31" s="37"/>
      <c r="J31" s="37"/>
      <c r="K31" s="37"/>
      <c r="L31" s="37"/>
      <c r="M31" s="37"/>
      <c r="N31" s="37"/>
      <c r="O31" s="37"/>
      <c r="P31" s="37"/>
      <c r="Q31" s="26"/>
      <c r="R31" s="38"/>
    </row>
    <row r="32" spans="1:18" ht="15.75">
      <c r="A32" s="71">
        <f>+A30+1</f>
        <v>13</v>
      </c>
      <c r="B32" s="50"/>
      <c r="C32" s="94" t="s">
        <v>32</v>
      </c>
      <c r="D32" s="70"/>
      <c r="E32" s="80"/>
      <c r="F32" s="88" t="str">
        <f>"(Line "&amp;A64&amp;" - Line "&amp;A48&amp;")"</f>
        <v>(Line 32 - Line 23)</v>
      </c>
      <c r="G32" s="46"/>
      <c r="H32" s="58">
        <f>H64-H48</f>
        <v>4718768077.8764553</v>
      </c>
      <c r="J32" s="58">
        <v>4707062034.3387451</v>
      </c>
      <c r="K32" s="89">
        <f>$H32-J32</f>
        <v>11706043.53771019</v>
      </c>
      <c r="L32" s="90">
        <f>IF(J32=0,"n/m",K32/ABS(J32))</f>
        <v>2.4869108272448487E-3</v>
      </c>
      <c r="M32" s="37"/>
      <c r="N32" s="58">
        <v>4775957839.6596527</v>
      </c>
      <c r="O32" s="89">
        <f>$H32-N32</f>
        <v>-57189761.783197403</v>
      </c>
      <c r="P32" s="90">
        <f>IF(N32=0,"n/m",O32/ABS(N32))</f>
        <v>-1.1974511439002338E-2</v>
      </c>
      <c r="Q32" s="26"/>
      <c r="R32" s="38"/>
    </row>
    <row r="33" spans="1:18" ht="16.5" thickBot="1">
      <c r="A33" s="50">
        <f>+A32+1</f>
        <v>14</v>
      </c>
      <c r="B33" s="91" t="s">
        <v>33</v>
      </c>
      <c r="C33" s="91"/>
      <c r="D33" s="92"/>
      <c r="E33" s="93"/>
      <c r="F33" s="75" t="str">
        <f>"(Line "&amp;A32&amp;" / Line "&amp;A27&amp;")"</f>
        <v>(Line 13 / Line 10)</v>
      </c>
      <c r="G33" s="92"/>
      <c r="H33" s="77">
        <f>H32/H27</f>
        <v>0.27227320599025778</v>
      </c>
      <c r="J33" s="77">
        <v>0.26869343088296721</v>
      </c>
      <c r="K33" s="78">
        <f>$H33-J33</f>
        <v>3.5797751072905726E-3</v>
      </c>
      <c r="L33" s="79">
        <f>IF(J33=0,"n/m",K33/ABS(J33))</f>
        <v>1.3322897755731842E-2</v>
      </c>
      <c r="M33" s="37"/>
      <c r="N33" s="77">
        <v>0.27742304131298351</v>
      </c>
      <c r="O33" s="78">
        <f>$H33-N33</f>
        <v>-5.1498353227257265E-3</v>
      </c>
      <c r="P33" s="79">
        <f>IF(N33=0,"n/m",O33/ABS(N33))</f>
        <v>-1.8563113209172047E-2</v>
      </c>
      <c r="Q33" s="26"/>
      <c r="R33" s="38"/>
    </row>
    <row r="34" spans="1:18" ht="16.5" thickTop="1">
      <c r="A34" s="95"/>
      <c r="B34" s="50"/>
      <c r="C34" s="45"/>
      <c r="D34" s="70"/>
      <c r="E34" s="80"/>
      <c r="F34" s="46"/>
      <c r="G34" s="46"/>
      <c r="H34" s="81"/>
      <c r="J34" s="81"/>
      <c r="K34" s="81"/>
      <c r="L34" s="81"/>
      <c r="M34" s="37"/>
      <c r="N34" s="81"/>
      <c r="O34" s="81"/>
      <c r="P34" s="81"/>
      <c r="Q34" s="26"/>
      <c r="R34" s="38"/>
    </row>
    <row r="35" spans="1:18" ht="15.75">
      <c r="A35" s="30" t="s">
        <v>34</v>
      </c>
      <c r="B35" s="31"/>
      <c r="C35" s="32"/>
      <c r="D35" s="32"/>
      <c r="E35" s="96"/>
      <c r="F35" s="35"/>
      <c r="G35" s="35"/>
      <c r="H35" s="97"/>
      <c r="J35" s="97">
        <v>0</v>
      </c>
      <c r="K35" s="97"/>
      <c r="L35" s="97"/>
      <c r="M35" s="37"/>
      <c r="N35" s="97">
        <v>0</v>
      </c>
      <c r="O35" s="97"/>
      <c r="P35" s="97"/>
      <c r="Q35" s="26"/>
      <c r="R35" s="38"/>
    </row>
    <row r="36" spans="1:18" ht="15.75">
      <c r="A36" s="98"/>
      <c r="B36" s="99"/>
      <c r="C36" s="40"/>
      <c r="D36" s="40"/>
      <c r="E36" s="41"/>
      <c r="F36" s="42"/>
      <c r="G36" s="42"/>
      <c r="H36" s="43"/>
      <c r="J36" s="43"/>
      <c r="K36" s="43"/>
      <c r="L36" s="43"/>
      <c r="M36" s="37"/>
      <c r="N36" s="43"/>
      <c r="O36" s="43"/>
      <c r="P36" s="43"/>
      <c r="Q36" s="26"/>
      <c r="R36" s="38"/>
    </row>
    <row r="37" spans="1:18" ht="15.75">
      <c r="A37" s="57"/>
      <c r="B37" s="45" t="s">
        <v>35</v>
      </c>
      <c r="C37" s="46"/>
      <c r="D37" s="46"/>
      <c r="E37" s="80"/>
      <c r="F37" s="48"/>
      <c r="G37" s="44"/>
      <c r="H37" s="48"/>
      <c r="J37" s="48"/>
      <c r="K37" s="48"/>
      <c r="L37" s="48"/>
      <c r="M37" s="37"/>
      <c r="N37" s="48"/>
      <c r="O37" s="48"/>
      <c r="P37" s="48"/>
      <c r="Q37" s="26"/>
      <c r="R37" s="38"/>
    </row>
    <row r="38" spans="1:18" ht="15.75">
      <c r="A38" s="71">
        <f>+A33+1</f>
        <v>15</v>
      </c>
      <c r="B38" s="71"/>
      <c r="C38" s="94" t="s">
        <v>36</v>
      </c>
      <c r="D38" s="70"/>
      <c r="E38" s="82" t="str">
        <f>"(Note "&amp;B$322&amp;")"</f>
        <v>(Note M)</v>
      </c>
      <c r="F38" s="48" t="s">
        <v>25</v>
      </c>
      <c r="G38" s="46"/>
      <c r="H38" s="83">
        <f>'Att 5 - Cost Support'!G20</f>
        <v>6436346561.193078</v>
      </c>
      <c r="J38" s="55">
        <v>6222285657.000001</v>
      </c>
      <c r="K38" s="53">
        <f>$H38-J38</f>
        <v>214060904.19307709</v>
      </c>
      <c r="L38" s="56">
        <f>IF(J38=0,"n/m",K38/ABS(J38))</f>
        <v>3.4402294589651473E-2</v>
      </c>
      <c r="M38" s="37"/>
      <c r="N38" s="55">
        <v>6353044980.3799982</v>
      </c>
      <c r="O38" s="53">
        <f>$H38-N38</f>
        <v>83301580.813079834</v>
      </c>
      <c r="P38" s="56">
        <f>IF(N38=0,"n/m",O38/ABS(N38))</f>
        <v>1.3112071623975385E-2</v>
      </c>
      <c r="Q38" s="26"/>
      <c r="R38" s="38"/>
    </row>
    <row r="39" spans="1:18" ht="15.75">
      <c r="A39" s="71">
        <f>+A38+1</f>
        <v>16</v>
      </c>
      <c r="B39" s="71"/>
      <c r="C39" s="100" t="s">
        <v>37</v>
      </c>
      <c r="D39" s="101"/>
      <c r="E39" s="102" t="str">
        <f>"(Notes "&amp;B$300&amp;" &amp; "&amp;B325&amp;")"</f>
        <v>(Notes A &amp; P)</v>
      </c>
      <c r="F39" s="103" t="s">
        <v>38</v>
      </c>
      <c r="G39" s="104"/>
      <c r="H39" s="105">
        <f>IF(Toggle=Projection,'Att 6 - Est &amp; Reconcile WS'!W46,IF(Toggle=True_up,0,"Set Toggle!"))</f>
        <v>0</v>
      </c>
      <c r="J39" s="106">
        <v>69490470.741243258</v>
      </c>
      <c r="K39" s="53">
        <f>$H39-J39</f>
        <v>-69490470.741243258</v>
      </c>
      <c r="L39" s="56">
        <f>IF(J39=0,"n/m",K39/ABS(J39))</f>
        <v>-1</v>
      </c>
      <c r="M39" s="37"/>
      <c r="N39" s="106">
        <v>91756510.533227056</v>
      </c>
      <c r="O39" s="53">
        <f>$H39-N39</f>
        <v>-91756510.533227056</v>
      </c>
      <c r="P39" s="56">
        <f>IF(N39=0,"n/m",O39/ABS(N39))</f>
        <v>-1</v>
      </c>
      <c r="Q39" s="26"/>
      <c r="R39" s="38"/>
    </row>
    <row r="40" spans="1:18" ht="15.75">
      <c r="A40" s="71">
        <f>+A39+1</f>
        <v>17</v>
      </c>
      <c r="B40" s="71"/>
      <c r="C40" s="45" t="s">
        <v>39</v>
      </c>
      <c r="D40" s="70"/>
      <c r="E40" s="82"/>
      <c r="F40" s="107" t="str">
        <f>"(Line "&amp;A38&amp;" + Line "&amp;A39&amp;")"</f>
        <v>(Line 15 + Line 16)</v>
      </c>
      <c r="G40" s="46"/>
      <c r="H40" s="108">
        <f>H38+H39</f>
        <v>6436346561.193078</v>
      </c>
      <c r="J40" s="108">
        <v>6291776127.7412443</v>
      </c>
      <c r="K40" s="67">
        <f>$H40-J40</f>
        <v>144570433.45183372</v>
      </c>
      <c r="L40" s="68">
        <f>IF(J40=0,"n/m",K40/ABS(J40))</f>
        <v>2.2977682377223217E-2</v>
      </c>
      <c r="M40" s="2"/>
      <c r="N40" s="108">
        <v>6444801490.9132252</v>
      </c>
      <c r="O40" s="67">
        <f>$H40-N40</f>
        <v>-8454929.7201471329</v>
      </c>
      <c r="P40" s="68">
        <f>IF(N40=0,"n/m",O40/ABS(N40))</f>
        <v>-1.3118991689764325E-3</v>
      </c>
      <c r="Q40" s="26"/>
      <c r="R40" s="38"/>
    </row>
    <row r="41" spans="1:18" ht="15.75">
      <c r="A41" s="71"/>
      <c r="B41" s="71"/>
      <c r="C41" s="94"/>
      <c r="D41" s="70"/>
      <c r="E41" s="109"/>
      <c r="F41" s="48"/>
      <c r="G41" s="70"/>
      <c r="H41" s="83"/>
      <c r="J41" s="83"/>
      <c r="K41" s="83"/>
      <c r="L41" s="83"/>
      <c r="M41" s="37"/>
      <c r="N41" s="83"/>
      <c r="O41" s="83"/>
      <c r="P41" s="83"/>
      <c r="Q41" s="26"/>
      <c r="R41" s="38"/>
    </row>
    <row r="42" spans="1:18" ht="15.75">
      <c r="A42" s="71">
        <f>+A40+1</f>
        <v>18</v>
      </c>
      <c r="B42" s="71"/>
      <c r="C42" s="94" t="s">
        <v>40</v>
      </c>
      <c r="D42" s="70"/>
      <c r="E42" s="82" t="str">
        <f>"(Note "&amp;B$323&amp;")"</f>
        <v>(Note N)</v>
      </c>
      <c r="F42" s="48" t="s">
        <v>25</v>
      </c>
      <c r="G42" s="70"/>
      <c r="H42" s="83">
        <f>+'Att 5 - Cost Support'!G46</f>
        <v>1281037939.3699999</v>
      </c>
      <c r="J42" s="55">
        <v>1230870806.7400002</v>
      </c>
      <c r="K42" s="53">
        <f>$H42-J42</f>
        <v>50167132.629999638</v>
      </c>
      <c r="L42" s="56">
        <f>IF(J42=0,"n/m",K42/ABS(J42))</f>
        <v>4.0757431531639667E-2</v>
      </c>
      <c r="M42" s="2"/>
      <c r="N42" s="55">
        <v>1274442961.22</v>
      </c>
      <c r="O42" s="53">
        <f>$H42-N42</f>
        <v>6594978.1499998569</v>
      </c>
      <c r="P42" s="56">
        <f>IF(N42=0,"n/m",O42/ABS(N42))</f>
        <v>5.1747927138980077E-3</v>
      </c>
      <c r="Q42" s="26"/>
      <c r="R42" s="38"/>
    </row>
    <row r="43" spans="1:18" ht="15.75">
      <c r="A43" s="71">
        <f>A42+1</f>
        <v>19</v>
      </c>
      <c r="B43" s="71"/>
      <c r="C43" s="94" t="s">
        <v>41</v>
      </c>
      <c r="D43" s="70"/>
      <c r="E43" s="82" t="str">
        <f>"(Note "&amp;B$323&amp;")"</f>
        <v>(Note N)</v>
      </c>
      <c r="F43" s="88" t="s">
        <v>25</v>
      </c>
      <c r="G43" s="70"/>
      <c r="H43" s="83">
        <f>+'Att 5 - Cost Support'!G41</f>
        <v>993157408.4749999</v>
      </c>
      <c r="J43" s="55">
        <v>936922781.95999992</v>
      </c>
      <c r="K43" s="53">
        <f>$H43-J43</f>
        <v>56234626.514999986</v>
      </c>
      <c r="L43" s="56">
        <f>IF(J43=0,"n/m",K43/ABS(J43))</f>
        <v>6.0020556227013397E-2</v>
      </c>
      <c r="M43" s="2"/>
      <c r="N43" s="55">
        <v>970432020.77999997</v>
      </c>
      <c r="O43" s="53">
        <f>$H43-N43</f>
        <v>22725387.694999933</v>
      </c>
      <c r="P43" s="56">
        <f>IF(N43=0,"n/m",O43/ABS(N43))</f>
        <v>2.3417804862553945E-2</v>
      </c>
      <c r="Q43" s="26"/>
      <c r="R43" s="38"/>
    </row>
    <row r="44" spans="1:18" ht="15.75">
      <c r="A44" s="71">
        <f>A43+1</f>
        <v>20</v>
      </c>
      <c r="B44" s="71"/>
      <c r="C44" s="61" t="s">
        <v>42</v>
      </c>
      <c r="D44" s="110"/>
      <c r="E44" s="111"/>
      <c r="F44" s="107" t="str">
        <f>"(Line "&amp;A42&amp;" + Line "&amp;A43&amp;")"</f>
        <v>(Line 18 + Line 19)</v>
      </c>
      <c r="G44" s="110"/>
      <c r="H44" s="66">
        <f>SUM(H42:H43)</f>
        <v>2274195347.8449998</v>
      </c>
      <c r="J44" s="66">
        <v>2167793588.7000003</v>
      </c>
      <c r="K44" s="67">
        <f>$H44-J44</f>
        <v>106401759.1449995</v>
      </c>
      <c r="L44" s="68">
        <f>IF(J44=0,"n/m",K44/ABS(J44))</f>
        <v>4.9082975288623931E-2</v>
      </c>
      <c r="M44" s="2"/>
      <c r="N44" s="66">
        <v>2244874982</v>
      </c>
      <c r="O44" s="67">
        <f>$H44-N44</f>
        <v>29320365.84499979</v>
      </c>
      <c r="P44" s="68">
        <f>IF(N44=0,"n/m",O44/ABS(N44))</f>
        <v>1.3061023923424788E-2</v>
      </c>
      <c r="Q44" s="26"/>
      <c r="R44" s="38"/>
    </row>
    <row r="45" spans="1:18" ht="15.75">
      <c r="A45" s="71">
        <f>+A44+1</f>
        <v>21</v>
      </c>
      <c r="B45" s="71"/>
      <c r="C45" s="112" t="s">
        <v>43</v>
      </c>
      <c r="D45" s="94"/>
      <c r="E45" s="80"/>
      <c r="F45" s="88" t="str">
        <f>"(Line "&amp;A$18&amp;")"</f>
        <v>(Line 5)</v>
      </c>
      <c r="G45" s="113"/>
      <c r="H45" s="114">
        <f>Allocator.wages.salary</f>
        <v>8.414504158513228E-2</v>
      </c>
      <c r="J45" s="114">
        <v>8.4851850814689656E-2</v>
      </c>
      <c r="K45" s="114"/>
      <c r="L45" s="114"/>
      <c r="M45" s="2"/>
      <c r="N45" s="114">
        <v>8.6868274473763427E-2</v>
      </c>
      <c r="O45" s="114"/>
      <c r="P45" s="114"/>
      <c r="Q45" s="26"/>
      <c r="R45" s="38"/>
    </row>
    <row r="46" spans="1:18" ht="15.75">
      <c r="A46" s="71">
        <f>A45+1</f>
        <v>22</v>
      </c>
      <c r="B46" s="37"/>
      <c r="C46" s="115" t="s">
        <v>44</v>
      </c>
      <c r="D46" s="85"/>
      <c r="E46" s="116"/>
      <c r="F46" s="107" t="str">
        <f>"(Line "&amp;A44&amp;" * Line "&amp;A45&amp;")"</f>
        <v>(Line 20 * Line 21)</v>
      </c>
      <c r="G46" s="85"/>
      <c r="H46" s="66">
        <f>+H44*H45</f>
        <v>191362262.11713189</v>
      </c>
      <c r="J46" s="66">
        <v>183941298.18541312</v>
      </c>
      <c r="K46" s="67">
        <f>$H46-J46</f>
        <v>7420963.9317187667</v>
      </c>
      <c r="L46" s="68">
        <f>IF(J46=0,"n/m",K46/ABS(J46))</f>
        <v>4.0344196789556322E-2</v>
      </c>
      <c r="M46" s="2"/>
      <c r="N46" s="66">
        <v>195008416.09566075</v>
      </c>
      <c r="O46" s="67">
        <f>$H46-N46</f>
        <v>-3646153.9785288572</v>
      </c>
      <c r="P46" s="68">
        <f>IF(N46=0,"n/m",O46/ABS(N46))</f>
        <v>-1.8697418560336639E-2</v>
      </c>
      <c r="Q46" s="26"/>
      <c r="R46" s="38"/>
    </row>
    <row r="47" spans="1:18" ht="15.75">
      <c r="A47" s="52"/>
      <c r="B47" s="37"/>
      <c r="C47" s="45"/>
      <c r="D47" s="37"/>
      <c r="E47" s="117"/>
      <c r="F47" s="37"/>
      <c r="G47" s="37"/>
      <c r="H47" s="118"/>
      <c r="J47" s="118"/>
      <c r="K47" s="118"/>
      <c r="L47" s="118"/>
      <c r="M47" s="2"/>
      <c r="N47" s="118"/>
      <c r="O47" s="118"/>
      <c r="P47" s="118"/>
      <c r="Q47" s="26"/>
      <c r="R47" s="38"/>
    </row>
    <row r="48" spans="1:18" ht="15.75">
      <c r="A48" s="71">
        <f>+A46+1</f>
        <v>23</v>
      </c>
      <c r="B48" s="71"/>
      <c r="C48" s="119" t="s">
        <v>45</v>
      </c>
      <c r="D48" s="120"/>
      <c r="E48" s="82" t="str">
        <f>"(Notes "&amp;B$303&amp;" &amp; "&amp;B$320&amp;")"</f>
        <v>(Notes B &amp; L)</v>
      </c>
      <c r="F48" s="64" t="s">
        <v>25</v>
      </c>
      <c r="G48" s="110"/>
      <c r="H48" s="121">
        <f>'Att 5 - Cost Support'!I174</f>
        <v>3657534.48</v>
      </c>
      <c r="J48" s="122">
        <v>3657534.48</v>
      </c>
      <c r="K48" s="67">
        <f>$H48-J48</f>
        <v>0</v>
      </c>
      <c r="L48" s="68">
        <f>IF(J48=0,"n/m",K48/ABS(J48))</f>
        <v>0</v>
      </c>
      <c r="M48" s="2"/>
      <c r="N48" s="122">
        <v>3657534.48</v>
      </c>
      <c r="O48" s="67">
        <f>$H48-N48</f>
        <v>0</v>
      </c>
      <c r="P48" s="68">
        <f>IF(N48=0,"n/m",O48/ABS(N48))</f>
        <v>0</v>
      </c>
      <c r="Q48" s="26"/>
      <c r="R48" s="38"/>
    </row>
    <row r="49" spans="1:18" ht="15.75">
      <c r="A49" s="52"/>
      <c r="B49" s="37"/>
      <c r="C49" s="45"/>
      <c r="D49" s="37"/>
      <c r="E49" s="52"/>
      <c r="F49" s="37"/>
      <c r="G49" s="2"/>
      <c r="H49" s="118"/>
      <c r="J49" s="118"/>
      <c r="K49" s="118"/>
      <c r="L49" s="118"/>
      <c r="M49" s="2"/>
      <c r="N49" s="118"/>
      <c r="O49" s="118"/>
      <c r="P49" s="118"/>
      <c r="Q49" s="26"/>
      <c r="R49" s="38"/>
    </row>
    <row r="50" spans="1:18" ht="16.5" thickBot="1">
      <c r="A50" s="71">
        <f>+A48+1</f>
        <v>24</v>
      </c>
      <c r="B50" s="91" t="s">
        <v>46</v>
      </c>
      <c r="C50" s="123"/>
      <c r="D50" s="123"/>
      <c r="E50" s="124"/>
      <c r="F50" s="75" t="str">
        <f>"(Line "&amp;A40&amp;" + Line "&amp;A46&amp;" + Line "&amp;A48&amp;")"</f>
        <v>(Line 17 + Line 22 + Line 23)</v>
      </c>
      <c r="G50" s="91"/>
      <c r="H50" s="125">
        <f>H40+H46+H48</f>
        <v>6631366357.7902098</v>
      </c>
      <c r="J50" s="125">
        <v>6479374960.4066572</v>
      </c>
      <c r="K50" s="126">
        <f>$H50-J50</f>
        <v>151991397.38355255</v>
      </c>
      <c r="L50" s="79">
        <f>IF(J50=0,"n/m",K50/ABS(J50))</f>
        <v>2.3457725214595899E-2</v>
      </c>
      <c r="M50" s="17"/>
      <c r="N50" s="125">
        <v>6643467441.4888859</v>
      </c>
      <c r="O50" s="126">
        <f>$H50-N50</f>
        <v>-12101083.698676109</v>
      </c>
      <c r="P50" s="79">
        <f>IF(N50=0,"n/m",O50/ABS(N50))</f>
        <v>-1.8215011671622043E-3</v>
      </c>
      <c r="Q50" s="26"/>
      <c r="R50" s="38"/>
    </row>
    <row r="51" spans="1:18" ht="16.5" thickTop="1">
      <c r="A51" s="52"/>
      <c r="B51" s="2"/>
      <c r="C51" s="37"/>
      <c r="D51" s="37"/>
      <c r="E51" s="52"/>
      <c r="F51" s="2"/>
      <c r="G51" s="2"/>
      <c r="H51" s="58"/>
      <c r="J51" s="58"/>
      <c r="K51" s="58"/>
      <c r="L51" s="58"/>
      <c r="M51" s="2"/>
      <c r="N51" s="58"/>
      <c r="O51" s="58"/>
      <c r="P51" s="58"/>
      <c r="Q51" s="26"/>
      <c r="R51" s="38"/>
    </row>
    <row r="52" spans="1:18" ht="15.75">
      <c r="A52" s="71"/>
      <c r="B52" s="45" t="s">
        <v>47</v>
      </c>
      <c r="C52" s="45"/>
      <c r="D52" s="48"/>
      <c r="E52" s="80"/>
      <c r="F52" s="49"/>
      <c r="G52" s="127"/>
      <c r="H52" s="83"/>
      <c r="J52" s="83"/>
      <c r="K52" s="83"/>
      <c r="L52" s="83"/>
      <c r="M52" s="2"/>
      <c r="N52" s="83"/>
      <c r="O52" s="83"/>
      <c r="P52" s="83"/>
      <c r="Q52" s="26"/>
      <c r="R52" s="38"/>
    </row>
    <row r="53" spans="1:18" ht="15.75">
      <c r="A53" s="52"/>
      <c r="B53" s="70"/>
      <c r="C53" s="70"/>
      <c r="D53" s="70"/>
      <c r="E53" s="80"/>
      <c r="F53" s="48"/>
      <c r="G53" s="49"/>
      <c r="H53" s="83"/>
      <c r="J53" s="83"/>
      <c r="K53" s="83"/>
      <c r="L53" s="83"/>
      <c r="M53" s="2"/>
      <c r="N53" s="83"/>
      <c r="O53" s="83"/>
      <c r="P53" s="83"/>
      <c r="Q53" s="26"/>
      <c r="R53" s="38"/>
    </row>
    <row r="54" spans="1:18" ht="15.75">
      <c r="A54" s="71">
        <f>+A50+1</f>
        <v>25</v>
      </c>
      <c r="B54" s="71"/>
      <c r="C54" s="94" t="s">
        <v>48</v>
      </c>
      <c r="D54" s="70"/>
      <c r="E54" s="82" t="str">
        <f>"(Note "&amp;B$322&amp;")"</f>
        <v>(Note M)</v>
      </c>
      <c r="F54" s="48" t="s">
        <v>25</v>
      </c>
      <c r="G54" s="70"/>
      <c r="H54" s="108">
        <f>+'Att 5 - Cost Support'!G88</f>
        <v>1814530127.9246156</v>
      </c>
      <c r="J54" s="128">
        <v>1680313619.21</v>
      </c>
      <c r="K54" s="53">
        <f>$H54-J54</f>
        <v>134216508.71461558</v>
      </c>
      <c r="L54" s="56">
        <f>IF(J54=0,"n/m",K54/ABS(J54))</f>
        <v>7.9875867921440469E-2</v>
      </c>
      <c r="M54" s="2"/>
      <c r="N54" s="128">
        <v>1768531624.9400001</v>
      </c>
      <c r="O54" s="53">
        <f>$H54-N54</f>
        <v>45998502.984615564</v>
      </c>
      <c r="P54" s="56">
        <f>IF(N54=0,"n/m",O54/ABS(N54))</f>
        <v>2.6009431969403505E-2</v>
      </c>
      <c r="Q54" s="26"/>
      <c r="R54" s="38"/>
    </row>
    <row r="55" spans="1:18" ht="15.75">
      <c r="A55" s="71"/>
      <c r="B55" s="71"/>
      <c r="C55" s="115"/>
      <c r="D55" s="40"/>
      <c r="E55" s="82"/>
      <c r="F55" s="107"/>
      <c r="G55" s="40"/>
      <c r="H55" s="118"/>
      <c r="J55" s="118">
        <v>0</v>
      </c>
      <c r="K55" s="118"/>
      <c r="L55" s="118"/>
      <c r="M55" s="2"/>
      <c r="N55" s="118"/>
      <c r="O55" s="118"/>
      <c r="P55" s="118"/>
      <c r="Q55" s="26"/>
      <c r="R55" s="38"/>
    </row>
    <row r="56" spans="1:18" ht="15.75">
      <c r="A56" s="71">
        <f>A54+1</f>
        <v>26</v>
      </c>
      <c r="B56" s="71"/>
      <c r="C56" s="115" t="s">
        <v>49</v>
      </c>
      <c r="D56" s="40"/>
      <c r="E56" s="82" t="str">
        <f>"(Note "&amp;B323&amp;")"</f>
        <v>(Note N)</v>
      </c>
      <c r="F56" s="48" t="s">
        <v>25</v>
      </c>
      <c r="G56" s="40"/>
      <c r="H56" s="118">
        <f>+'Att 5 - Cost Support'!G114</f>
        <v>488241699.17500001</v>
      </c>
      <c r="J56" s="129">
        <v>461124272.17999995</v>
      </c>
      <c r="K56" s="53">
        <f>$H56-J56</f>
        <v>27117426.995000064</v>
      </c>
      <c r="L56" s="56">
        <f>IF(J56=0,"n/m",K56/ABS(J56))</f>
        <v>5.8807199340863953E-2</v>
      </c>
      <c r="M56" s="2"/>
      <c r="N56" s="129">
        <v>482727326.93000001</v>
      </c>
      <c r="O56" s="53">
        <f>$H56-N56</f>
        <v>5514372.2450000048</v>
      </c>
      <c r="P56" s="56">
        <f>IF(N56=0,"n/m",O56/ABS(N56))</f>
        <v>1.1423368716392641E-2</v>
      </c>
      <c r="Q56" s="26"/>
      <c r="R56" s="38"/>
    </row>
    <row r="57" spans="1:18" ht="15.75">
      <c r="A57" s="130">
        <f>+A56+1</f>
        <v>27</v>
      </c>
      <c r="B57" s="71"/>
      <c r="C57" s="100" t="str">
        <f>+C24</f>
        <v>Accumulated Amortization</v>
      </c>
      <c r="D57" s="101"/>
      <c r="E57" s="102" t="str">
        <f>"(Note "&amp;B$323&amp;")"</f>
        <v>(Note N)</v>
      </c>
      <c r="F57" s="88" t="str">
        <f>"(Line "&amp;A$24&amp;")"</f>
        <v>(Line 8)</v>
      </c>
      <c r="G57" s="101"/>
      <c r="H57" s="105">
        <f>H24</f>
        <v>633756884.82500005</v>
      </c>
      <c r="J57" s="105">
        <v>580005314.62</v>
      </c>
      <c r="K57" s="53">
        <f>$H57-J57</f>
        <v>53751570.205000043</v>
      </c>
      <c r="L57" s="56">
        <f>IF(J57=0,"n/m",K57/ABS(J57))</f>
        <v>9.2674271855967841E-2</v>
      </c>
      <c r="M57" s="2"/>
      <c r="N57" s="105">
        <v>614571347.25999999</v>
      </c>
      <c r="O57" s="53">
        <f>$H57-N57</f>
        <v>19185537.565000057</v>
      </c>
      <c r="P57" s="56">
        <f>IF(N57=0,"n/m",O57/ABS(N57))</f>
        <v>3.1217754700958163E-2</v>
      </c>
      <c r="Q57" s="26"/>
      <c r="R57" s="38"/>
    </row>
    <row r="58" spans="1:18" ht="15.75">
      <c r="A58" s="71">
        <f>A57+1</f>
        <v>28</v>
      </c>
      <c r="B58" s="71"/>
      <c r="C58" s="85" t="s">
        <v>50</v>
      </c>
      <c r="D58" s="40"/>
      <c r="E58" s="131"/>
      <c r="F58" s="107" t="str">
        <f>"(Line "&amp;A56&amp;" + "&amp;A57&amp;")"</f>
        <v>(Line 26 + 27)</v>
      </c>
      <c r="G58" s="107"/>
      <c r="H58" s="118">
        <f>+H56+H57</f>
        <v>1121998584</v>
      </c>
      <c r="J58" s="118">
        <v>1041129586.8</v>
      </c>
      <c r="K58" s="67">
        <f>$H58-J58</f>
        <v>80868997.200000048</v>
      </c>
      <c r="L58" s="68">
        <f>IF(J58=0,"n/m",K58/ABS(J58))</f>
        <v>7.767428591531797E-2</v>
      </c>
      <c r="M58" s="2"/>
      <c r="N58" s="118">
        <v>1097298674.1900001</v>
      </c>
      <c r="O58" s="67">
        <f>$H58-N58</f>
        <v>24699909.809999943</v>
      </c>
      <c r="P58" s="68">
        <f>IF(N58=0,"n/m",O58/ABS(N58))</f>
        <v>2.2509741778584426E-2</v>
      </c>
      <c r="Q58" s="26"/>
      <c r="R58" s="38"/>
    </row>
    <row r="59" spans="1:18" ht="15.75">
      <c r="A59" s="71">
        <f>+A58+1</f>
        <v>29</v>
      </c>
      <c r="B59" s="71"/>
      <c r="C59" s="115" t="str">
        <f>+C45</f>
        <v>Wage &amp; Salary Allocator</v>
      </c>
      <c r="D59" s="40"/>
      <c r="E59" s="131"/>
      <c r="F59" s="88" t="str">
        <f>"(Line "&amp;A$18&amp;")"</f>
        <v>(Line 5)</v>
      </c>
      <c r="G59" s="107"/>
      <c r="H59" s="132">
        <f>Allocator.wages.salary</f>
        <v>8.414504158513228E-2</v>
      </c>
      <c r="J59" s="132">
        <v>8.4851850814689656E-2</v>
      </c>
      <c r="K59" s="132"/>
      <c r="L59" s="132"/>
      <c r="M59" s="2"/>
      <c r="N59" s="132">
        <v>8.6868274473763427E-2</v>
      </c>
      <c r="O59" s="132"/>
      <c r="P59" s="132"/>
      <c r="Q59" s="26"/>
      <c r="R59" s="38"/>
    </row>
    <row r="60" spans="1:18" ht="15.75">
      <c r="A60" s="71">
        <f>+A59+1</f>
        <v>30</v>
      </c>
      <c r="B60" s="37"/>
      <c r="C60" s="61" t="s">
        <v>51</v>
      </c>
      <c r="D60" s="85"/>
      <c r="E60" s="111"/>
      <c r="F60" s="107" t="str">
        <f>"(Line "&amp;A58&amp;" * Line "&amp;A59&amp;")"</f>
        <v>(Line 28 * Line 29)</v>
      </c>
      <c r="G60" s="85"/>
      <c r="H60" s="66">
        <f>H58*H59</f>
        <v>94410617.509139538</v>
      </c>
      <c r="J60" s="66">
        <v>88341772.377913088</v>
      </c>
      <c r="K60" s="67">
        <f>$H60-J60</f>
        <v>6068845.1312264502</v>
      </c>
      <c r="L60" s="68">
        <f>IF(J60=0,"n/m",K60/ABS(J60))</f>
        <v>6.869734405219792E-2</v>
      </c>
      <c r="M60" s="2"/>
      <c r="N60" s="66">
        <v>95320442.40923363</v>
      </c>
      <c r="O60" s="67">
        <f>$H60-N60</f>
        <v>-909824.90009409189</v>
      </c>
      <c r="P60" s="68">
        <f>IF(N60=0,"n/m",O60/ABS(N60))</f>
        <v>-9.5449084907515882E-3</v>
      </c>
      <c r="Q60" s="26"/>
      <c r="R60" s="38"/>
    </row>
    <row r="61" spans="1:18" ht="15.75">
      <c r="A61" s="52"/>
      <c r="B61" s="37"/>
      <c r="C61" s="37"/>
      <c r="D61" s="37"/>
      <c r="E61" s="52"/>
      <c r="F61" s="52"/>
      <c r="G61" s="57"/>
      <c r="H61" s="133"/>
      <c r="J61" s="133"/>
      <c r="K61" s="133"/>
      <c r="L61" s="133"/>
      <c r="M61" s="2"/>
      <c r="N61" s="133"/>
      <c r="O61" s="133"/>
      <c r="P61" s="133"/>
      <c r="Q61" s="26"/>
      <c r="R61" s="38"/>
    </row>
    <row r="62" spans="1:18" ht="16.5" thickBot="1">
      <c r="A62" s="71">
        <f>+A60+1</f>
        <v>31</v>
      </c>
      <c r="B62" s="123" t="s">
        <v>52</v>
      </c>
      <c r="C62" s="123"/>
      <c r="D62" s="123"/>
      <c r="E62" s="124"/>
      <c r="F62" s="134" t="str">
        <f>"(Line "&amp;A54&amp;" + Line "&amp;A60&amp;" )"</f>
        <v>(Line 25 + Line 30 )</v>
      </c>
      <c r="G62" s="135"/>
      <c r="H62" s="125">
        <f>H54+H60</f>
        <v>1908940745.4337552</v>
      </c>
      <c r="J62" s="125">
        <v>1768655391.587913</v>
      </c>
      <c r="K62" s="126">
        <f>$H62-J62</f>
        <v>140285353.84584212</v>
      </c>
      <c r="L62" s="79">
        <f>IF(J62=0,"n/m",K62/ABS(J62))</f>
        <v>7.9317516862283055E-2</v>
      </c>
      <c r="M62" s="2"/>
      <c r="N62" s="125">
        <v>1863852067.3492336</v>
      </c>
      <c r="O62" s="126">
        <f>$H62-N62</f>
        <v>45088678.084521532</v>
      </c>
      <c r="P62" s="79">
        <f>IF(N62=0,"n/m",O62/ABS(N62))</f>
        <v>2.4191124861452418E-2</v>
      </c>
      <c r="Q62" s="26"/>
      <c r="R62" s="38"/>
    </row>
    <row r="63" spans="1:18" ht="16.5" thickTop="1">
      <c r="A63" s="52"/>
      <c r="B63" s="2"/>
      <c r="C63" s="2"/>
      <c r="D63" s="2"/>
      <c r="E63" s="57"/>
      <c r="F63" s="37"/>
      <c r="G63" s="46"/>
      <c r="H63" s="58"/>
      <c r="J63" s="58">
        <v>0</v>
      </c>
      <c r="K63" s="58"/>
      <c r="L63" s="58"/>
      <c r="M63" s="2"/>
      <c r="N63" s="58"/>
      <c r="O63" s="58"/>
      <c r="P63" s="58"/>
      <c r="Q63" s="26"/>
      <c r="R63" s="38"/>
    </row>
    <row r="64" spans="1:18" ht="16.5" thickBot="1">
      <c r="A64" s="71">
        <f>+A62+1</f>
        <v>32</v>
      </c>
      <c r="B64" s="91" t="s">
        <v>53</v>
      </c>
      <c r="C64" s="91"/>
      <c r="D64" s="91"/>
      <c r="E64" s="136"/>
      <c r="F64" s="75" t="str">
        <f>"(Line "&amp;A50&amp;" - Line "&amp;A62&amp;")"</f>
        <v>(Line 24 - Line 31)</v>
      </c>
      <c r="G64" s="91"/>
      <c r="H64" s="125">
        <f>H50-H62</f>
        <v>4722425612.3564548</v>
      </c>
      <c r="J64" s="125">
        <v>4710719568.8187447</v>
      </c>
      <c r="K64" s="126">
        <f>$H64-J64</f>
        <v>11706043.53771019</v>
      </c>
      <c r="L64" s="79">
        <f>IF(J64=0,"n/m",K64/ABS(J64))</f>
        <v>2.4849799200943701E-3</v>
      </c>
      <c r="M64" s="2"/>
      <c r="N64" s="125">
        <v>4779615374.1396523</v>
      </c>
      <c r="O64" s="126">
        <f>$H64-N64</f>
        <v>-57189761.783197403</v>
      </c>
      <c r="P64" s="79">
        <f>IF(N64=0,"n/m",O64/ABS(N64))</f>
        <v>-1.1965348109939027E-2</v>
      </c>
      <c r="Q64" s="26"/>
      <c r="R64" s="38"/>
    </row>
    <row r="65" spans="1:18" ht="16.5" thickTop="1">
      <c r="A65" s="57"/>
      <c r="B65" s="2"/>
      <c r="C65" s="2"/>
      <c r="D65" s="2"/>
      <c r="E65" s="57"/>
      <c r="F65" s="37"/>
      <c r="G65" s="2"/>
      <c r="H65" s="2"/>
      <c r="J65" s="2"/>
      <c r="K65" s="2"/>
      <c r="L65" s="2"/>
      <c r="M65" s="2"/>
      <c r="N65" s="2"/>
      <c r="O65" s="2"/>
      <c r="P65" s="2"/>
      <c r="Q65" s="26"/>
      <c r="R65" s="38"/>
    </row>
    <row r="66" spans="1:18" ht="15.75">
      <c r="A66" s="30" t="s">
        <v>54</v>
      </c>
      <c r="B66" s="32"/>
      <c r="C66" s="32"/>
      <c r="D66" s="32"/>
      <c r="E66" s="96"/>
      <c r="F66" s="35"/>
      <c r="G66" s="35"/>
      <c r="H66" s="137"/>
      <c r="J66" s="137">
        <v>0</v>
      </c>
      <c r="K66" s="137"/>
      <c r="L66" s="137"/>
      <c r="M66" s="2"/>
      <c r="N66" s="137">
        <v>0</v>
      </c>
      <c r="O66" s="137"/>
      <c r="P66" s="137"/>
      <c r="Q66" s="26"/>
      <c r="R66" s="38"/>
    </row>
    <row r="67" spans="1:18" ht="15.75">
      <c r="A67" s="138"/>
      <c r="B67" s="139"/>
      <c r="C67" s="139"/>
      <c r="D67" s="139"/>
      <c r="E67" s="57"/>
      <c r="F67" s="2"/>
      <c r="G67" s="2"/>
      <c r="H67" s="2"/>
      <c r="J67" s="2"/>
      <c r="K67" s="2"/>
      <c r="L67" s="2"/>
      <c r="M67" s="2"/>
      <c r="N67" s="2"/>
      <c r="O67" s="2"/>
      <c r="P67" s="2"/>
      <c r="Q67" s="26"/>
      <c r="R67" s="38"/>
    </row>
    <row r="68" spans="1:18" ht="15.75">
      <c r="A68" s="52"/>
      <c r="B68" s="140" t="s">
        <v>55</v>
      </c>
      <c r="C68" s="70"/>
      <c r="D68" s="37"/>
      <c r="E68" s="141"/>
      <c r="F68" s="37"/>
      <c r="G68" s="37"/>
      <c r="H68" s="48"/>
      <c r="J68" s="49"/>
      <c r="K68" s="49"/>
      <c r="L68" s="49"/>
      <c r="M68" s="2"/>
      <c r="N68" s="49"/>
      <c r="O68" s="49"/>
      <c r="P68" s="49"/>
      <c r="Q68" s="26"/>
      <c r="R68" s="38"/>
    </row>
    <row r="69" spans="1:18" ht="15.75">
      <c r="A69" s="52">
        <f>+A64+1</f>
        <v>33</v>
      </c>
      <c r="B69" s="140"/>
      <c r="C69" s="70" t="s">
        <v>56</v>
      </c>
      <c r="D69" s="142"/>
      <c r="E69" s="52"/>
      <c r="F69" s="143" t="s">
        <v>57</v>
      </c>
      <c r="G69" s="37"/>
      <c r="H69" s="108">
        <f>'Att 1A - ADIT'!J19</f>
        <v>-957323609.00158787</v>
      </c>
      <c r="J69" s="128">
        <v>-1141706386.0674148</v>
      </c>
      <c r="K69" s="53">
        <f>$H69-J69</f>
        <v>184382777.06582689</v>
      </c>
      <c r="L69" s="56">
        <f>IF(J69=0,"n/m",K69/ABS(J69))</f>
        <v>0.16149754377824735</v>
      </c>
      <c r="M69" s="2"/>
      <c r="N69" s="128">
        <v>-1156174181.8421369</v>
      </c>
      <c r="O69" s="53">
        <f>$H69-N69</f>
        <v>198850572.84054899</v>
      </c>
      <c r="P69" s="56">
        <f>IF(N69=0,"n/m",O69/ABS(N69))</f>
        <v>0.17199015162552722</v>
      </c>
      <c r="Q69" s="26"/>
      <c r="R69" s="38"/>
    </row>
    <row r="70" spans="1:18" ht="15.75">
      <c r="A70" s="52" t="str">
        <f>A69&amp;"b"</f>
        <v>33b</v>
      </c>
      <c r="B70" s="140" t="s">
        <v>2255</v>
      </c>
      <c r="C70" s="70"/>
      <c r="D70" s="142"/>
      <c r="E70" s="52"/>
      <c r="F70" s="143" t="s">
        <v>2254</v>
      </c>
      <c r="G70" s="37"/>
      <c r="H70" s="108">
        <f>'Att 1B - ADIT'!D20</f>
        <v>-193956873.5</v>
      </c>
      <c r="J70" s="128">
        <v>0</v>
      </c>
      <c r="K70" s="53">
        <f>$H70-J70</f>
        <v>-193956873.5</v>
      </c>
      <c r="L70" s="56" t="str">
        <f>IF(J70=0,"n/m",K70/ABS(J70))</f>
        <v>n/m</v>
      </c>
      <c r="M70" s="2"/>
      <c r="N70" s="128">
        <v>0</v>
      </c>
      <c r="O70" s="53">
        <f>$H70-N70</f>
        <v>-193956873.5</v>
      </c>
      <c r="P70" s="56" t="str">
        <f>IF(N70=0,"n/m",O70/ABS(N70))</f>
        <v>n/m</v>
      </c>
      <c r="Q70" s="26"/>
      <c r="R70" s="38"/>
    </row>
    <row r="71" spans="1:18" ht="15.75">
      <c r="A71" s="52"/>
      <c r="B71" s="37"/>
      <c r="C71" s="140"/>
      <c r="D71" s="42"/>
      <c r="E71" s="144"/>
      <c r="F71" s="42"/>
      <c r="G71" s="145"/>
      <c r="H71" s="146"/>
      <c r="J71" s="146"/>
      <c r="K71" s="146"/>
      <c r="L71" s="146"/>
      <c r="M71" s="2"/>
      <c r="N71" s="146"/>
      <c r="O71" s="146"/>
      <c r="P71" s="146"/>
      <c r="Q71" s="26"/>
      <c r="R71" s="38"/>
    </row>
    <row r="72" spans="1:18" ht="15.75">
      <c r="A72" s="71"/>
      <c r="B72" s="25" t="s">
        <v>58</v>
      </c>
      <c r="C72" s="37"/>
      <c r="D72" s="37"/>
      <c r="E72" s="37"/>
      <c r="F72" s="70"/>
      <c r="G72" s="37"/>
      <c r="H72" s="58"/>
      <c r="J72" s="58"/>
      <c r="K72" s="58"/>
      <c r="L72" s="58"/>
      <c r="M72" s="2"/>
      <c r="N72" s="58"/>
      <c r="O72" s="58"/>
      <c r="P72" s="58"/>
      <c r="Q72" s="26"/>
      <c r="R72" s="38"/>
    </row>
    <row r="73" spans="1:18" ht="15.75">
      <c r="A73" s="71">
        <f>A69+1</f>
        <v>34</v>
      </c>
      <c r="B73" s="44"/>
      <c r="C73" s="115" t="s">
        <v>59</v>
      </c>
      <c r="D73" s="82"/>
      <c r="E73" s="82" t="str">
        <f>"(Note "&amp;B$324&amp;")"</f>
        <v>(Note O)</v>
      </c>
      <c r="F73" s="39" t="s">
        <v>38</v>
      </c>
      <c r="G73" s="42"/>
      <c r="H73" s="147">
        <f>IF(Toggle=Projection,'Att 6 - Est &amp; Reconcile WS'!W47,IF(Toggle=True_up,0,"Set Toggle!"))</f>
        <v>0</v>
      </c>
      <c r="J73" s="148">
        <v>0</v>
      </c>
      <c r="K73" s="53">
        <f>$H73-J73</f>
        <v>0</v>
      </c>
      <c r="L73" s="56" t="str">
        <f>IF(J73=0,"n/m",K73/ABS(J73))</f>
        <v>n/m</v>
      </c>
      <c r="M73" s="2"/>
      <c r="N73" s="148">
        <v>0</v>
      </c>
      <c r="O73" s="53">
        <f>$H73-N73</f>
        <v>0</v>
      </c>
      <c r="P73" s="56" t="str">
        <f>IF(N73=0,"n/m",O73/ABS(N73))</f>
        <v>n/m</v>
      </c>
      <c r="Q73" s="26"/>
      <c r="R73" s="38"/>
    </row>
    <row r="74" spans="1:18" ht="15.75">
      <c r="A74" s="71"/>
      <c r="B74" s="71"/>
      <c r="C74" s="149"/>
      <c r="D74" s="82"/>
      <c r="E74" s="39"/>
      <c r="F74" s="150"/>
      <c r="G74" s="107"/>
      <c r="H74" s="58"/>
      <c r="J74" s="58"/>
      <c r="K74" s="58"/>
      <c r="L74" s="58"/>
      <c r="M74" s="2"/>
      <c r="N74" s="58"/>
      <c r="O74" s="58"/>
      <c r="P74" s="58"/>
      <c r="Q74" s="26"/>
      <c r="R74" s="38"/>
    </row>
    <row r="75" spans="1:18" ht="15.75">
      <c r="A75" s="71"/>
      <c r="B75" s="45" t="s">
        <v>60</v>
      </c>
      <c r="C75" s="149"/>
      <c r="D75" s="82"/>
      <c r="E75" s="39"/>
      <c r="F75" s="150"/>
      <c r="G75" s="107"/>
      <c r="H75" s="58"/>
      <c r="J75" s="58"/>
      <c r="K75" s="58"/>
      <c r="L75" s="58"/>
      <c r="M75" s="37"/>
      <c r="N75" s="58"/>
      <c r="O75" s="58"/>
      <c r="P75" s="58"/>
      <c r="Q75" s="26"/>
      <c r="R75" s="38"/>
    </row>
    <row r="76" spans="1:18" ht="15.75">
      <c r="A76" s="71">
        <f>A73+1</f>
        <v>35</v>
      </c>
      <c r="B76" s="71"/>
      <c r="C76" s="115" t="s">
        <v>61</v>
      </c>
      <c r="D76" s="82"/>
      <c r="E76" s="39"/>
      <c r="F76" s="40" t="s">
        <v>25</v>
      </c>
      <c r="G76" s="107"/>
      <c r="H76" s="151">
        <f>-'Att 5 - Cost Support'!$J$165</f>
        <v>-21985.108427492349</v>
      </c>
      <c r="J76" s="148">
        <v>-54050.907943279453</v>
      </c>
      <c r="K76" s="53">
        <f>$H76-J76</f>
        <v>32065.799515787105</v>
      </c>
      <c r="L76" s="56">
        <f>IF(J76=0,"n/m",K76/ABS(J76))</f>
        <v>0.59325182010701227</v>
      </c>
      <c r="M76" s="37"/>
      <c r="N76" s="152">
        <v>-34150.637674107616</v>
      </c>
      <c r="O76" s="53">
        <f>$H76-N76</f>
        <v>12165.529246615268</v>
      </c>
      <c r="P76" s="56">
        <f>IF(N76=0,"n/m",O76/ABS(N76))</f>
        <v>0.35623139347230837</v>
      </c>
      <c r="Q76" s="26"/>
      <c r="R76" s="38"/>
    </row>
    <row r="77" spans="1:18" ht="15.75">
      <c r="A77" s="71"/>
      <c r="B77" s="71"/>
      <c r="C77" s="149"/>
      <c r="D77" s="82"/>
      <c r="E77" s="39"/>
      <c r="F77" s="150"/>
      <c r="G77" s="107"/>
      <c r="H77" s="58"/>
      <c r="J77" s="58"/>
      <c r="K77" s="58"/>
      <c r="L77" s="58"/>
      <c r="M77" s="37"/>
      <c r="N77" s="58"/>
      <c r="O77" s="58"/>
      <c r="P77" s="58"/>
      <c r="Q77" s="26"/>
      <c r="R77" s="38"/>
    </row>
    <row r="78" spans="1:18" ht="15.75">
      <c r="A78" s="71"/>
      <c r="B78" s="153" t="s">
        <v>62</v>
      </c>
      <c r="C78" s="154"/>
      <c r="D78" s="70"/>
      <c r="E78" s="52"/>
      <c r="F78" s="155"/>
      <c r="G78" s="156"/>
      <c r="H78" s="58"/>
      <c r="J78" s="58"/>
      <c r="K78" s="58"/>
      <c r="L78" s="58"/>
      <c r="M78" s="2"/>
      <c r="N78" s="58"/>
      <c r="O78" s="58"/>
      <c r="P78" s="58"/>
      <c r="Q78" s="26"/>
      <c r="R78" s="38"/>
    </row>
    <row r="79" spans="1:18" ht="15.75">
      <c r="A79" s="71">
        <f>A76+1</f>
        <v>36</v>
      </c>
      <c r="B79" s="157"/>
      <c r="C79" s="158" t="s">
        <v>62</v>
      </c>
      <c r="D79" s="82"/>
      <c r="E79" s="82"/>
      <c r="F79" s="158" t="s">
        <v>63</v>
      </c>
      <c r="G79" s="159"/>
      <c r="H79" s="160">
        <f>'Att 16 - Unfunded Reserves'!$AG$80</f>
        <v>-12739767.066336015</v>
      </c>
      <c r="J79" s="148">
        <v>-9191450.6611059457</v>
      </c>
      <c r="K79" s="53">
        <f>$H79-J79</f>
        <v>-3548316.4052300695</v>
      </c>
      <c r="L79" s="56">
        <f>IF(J79=0,"n/m",K79/ABS(J79))</f>
        <v>-0.38604530841306006</v>
      </c>
      <c r="M79" s="2"/>
      <c r="N79" s="161">
        <v>-8980879.5538598411</v>
      </c>
      <c r="O79" s="53">
        <f>$H79-N79</f>
        <v>-3758887.5124761742</v>
      </c>
      <c r="P79" s="56">
        <f>IF(N79=0,"n/m",O79/ABS(N79))</f>
        <v>-0.41854336091843736</v>
      </c>
      <c r="Q79" s="26"/>
      <c r="R79" s="38"/>
    </row>
    <row r="80" spans="1:18" ht="15.75">
      <c r="A80" s="71"/>
      <c r="B80" s="71"/>
      <c r="C80" s="149"/>
      <c r="D80" s="82"/>
      <c r="E80" s="39"/>
      <c r="F80" s="150"/>
      <c r="G80" s="107"/>
      <c r="H80" s="162"/>
      <c r="J80" s="162"/>
      <c r="K80" s="162"/>
      <c r="L80" s="162"/>
      <c r="M80" s="2"/>
      <c r="N80" s="162"/>
      <c r="O80" s="162"/>
      <c r="P80" s="162"/>
      <c r="Q80" s="26"/>
      <c r="R80" s="38"/>
    </row>
    <row r="81" spans="1:18" ht="15.75">
      <c r="A81" s="71"/>
      <c r="B81" s="153" t="s">
        <v>64</v>
      </c>
      <c r="C81" s="154"/>
      <c r="D81" s="70"/>
      <c r="E81" s="52"/>
      <c r="F81" s="155"/>
      <c r="G81" s="156"/>
      <c r="H81" s="162"/>
      <c r="J81" s="162"/>
      <c r="K81" s="162"/>
      <c r="L81" s="162"/>
      <c r="M81" s="2"/>
      <c r="N81" s="162"/>
      <c r="O81" s="162"/>
      <c r="P81" s="162"/>
      <c r="Q81" s="26"/>
      <c r="R81" s="38"/>
    </row>
    <row r="82" spans="1:18" ht="15.75">
      <c r="A82" s="71">
        <f>A79+1</f>
        <v>37</v>
      </c>
      <c r="B82" s="157"/>
      <c r="C82" s="158" t="s">
        <v>64</v>
      </c>
      <c r="D82" s="82"/>
      <c r="E82" s="82" t="str">
        <f>"(Note "&amp;B$319&amp;" &amp; "&amp;B323&amp;")"</f>
        <v>(Note K &amp; N)</v>
      </c>
      <c r="F82" s="158" t="s">
        <v>65</v>
      </c>
      <c r="G82" s="159"/>
      <c r="H82" s="160">
        <f>'Att 11 - Prepayments'!H61</f>
        <v>6075798.3011169983</v>
      </c>
      <c r="J82" s="161">
        <v>6050637.7942683008</v>
      </c>
      <c r="K82" s="53">
        <f>$H82-J82</f>
        <v>25160.506848697551</v>
      </c>
      <c r="L82" s="56">
        <f>IF(J82=0,"n/m",K82/ABS(J82))</f>
        <v>4.1583230899281077E-3</v>
      </c>
      <c r="M82" s="2"/>
      <c r="N82" s="161">
        <v>6119749.7314728349</v>
      </c>
      <c r="O82" s="53">
        <f>$H82-N82</f>
        <v>-43951.430355836637</v>
      </c>
      <c r="P82" s="56">
        <f>IF(N82=0,"n/m",O82/ABS(N82))</f>
        <v>-7.1818999606800722E-3</v>
      </c>
      <c r="Q82" s="26"/>
      <c r="R82" s="38"/>
    </row>
    <row r="83" spans="1:18" ht="15.75">
      <c r="A83" s="71"/>
      <c r="B83" s="157"/>
      <c r="C83" s="158"/>
      <c r="D83" s="82"/>
      <c r="E83" s="82"/>
      <c r="F83" s="158"/>
      <c r="G83" s="159"/>
      <c r="H83" s="160"/>
      <c r="J83" s="160"/>
      <c r="K83" s="160"/>
      <c r="L83" s="160"/>
      <c r="M83" s="2"/>
      <c r="N83" s="160"/>
      <c r="O83" s="160"/>
      <c r="P83" s="160"/>
      <c r="Q83" s="26"/>
      <c r="R83" s="38"/>
    </row>
    <row r="84" spans="1:18" ht="15.75">
      <c r="A84" s="37"/>
      <c r="B84" s="153" t="s">
        <v>66</v>
      </c>
      <c r="C84" s="115"/>
      <c r="D84" s="82"/>
      <c r="E84" s="82"/>
      <c r="F84" s="39"/>
      <c r="G84" s="42"/>
      <c r="H84" s="147"/>
      <c r="J84" s="147"/>
      <c r="K84" s="147"/>
      <c r="L84" s="147"/>
      <c r="M84" s="2"/>
      <c r="N84" s="147"/>
      <c r="O84" s="147"/>
      <c r="P84" s="147"/>
      <c r="Q84" s="26"/>
      <c r="R84" s="38"/>
    </row>
    <row r="85" spans="1:18" ht="15.75">
      <c r="A85" s="71">
        <f>+A82+1</f>
        <v>38</v>
      </c>
      <c r="B85" s="44"/>
      <c r="C85" s="115" t="s">
        <v>67</v>
      </c>
      <c r="D85" s="82"/>
      <c r="E85" s="82" t="str">
        <f>"(Note "&amp;B324&amp;")"</f>
        <v>(Note O)</v>
      </c>
      <c r="F85" s="39"/>
      <c r="G85" s="42"/>
      <c r="H85" s="163">
        <v>0</v>
      </c>
      <c r="J85" s="163">
        <v>0</v>
      </c>
      <c r="K85" s="53">
        <f>$H85-J85</f>
        <v>0</v>
      </c>
      <c r="L85" s="56" t="str">
        <f>IF(J85=0,"n/m",K85/ABS(J85))</f>
        <v>n/m</v>
      </c>
      <c r="M85" s="2"/>
      <c r="N85" s="163">
        <v>0</v>
      </c>
      <c r="O85" s="53">
        <f>$H85-N85</f>
        <v>0</v>
      </c>
      <c r="P85" s="56" t="str">
        <f>IF(N85=0,"n/m",O85/ABS(N85))</f>
        <v>n/m</v>
      </c>
      <c r="Q85" s="26"/>
      <c r="R85" s="38"/>
    </row>
    <row r="86" spans="1:18" ht="15.75">
      <c r="A86" s="71"/>
      <c r="B86" s="164"/>
      <c r="C86" s="154"/>
      <c r="D86" s="46"/>
      <c r="E86" s="50"/>
      <c r="F86" s="159"/>
      <c r="G86" s="156"/>
      <c r="H86" s="165"/>
      <c r="J86" s="165"/>
      <c r="K86" s="165"/>
      <c r="L86" s="165"/>
      <c r="M86" s="2"/>
      <c r="N86" s="165"/>
      <c r="O86" s="165"/>
      <c r="P86" s="165"/>
      <c r="Q86" s="26"/>
      <c r="R86" s="38"/>
    </row>
    <row r="87" spans="1:18" ht="15.75">
      <c r="A87" s="71"/>
      <c r="B87" s="153" t="s">
        <v>68</v>
      </c>
      <c r="C87" s="37"/>
      <c r="D87" s="37"/>
      <c r="E87" s="166"/>
      <c r="F87" s="159"/>
      <c r="G87" s="156"/>
      <c r="H87" s="165"/>
      <c r="J87" s="165"/>
      <c r="K87" s="165"/>
      <c r="L87" s="165"/>
      <c r="M87" s="2"/>
      <c r="N87" s="165"/>
      <c r="O87" s="165"/>
      <c r="P87" s="165"/>
      <c r="Q87" s="26"/>
      <c r="R87" s="38"/>
    </row>
    <row r="88" spans="1:18" ht="15.75">
      <c r="A88" s="52">
        <f>+A85+1</f>
        <v>39</v>
      </c>
      <c r="B88" s="37"/>
      <c r="C88" s="37" t="s">
        <v>69</v>
      </c>
      <c r="D88" s="70"/>
      <c r="E88" s="82" t="str">
        <f>"(Note "&amp;B$323&amp;")"</f>
        <v>(Note N)</v>
      </c>
      <c r="F88" s="154" t="s">
        <v>25</v>
      </c>
      <c r="G88" s="2"/>
      <c r="H88" s="83">
        <f>'Att 5 - Cost Support'!$H$143</f>
        <v>0</v>
      </c>
      <c r="J88" s="163">
        <v>0</v>
      </c>
      <c r="K88" s="53">
        <f>$H88-J88</f>
        <v>0</v>
      </c>
      <c r="L88" s="56" t="str">
        <f>IF(J88=0,"n/m",K88/ABS(J88))</f>
        <v>n/m</v>
      </c>
      <c r="M88" s="2"/>
      <c r="N88" s="163">
        <v>0</v>
      </c>
      <c r="O88" s="53">
        <f>$H88-N88</f>
        <v>0</v>
      </c>
      <c r="P88" s="56" t="str">
        <f>IF(N88=0,"n/m",O88/ABS(N88))</f>
        <v>n/m</v>
      </c>
      <c r="Q88" s="26"/>
      <c r="R88" s="38"/>
    </row>
    <row r="89" spans="1:18" ht="15.75">
      <c r="A89" s="71">
        <f t="shared" ref="A89:A95" si="0">+A88+1</f>
        <v>40</v>
      </c>
      <c r="B89" s="164"/>
      <c r="C89" s="112" t="s">
        <v>43</v>
      </c>
      <c r="D89" s="103"/>
      <c r="E89" s="167"/>
      <c r="F89" s="88" t="str">
        <f>"(Line "&amp;A$18&amp;")"</f>
        <v>(Line 5)</v>
      </c>
      <c r="G89" s="168"/>
      <c r="H89" s="169">
        <f>H18</f>
        <v>8.414504158513228E-2</v>
      </c>
      <c r="J89" s="169">
        <v>8.4851850814689656E-2</v>
      </c>
      <c r="K89" s="53">
        <f>$H89-J89</f>
        <v>-7.068092295573758E-4</v>
      </c>
      <c r="L89" s="56">
        <f>IF(J89=0,"n/m",K89/ABS(J89))</f>
        <v>-8.3299211834635921E-3</v>
      </c>
      <c r="M89" s="37"/>
      <c r="N89" s="169">
        <v>8.6868274473763427E-2</v>
      </c>
      <c r="O89" s="53">
        <f>$H89-N89</f>
        <v>-2.7232328886311469E-3</v>
      </c>
      <c r="P89" s="56">
        <f>IF(N89=0,"n/m",O89/ABS(N89))</f>
        <v>-3.1348992542192568E-2</v>
      </c>
      <c r="Q89" s="26"/>
      <c r="R89" s="38"/>
    </row>
    <row r="90" spans="1:18" ht="15.75">
      <c r="A90" s="71">
        <f t="shared" si="0"/>
        <v>41</v>
      </c>
      <c r="B90" s="164"/>
      <c r="C90" s="154" t="s">
        <v>70</v>
      </c>
      <c r="D90" s="70"/>
      <c r="E90" s="52"/>
      <c r="F90" s="107" t="str">
        <f>"(Line "&amp;A88&amp;" * Line "&amp;A89&amp;")"</f>
        <v>(Line 39 * Line 40)</v>
      </c>
      <c r="G90" s="156"/>
      <c r="H90" s="170">
        <f>H88*H89</f>
        <v>0</v>
      </c>
      <c r="J90" s="170">
        <v>0</v>
      </c>
      <c r="K90" s="67">
        <f>$H90-J90</f>
        <v>0</v>
      </c>
      <c r="L90" s="68" t="str">
        <f>IF(J90=0,"n/m",K90/ABS(J90))</f>
        <v>n/m</v>
      </c>
      <c r="M90" s="2"/>
      <c r="N90" s="170"/>
      <c r="O90" s="67">
        <f>$H90-N90</f>
        <v>0</v>
      </c>
      <c r="P90" s="68" t="str">
        <f>IF(N90=0,"n/m",O90/ABS(N90))</f>
        <v>n/m</v>
      </c>
      <c r="Q90" s="26"/>
      <c r="R90" s="38"/>
    </row>
    <row r="91" spans="1:18" ht="15.75">
      <c r="A91" s="71">
        <f t="shared" si="0"/>
        <v>42</v>
      </c>
      <c r="B91" s="164"/>
      <c r="C91" s="154" t="s">
        <v>71</v>
      </c>
      <c r="D91" s="70"/>
      <c r="E91" s="82" t="str">
        <f>"(Note "&amp;B$323&amp;")"</f>
        <v>(Note N)</v>
      </c>
      <c r="F91" s="154" t="s">
        <v>25</v>
      </c>
      <c r="G91" s="156"/>
      <c r="H91" s="146">
        <f>'Att 5 - Cost Support'!$H$147</f>
        <v>162026519</v>
      </c>
      <c r="J91" s="171">
        <v>150015776</v>
      </c>
      <c r="K91" s="53">
        <f>$H91-J91</f>
        <v>12010743</v>
      </c>
      <c r="L91" s="56">
        <f>IF(J91=0,"n/m",K91/ABS(J91))</f>
        <v>8.0063199486432673E-2</v>
      </c>
      <c r="M91" s="2"/>
      <c r="N91" s="171">
        <v>161139297</v>
      </c>
      <c r="O91" s="53">
        <f>$H91-N91</f>
        <v>887222</v>
      </c>
      <c r="P91" s="56">
        <f>IF(N91=0,"n/m",O91/ABS(N91))</f>
        <v>5.5059319267105897E-3</v>
      </c>
      <c r="Q91" s="26"/>
      <c r="R91" s="38"/>
    </row>
    <row r="92" spans="1:18" ht="15.75">
      <c r="A92" s="71">
        <f t="shared" si="0"/>
        <v>43</v>
      </c>
      <c r="B92" s="164"/>
      <c r="C92" s="154" t="s">
        <v>43</v>
      </c>
      <c r="D92" s="70"/>
      <c r="E92" s="52"/>
      <c r="F92" s="107" t="str">
        <f>"(Line "&amp;A$18&amp;")"</f>
        <v>(Line 5)</v>
      </c>
      <c r="G92" s="168"/>
      <c r="H92" s="169">
        <f>H18</f>
        <v>8.414504158513228E-2</v>
      </c>
      <c r="J92" s="169">
        <v>8.4851850814689656E-2</v>
      </c>
      <c r="K92" s="169"/>
      <c r="L92" s="169"/>
      <c r="M92" s="2"/>
      <c r="N92" s="169">
        <v>8.6868274473763427E-2</v>
      </c>
      <c r="O92" s="169"/>
      <c r="P92" s="169"/>
      <c r="Q92" s="26"/>
      <c r="R92" s="38"/>
    </row>
    <row r="93" spans="1:18" ht="15.75">
      <c r="A93" s="71">
        <f t="shared" si="0"/>
        <v>44</v>
      </c>
      <c r="B93" s="164"/>
      <c r="C93" s="172" t="s">
        <v>72</v>
      </c>
      <c r="D93" s="110"/>
      <c r="E93" s="111"/>
      <c r="F93" s="64" t="str">
        <f>"(Line "&amp;A91&amp;" * Line "&amp;A92&amp;")"</f>
        <v>(Line 42 * Line 43)</v>
      </c>
      <c r="G93" s="156"/>
      <c r="H93" s="170">
        <f>H91*H92</f>
        <v>13633728.179149225</v>
      </c>
      <c r="J93" s="170">
        <v>12729116.245001901</v>
      </c>
      <c r="K93" s="67">
        <f>$H93-J93</f>
        <v>904611.93414732441</v>
      </c>
      <c r="L93" s="68">
        <f>IF(J93=0,"n/m",K93/ABS(J93))</f>
        <v>7.1066358161551171E-2</v>
      </c>
      <c r="M93" s="2"/>
      <c r="N93" s="170">
        <v>13997892.680305284</v>
      </c>
      <c r="O93" s="67">
        <f>$H93-N93</f>
        <v>-364164.50115605816</v>
      </c>
      <c r="P93" s="68">
        <f>IF(N93=0,"n/m",O93/ABS(N93))</f>
        <v>-2.6015666034390258E-2</v>
      </c>
      <c r="Q93" s="26"/>
      <c r="R93" s="38"/>
    </row>
    <row r="94" spans="1:18" ht="15.75">
      <c r="A94" s="71">
        <f t="shared" si="0"/>
        <v>45</v>
      </c>
      <c r="B94" s="164"/>
      <c r="C94" s="154" t="s">
        <v>73</v>
      </c>
      <c r="D94" s="70"/>
      <c r="E94" s="82" t="str">
        <f>"(Note "&amp;B$323&amp;")"</f>
        <v>(Note N)</v>
      </c>
      <c r="F94" s="112" t="s">
        <v>25</v>
      </c>
      <c r="G94" s="156"/>
      <c r="H94" s="165">
        <f>'Att 5 - Cost Support'!$H$151</f>
        <v>819245.5</v>
      </c>
      <c r="J94" s="173">
        <v>381386</v>
      </c>
      <c r="K94" s="53">
        <f>$H94-J94</f>
        <v>437859.5</v>
      </c>
      <c r="L94" s="56">
        <f>IF(J94=0,"n/m",K94/ABS(J94))</f>
        <v>1.1480743918235068</v>
      </c>
      <c r="M94" s="2"/>
      <c r="N94" s="173">
        <v>786256</v>
      </c>
      <c r="O94" s="53">
        <f>$H94-N94</f>
        <v>32989.5</v>
      </c>
      <c r="P94" s="56">
        <f>IF(N94=0,"n/m",O94/ABS(N94))</f>
        <v>4.1957708430841865E-2</v>
      </c>
      <c r="Q94" s="26"/>
      <c r="R94" s="38"/>
    </row>
    <row r="95" spans="1:18" ht="15.75">
      <c r="A95" s="71">
        <f t="shared" si="0"/>
        <v>46</v>
      </c>
      <c r="B95" s="164"/>
      <c r="C95" s="174" t="s">
        <v>74</v>
      </c>
      <c r="D95" s="175"/>
      <c r="E95" s="176"/>
      <c r="F95" s="107" t="str">
        <f>"(Line "&amp;A90&amp;" + Line "&amp;A93&amp;" + Line "&amp;A94&amp;")"</f>
        <v>(Line 41 + Line 44 + Line 45)</v>
      </c>
      <c r="G95" s="177"/>
      <c r="H95" s="178">
        <f>H90+H93+H94</f>
        <v>14452973.679149225</v>
      </c>
      <c r="J95" s="178">
        <v>13110502.245001901</v>
      </c>
      <c r="K95" s="67">
        <f>$H95-J95</f>
        <v>1342471.4341473244</v>
      </c>
      <c r="L95" s="68">
        <f>IF(J95=0,"n/m",K95/ABS(J95))</f>
        <v>0.1023966442368074</v>
      </c>
      <c r="M95" s="2"/>
      <c r="N95" s="178">
        <v>14784148.680305284</v>
      </c>
      <c r="O95" s="67">
        <f>$H95-N95</f>
        <v>-331175.00115605816</v>
      </c>
      <c r="P95" s="68">
        <f>IF(N95=0,"n/m",O95/ABS(N95))</f>
        <v>-2.2400681183437583E-2</v>
      </c>
      <c r="Q95" s="26"/>
      <c r="R95" s="38"/>
    </row>
    <row r="96" spans="1:18" ht="15.75">
      <c r="A96" s="71"/>
      <c r="B96" s="164"/>
      <c r="C96" s="154"/>
      <c r="D96" s="70"/>
      <c r="E96" s="50"/>
      <c r="F96" s="159"/>
      <c r="G96" s="156"/>
      <c r="H96" s="58"/>
      <c r="J96" s="58"/>
      <c r="K96" s="58"/>
      <c r="L96" s="58"/>
      <c r="M96" s="2"/>
      <c r="N96" s="58"/>
      <c r="O96" s="58"/>
      <c r="P96" s="58"/>
      <c r="Q96" s="26"/>
      <c r="R96" s="38"/>
    </row>
    <row r="97" spans="1:18" ht="15.75">
      <c r="A97" s="71"/>
      <c r="B97" s="153" t="s">
        <v>75</v>
      </c>
      <c r="C97" s="37"/>
      <c r="D97" s="70"/>
      <c r="E97" s="57"/>
      <c r="F97" s="159"/>
      <c r="G97" s="156"/>
      <c r="H97" s="58"/>
      <c r="J97" s="58"/>
      <c r="K97" s="58"/>
      <c r="L97" s="58"/>
      <c r="M97" s="2"/>
      <c r="N97" s="58"/>
      <c r="O97" s="58"/>
      <c r="P97" s="58"/>
      <c r="Q97" s="26"/>
      <c r="R97" s="38"/>
    </row>
    <row r="98" spans="1:18" ht="15.75">
      <c r="A98" s="71">
        <f>+A95+1</f>
        <v>47</v>
      </c>
      <c r="B98" s="164"/>
      <c r="C98" s="154" t="s">
        <v>76</v>
      </c>
      <c r="D98" s="143"/>
      <c r="E98" s="52"/>
      <c r="F98" s="107" t="str">
        <f>"(Line "&amp;A$140&amp;")"</f>
        <v>(Line 75)</v>
      </c>
      <c r="G98" s="156"/>
      <c r="H98" s="165">
        <f>H140</f>
        <v>72892146.933178991</v>
      </c>
      <c r="J98" s="165">
        <v>73560167.216605455</v>
      </c>
      <c r="K98" s="53">
        <f>$H98-J98</f>
        <v>-668020.2834264636</v>
      </c>
      <c r="L98" s="56">
        <f>IF(J98=0,"n/m",K98/ABS(J98))</f>
        <v>-9.0812773910560786E-3</v>
      </c>
      <c r="M98" s="2"/>
      <c r="N98" s="165">
        <v>73481282.847342566</v>
      </c>
      <c r="O98" s="53">
        <f>$H98-N98</f>
        <v>-589135.91416357458</v>
      </c>
      <c r="P98" s="56">
        <f>IF(N98=0,"n/m",O98/ABS(N98))</f>
        <v>-8.0174963111014942E-3</v>
      </c>
      <c r="Q98" s="26"/>
      <c r="R98" s="38"/>
    </row>
    <row r="99" spans="1:18" ht="15.75">
      <c r="A99" s="71">
        <f>+A98+1</f>
        <v>48</v>
      </c>
      <c r="B99" s="164"/>
      <c r="C99" s="143" t="s">
        <v>77</v>
      </c>
      <c r="D99" s="143"/>
      <c r="E99" s="82" t="str">
        <f>"(Note "&amp;B330&amp;")"</f>
        <v>(Note S)</v>
      </c>
      <c r="F99" s="179" t="s">
        <v>78</v>
      </c>
      <c r="G99" s="2"/>
      <c r="H99" s="180">
        <v>0</v>
      </c>
      <c r="J99" s="181">
        <v>0</v>
      </c>
      <c r="K99" s="182"/>
      <c r="L99" s="182"/>
      <c r="M99" s="2"/>
      <c r="N99" s="181">
        <v>0</v>
      </c>
      <c r="O99" s="182"/>
      <c r="P99" s="182"/>
      <c r="Q99" s="26"/>
      <c r="R99" s="38"/>
    </row>
    <row r="100" spans="1:18" ht="15.75">
      <c r="A100" s="71">
        <f>+A99+1</f>
        <v>49</v>
      </c>
      <c r="B100" s="113"/>
      <c r="C100" s="183" t="s">
        <v>79</v>
      </c>
      <c r="D100" s="184"/>
      <c r="E100" s="185"/>
      <c r="F100" s="107" t="str">
        <f>"(Line "&amp;A98&amp;" * Line "&amp;A99&amp;")"</f>
        <v>(Line 47 * Line 48)</v>
      </c>
      <c r="G100" s="186"/>
      <c r="H100" s="187">
        <f>H98*H99</f>
        <v>0</v>
      </c>
      <c r="J100" s="187">
        <v>0</v>
      </c>
      <c r="K100" s="67">
        <f>$H100-J100</f>
        <v>0</v>
      </c>
      <c r="L100" s="68" t="str">
        <f>IF(J100=0,"n/m",K100/ABS(J100))</f>
        <v>n/m</v>
      </c>
      <c r="M100" s="17"/>
      <c r="N100" s="187">
        <v>0</v>
      </c>
      <c r="O100" s="67">
        <f>$H100-N100</f>
        <v>0</v>
      </c>
      <c r="P100" s="68" t="str">
        <f>IF(N100=0,"n/m",O100/ABS(N100))</f>
        <v>n/m</v>
      </c>
      <c r="Q100" s="26"/>
      <c r="R100" s="38"/>
    </row>
    <row r="101" spans="1:18" ht="15.75">
      <c r="A101" s="71"/>
      <c r="B101" s="113"/>
      <c r="C101" s="140"/>
      <c r="D101" s="188"/>
      <c r="E101" s="189"/>
      <c r="F101" s="107"/>
      <c r="G101" s="190"/>
      <c r="H101" s="191"/>
      <c r="J101" s="191"/>
      <c r="K101" s="191"/>
      <c r="L101" s="191"/>
      <c r="M101" s="17"/>
      <c r="N101" s="191"/>
      <c r="O101" s="191"/>
      <c r="P101" s="191"/>
      <c r="Q101" s="26"/>
      <c r="R101" s="38"/>
    </row>
    <row r="102" spans="1:18" ht="15.75">
      <c r="A102" s="71"/>
      <c r="B102" s="192" t="s">
        <v>80</v>
      </c>
      <c r="C102" s="154"/>
      <c r="D102" s="70"/>
      <c r="E102" s="52"/>
      <c r="F102" s="155"/>
      <c r="G102" s="156"/>
      <c r="H102" s="162"/>
      <c r="J102" s="162"/>
      <c r="K102" s="162"/>
      <c r="L102" s="162"/>
      <c r="M102" s="2"/>
      <c r="N102" s="162"/>
      <c r="O102" s="162"/>
      <c r="P102" s="162"/>
      <c r="Q102" s="26"/>
      <c r="R102" s="38"/>
    </row>
    <row r="103" spans="1:18" ht="15.75">
      <c r="A103" s="71">
        <f>A100+1</f>
        <v>50</v>
      </c>
      <c r="B103" s="157"/>
      <c r="C103" s="158" t="s">
        <v>80</v>
      </c>
      <c r="D103" s="82"/>
      <c r="E103" s="82" t="str">
        <f>"(Note "&amp;B$323&amp;")"</f>
        <v>(Note N)</v>
      </c>
      <c r="F103" s="158" t="s">
        <v>25</v>
      </c>
      <c r="G103" s="159"/>
      <c r="H103" s="160">
        <f>'Att 5 - Cost Support'!H295</f>
        <v>-53701654.980000004</v>
      </c>
      <c r="J103" s="161">
        <v>-23263583.780000001</v>
      </c>
      <c r="K103" s="53">
        <f>$H103-J103</f>
        <v>-30438071.200000003</v>
      </c>
      <c r="L103" s="56">
        <f>IF(J103=0,"n/m",K103/ABS(J103))</f>
        <v>-1.30839992186277</v>
      </c>
      <c r="M103" s="2"/>
      <c r="N103" s="161">
        <v>-19216247.690000001</v>
      </c>
      <c r="O103" s="53">
        <f>$H103-N103</f>
        <v>-34485407.290000007</v>
      </c>
      <c r="P103" s="56">
        <f>IF(N103=0,"n/m",O103/ABS(N103))</f>
        <v>-1.7945963148646324</v>
      </c>
      <c r="Q103" s="26"/>
      <c r="R103" s="38"/>
    </row>
    <row r="104" spans="1:18" ht="15.75">
      <c r="A104" s="71"/>
      <c r="B104" s="164"/>
      <c r="C104" s="154"/>
      <c r="D104" s="70"/>
      <c r="E104" s="71"/>
      <c r="F104" s="159"/>
      <c r="G104" s="159"/>
      <c r="H104" s="165"/>
      <c r="J104" s="193"/>
      <c r="K104" s="193"/>
      <c r="L104" s="193"/>
      <c r="M104" s="2"/>
      <c r="N104" s="193"/>
      <c r="O104" s="193"/>
      <c r="P104" s="193"/>
      <c r="Q104" s="26"/>
      <c r="R104" s="38"/>
    </row>
    <row r="105" spans="1:18" ht="16.5" thickBot="1">
      <c r="A105" s="52">
        <f>A103+1</f>
        <v>51</v>
      </c>
      <c r="B105" s="123" t="s">
        <v>81</v>
      </c>
      <c r="C105" s="123"/>
      <c r="D105" s="123"/>
      <c r="E105" s="124"/>
      <c r="F105" s="75" t="str">
        <f>"(Lines "&amp;A69&amp;" + "&amp;A70&amp;" +"&amp;A73&amp;" + "&amp;A76&amp;" + "&amp;A79&amp;" + "&amp;A82&amp;" + "&amp;A85&amp;" + "&amp;A95&amp;" + "&amp;A100&amp;" + "&amp;A103&amp;")"</f>
        <v>(Lines 33 + 33b +34 + 35 + 36 + 37 + 38 + 46 + 49 + 50)</v>
      </c>
      <c r="G105" s="123"/>
      <c r="H105" s="125">
        <f>H69+H70+H73+H76+H79+H82+H85+H95+H100+H103</f>
        <v>-1197215117.6760852</v>
      </c>
      <c r="J105" s="125">
        <v>-1155054331.3771937</v>
      </c>
      <c r="K105" s="126">
        <f>$H105-J105</f>
        <v>-42160786.298891544</v>
      </c>
      <c r="L105" s="79">
        <f>IF(J105=0,"n/m",K105/ABS(J105))</f>
        <v>-3.6501128261752343E-2</v>
      </c>
      <c r="M105" s="37"/>
      <c r="N105" s="125">
        <v>-1163501561.311893</v>
      </c>
      <c r="O105" s="126">
        <f>$H105-N105</f>
        <v>-33713556.364192247</v>
      </c>
      <c r="P105" s="79">
        <f>IF(N105=0,"n/m",O105/ABS(N105))</f>
        <v>-2.8975944240400425E-2</v>
      </c>
      <c r="Q105" s="26"/>
      <c r="R105" s="38"/>
    </row>
    <row r="106" spans="1:18" ht="16.5" thickTop="1">
      <c r="A106" s="57"/>
      <c r="B106" s="2"/>
      <c r="C106" s="2"/>
      <c r="D106" s="2"/>
      <c r="E106" s="57"/>
      <c r="F106" s="37"/>
      <c r="G106" s="2"/>
      <c r="H106" s="162"/>
      <c r="J106" s="162"/>
      <c r="K106" s="162"/>
      <c r="L106" s="162"/>
      <c r="M106" s="2"/>
      <c r="N106" s="162"/>
      <c r="O106" s="162"/>
      <c r="P106" s="162"/>
      <c r="Q106" s="26"/>
      <c r="R106" s="38"/>
    </row>
    <row r="107" spans="1:18" ht="16.5" thickBot="1">
      <c r="A107" s="50">
        <f>+A105+1</f>
        <v>52</v>
      </c>
      <c r="B107" s="91" t="s">
        <v>82</v>
      </c>
      <c r="C107" s="91"/>
      <c r="D107" s="91"/>
      <c r="E107" s="136"/>
      <c r="F107" s="75" t="str">
        <f>"(Line "&amp;A64&amp;" + Line "&amp;A105&amp;")"</f>
        <v>(Line 32 + Line 51)</v>
      </c>
      <c r="G107" s="91"/>
      <c r="H107" s="194">
        <f>H64+H105</f>
        <v>3525210494.6803694</v>
      </c>
      <c r="J107" s="194">
        <v>3555665237.4415512</v>
      </c>
      <c r="K107" s="126">
        <f>$H107-J107</f>
        <v>-30454742.761181831</v>
      </c>
      <c r="L107" s="79">
        <f>IF(J107=0,"n/m",K107/ABS(J107))</f>
        <v>-8.5651321841240836E-3</v>
      </c>
      <c r="M107" s="2"/>
      <c r="N107" s="194">
        <v>3616113812.8277593</v>
      </c>
      <c r="O107" s="126">
        <f>$H107-N107</f>
        <v>-90903318.147389889</v>
      </c>
      <c r="P107" s="79">
        <f>IF(N107=0,"n/m",O107/ABS(N107))</f>
        <v>-2.5138400739744566E-2</v>
      </c>
      <c r="Q107" s="26"/>
      <c r="R107" s="38"/>
    </row>
    <row r="108" spans="1:18" ht="16.5" thickTop="1">
      <c r="A108" s="195"/>
      <c r="B108" s="2"/>
      <c r="C108" s="2"/>
      <c r="D108" s="2"/>
      <c r="E108" s="57"/>
      <c r="F108" s="2"/>
      <c r="G108" s="2"/>
      <c r="H108" s="2"/>
      <c r="J108" s="2"/>
      <c r="K108" s="2"/>
      <c r="L108" s="2"/>
      <c r="M108" s="2"/>
      <c r="N108" s="2"/>
      <c r="O108" s="2"/>
      <c r="P108" s="2"/>
      <c r="Q108" s="26"/>
      <c r="R108" s="38"/>
    </row>
    <row r="109" spans="1:18" ht="15.75">
      <c r="A109" s="196" t="s">
        <v>83</v>
      </c>
      <c r="B109" s="197"/>
      <c r="C109" s="198"/>
      <c r="D109" s="199"/>
      <c r="E109" s="200"/>
      <c r="F109" s="137"/>
      <c r="G109" s="137"/>
      <c r="H109" s="97"/>
      <c r="J109" s="97">
        <v>0</v>
      </c>
      <c r="K109" s="97"/>
      <c r="L109" s="97"/>
      <c r="M109" s="37"/>
      <c r="N109" s="97">
        <v>0</v>
      </c>
      <c r="O109" s="97"/>
      <c r="P109" s="97"/>
      <c r="Q109" s="26"/>
      <c r="R109" s="38"/>
    </row>
    <row r="110" spans="1:18" ht="15.75">
      <c r="A110" s="70"/>
      <c r="B110" s="70"/>
      <c r="C110" s="70"/>
      <c r="D110" s="70"/>
      <c r="E110" s="44"/>
      <c r="F110" s="37"/>
      <c r="G110" s="37"/>
      <c r="H110" s="43"/>
      <c r="J110" s="43"/>
      <c r="K110" s="43"/>
      <c r="L110" s="43"/>
      <c r="M110" s="37"/>
      <c r="N110" s="43"/>
      <c r="O110" s="43"/>
      <c r="P110" s="43"/>
      <c r="Q110" s="26"/>
      <c r="R110" s="38"/>
    </row>
    <row r="111" spans="1:18" ht="15.75">
      <c r="A111" s="50"/>
      <c r="B111" s="45" t="s">
        <v>84</v>
      </c>
      <c r="C111" s="46"/>
      <c r="D111" s="49"/>
      <c r="E111" s="47"/>
      <c r="F111" s="2"/>
      <c r="G111" s="49"/>
      <c r="H111" s="49"/>
      <c r="J111" s="49"/>
      <c r="K111" s="49"/>
      <c r="L111" s="49"/>
      <c r="M111" s="2"/>
      <c r="N111" s="49"/>
      <c r="O111" s="49"/>
      <c r="P111" s="49"/>
      <c r="Q111" s="26"/>
      <c r="R111" s="38"/>
    </row>
    <row r="112" spans="1:18" ht="15.75">
      <c r="A112" s="71">
        <f>+A107+1</f>
        <v>53</v>
      </c>
      <c r="B112" s="71"/>
      <c r="C112" s="94" t="s">
        <v>84</v>
      </c>
      <c r="D112" s="70"/>
      <c r="E112" s="52"/>
      <c r="F112" s="48" t="s">
        <v>25</v>
      </c>
      <c r="G112" s="44"/>
      <c r="H112" s="83">
        <f>'Att 5 - Cost Support'!J267</f>
        <v>218035885.66</v>
      </c>
      <c r="J112" s="55">
        <v>204853614.25999999</v>
      </c>
      <c r="K112" s="53">
        <f>$H112-J112</f>
        <v>13182271.400000006</v>
      </c>
      <c r="L112" s="56">
        <f>IF(J112=0,"n/m",K112/ABS(J112))</f>
        <v>6.4349713563115765E-2</v>
      </c>
      <c r="M112" s="2"/>
      <c r="N112" s="55">
        <v>206347429.99000001</v>
      </c>
      <c r="O112" s="53">
        <f>$H112-N112</f>
        <v>11688455.669999987</v>
      </c>
      <c r="P112" s="56">
        <f>IF(N112=0,"n/m",O112/ABS(N112))</f>
        <v>5.6644542025875641E-2</v>
      </c>
      <c r="Q112" s="26"/>
      <c r="R112" s="38"/>
    </row>
    <row r="113" spans="1:18" ht="15.75">
      <c r="A113" s="71">
        <f>A112+1</f>
        <v>54</v>
      </c>
      <c r="B113" s="71"/>
      <c r="C113" s="94" t="s">
        <v>85</v>
      </c>
      <c r="D113" s="70"/>
      <c r="E113" s="52"/>
      <c r="F113" s="48" t="s">
        <v>25</v>
      </c>
      <c r="G113" s="44"/>
      <c r="H113" s="83">
        <f>'Att 5 - Cost Support'!J276</f>
        <v>11026556</v>
      </c>
      <c r="J113" s="55">
        <v>10636891</v>
      </c>
      <c r="K113" s="53">
        <f>$H113-J113</f>
        <v>389665</v>
      </c>
      <c r="L113" s="56">
        <f>IF(J113=0,"n/m",K113/ABS(J113))</f>
        <v>3.6633354614614366E-2</v>
      </c>
      <c r="M113" s="2"/>
      <c r="N113" s="55">
        <v>10587401</v>
      </c>
      <c r="O113" s="53">
        <f>$H113-N113</f>
        <v>439155</v>
      </c>
      <c r="P113" s="56">
        <f>IF(N113=0,"n/m",O113/ABS(N113))</f>
        <v>4.1479018316204326E-2</v>
      </c>
      <c r="Q113" s="26"/>
      <c r="R113" s="38"/>
    </row>
    <row r="114" spans="1:18" ht="15.75">
      <c r="A114" s="71">
        <f>A113+1</f>
        <v>55</v>
      </c>
      <c r="B114" s="71"/>
      <c r="C114" s="94" t="s">
        <v>86</v>
      </c>
      <c r="D114" s="70"/>
      <c r="E114" s="52"/>
      <c r="F114" s="48" t="s">
        <v>25</v>
      </c>
      <c r="G114" s="70"/>
      <c r="H114" s="83">
        <f>'Att 5 - Cost Support'!J278</f>
        <v>145825268</v>
      </c>
      <c r="J114" s="55">
        <v>134473119</v>
      </c>
      <c r="K114" s="53">
        <f>$H114-J114</f>
        <v>11352149</v>
      </c>
      <c r="L114" s="56">
        <f>IF(J114=0,"n/m",K114/ABS(J114))</f>
        <v>8.4419466763465192E-2</v>
      </c>
      <c r="M114" s="2"/>
      <c r="N114" s="55">
        <v>135021597</v>
      </c>
      <c r="O114" s="53">
        <f>$H114-N114</f>
        <v>10803671</v>
      </c>
      <c r="P114" s="56">
        <f>IF(N114=0,"n/m",O114/ABS(N114))</f>
        <v>8.0014392067959322E-2</v>
      </c>
      <c r="Q114" s="26"/>
      <c r="R114" s="38"/>
    </row>
    <row r="115" spans="1:18" ht="15.75">
      <c r="A115" s="71">
        <f>A114+1</f>
        <v>56</v>
      </c>
      <c r="B115" s="70"/>
      <c r="C115" s="119" t="s">
        <v>84</v>
      </c>
      <c r="D115" s="110"/>
      <c r="E115" s="111"/>
      <c r="F115" s="64" t="str">
        <f>"(Lines "&amp;A112&amp;"  - "&amp;A114&amp;")"</f>
        <v>(Lines 53  - 55)</v>
      </c>
      <c r="G115" s="85"/>
      <c r="H115" s="121">
        <f>H112-H113-H114</f>
        <v>61184061.659999996</v>
      </c>
      <c r="J115" s="121">
        <v>59743604.25999999</v>
      </c>
      <c r="K115" s="67">
        <f>$H115-J115</f>
        <v>1440457.400000006</v>
      </c>
      <c r="L115" s="68">
        <f>IF(J115=0,"n/m",K115/ABS(J115))</f>
        <v>2.41106544849761E-2</v>
      </c>
      <c r="M115" s="2"/>
      <c r="N115" s="121">
        <v>60738431.99000001</v>
      </c>
      <c r="O115" s="67">
        <f>$H115-N115</f>
        <v>445629.66999998689</v>
      </c>
      <c r="P115" s="68">
        <f>IF(N115=0,"n/m",O115/ABS(N115))</f>
        <v>7.3368649041410132E-3</v>
      </c>
      <c r="Q115" s="26"/>
      <c r="R115" s="38"/>
    </row>
    <row r="116" spans="1:18" ht="15.75">
      <c r="A116" s="71"/>
      <c r="B116" s="71"/>
      <c r="C116" s="45"/>
      <c r="D116" s="70"/>
      <c r="E116" s="80"/>
      <c r="F116" s="70"/>
      <c r="G116" s="70"/>
      <c r="H116" s="201"/>
      <c r="J116" s="201"/>
      <c r="K116" s="201"/>
      <c r="L116" s="201"/>
      <c r="M116" s="2"/>
      <c r="N116" s="201"/>
      <c r="O116" s="201"/>
      <c r="P116" s="201"/>
      <c r="Q116" s="26"/>
      <c r="R116" s="38"/>
    </row>
    <row r="117" spans="1:18" ht="15.75">
      <c r="A117" s="71"/>
      <c r="B117" s="45" t="s">
        <v>87</v>
      </c>
      <c r="C117" s="70"/>
      <c r="D117" s="70"/>
      <c r="E117" s="80"/>
      <c r="F117" s="70"/>
      <c r="G117" s="70"/>
      <c r="H117" s="201"/>
      <c r="J117" s="201"/>
      <c r="K117" s="201"/>
      <c r="L117" s="201"/>
      <c r="M117" s="2"/>
      <c r="N117" s="201"/>
      <c r="O117" s="201"/>
      <c r="P117" s="201"/>
      <c r="Q117" s="26"/>
      <c r="R117" s="38"/>
    </row>
    <row r="118" spans="1:18" ht="15.75">
      <c r="A118" s="71">
        <f>A115+1</f>
        <v>57</v>
      </c>
      <c r="B118" s="71"/>
      <c r="C118" s="94" t="s">
        <v>88</v>
      </c>
      <c r="D118" s="70"/>
      <c r="E118" s="52"/>
      <c r="F118" s="48" t="s">
        <v>89</v>
      </c>
      <c r="G118" s="83"/>
      <c r="H118" s="53">
        <f>INDEX(Inputs_EndYrBal,MATCH(F118,Inputs_FF1_Map,0))</f>
        <v>115628648</v>
      </c>
      <c r="J118" s="55">
        <v>134499331</v>
      </c>
      <c r="K118" s="53">
        <f t="shared" ref="K118:K125" si="1">$H118-J118</f>
        <v>-18870683</v>
      </c>
      <c r="L118" s="56">
        <f t="shared" ref="L118:L125" si="2">IF(J118=0,"n/m",K118/ABS(J118))</f>
        <v>-0.14030317370128778</v>
      </c>
      <c r="M118" s="2"/>
      <c r="N118" s="55">
        <v>130380347</v>
      </c>
      <c r="O118" s="53">
        <f t="shared" ref="O118:O125" si="3">$H118-N118</f>
        <v>-14751699</v>
      </c>
      <c r="P118" s="56">
        <f t="shared" ref="P118:P125" si="4">IF(N118=0,"n/m",O118/ABS(N118))</f>
        <v>-0.11314357830325456</v>
      </c>
      <c r="Q118" s="26"/>
      <c r="R118" s="38"/>
    </row>
    <row r="119" spans="1:18" ht="15.75">
      <c r="A119" s="71">
        <f>A118+1</f>
        <v>58</v>
      </c>
      <c r="B119" s="71"/>
      <c r="C119" s="94" t="s">
        <v>90</v>
      </c>
      <c r="D119" s="70"/>
      <c r="E119" s="82" t="str">
        <f>IF(Toggle=True_up,"",IF(Toggle=Projection,"(Note H)"))</f>
        <v/>
      </c>
      <c r="F119" s="48" t="s">
        <v>25</v>
      </c>
      <c r="G119" s="70"/>
      <c r="H119" s="83">
        <f>-'Att 5 - Cost Support'!I220</f>
        <v>0</v>
      </c>
      <c r="J119" s="55">
        <v>0</v>
      </c>
      <c r="K119" s="53">
        <f t="shared" si="1"/>
        <v>0</v>
      </c>
      <c r="L119" s="56" t="str">
        <f t="shared" si="2"/>
        <v>n/m</v>
      </c>
      <c r="M119" s="2"/>
      <c r="N119" s="55">
        <v>0</v>
      </c>
      <c r="O119" s="53">
        <f t="shared" si="3"/>
        <v>0</v>
      </c>
      <c r="P119" s="56" t="str">
        <f t="shared" si="4"/>
        <v>n/m</v>
      </c>
      <c r="Q119" s="26"/>
      <c r="R119" s="38"/>
    </row>
    <row r="120" spans="1:18" ht="15.75">
      <c r="A120" s="71">
        <f t="shared" ref="A120:A127" si="5">A119+1</f>
        <v>59</v>
      </c>
      <c r="B120" s="71"/>
      <c r="C120" s="94" t="s">
        <v>91</v>
      </c>
      <c r="D120" s="48"/>
      <c r="E120" s="52"/>
      <c r="F120" s="94" t="s">
        <v>92</v>
      </c>
      <c r="G120" s="83"/>
      <c r="H120" s="53">
        <f>INDEX(Inputs_EndYrBal,MATCH(F120,Inputs_FF1_Map,0))</f>
        <v>4737084</v>
      </c>
      <c r="J120" s="55">
        <v>5579593</v>
      </c>
      <c r="K120" s="53">
        <f t="shared" si="1"/>
        <v>-842509</v>
      </c>
      <c r="L120" s="56">
        <f t="shared" si="2"/>
        <v>-0.15099828966019566</v>
      </c>
      <c r="M120" s="37"/>
      <c r="N120" s="55">
        <v>5203260</v>
      </c>
      <c r="O120" s="53">
        <f t="shared" si="3"/>
        <v>-466176</v>
      </c>
      <c r="P120" s="56">
        <f t="shared" si="4"/>
        <v>-8.959306281062257E-2</v>
      </c>
      <c r="Q120" s="26"/>
      <c r="R120" s="38"/>
    </row>
    <row r="121" spans="1:18" ht="15.75">
      <c r="A121" s="71">
        <f t="shared" si="5"/>
        <v>60</v>
      </c>
      <c r="B121" s="71"/>
      <c r="C121" s="94" t="s">
        <v>93</v>
      </c>
      <c r="D121" s="48"/>
      <c r="E121" s="52"/>
      <c r="F121" s="94" t="s">
        <v>25</v>
      </c>
      <c r="G121" s="70"/>
      <c r="H121" s="83">
        <f xml:space="preserve"> 'Att 5 - Cost Support'!H326</f>
        <v>0</v>
      </c>
      <c r="J121" s="55">
        <v>0</v>
      </c>
      <c r="K121" s="53">
        <f t="shared" si="1"/>
        <v>0</v>
      </c>
      <c r="L121" s="56" t="str">
        <f t="shared" si="2"/>
        <v>n/m</v>
      </c>
      <c r="M121" s="37"/>
      <c r="N121" s="55">
        <v>0</v>
      </c>
      <c r="O121" s="53">
        <f t="shared" si="3"/>
        <v>0</v>
      </c>
      <c r="P121" s="56" t="str">
        <f t="shared" si="4"/>
        <v>n/m</v>
      </c>
      <c r="Q121" s="26"/>
      <c r="R121" s="38"/>
    </row>
    <row r="122" spans="1:18" ht="15.75">
      <c r="A122" s="71">
        <f>A121+1</f>
        <v>61</v>
      </c>
      <c r="B122" s="71"/>
      <c r="C122" s="94" t="s">
        <v>94</v>
      </c>
      <c r="D122" s="48"/>
      <c r="E122" s="82" t="str">
        <f>"(Note "&amp;B$306&amp;")"</f>
        <v>(Note D)</v>
      </c>
      <c r="F122" s="94" t="s">
        <v>95</v>
      </c>
      <c r="G122" s="70"/>
      <c r="H122" s="53">
        <f>INDEX(Inputs_EndYrBal,MATCH(F122,Inputs_FF1_Map,0))</f>
        <v>25605836</v>
      </c>
      <c r="J122" s="55">
        <v>22853804</v>
      </c>
      <c r="K122" s="53">
        <f t="shared" si="1"/>
        <v>2752032</v>
      </c>
      <c r="L122" s="56">
        <f t="shared" si="2"/>
        <v>0.12041899020399405</v>
      </c>
      <c r="M122" s="2"/>
      <c r="N122" s="55">
        <v>22484361</v>
      </c>
      <c r="O122" s="53">
        <f t="shared" si="3"/>
        <v>3121475</v>
      </c>
      <c r="P122" s="56">
        <f t="shared" si="4"/>
        <v>0.13882871743608813</v>
      </c>
      <c r="Q122" s="26"/>
      <c r="R122" s="38"/>
    </row>
    <row r="123" spans="1:18" ht="15.75">
      <c r="A123" s="71">
        <f t="shared" si="5"/>
        <v>62</v>
      </c>
      <c r="B123" s="71"/>
      <c r="C123" s="94" t="s">
        <v>96</v>
      </c>
      <c r="D123" s="48"/>
      <c r="E123" s="52"/>
      <c r="F123" s="94" t="s">
        <v>97</v>
      </c>
      <c r="G123" s="70"/>
      <c r="H123" s="53">
        <f>INDEX(Inputs_EndYrBal,MATCH(F123,Inputs_FF1_Map,0))</f>
        <v>55028</v>
      </c>
      <c r="J123" s="55">
        <v>1435</v>
      </c>
      <c r="K123" s="53">
        <f t="shared" si="1"/>
        <v>53593</v>
      </c>
      <c r="L123" s="56">
        <f t="shared" si="2"/>
        <v>37.347038327526136</v>
      </c>
      <c r="M123" s="2"/>
      <c r="N123" s="55">
        <v>580</v>
      </c>
      <c r="O123" s="53">
        <f t="shared" si="3"/>
        <v>54448</v>
      </c>
      <c r="P123" s="56">
        <f t="shared" si="4"/>
        <v>93.875862068965517</v>
      </c>
      <c r="Q123" s="26"/>
      <c r="R123" s="38"/>
    </row>
    <row r="124" spans="1:18" ht="15.75">
      <c r="A124" s="71">
        <f t="shared" si="5"/>
        <v>63</v>
      </c>
      <c r="B124" s="71"/>
      <c r="C124" s="94" t="s">
        <v>98</v>
      </c>
      <c r="D124" s="37"/>
      <c r="E124" s="82" t="str">
        <f>"(Note "&amp;B$304&amp;")"</f>
        <v>(Note C)</v>
      </c>
      <c r="F124" s="88" t="s">
        <v>25</v>
      </c>
      <c r="G124" s="70"/>
      <c r="H124" s="83">
        <f>'Att 5 - Cost Support'!I215</f>
        <v>717770.71000000008</v>
      </c>
      <c r="J124" s="55">
        <v>787864.66999999993</v>
      </c>
      <c r="K124" s="53">
        <f t="shared" si="1"/>
        <v>-70093.959999999846</v>
      </c>
      <c r="L124" s="56">
        <f t="shared" si="2"/>
        <v>-8.8967004955305143E-2</v>
      </c>
      <c r="M124" s="2"/>
      <c r="N124" s="55">
        <v>723877.28</v>
      </c>
      <c r="O124" s="53">
        <f t="shared" si="3"/>
        <v>-6106.5699999999488</v>
      </c>
      <c r="P124" s="56">
        <f t="shared" si="4"/>
        <v>-8.4359188618268952E-3</v>
      </c>
      <c r="Q124" s="26"/>
      <c r="R124" s="38"/>
    </row>
    <row r="125" spans="1:18" ht="15.75">
      <c r="A125" s="71">
        <f t="shared" si="5"/>
        <v>64</v>
      </c>
      <c r="B125" s="71"/>
      <c r="C125" s="61" t="s">
        <v>99</v>
      </c>
      <c r="D125" s="110"/>
      <c r="E125" s="116"/>
      <c r="F125" s="107" t="str">
        <f>"(Line "&amp;A118&amp;" - Sum (Lines "&amp;A119&amp;" to "&amp;A124&amp;"))"</f>
        <v>(Line 57 - Sum (Lines 58 to 63))</v>
      </c>
      <c r="G125" s="110"/>
      <c r="H125" s="66">
        <f>H118-SUM(+H119+H120+H121+H122+H123+H124)</f>
        <v>84512929.289999992</v>
      </c>
      <c r="J125" s="66">
        <v>105276634.33</v>
      </c>
      <c r="K125" s="67">
        <f t="shared" si="1"/>
        <v>-20763705.040000007</v>
      </c>
      <c r="L125" s="68">
        <f t="shared" si="2"/>
        <v>-0.19722994729214199</v>
      </c>
      <c r="M125" s="2"/>
      <c r="N125" s="66">
        <v>101968268.72</v>
      </c>
      <c r="O125" s="67">
        <f t="shared" si="3"/>
        <v>-17455339.430000007</v>
      </c>
      <c r="P125" s="68">
        <f t="shared" si="4"/>
        <v>-0.17118403253399875</v>
      </c>
      <c r="Q125" s="26"/>
      <c r="R125" s="38"/>
    </row>
    <row r="126" spans="1:18" ht="15.75">
      <c r="A126" s="71">
        <f t="shared" si="5"/>
        <v>65</v>
      </c>
      <c r="B126" s="71"/>
      <c r="C126" s="112" t="s">
        <v>43</v>
      </c>
      <c r="D126" s="143"/>
      <c r="E126" s="57"/>
      <c r="F126" s="101" t="str">
        <f>"(Line "&amp;A$18&amp;")"</f>
        <v>(Line 5)</v>
      </c>
      <c r="G126" s="156"/>
      <c r="H126" s="169">
        <f>Allocator.wages.salary</f>
        <v>8.414504158513228E-2</v>
      </c>
      <c r="J126" s="169">
        <v>8.4851850814689656E-2</v>
      </c>
      <c r="K126" s="169"/>
      <c r="L126" s="169"/>
      <c r="M126" s="2"/>
      <c r="N126" s="169">
        <v>8.6868274473763427E-2</v>
      </c>
      <c r="O126" s="169"/>
      <c r="P126" s="169"/>
      <c r="Q126" s="26"/>
      <c r="R126" s="38"/>
    </row>
    <row r="127" spans="1:18" ht="15.75">
      <c r="A127" s="71">
        <f t="shared" si="5"/>
        <v>66</v>
      </c>
      <c r="B127" s="71"/>
      <c r="C127" s="119" t="s">
        <v>100</v>
      </c>
      <c r="D127" s="110"/>
      <c r="E127" s="63"/>
      <c r="F127" s="107" t="str">
        <f>"(Line "&amp;A125&amp;" * Line "&amp;A126&amp;")"</f>
        <v>(Line 64 * Line 65)</v>
      </c>
      <c r="G127" s="65"/>
      <c r="H127" s="121">
        <f>H125*H126</f>
        <v>7111343.9495883929</v>
      </c>
      <c r="J127" s="121">
        <v>8932917.2704417948</v>
      </c>
      <c r="K127" s="67">
        <f>$H127-J127</f>
        <v>-1821573.3208534019</v>
      </c>
      <c r="L127" s="68">
        <f>IF(J127=0,"n/m",K127/ABS(J127))</f>
        <v>-0.20391695855964337</v>
      </c>
      <c r="M127" s="2"/>
      <c r="N127" s="121">
        <v>8857807.5547834262</v>
      </c>
      <c r="O127" s="67">
        <f>$H127-N127</f>
        <v>-1746463.6051950334</v>
      </c>
      <c r="P127" s="68">
        <f>IF(N127=0,"n/m",O127/ABS(N127))</f>
        <v>-0.19716657811694063</v>
      </c>
      <c r="Q127" s="26"/>
      <c r="R127" s="38"/>
    </row>
    <row r="128" spans="1:18" ht="15.75">
      <c r="A128" s="71"/>
      <c r="B128" s="71"/>
      <c r="C128" s="202"/>
      <c r="D128" s="40"/>
      <c r="E128" s="203"/>
      <c r="F128" s="150"/>
      <c r="G128" s="150"/>
      <c r="H128" s="118"/>
      <c r="J128" s="118"/>
      <c r="K128" s="118"/>
      <c r="L128" s="118"/>
      <c r="M128" s="2"/>
      <c r="N128" s="118"/>
      <c r="O128" s="118"/>
      <c r="P128" s="118"/>
      <c r="Q128" s="26"/>
      <c r="R128" s="38"/>
    </row>
    <row r="129" spans="1:18" ht="15.75">
      <c r="A129" s="71"/>
      <c r="B129" s="45" t="s">
        <v>101</v>
      </c>
      <c r="C129" s="37"/>
      <c r="D129" s="40"/>
      <c r="E129" s="203"/>
      <c r="F129" s="150"/>
      <c r="G129" s="150"/>
      <c r="H129" s="118"/>
      <c r="J129" s="118"/>
      <c r="K129" s="118"/>
      <c r="L129" s="118"/>
      <c r="M129" s="2"/>
      <c r="N129" s="118"/>
      <c r="O129" s="118"/>
      <c r="P129" s="118"/>
      <c r="Q129" s="26"/>
      <c r="R129" s="38"/>
    </row>
    <row r="130" spans="1:18" ht="15.75">
      <c r="A130" s="71">
        <f>+A127+1</f>
        <v>67</v>
      </c>
      <c r="B130" s="164"/>
      <c r="C130" s="154" t="s">
        <v>102</v>
      </c>
      <c r="D130" s="204"/>
      <c r="E130" s="82" t="str">
        <f>"(Note "&amp;B$307&amp;")"</f>
        <v>(Note E)</v>
      </c>
      <c r="F130" s="48" t="s">
        <v>25</v>
      </c>
      <c r="G130" s="37"/>
      <c r="H130" s="165">
        <f>+'Att 5 - Cost Support'!I239</f>
        <v>3486086.8299999991</v>
      </c>
      <c r="J130" s="173">
        <v>3577311.82</v>
      </c>
      <c r="K130" s="53">
        <f>$H130-J130</f>
        <v>-91224.990000000689</v>
      </c>
      <c r="L130" s="56">
        <f>IF(J130=0,"n/m",K130/ABS(J130))</f>
        <v>-2.5500989175721533E-2</v>
      </c>
      <c r="M130" s="2"/>
      <c r="N130" s="173">
        <v>2654241.4899999988</v>
      </c>
      <c r="O130" s="53">
        <f>$H130-N130</f>
        <v>831845.34000000032</v>
      </c>
      <c r="P130" s="56">
        <f>IF(N130=0,"n/m",O130/ABS(N130))</f>
        <v>0.31340228202069159</v>
      </c>
      <c r="Q130" s="26"/>
      <c r="R130" s="38"/>
    </row>
    <row r="131" spans="1:18" ht="15.75">
      <c r="A131" s="50">
        <f>+A130+1</f>
        <v>68</v>
      </c>
      <c r="B131" s="164"/>
      <c r="C131" s="112" t="s">
        <v>103</v>
      </c>
      <c r="D131" s="205"/>
      <c r="E131" s="102"/>
      <c r="F131" s="88" t="s">
        <v>25</v>
      </c>
      <c r="G131" s="206"/>
      <c r="H131" s="207">
        <f>'Att 5 - Cost Support'!I246</f>
        <v>0</v>
      </c>
      <c r="J131" s="208">
        <v>0</v>
      </c>
      <c r="K131" s="53">
        <f>$H131-J131</f>
        <v>0</v>
      </c>
      <c r="L131" s="56" t="str">
        <f>IF(J131=0,"n/m",K131/ABS(J131))</f>
        <v>n/m</v>
      </c>
      <c r="M131" s="2"/>
      <c r="N131" s="208">
        <v>0</v>
      </c>
      <c r="O131" s="53">
        <f>$H131-N131</f>
        <v>0</v>
      </c>
      <c r="P131" s="56" t="str">
        <f>IF(N131=0,"n/m",O131/ABS(N131))</f>
        <v>n/m</v>
      </c>
      <c r="Q131" s="26"/>
      <c r="R131" s="38"/>
    </row>
    <row r="132" spans="1:18" ht="15.75">
      <c r="A132" s="50">
        <f>+A131+1</f>
        <v>69</v>
      </c>
      <c r="B132" s="164"/>
      <c r="C132" s="153" t="s">
        <v>104</v>
      </c>
      <c r="D132" s="70"/>
      <c r="E132" s="166"/>
      <c r="F132" s="107" t="str">
        <f>"(Line "&amp;A130&amp;" + Line "&amp;A131&amp;")"</f>
        <v>(Line 67 + Line 68)</v>
      </c>
      <c r="G132" s="37"/>
      <c r="H132" s="160">
        <f>SUM(H130:H131)</f>
        <v>3486086.8299999991</v>
      </c>
      <c r="J132" s="160">
        <v>3577311.82</v>
      </c>
      <c r="K132" s="67">
        <f>$H132-J132</f>
        <v>-91224.990000000689</v>
      </c>
      <c r="L132" s="68">
        <f>IF(J132=0,"n/m",K132/ABS(J132))</f>
        <v>-2.5500989175721533E-2</v>
      </c>
      <c r="M132" s="2"/>
      <c r="N132" s="160">
        <v>2654241.4899999988</v>
      </c>
      <c r="O132" s="67">
        <f>$H132-N132</f>
        <v>831845.34000000032</v>
      </c>
      <c r="P132" s="68">
        <f>IF(N132=0,"n/m",O132/ABS(N132))</f>
        <v>0.31340228202069159</v>
      </c>
      <c r="Q132" s="26"/>
      <c r="R132" s="38"/>
    </row>
    <row r="133" spans="1:18" ht="15.75">
      <c r="A133" s="71"/>
      <c r="B133" s="164"/>
      <c r="C133" s="154"/>
      <c r="D133" s="70"/>
      <c r="E133" s="166"/>
      <c r="F133" s="154"/>
      <c r="G133" s="37"/>
      <c r="H133" s="209"/>
      <c r="J133" s="209"/>
      <c r="K133" s="209"/>
      <c r="L133" s="209"/>
      <c r="M133" s="2"/>
      <c r="N133" s="209"/>
      <c r="O133" s="209"/>
      <c r="P133" s="209"/>
      <c r="Q133" s="26"/>
      <c r="R133" s="38"/>
    </row>
    <row r="134" spans="1:18" ht="15.75">
      <c r="A134" s="50">
        <f>+A132+1</f>
        <v>70</v>
      </c>
      <c r="B134" s="164"/>
      <c r="C134" s="154" t="s">
        <v>105</v>
      </c>
      <c r="D134" s="70"/>
      <c r="E134" s="82" t="str">
        <f>"(Note "&amp;B$308&amp;")"</f>
        <v>(Note F)</v>
      </c>
      <c r="F134" s="48" t="s">
        <v>25</v>
      </c>
      <c r="G134" s="37"/>
      <c r="H134" s="165">
        <f>'Att 5 - Cost Support'!I224</f>
        <v>4737084</v>
      </c>
      <c r="J134" s="173">
        <v>5579593</v>
      </c>
      <c r="K134" s="53">
        <f>$H134-J134</f>
        <v>-842509</v>
      </c>
      <c r="L134" s="56">
        <f>IF(J134=0,"n/m",K134/ABS(J134))</f>
        <v>-0.15099828966019566</v>
      </c>
      <c r="M134" s="2"/>
      <c r="N134" s="173">
        <v>5203260</v>
      </c>
      <c r="O134" s="53">
        <f>$H134-N134</f>
        <v>-466176</v>
      </c>
      <c r="P134" s="56">
        <f>IF(N134=0,"n/m",O134/ABS(N134))</f>
        <v>-8.959306281062257E-2</v>
      </c>
      <c r="Q134" s="26"/>
      <c r="R134" s="38"/>
    </row>
    <row r="135" spans="1:18" ht="15.75">
      <c r="A135" s="50">
        <f>+A134+1</f>
        <v>71</v>
      </c>
      <c r="B135" s="164"/>
      <c r="C135" s="154" t="s">
        <v>106</v>
      </c>
      <c r="D135" s="70"/>
      <c r="E135" s="82"/>
      <c r="F135" s="88" t="s">
        <v>25</v>
      </c>
      <c r="G135" s="37"/>
      <c r="H135" s="207">
        <f>+'Att 5 - Cost Support'!I253</f>
        <v>0</v>
      </c>
      <c r="J135" s="208">
        <v>0</v>
      </c>
      <c r="K135" s="53">
        <f>$H135-J135</f>
        <v>0</v>
      </c>
      <c r="L135" s="56" t="str">
        <f>IF(J135=0,"n/m",K135/ABS(J135))</f>
        <v>n/m</v>
      </c>
      <c r="M135" s="2"/>
      <c r="N135" s="208">
        <v>0</v>
      </c>
      <c r="O135" s="53">
        <f>$H135-N135</f>
        <v>0</v>
      </c>
      <c r="P135" s="56" t="str">
        <f>IF(N135=0,"n/m",O135/ABS(N135))</f>
        <v>n/m</v>
      </c>
      <c r="Q135" s="26"/>
      <c r="R135" s="38"/>
    </row>
    <row r="136" spans="1:18" ht="15.75">
      <c r="A136" s="71">
        <f>+A135+1</f>
        <v>72</v>
      </c>
      <c r="B136" s="164"/>
      <c r="C136" s="172" t="s">
        <v>107</v>
      </c>
      <c r="D136" s="110"/>
      <c r="E136" s="111"/>
      <c r="F136" s="107" t="str">
        <f>"(Line "&amp;A134&amp;" + Line "&amp;A135&amp;")"</f>
        <v>(Line 70 + Line 71)</v>
      </c>
      <c r="G136" s="85"/>
      <c r="H136" s="146">
        <f>SUM(H134:H135)</f>
        <v>4737084</v>
      </c>
      <c r="J136" s="146">
        <v>5579593</v>
      </c>
      <c r="K136" s="67">
        <f>$H136-J136</f>
        <v>-842509</v>
      </c>
      <c r="L136" s="68">
        <f>IF(J136=0,"n/m",K136/ABS(J136))</f>
        <v>-0.15099828966019566</v>
      </c>
      <c r="M136" s="2"/>
      <c r="N136" s="146">
        <v>5203260</v>
      </c>
      <c r="O136" s="67">
        <f>$H136-N136</f>
        <v>-466176</v>
      </c>
      <c r="P136" s="68">
        <f>IF(N136=0,"n/m",O136/ABS(N136))</f>
        <v>-8.959306281062257E-2</v>
      </c>
      <c r="Q136" s="26"/>
      <c r="R136" s="38"/>
    </row>
    <row r="137" spans="1:18" ht="15.75">
      <c r="A137" s="50">
        <f>+A136+1</f>
        <v>73</v>
      </c>
      <c r="B137" s="71"/>
      <c r="C137" s="158" t="s">
        <v>31</v>
      </c>
      <c r="D137" s="143"/>
      <c r="E137" s="71"/>
      <c r="F137" s="88" t="str">
        <f>"(Line "&amp;A$30&amp;")"</f>
        <v>(Line 12)</v>
      </c>
      <c r="G137" s="159"/>
      <c r="H137" s="169">
        <f>Allocator.gross.plant</f>
        <v>0.23445953113573914</v>
      </c>
      <c r="J137" s="169">
        <v>0.23412708886896766</v>
      </c>
      <c r="K137" s="169"/>
      <c r="L137" s="169"/>
      <c r="M137" s="2"/>
      <c r="N137" s="169">
        <v>0.2365443611426532</v>
      </c>
      <c r="O137" s="169"/>
      <c r="P137" s="169"/>
      <c r="Q137" s="26"/>
      <c r="R137" s="38"/>
    </row>
    <row r="138" spans="1:18" ht="15.75">
      <c r="A138" s="71">
        <f>+A137+1</f>
        <v>74</v>
      </c>
      <c r="B138" s="71"/>
      <c r="C138" s="119" t="s">
        <v>108</v>
      </c>
      <c r="D138" s="110"/>
      <c r="E138" s="63"/>
      <c r="F138" s="210" t="str">
        <f>"(Line "&amp;A136&amp;" * Line "&amp;A137&amp;")"</f>
        <v>(Line 72 * Line 73)</v>
      </c>
      <c r="G138" s="65"/>
      <c r="H138" s="187">
        <f>H136*H137</f>
        <v>1110654.4935906117</v>
      </c>
      <c r="J138" s="187">
        <v>1306333.8661636699</v>
      </c>
      <c r="K138" s="67">
        <f>$H138-J138</f>
        <v>-195679.37257305812</v>
      </c>
      <c r="L138" s="68">
        <f>IF(J138=0,"n/m",K138/ABS(J138))</f>
        <v>-0.14979277322704085</v>
      </c>
      <c r="M138" s="2"/>
      <c r="N138" s="187">
        <v>1230801.8125591218</v>
      </c>
      <c r="O138" s="67">
        <f>$H138-N138</f>
        <v>-120147.31896851002</v>
      </c>
      <c r="P138" s="68">
        <f>IF(N138=0,"n/m",O138/ABS(N138))</f>
        <v>-9.7617112472962606E-2</v>
      </c>
      <c r="Q138" s="26"/>
      <c r="R138" s="38"/>
    </row>
    <row r="139" spans="1:18" ht="15.75">
      <c r="A139" s="71"/>
      <c r="B139" s="71"/>
      <c r="C139" s="45"/>
      <c r="D139" s="70"/>
      <c r="E139" s="80"/>
      <c r="F139" s="70"/>
      <c r="G139" s="70"/>
      <c r="H139" s="118"/>
      <c r="J139" s="118"/>
      <c r="K139" s="118"/>
      <c r="L139" s="118"/>
      <c r="M139" s="2"/>
      <c r="N139" s="118"/>
      <c r="O139" s="118"/>
      <c r="P139" s="118"/>
      <c r="Q139" s="26"/>
      <c r="R139" s="38"/>
    </row>
    <row r="140" spans="1:18" ht="16.5" thickBot="1">
      <c r="A140" s="71">
        <f>A138+1</f>
        <v>75</v>
      </c>
      <c r="B140" s="71"/>
      <c r="C140" s="72" t="s">
        <v>109</v>
      </c>
      <c r="D140" s="73"/>
      <c r="E140" s="74"/>
      <c r="F140" s="75" t="str">
        <f>"(Lines "&amp;A115&amp;" + "&amp;A127&amp;" + "&amp;A132&amp;" + "&amp;A138&amp;" )"</f>
        <v>(Lines 56 + 66 + 69 + 74 )</v>
      </c>
      <c r="G140" s="73"/>
      <c r="H140" s="211">
        <f>H115+H127+H132+H138</f>
        <v>72892146.933178991</v>
      </c>
      <c r="J140" s="211">
        <v>73560167.216605455</v>
      </c>
      <c r="K140" s="126">
        <f>$H140-J140</f>
        <v>-668020.2834264636</v>
      </c>
      <c r="L140" s="79">
        <f>IF(J140=0,"n/m",K140/ABS(J140))</f>
        <v>-9.0812773910560786E-3</v>
      </c>
      <c r="M140" s="2"/>
      <c r="N140" s="211">
        <v>73481282.847342566</v>
      </c>
      <c r="O140" s="126">
        <f>$H140-N140</f>
        <v>-589135.91416357458</v>
      </c>
      <c r="P140" s="79">
        <f>IF(N140=0,"n/m",O140/ABS(N140))</f>
        <v>-8.0174963111014942E-3</v>
      </c>
      <c r="Q140" s="26"/>
      <c r="R140" s="38"/>
    </row>
    <row r="141" spans="1:18" ht="16.5" thickTop="1">
      <c r="A141" s="95"/>
      <c r="B141" s="50"/>
      <c r="C141" s="45"/>
      <c r="D141" s="70"/>
      <c r="E141" s="47"/>
      <c r="F141" s="46"/>
      <c r="G141" s="46"/>
      <c r="H141" s="212"/>
      <c r="J141" s="212"/>
      <c r="K141" s="212"/>
      <c r="L141" s="212"/>
      <c r="M141" s="2"/>
      <c r="N141" s="212"/>
      <c r="O141" s="212"/>
      <c r="P141" s="212"/>
      <c r="Q141" s="26"/>
      <c r="R141" s="38"/>
    </row>
    <row r="142" spans="1:18" ht="15.75">
      <c r="A142" s="196" t="s">
        <v>110</v>
      </c>
      <c r="B142" s="197"/>
      <c r="C142" s="198"/>
      <c r="D142" s="199"/>
      <c r="E142" s="200"/>
      <c r="F142" s="137"/>
      <c r="G142" s="137"/>
      <c r="H142" s="213"/>
      <c r="J142" s="213">
        <v>0</v>
      </c>
      <c r="K142" s="213"/>
      <c r="L142" s="213"/>
      <c r="M142" s="2"/>
      <c r="N142" s="213">
        <v>0</v>
      </c>
      <c r="O142" s="213"/>
      <c r="P142" s="213"/>
      <c r="Q142" s="26"/>
      <c r="R142" s="38"/>
    </row>
    <row r="143" spans="1:18" ht="15.75">
      <c r="A143" s="45"/>
      <c r="B143" s="50"/>
      <c r="C143" s="45"/>
      <c r="D143" s="70"/>
      <c r="E143" s="47"/>
      <c r="F143" s="46"/>
      <c r="G143" s="46"/>
      <c r="H143" s="212"/>
      <c r="J143" s="212"/>
      <c r="K143" s="212"/>
      <c r="L143" s="212"/>
      <c r="M143" s="2"/>
      <c r="N143" s="212"/>
      <c r="O143" s="212"/>
      <c r="P143" s="212"/>
      <c r="Q143" s="26"/>
      <c r="R143" s="38"/>
    </row>
    <row r="144" spans="1:18" ht="15.75">
      <c r="A144" s="57"/>
      <c r="B144" s="214" t="s">
        <v>111</v>
      </c>
      <c r="C144" s="2"/>
      <c r="D144" s="46"/>
      <c r="E144" s="57"/>
      <c r="F144" s="141"/>
      <c r="G144" s="215"/>
      <c r="H144" s="216"/>
      <c r="J144" s="216"/>
      <c r="K144" s="216"/>
      <c r="L144" s="216"/>
      <c r="M144" s="2"/>
      <c r="N144" s="216"/>
      <c r="O144" s="216"/>
      <c r="P144" s="216"/>
      <c r="Q144" s="26"/>
      <c r="R144" s="38"/>
    </row>
    <row r="145" spans="1:18" ht="15.75">
      <c r="A145" s="71">
        <f>+A140+1</f>
        <v>76</v>
      </c>
      <c r="B145" s="164"/>
      <c r="C145" s="154" t="s">
        <v>112</v>
      </c>
      <c r="D145" s="70"/>
      <c r="E145" s="82" t="str">
        <f>"(Note "&amp;B313&amp;")"</f>
        <v>(Note H)</v>
      </c>
      <c r="F145" s="158" t="s">
        <v>25</v>
      </c>
      <c r="G145" s="37"/>
      <c r="H145" s="160">
        <f>'Att 5 - Cost Support'!H305</f>
        <v>112507659</v>
      </c>
      <c r="J145" s="161">
        <v>106777986</v>
      </c>
      <c r="K145" s="53">
        <f>$H145-J145</f>
        <v>5729673</v>
      </c>
      <c r="L145" s="56">
        <f>IF(J145=0,"n/m",K145/ABS(J145))</f>
        <v>5.3659684122530651E-2</v>
      </c>
      <c r="M145" s="2"/>
      <c r="N145" s="161">
        <v>109403638</v>
      </c>
      <c r="O145" s="53">
        <f>$H145-N145</f>
        <v>3104021</v>
      </c>
      <c r="P145" s="56">
        <f>IF(N145=0,"n/m",O145/ABS(N145))</f>
        <v>2.8372191791282114E-2</v>
      </c>
      <c r="Q145" s="26"/>
      <c r="R145" s="38"/>
    </row>
    <row r="146" spans="1:18" ht="15.75">
      <c r="A146" s="71"/>
      <c r="B146" s="164"/>
      <c r="C146" s="154"/>
      <c r="D146" s="70"/>
      <c r="E146" s="71"/>
      <c r="F146" s="154"/>
      <c r="G146" s="159"/>
      <c r="H146" s="165"/>
      <c r="J146" s="165"/>
      <c r="K146" s="165"/>
      <c r="L146" s="165"/>
      <c r="M146" s="2"/>
      <c r="N146" s="165"/>
      <c r="O146" s="165"/>
      <c r="P146" s="165"/>
      <c r="Q146" s="26"/>
      <c r="R146" s="38"/>
    </row>
    <row r="147" spans="1:18" ht="15.75">
      <c r="A147" s="71">
        <f>+A145+1</f>
        <v>77</v>
      </c>
      <c r="B147" s="164"/>
      <c r="C147" s="158" t="s">
        <v>113</v>
      </c>
      <c r="D147" s="40"/>
      <c r="E147" s="82" t="str">
        <f>"(Note "&amp;B$313&amp;")"</f>
        <v>(Note H)</v>
      </c>
      <c r="F147" s="158" t="s">
        <v>25</v>
      </c>
      <c r="G147" s="42"/>
      <c r="H147" s="146">
        <f>'Att 5 - Cost Support'!H310</f>
        <v>43110635</v>
      </c>
      <c r="J147" s="171">
        <v>39820885</v>
      </c>
      <c r="K147" s="53">
        <f>$H147-J147</f>
        <v>3289750</v>
      </c>
      <c r="L147" s="56">
        <f>IF(J147=0,"n/m",K147/ABS(J147))</f>
        <v>8.261368374911808E-2</v>
      </c>
      <c r="M147" s="2"/>
      <c r="N147" s="171">
        <v>42630355</v>
      </c>
      <c r="O147" s="53">
        <f>$H147-N147</f>
        <v>480280</v>
      </c>
      <c r="P147" s="56">
        <f>IF(N147=0,"n/m",O147/ABS(N147))</f>
        <v>1.1266150610286966E-2</v>
      </c>
      <c r="Q147" s="26"/>
      <c r="R147" s="38"/>
    </row>
    <row r="148" spans="1:18" ht="15.75">
      <c r="A148" s="71">
        <f>+A147+1</f>
        <v>78</v>
      </c>
      <c r="B148" s="164"/>
      <c r="C148" s="112" t="s">
        <v>114</v>
      </c>
      <c r="D148" s="101"/>
      <c r="E148" s="102" t="str">
        <f>"(Note "&amp;B$313&amp;")"</f>
        <v>(Note H)</v>
      </c>
      <c r="F148" s="112" t="s">
        <v>25</v>
      </c>
      <c r="G148" s="206"/>
      <c r="H148" s="207">
        <f>'Att 5 - Cost Support'!H315</f>
        <v>48671914</v>
      </c>
      <c r="J148" s="208">
        <v>40052602</v>
      </c>
      <c r="K148" s="53">
        <f>$H148-J148</f>
        <v>8619312</v>
      </c>
      <c r="L148" s="56">
        <f>IF(J148=0,"n/m",K148/ABS(J148))</f>
        <v>0.21519980150103607</v>
      </c>
      <c r="M148" s="37"/>
      <c r="N148" s="208">
        <v>45503823</v>
      </c>
      <c r="O148" s="53">
        <f>$H148-N148</f>
        <v>3168091</v>
      </c>
      <c r="P148" s="56">
        <f>IF(N148=0,"n/m",O148/ABS(N148))</f>
        <v>6.9622523804208719E-2</v>
      </c>
      <c r="Q148" s="26"/>
      <c r="R148" s="38"/>
    </row>
    <row r="149" spans="1:18" ht="15.75">
      <c r="A149" s="71">
        <f>+A148+1</f>
        <v>79</v>
      </c>
      <c r="B149" s="164"/>
      <c r="C149" s="158" t="s">
        <v>115</v>
      </c>
      <c r="D149" s="40"/>
      <c r="E149" s="217"/>
      <c r="F149" s="107" t="str">
        <f>"(Line "&amp;A147&amp;" + Line "&amp;A148&amp;")"</f>
        <v>(Line 77 + Line 78)</v>
      </c>
      <c r="G149" s="37"/>
      <c r="H149" s="165">
        <f>SUM(H147:H148)</f>
        <v>91782549</v>
      </c>
      <c r="J149" s="165">
        <v>79873487</v>
      </c>
      <c r="K149" s="67">
        <f>$H149-J149</f>
        <v>11909062</v>
      </c>
      <c r="L149" s="68">
        <f>IF(J149=0,"n/m",K149/ABS(J149))</f>
        <v>0.14909906212057575</v>
      </c>
      <c r="M149" s="2"/>
      <c r="N149" s="165">
        <v>88134178</v>
      </c>
      <c r="O149" s="67">
        <f>$H149-N149</f>
        <v>3648371</v>
      </c>
      <c r="P149" s="68">
        <f>IF(N149=0,"n/m",O149/ABS(N149))</f>
        <v>4.1395643356428646E-2</v>
      </c>
      <c r="Q149" s="26"/>
      <c r="R149" s="38"/>
    </row>
    <row r="150" spans="1:18" ht="15.75">
      <c r="A150" s="71">
        <f>+A149+1</f>
        <v>80</v>
      </c>
      <c r="B150" s="164"/>
      <c r="C150" s="112" t="s">
        <v>43</v>
      </c>
      <c r="D150" s="103"/>
      <c r="E150" s="117"/>
      <c r="F150" s="101" t="str">
        <f>"(Line "&amp;A$18&amp;")"</f>
        <v>(Line 5)</v>
      </c>
      <c r="G150" s="218"/>
      <c r="H150" s="219">
        <f>Allocator.wages.salary</f>
        <v>8.414504158513228E-2</v>
      </c>
      <c r="J150" s="219">
        <v>8.4851850814689656E-2</v>
      </c>
      <c r="K150" s="220"/>
      <c r="L150" s="220"/>
      <c r="M150" s="2"/>
      <c r="N150" s="219">
        <v>8.6868274473763427E-2</v>
      </c>
      <c r="O150" s="220"/>
      <c r="P150" s="220"/>
      <c r="Q150" s="26"/>
      <c r="R150" s="38"/>
    </row>
    <row r="151" spans="1:18" ht="15.75">
      <c r="A151" s="71">
        <f>+A150+1</f>
        <v>81</v>
      </c>
      <c r="B151" s="164"/>
      <c r="C151" s="153" t="s">
        <v>116</v>
      </c>
      <c r="D151" s="70"/>
      <c r="E151" s="71"/>
      <c r="F151" s="107" t="str">
        <f>"(Line "&amp;A149&amp;" * Line "&amp;A150&amp;")"</f>
        <v>(Line 79 * Line 80)</v>
      </c>
      <c r="G151" s="159"/>
      <c r="H151" s="160">
        <f>+H149*H150</f>
        <v>7723046.402394441</v>
      </c>
      <c r="J151" s="160">
        <v>6777413.2029730538</v>
      </c>
      <c r="K151" s="67">
        <f>$H151-J151</f>
        <v>945633.19942138717</v>
      </c>
      <c r="L151" s="68">
        <f>IF(J151=0,"n/m",K151/ABS(J151))</f>
        <v>0.13952715750111938</v>
      </c>
      <c r="M151" s="2"/>
      <c r="N151" s="160">
        <v>7656063.9650235223</v>
      </c>
      <c r="O151" s="67">
        <f>$H151-N151</f>
        <v>66982.437370918691</v>
      </c>
      <c r="P151" s="68">
        <f>IF(N151=0,"n/m",O151/ABS(N151))</f>
        <v>8.7489390993760983E-3</v>
      </c>
      <c r="Q151" s="26"/>
      <c r="R151" s="38"/>
    </row>
    <row r="152" spans="1:18" ht="15.75">
      <c r="A152" s="71"/>
      <c r="B152" s="164"/>
      <c r="C152" s="153"/>
      <c r="D152" s="70"/>
      <c r="E152" s="71"/>
      <c r="F152" s="107"/>
      <c r="G152" s="159"/>
      <c r="H152" s="160"/>
      <c r="J152" s="160"/>
      <c r="K152" s="160"/>
      <c r="L152" s="160"/>
      <c r="M152" s="2"/>
      <c r="N152" s="160"/>
      <c r="O152" s="160"/>
      <c r="P152" s="160"/>
      <c r="Q152" s="26"/>
      <c r="R152" s="38"/>
    </row>
    <row r="153" spans="1:18" ht="15.75">
      <c r="A153" s="71">
        <f>+A151+1</f>
        <v>82</v>
      </c>
      <c r="B153" s="164"/>
      <c r="C153" s="154" t="s">
        <v>117</v>
      </c>
      <c r="D153" s="70"/>
      <c r="E153" s="82" t="str">
        <f>"(Note "&amp;B324&amp;")"</f>
        <v>(Note O)</v>
      </c>
      <c r="F153" s="39"/>
      <c r="G153" s="37"/>
      <c r="H153" s="173">
        <v>0</v>
      </c>
      <c r="J153" s="173">
        <v>0</v>
      </c>
      <c r="K153" s="53">
        <f>$H153-J153</f>
        <v>0</v>
      </c>
      <c r="L153" s="56" t="str">
        <f>IF(J153=0,"n/m",K153/ABS(J153))</f>
        <v>n/m</v>
      </c>
      <c r="M153" s="2"/>
      <c r="N153" s="173">
        <v>0</v>
      </c>
      <c r="O153" s="53">
        <f>$H153-N153</f>
        <v>0</v>
      </c>
      <c r="P153" s="56" t="str">
        <f>IF(N153=0,"n/m",O153/ABS(N153))</f>
        <v>n/m</v>
      </c>
      <c r="Q153" s="26"/>
      <c r="R153" s="38"/>
    </row>
    <row r="154" spans="1:18" ht="15.75">
      <c r="A154" s="71"/>
      <c r="B154" s="164"/>
      <c r="C154" s="154"/>
      <c r="D154" s="70"/>
      <c r="E154" s="71"/>
      <c r="F154" s="107"/>
      <c r="G154" s="159"/>
      <c r="H154" s="165"/>
      <c r="J154" s="165"/>
      <c r="K154" s="165"/>
      <c r="L154" s="165"/>
      <c r="M154" s="2"/>
      <c r="N154" s="165"/>
      <c r="O154" s="165"/>
      <c r="P154" s="165"/>
      <c r="Q154" s="26"/>
      <c r="R154" s="38"/>
    </row>
    <row r="155" spans="1:18" ht="16.5" thickBot="1">
      <c r="A155" s="50">
        <f>+A153+1</f>
        <v>83</v>
      </c>
      <c r="B155" s="221" t="s">
        <v>118</v>
      </c>
      <c r="C155" s="221"/>
      <c r="D155" s="222"/>
      <c r="E155" s="223"/>
      <c r="F155" s="224" t="str">
        <f>"(Lines "&amp;A145&amp;" + "&amp;A151&amp;" + "&amp;A153&amp;")"</f>
        <v>(Lines 76 + 81 + 82)</v>
      </c>
      <c r="G155" s="225"/>
      <c r="H155" s="226">
        <f>H145+H151+H153</f>
        <v>120230705.40239444</v>
      </c>
      <c r="J155" s="226">
        <v>113555399.20297305</v>
      </c>
      <c r="K155" s="126">
        <f>$H155-J155</f>
        <v>6675306.1994213909</v>
      </c>
      <c r="L155" s="79">
        <f>IF(J155=0,"n/m",K155/ABS(J155))</f>
        <v>5.8784577803206922E-2</v>
      </c>
      <c r="M155" s="17"/>
      <c r="N155" s="226">
        <v>117059701.96502352</v>
      </c>
      <c r="O155" s="126">
        <f>$H155-N155</f>
        <v>3171003.4373709261</v>
      </c>
      <c r="P155" s="79">
        <f>IF(N155=0,"n/m",O155/ABS(N155))</f>
        <v>2.7088770807894215E-2</v>
      </c>
      <c r="Q155" s="26"/>
      <c r="R155" s="38"/>
    </row>
    <row r="156" spans="1:18" ht="16.5" thickTop="1">
      <c r="A156" s="195"/>
      <c r="B156" s="46"/>
      <c r="C156" s="46"/>
      <c r="D156" s="46"/>
      <c r="E156" s="57"/>
      <c r="F156" s="2"/>
      <c r="G156" s="2"/>
      <c r="H156" s="162"/>
      <c r="J156" s="162"/>
      <c r="K156" s="162"/>
      <c r="L156" s="162"/>
      <c r="M156" s="2"/>
      <c r="N156" s="162"/>
      <c r="O156" s="162"/>
      <c r="P156" s="162"/>
      <c r="Q156" s="26"/>
      <c r="R156" s="38"/>
    </row>
    <row r="157" spans="1:18" ht="15.75">
      <c r="A157" s="196" t="s">
        <v>119</v>
      </c>
      <c r="B157" s="197"/>
      <c r="C157" s="198"/>
      <c r="D157" s="199"/>
      <c r="E157" s="227"/>
      <c r="F157" s="137"/>
      <c r="G157" s="137"/>
      <c r="H157" s="213"/>
      <c r="J157" s="213">
        <v>0</v>
      </c>
      <c r="K157" s="213"/>
      <c r="L157" s="213"/>
      <c r="M157" s="2"/>
      <c r="N157" s="213">
        <v>0</v>
      </c>
      <c r="O157" s="213"/>
      <c r="P157" s="213"/>
      <c r="Q157" s="26"/>
      <c r="R157" s="38"/>
    </row>
    <row r="158" spans="1:18" ht="15.75">
      <c r="A158" s="138"/>
      <c r="B158" s="50"/>
      <c r="C158" s="45"/>
      <c r="D158" s="70"/>
      <c r="E158" s="47"/>
      <c r="F158" s="46"/>
      <c r="G158" s="46"/>
      <c r="H158" s="212"/>
      <c r="J158" s="212"/>
      <c r="K158" s="212"/>
      <c r="L158" s="212"/>
      <c r="M158" s="2"/>
      <c r="N158" s="212"/>
      <c r="O158" s="212"/>
      <c r="P158" s="212"/>
      <c r="Q158" s="26"/>
      <c r="R158" s="38"/>
    </row>
    <row r="159" spans="1:18" ht="15.75">
      <c r="A159" s="71">
        <f>+A155+1</f>
        <v>84</v>
      </c>
      <c r="B159" s="153" t="s">
        <v>120</v>
      </c>
      <c r="C159" s="157"/>
      <c r="D159" s="46"/>
      <c r="E159" s="82"/>
      <c r="F159" s="37" t="s">
        <v>121</v>
      </c>
      <c r="G159" s="37"/>
      <c r="H159" s="228">
        <f>'Att 2 - Other Taxes'!F27</f>
        <v>40532324.096305139</v>
      </c>
      <c r="J159" s="229">
        <v>39067191.094667397</v>
      </c>
      <c r="K159" s="53">
        <f>$H159-J159</f>
        <v>1465133.0016377419</v>
      </c>
      <c r="L159" s="56">
        <f>IF(J159=0,"n/m",K159/ABS(J159))</f>
        <v>3.7502901042653407E-2</v>
      </c>
      <c r="M159" s="2"/>
      <c r="N159" s="229">
        <v>41949221.85869471</v>
      </c>
      <c r="O159" s="53">
        <f>$H159-N159</f>
        <v>-1416897.7623895705</v>
      </c>
      <c r="P159" s="56">
        <f>IF(N159=0,"n/m",O159/ABS(N159))</f>
        <v>-3.3776496907674904E-2</v>
      </c>
      <c r="Q159" s="26"/>
      <c r="R159" s="38"/>
    </row>
    <row r="160" spans="1:18" ht="15.75">
      <c r="A160" s="52"/>
      <c r="B160" s="70"/>
      <c r="C160" s="46"/>
      <c r="D160" s="46"/>
      <c r="E160" s="50"/>
      <c r="F160" s="154"/>
      <c r="G160" s="37"/>
      <c r="H160" s="162"/>
      <c r="J160" s="162"/>
      <c r="K160" s="162"/>
      <c r="L160" s="162"/>
      <c r="M160" s="2"/>
      <c r="N160" s="162"/>
      <c r="O160" s="162"/>
      <c r="P160" s="162"/>
      <c r="Q160" s="26"/>
      <c r="R160" s="38"/>
    </row>
    <row r="161" spans="1:18" ht="16.5" thickBot="1">
      <c r="A161" s="71">
        <f>+A159+1</f>
        <v>85</v>
      </c>
      <c r="B161" s="72" t="s">
        <v>122</v>
      </c>
      <c r="C161" s="72"/>
      <c r="D161" s="222"/>
      <c r="E161" s="136"/>
      <c r="F161" s="75" t="str">
        <f>"(Line "&amp;A159&amp;")"</f>
        <v>(Line 84)</v>
      </c>
      <c r="G161" s="91"/>
      <c r="H161" s="194">
        <f>H159</f>
        <v>40532324.096305139</v>
      </c>
      <c r="J161" s="194">
        <v>39067191.094667397</v>
      </c>
      <c r="K161" s="126">
        <f>$H161-J161</f>
        <v>1465133.0016377419</v>
      </c>
      <c r="L161" s="79">
        <f>IF(J161=0,"n/m",K161/ABS(J161))</f>
        <v>3.7502901042653407E-2</v>
      </c>
      <c r="M161" s="2"/>
      <c r="N161" s="194">
        <v>41949221.85869471</v>
      </c>
      <c r="O161" s="126">
        <f>$H161-N161</f>
        <v>-1416897.7623895705</v>
      </c>
      <c r="P161" s="79">
        <f>IF(N161=0,"n/m",O161/ABS(N161))</f>
        <v>-3.3776496907674904E-2</v>
      </c>
      <c r="Q161" s="26"/>
      <c r="R161" s="38"/>
    </row>
    <row r="162" spans="1:18" ht="16.5" thickTop="1">
      <c r="A162" s="57"/>
      <c r="B162" s="46"/>
      <c r="C162" s="46"/>
      <c r="D162" s="46"/>
      <c r="E162" s="57"/>
      <c r="F162" s="37"/>
      <c r="G162" s="2"/>
      <c r="H162" s="162"/>
      <c r="J162" s="162"/>
      <c r="K162" s="162"/>
      <c r="L162" s="162"/>
      <c r="M162" s="2"/>
      <c r="N162" s="162"/>
      <c r="O162" s="162"/>
      <c r="P162" s="162"/>
      <c r="Q162" s="26"/>
      <c r="R162" s="38"/>
    </row>
    <row r="163" spans="1:18" ht="15.75">
      <c r="A163" s="196" t="s">
        <v>123</v>
      </c>
      <c r="B163" s="197"/>
      <c r="C163" s="198"/>
      <c r="D163" s="199"/>
      <c r="E163" s="200"/>
      <c r="F163" s="137"/>
      <c r="G163" s="137"/>
      <c r="H163" s="213"/>
      <c r="J163" s="213">
        <v>0</v>
      </c>
      <c r="K163" s="213"/>
      <c r="L163" s="213"/>
      <c r="M163" s="2"/>
      <c r="N163" s="213">
        <v>0</v>
      </c>
      <c r="O163" s="213"/>
      <c r="P163" s="213"/>
      <c r="Q163" s="26"/>
      <c r="R163" s="38"/>
    </row>
    <row r="164" spans="1:18" ht="15.75">
      <c r="A164" s="95"/>
      <c r="B164" s="50"/>
      <c r="C164" s="45"/>
      <c r="D164" s="70"/>
      <c r="E164" s="47"/>
      <c r="F164" s="46"/>
      <c r="G164" s="46"/>
      <c r="H164" s="212"/>
      <c r="J164" s="212"/>
      <c r="K164" s="212"/>
      <c r="L164" s="212"/>
      <c r="M164" s="2"/>
      <c r="N164" s="212"/>
      <c r="O164" s="212"/>
      <c r="P164" s="212"/>
      <c r="Q164" s="26"/>
      <c r="R164" s="38"/>
    </row>
    <row r="165" spans="1:18" ht="18.75">
      <c r="A165" s="230"/>
      <c r="B165" s="231" t="s">
        <v>124</v>
      </c>
      <c r="C165" s="2"/>
      <c r="D165" s="232"/>
      <c r="E165" s="232"/>
      <c r="F165" s="233"/>
      <c r="G165" s="234"/>
      <c r="H165" s="234"/>
      <c r="J165" s="234"/>
      <c r="K165" s="234"/>
      <c r="L165" s="234"/>
      <c r="M165" s="2"/>
      <c r="N165" s="234"/>
      <c r="O165" s="234"/>
      <c r="P165" s="234"/>
      <c r="Q165" s="26"/>
      <c r="R165" s="38"/>
    </row>
    <row r="166" spans="1:18" ht="18.75">
      <c r="A166" s="230">
        <f>SUM(A161+1)</f>
        <v>86</v>
      </c>
      <c r="B166" s="232"/>
      <c r="C166" s="234" t="s">
        <v>125</v>
      </c>
      <c r="D166" s="2"/>
      <c r="E166" s="234"/>
      <c r="F166" s="234" t="s">
        <v>126</v>
      </c>
      <c r="G166" s="235"/>
      <c r="H166" s="236">
        <f>'Att 14 - Cost of Capital Detail'!C6</f>
        <v>7451428846.1538458</v>
      </c>
      <c r="J166" s="237">
        <v>7046645769.2307692</v>
      </c>
      <c r="K166" s="53">
        <f>$H166-J166</f>
        <v>404783076.92307663</v>
      </c>
      <c r="L166" s="56">
        <f>IF(J166=0,"n/m",K166/ABS(J166))</f>
        <v>5.7443369537683434E-2</v>
      </c>
      <c r="M166" s="2"/>
      <c r="N166" s="237">
        <v>7008059615.3846149</v>
      </c>
      <c r="O166" s="53">
        <f>$H166-N166</f>
        <v>443369230.76923084</v>
      </c>
      <c r="P166" s="56">
        <f>IF(N166=0,"n/m",O166/ABS(N166))</f>
        <v>6.3265619173089455E-2</v>
      </c>
      <c r="Q166" s="26"/>
      <c r="R166" s="38"/>
    </row>
    <row r="167" spans="1:18" ht="18.75">
      <c r="A167" s="230">
        <f>SUM(A166+1)</f>
        <v>87</v>
      </c>
      <c r="B167" s="232"/>
      <c r="C167" s="234" t="s">
        <v>127</v>
      </c>
      <c r="D167" s="2"/>
      <c r="E167" s="2"/>
      <c r="F167" s="234" t="s">
        <v>126</v>
      </c>
      <c r="G167" s="235"/>
      <c r="H167" s="236">
        <f>'Att 14 - Cost of Capital Detail'!C7</f>
        <v>0</v>
      </c>
      <c r="J167" s="237">
        <v>0</v>
      </c>
      <c r="K167" s="53">
        <f>$H167-J167</f>
        <v>0</v>
      </c>
      <c r="L167" s="56" t="str">
        <f>IF(J167=0,"n/m",K167/ABS(J167))</f>
        <v>n/m</v>
      </c>
      <c r="M167" s="2"/>
      <c r="N167" s="237">
        <v>0</v>
      </c>
      <c r="O167" s="53">
        <f>$H167-N167</f>
        <v>0</v>
      </c>
      <c r="P167" s="56" t="str">
        <f>IF(N167=0,"n/m",O167/ABS(N167))</f>
        <v>n/m</v>
      </c>
      <c r="Q167" s="26"/>
      <c r="R167" s="38"/>
    </row>
    <row r="168" spans="1:18" ht="18.75">
      <c r="A168" s="230">
        <f>SUM(A167+1)</f>
        <v>88</v>
      </c>
      <c r="B168" s="232"/>
      <c r="C168" s="234" t="s">
        <v>128</v>
      </c>
      <c r="D168" s="2"/>
      <c r="E168" s="238"/>
      <c r="F168" s="234" t="s">
        <v>126</v>
      </c>
      <c r="G168" s="235"/>
      <c r="H168" s="236">
        <f>'Att 14 - Cost of Capital Detail'!C8</f>
        <v>0</v>
      </c>
      <c r="J168" s="237">
        <v>0</v>
      </c>
      <c r="K168" s="53">
        <f>$H168-J168</f>
        <v>0</v>
      </c>
      <c r="L168" s="56" t="str">
        <f>IF(J168=0,"n/m",K168/ABS(J168))</f>
        <v>n/m</v>
      </c>
      <c r="M168" s="2"/>
      <c r="N168" s="237">
        <v>0</v>
      </c>
      <c r="O168" s="53">
        <f>$H168-N168</f>
        <v>0</v>
      </c>
      <c r="P168" s="56" t="str">
        <f>IF(N168=0,"n/m",O168/ABS(N168))</f>
        <v>n/m</v>
      </c>
      <c r="Q168" s="26"/>
      <c r="R168" s="38"/>
    </row>
    <row r="169" spans="1:18" ht="18.75">
      <c r="A169" s="230">
        <f>SUM(A168+1)</f>
        <v>89</v>
      </c>
      <c r="B169" s="232"/>
      <c r="C169" s="234" t="s">
        <v>129</v>
      </c>
      <c r="D169" s="2"/>
      <c r="E169" s="234"/>
      <c r="F169" s="234" t="s">
        <v>126</v>
      </c>
      <c r="G169" s="235"/>
      <c r="H169" s="236">
        <f>'Att 14 - Cost of Capital Detail'!C9</f>
        <v>0</v>
      </c>
      <c r="J169" s="237">
        <v>0</v>
      </c>
      <c r="K169" s="53">
        <f>$H169-J169</f>
        <v>0</v>
      </c>
      <c r="L169" s="56" t="str">
        <f>IF(J169=0,"n/m",K169/ABS(J169))</f>
        <v>n/m</v>
      </c>
      <c r="M169" s="2"/>
      <c r="N169" s="237">
        <v>0</v>
      </c>
      <c r="O169" s="53">
        <f>$H169-N169</f>
        <v>0</v>
      </c>
      <c r="P169" s="56" t="str">
        <f>IF(N169=0,"n/m",O169/ABS(N169))</f>
        <v>n/m</v>
      </c>
      <c r="Q169" s="26"/>
      <c r="R169" s="38"/>
    </row>
    <row r="170" spans="1:18" ht="18.75">
      <c r="A170" s="230">
        <f t="shared" ref="A170:A177" si="6">SUM(A169+1)</f>
        <v>90</v>
      </c>
      <c r="B170" s="232"/>
      <c r="C170" s="239" t="s">
        <v>130</v>
      </c>
      <c r="D170" s="87"/>
      <c r="E170" s="240"/>
      <c r="F170" s="241" t="str">
        <f>"Sum Lines "&amp;A166&amp;" through "&amp;A169</f>
        <v>Sum Lines 86 through 89</v>
      </c>
      <c r="G170" s="242"/>
      <c r="H170" s="243">
        <f>H166-H167+H168+H169</f>
        <v>7451428846.1538458</v>
      </c>
      <c r="J170" s="243">
        <v>7046645769.2307692</v>
      </c>
      <c r="K170" s="67">
        <f>$H170-J170</f>
        <v>404783076.92307663</v>
      </c>
      <c r="L170" s="68">
        <f>IF(J170=0,"n/m",K170/ABS(J170))</f>
        <v>5.7443369537683434E-2</v>
      </c>
      <c r="M170" s="2"/>
      <c r="N170" s="243">
        <v>7008059615.3846149</v>
      </c>
      <c r="O170" s="67">
        <f>$H170-N170</f>
        <v>443369230.76923084</v>
      </c>
      <c r="P170" s="68">
        <f>IF(N170=0,"n/m",O170/ABS(N170))</f>
        <v>6.3265619173089455E-2</v>
      </c>
      <c r="Q170" s="26"/>
      <c r="R170" s="38"/>
    </row>
    <row r="171" spans="1:18" ht="18.75">
      <c r="A171" s="230"/>
      <c r="B171" s="232"/>
      <c r="C171" s="244"/>
      <c r="D171" s="2"/>
      <c r="E171" s="234"/>
      <c r="F171" s="236"/>
      <c r="G171" s="235"/>
      <c r="H171" s="245"/>
      <c r="J171" s="245"/>
      <c r="K171" s="245"/>
      <c r="L171" s="245"/>
      <c r="M171" s="2"/>
      <c r="N171" s="245"/>
      <c r="O171" s="245"/>
      <c r="P171" s="245"/>
      <c r="Q171" s="26"/>
      <c r="R171" s="38"/>
    </row>
    <row r="172" spans="1:18" ht="18.75">
      <c r="A172" s="230">
        <f>SUM(A170+1)</f>
        <v>91</v>
      </c>
      <c r="B172" s="232"/>
      <c r="C172" s="234" t="s">
        <v>131</v>
      </c>
      <c r="D172" s="2"/>
      <c r="E172" s="82" t="str">
        <f>"(Note "&amp;B$334&amp;")"</f>
        <v>(Note T)</v>
      </c>
      <c r="F172" s="234" t="s">
        <v>126</v>
      </c>
      <c r="G172" s="235"/>
      <c r="H172" s="236">
        <f>'Att 14 - Cost of Capital Detail'!C10</f>
        <v>13080345.171538461</v>
      </c>
      <c r="J172" s="237">
        <v>10973949.676923078</v>
      </c>
      <c r="K172" s="53">
        <f t="shared" ref="K172:K177" si="7">$H172-J172</f>
        <v>2106395.4946153834</v>
      </c>
      <c r="L172" s="56">
        <f t="shared" ref="L172:L177" si="8">IF(J172=0,"n/m",K172/ABS(J172))</f>
        <v>0.19194506596334088</v>
      </c>
      <c r="M172" s="2"/>
      <c r="N172" s="237">
        <v>10580201.25076923</v>
      </c>
      <c r="O172" s="53">
        <f t="shared" ref="O172:O177" si="9">$H172-N172</f>
        <v>2500143.9207692314</v>
      </c>
      <c r="P172" s="56">
        <f t="shared" ref="P172:P177" si="10">IF(N172=0,"n/m",O172/ABS(N172))</f>
        <v>0.23630400419722256</v>
      </c>
      <c r="Q172" s="26"/>
      <c r="R172" s="38"/>
    </row>
    <row r="173" spans="1:18" ht="18.75">
      <c r="A173" s="230">
        <f t="shared" si="6"/>
        <v>92</v>
      </c>
      <c r="B173" s="232"/>
      <c r="C173" s="234" t="s">
        <v>132</v>
      </c>
      <c r="D173" s="2"/>
      <c r="E173" s="82" t="str">
        <f>"(Note "&amp;B$334&amp;")"</f>
        <v>(Note T)</v>
      </c>
      <c r="F173" s="234" t="s">
        <v>126</v>
      </c>
      <c r="G173" s="235"/>
      <c r="H173" s="236">
        <f>'Att 14 - Cost of Capital Detail'!C11</f>
        <v>33427806.975384615</v>
      </c>
      <c r="J173" s="237">
        <v>28336965.896153845</v>
      </c>
      <c r="K173" s="53">
        <f t="shared" si="7"/>
        <v>5090841.0792307705</v>
      </c>
      <c r="L173" s="56">
        <f t="shared" si="8"/>
        <v>0.17965371091199805</v>
      </c>
      <c r="M173" s="2"/>
      <c r="N173" s="237">
        <v>27702523.65615385</v>
      </c>
      <c r="O173" s="53">
        <f t="shared" si="9"/>
        <v>5725283.3192307651</v>
      </c>
      <c r="P173" s="56">
        <f t="shared" si="10"/>
        <v>0.20667009945712828</v>
      </c>
      <c r="Q173" s="26"/>
      <c r="R173" s="38"/>
    </row>
    <row r="174" spans="1:18" ht="18.75">
      <c r="A174" s="230">
        <f t="shared" si="6"/>
        <v>93</v>
      </c>
      <c r="B174" s="232"/>
      <c r="C174" s="234" t="s">
        <v>133</v>
      </c>
      <c r="D174" s="2"/>
      <c r="E174" s="82" t="str">
        <f>"(Note "&amp;B$334&amp;")"</f>
        <v>(Note T)</v>
      </c>
      <c r="F174" s="234" t="s">
        <v>126</v>
      </c>
      <c r="G174" s="235"/>
      <c r="H174" s="236">
        <f>'Att 14 - Cost of Capital Detail'!C12</f>
        <v>4262740.6469230773</v>
      </c>
      <c r="J174" s="237">
        <v>5459590.7430769242</v>
      </c>
      <c r="K174" s="53">
        <f t="shared" si="7"/>
        <v>-1196850.0961538469</v>
      </c>
      <c r="L174" s="56">
        <f t="shared" si="8"/>
        <v>-0.21921974603527231</v>
      </c>
      <c r="M174" s="2"/>
      <c r="N174" s="237">
        <v>4847332.2084615389</v>
      </c>
      <c r="O174" s="53">
        <f t="shared" si="9"/>
        <v>-584591.5615384616</v>
      </c>
      <c r="P174" s="56">
        <f t="shared" si="10"/>
        <v>-0.1206006802087949</v>
      </c>
      <c r="Q174" s="26"/>
      <c r="R174" s="38"/>
    </row>
    <row r="175" spans="1:18" ht="18.75">
      <c r="A175" s="230">
        <f t="shared" si="6"/>
        <v>94</v>
      </c>
      <c r="B175" s="232"/>
      <c r="C175" s="234" t="s">
        <v>134</v>
      </c>
      <c r="D175" s="2"/>
      <c r="E175" s="82" t="str">
        <f>"(Note "&amp;B$334&amp;")"</f>
        <v>(Note T)</v>
      </c>
      <c r="F175" s="234" t="s">
        <v>126</v>
      </c>
      <c r="G175" s="235"/>
      <c r="H175" s="236">
        <f>'Att 14 - Cost of Capital Detail'!C13</f>
        <v>30509.290000000005</v>
      </c>
      <c r="J175" s="237">
        <v>52560.979230769219</v>
      </c>
      <c r="K175" s="53">
        <f t="shared" si="7"/>
        <v>-22051.689230769214</v>
      </c>
      <c r="L175" s="56">
        <f t="shared" si="8"/>
        <v>-0.41954487061497031</v>
      </c>
      <c r="M175" s="2"/>
      <c r="N175" s="237">
        <v>41535.129999999997</v>
      </c>
      <c r="O175" s="53">
        <f t="shared" si="9"/>
        <v>-11025.839999999993</v>
      </c>
      <c r="P175" s="56">
        <f t="shared" si="10"/>
        <v>-0.26545817961807255</v>
      </c>
      <c r="Q175" s="26"/>
      <c r="R175" s="38"/>
    </row>
    <row r="176" spans="1:18" ht="18.75">
      <c r="A176" s="230">
        <f t="shared" si="6"/>
        <v>95</v>
      </c>
      <c r="B176" s="232"/>
      <c r="C176" s="234" t="s">
        <v>135</v>
      </c>
      <c r="D176" s="2"/>
      <c r="E176" s="82" t="str">
        <f>"(Note "&amp;B$334&amp;")"</f>
        <v>(Note T)</v>
      </c>
      <c r="F176" s="234" t="s">
        <v>126</v>
      </c>
      <c r="G176" s="235"/>
      <c r="H176" s="245">
        <f>'Att 14 - Cost of Capital Detail'!C14</f>
        <v>0</v>
      </c>
      <c r="J176" s="246">
        <v>0</v>
      </c>
      <c r="K176" s="53">
        <f t="shared" si="7"/>
        <v>0</v>
      </c>
      <c r="L176" s="56" t="str">
        <f t="shared" si="8"/>
        <v>n/m</v>
      </c>
      <c r="M176" s="2"/>
      <c r="N176" s="246">
        <v>0</v>
      </c>
      <c r="O176" s="53">
        <f t="shared" si="9"/>
        <v>0</v>
      </c>
      <c r="P176" s="56" t="str">
        <f t="shared" si="10"/>
        <v>n/m</v>
      </c>
      <c r="Q176" s="26"/>
      <c r="R176" s="38"/>
    </row>
    <row r="177" spans="1:18" ht="18.75">
      <c r="A177" s="230">
        <f t="shared" si="6"/>
        <v>96</v>
      </c>
      <c r="B177" s="232"/>
      <c r="C177" s="239" t="s">
        <v>136</v>
      </c>
      <c r="D177" s="87"/>
      <c r="E177" s="240"/>
      <c r="F177" s="241" t="str">
        <f>"Sum Lines "&amp;A170&amp;" through "&amp;A176</f>
        <v>Sum Lines 90 through 95</v>
      </c>
      <c r="G177" s="242"/>
      <c r="H177" s="243">
        <f>+H170-H172-H173-H174+H175+H176</f>
        <v>7400688462.6499996</v>
      </c>
      <c r="J177" s="243">
        <v>7001927823.8938465</v>
      </c>
      <c r="K177" s="67">
        <f t="shared" si="7"/>
        <v>398760638.75615311</v>
      </c>
      <c r="L177" s="68">
        <f t="shared" si="8"/>
        <v>5.6950121278799198E-2</v>
      </c>
      <c r="M177" s="2"/>
      <c r="N177" s="243">
        <v>6964971093.39923</v>
      </c>
      <c r="O177" s="67">
        <f t="shared" si="9"/>
        <v>435717369.25076962</v>
      </c>
      <c r="P177" s="68">
        <f t="shared" si="10"/>
        <v>6.2558388743881962E-2</v>
      </c>
      <c r="Q177" s="26"/>
      <c r="R177" s="38"/>
    </row>
    <row r="178" spans="1:18" ht="18.75">
      <c r="A178" s="230"/>
      <c r="B178" s="232"/>
      <c r="C178" s="244"/>
      <c r="D178" s="2"/>
      <c r="E178" s="234"/>
      <c r="F178" s="236"/>
      <c r="G178" s="235"/>
      <c r="H178" s="245"/>
      <c r="J178" s="245"/>
      <c r="K178" s="245"/>
      <c r="L178" s="245"/>
      <c r="M178" s="2"/>
      <c r="N178" s="245"/>
      <c r="O178" s="245"/>
      <c r="P178" s="245"/>
      <c r="Q178" s="26"/>
      <c r="R178" s="38"/>
    </row>
    <row r="179" spans="1:18" ht="15.75">
      <c r="A179" s="230"/>
      <c r="B179" s="231" t="s">
        <v>137</v>
      </c>
      <c r="C179" s="2"/>
      <c r="D179" s="2"/>
      <c r="E179" s="234"/>
      <c r="F179" s="234"/>
      <c r="G179" s="235"/>
      <c r="H179" s="235"/>
      <c r="J179" s="235"/>
      <c r="K179" s="235"/>
      <c r="L179" s="235"/>
      <c r="M179" s="2"/>
      <c r="N179" s="235"/>
      <c r="O179" s="235"/>
      <c r="P179" s="235"/>
      <c r="Q179" s="26"/>
      <c r="R179" s="38"/>
    </row>
    <row r="180" spans="1:18" ht="18.75">
      <c r="A180" s="230">
        <f>A177+1</f>
        <v>97</v>
      </c>
      <c r="B180" s="232"/>
      <c r="C180" s="236" t="s">
        <v>138</v>
      </c>
      <c r="D180" s="2"/>
      <c r="E180" s="82" t="str">
        <f>"(Notes "&amp;$B$328&amp;" &amp; "&amp;$B$334&amp;")"</f>
        <v>(Notes R &amp; T)</v>
      </c>
      <c r="F180" s="236" t="s">
        <v>126</v>
      </c>
      <c r="G180" s="235"/>
      <c r="H180" s="236">
        <f>'Att 14 - Cost of Capital Detail'!C15</f>
        <v>369853258.76000005</v>
      </c>
      <c r="J180" s="237">
        <v>360014410.24000001</v>
      </c>
      <c r="K180" s="53">
        <f t="shared" ref="K180:K186" si="11">$H180-J180</f>
        <v>9838848.5200000405</v>
      </c>
      <c r="L180" s="56">
        <f t="shared" ref="L180:L186" si="12">IF(J180=0,"n/m",K180/ABS(J180))</f>
        <v>2.7329040838784954E-2</v>
      </c>
      <c r="M180" s="2"/>
      <c r="N180" s="237">
        <v>358695454.88999993</v>
      </c>
      <c r="O180" s="53">
        <f t="shared" ref="O180:O186" si="13">$H180-N180</f>
        <v>11157803.870000124</v>
      </c>
      <c r="P180" s="56">
        <f t="shared" ref="P180:P186" si="14">IF(N180=0,"n/m",O180/ABS(N180))</f>
        <v>3.1106621837240327E-2</v>
      </c>
      <c r="Q180" s="26"/>
      <c r="R180" s="38"/>
    </row>
    <row r="181" spans="1:18" ht="18.75">
      <c r="A181" s="230">
        <f t="shared" ref="A181:A186" si="15">A180+1</f>
        <v>98</v>
      </c>
      <c r="B181" s="232"/>
      <c r="C181" s="236" t="s">
        <v>139</v>
      </c>
      <c r="D181" s="2"/>
      <c r="E181" s="82" t="str">
        <f>"(Note "&amp;$B$328&amp;")"</f>
        <v>(Note R)</v>
      </c>
      <c r="F181" s="234" t="s">
        <v>126</v>
      </c>
      <c r="G181" s="235"/>
      <c r="H181" s="245">
        <f>'Att 14 - Cost of Capital Detail'!C16</f>
        <v>0</v>
      </c>
      <c r="J181" s="246">
        <v>0</v>
      </c>
      <c r="K181" s="53">
        <f t="shared" si="11"/>
        <v>0</v>
      </c>
      <c r="L181" s="56" t="str">
        <f t="shared" si="12"/>
        <v>n/m</v>
      </c>
      <c r="M181" s="2"/>
      <c r="N181" s="246">
        <v>0</v>
      </c>
      <c r="O181" s="53">
        <f t="shared" si="13"/>
        <v>0</v>
      </c>
      <c r="P181" s="56" t="str">
        <f t="shared" si="14"/>
        <v>n/m</v>
      </c>
      <c r="Q181" s="26"/>
      <c r="R181" s="38"/>
    </row>
    <row r="182" spans="1:18" ht="18.75">
      <c r="A182" s="230">
        <f t="shared" si="15"/>
        <v>99</v>
      </c>
      <c r="B182" s="232"/>
      <c r="C182" s="234" t="s">
        <v>140</v>
      </c>
      <c r="D182" s="2"/>
      <c r="E182" s="82" t="str">
        <f>"(Note "&amp;B$334&amp;")"</f>
        <v>(Note T)</v>
      </c>
      <c r="F182" s="234" t="s">
        <v>126</v>
      </c>
      <c r="G182" s="235"/>
      <c r="H182" s="236">
        <f>'Att 14 - Cost of Capital Detail'!C17</f>
        <v>3892240.4400000004</v>
      </c>
      <c r="J182" s="237">
        <v>4121973.4400000004</v>
      </c>
      <c r="K182" s="53">
        <f t="shared" si="11"/>
        <v>-229733</v>
      </c>
      <c r="L182" s="56">
        <f t="shared" si="12"/>
        <v>-5.5733740972382387E-2</v>
      </c>
      <c r="M182" s="2"/>
      <c r="N182" s="237">
        <v>4027404.7699999996</v>
      </c>
      <c r="O182" s="53">
        <f t="shared" si="13"/>
        <v>-135164.32999999914</v>
      </c>
      <c r="P182" s="56">
        <f t="shared" si="14"/>
        <v>-3.356114861034918E-2</v>
      </c>
      <c r="Q182" s="26"/>
      <c r="R182" s="38"/>
    </row>
    <row r="183" spans="1:18" ht="18.75">
      <c r="A183" s="230">
        <f t="shared" si="15"/>
        <v>100</v>
      </c>
      <c r="B183" s="232"/>
      <c r="C183" s="234" t="s">
        <v>141</v>
      </c>
      <c r="D183" s="2"/>
      <c r="E183" s="82" t="str">
        <f>"(Note "&amp;B$334&amp;")"</f>
        <v>(Note T)</v>
      </c>
      <c r="F183" s="234" t="s">
        <v>126</v>
      </c>
      <c r="G183" s="235"/>
      <c r="H183" s="236">
        <f>'Att 14 - Cost of Capital Detail'!C18</f>
        <v>583694.85000000009</v>
      </c>
      <c r="J183" s="237">
        <v>639595.03000000014</v>
      </c>
      <c r="K183" s="53">
        <f t="shared" si="11"/>
        <v>-55900.180000000051</v>
      </c>
      <c r="L183" s="56">
        <f t="shared" si="12"/>
        <v>-8.7399334544547722E-2</v>
      </c>
      <c r="M183" s="2"/>
      <c r="N183" s="237">
        <v>584922.05000000005</v>
      </c>
      <c r="O183" s="53">
        <f t="shared" si="13"/>
        <v>-1227.1999999999534</v>
      </c>
      <c r="P183" s="56">
        <f t="shared" si="14"/>
        <v>-2.0980573394351492E-3</v>
      </c>
      <c r="Q183" s="26"/>
      <c r="R183" s="38"/>
    </row>
    <row r="184" spans="1:18" ht="18.75">
      <c r="A184" s="230">
        <f t="shared" si="15"/>
        <v>101</v>
      </c>
      <c r="B184" s="232"/>
      <c r="C184" s="234" t="s">
        <v>142</v>
      </c>
      <c r="D184" s="2"/>
      <c r="E184" s="82" t="str">
        <f>"(Note "&amp;B$334&amp;")"</f>
        <v>(Note T)</v>
      </c>
      <c r="F184" s="234" t="s">
        <v>126</v>
      </c>
      <c r="G184" s="235"/>
      <c r="H184" s="236">
        <f>'Att 14 - Cost of Capital Detail'!C19</f>
        <v>11025.839999999998</v>
      </c>
      <c r="J184" s="237">
        <v>11025.9</v>
      </c>
      <c r="K184" s="53">
        <f t="shared" si="11"/>
        <v>-6.0000000001309672E-2</v>
      </c>
      <c r="L184" s="56">
        <f t="shared" si="12"/>
        <v>-5.4417326477938015E-6</v>
      </c>
      <c r="M184" s="2"/>
      <c r="N184" s="237">
        <v>11025.839999999998</v>
      </c>
      <c r="O184" s="53">
        <f t="shared" si="13"/>
        <v>0</v>
      </c>
      <c r="P184" s="56">
        <f t="shared" si="14"/>
        <v>0</v>
      </c>
      <c r="Q184" s="26"/>
      <c r="R184" s="38"/>
    </row>
    <row r="185" spans="1:18" ht="18.75">
      <c r="A185" s="230">
        <f t="shared" si="15"/>
        <v>102</v>
      </c>
      <c r="B185" s="232"/>
      <c r="C185" s="234" t="s">
        <v>143</v>
      </c>
      <c r="D185" s="2"/>
      <c r="E185" s="82" t="str">
        <f>"(Note "&amp;B$334&amp;")"</f>
        <v>(Note T)</v>
      </c>
      <c r="F185" s="234" t="s">
        <v>126</v>
      </c>
      <c r="G185" s="235"/>
      <c r="H185" s="236">
        <f>'Att 14 - Cost of Capital Detail'!C20</f>
        <v>0</v>
      </c>
      <c r="J185" s="237">
        <v>0</v>
      </c>
      <c r="K185" s="53">
        <f t="shared" si="11"/>
        <v>0</v>
      </c>
      <c r="L185" s="56" t="str">
        <f t="shared" si="12"/>
        <v>n/m</v>
      </c>
      <c r="M185" s="2"/>
      <c r="N185" s="237">
        <v>0</v>
      </c>
      <c r="O185" s="53">
        <f t="shared" si="13"/>
        <v>0</v>
      </c>
      <c r="P185" s="56" t="str">
        <f t="shared" si="14"/>
        <v>n/m</v>
      </c>
      <c r="Q185" s="26"/>
      <c r="R185" s="38"/>
    </row>
    <row r="186" spans="1:18" ht="18.75">
      <c r="A186" s="230">
        <f t="shared" si="15"/>
        <v>103</v>
      </c>
      <c r="B186" s="232"/>
      <c r="C186" s="239" t="s">
        <v>144</v>
      </c>
      <c r="D186" s="87"/>
      <c r="E186" s="87"/>
      <c r="F186" s="241" t="str">
        <f>"Sum Lines "&amp;A180&amp;" through "&amp;A185</f>
        <v>Sum Lines 97 through 102</v>
      </c>
      <c r="G186" s="242"/>
      <c r="H186" s="243">
        <f>+H180-H181+H182+H183-H184-H185</f>
        <v>374318168.2100001</v>
      </c>
      <c r="J186" s="243">
        <v>364764952.81</v>
      </c>
      <c r="K186" s="67">
        <f t="shared" si="11"/>
        <v>9553215.4000000954</v>
      </c>
      <c r="L186" s="68">
        <f t="shared" si="12"/>
        <v>2.6190058355129876E-2</v>
      </c>
      <c r="M186" s="2"/>
      <c r="N186" s="243">
        <v>363296755.86999995</v>
      </c>
      <c r="O186" s="67">
        <f t="shared" si="13"/>
        <v>11021412.340000153</v>
      </c>
      <c r="P186" s="68">
        <f t="shared" si="14"/>
        <v>3.0337216509425679E-2</v>
      </c>
      <c r="Q186" s="26"/>
      <c r="R186" s="38"/>
    </row>
    <row r="187" spans="1:18" ht="18.75">
      <c r="A187" s="247"/>
      <c r="B187" s="232"/>
      <c r="C187" s="234"/>
      <c r="D187" s="2"/>
      <c r="E187" s="234"/>
      <c r="F187" s="236"/>
      <c r="G187" s="235"/>
      <c r="H187" s="235"/>
      <c r="J187" s="235"/>
      <c r="K187" s="235"/>
      <c r="L187" s="235"/>
      <c r="M187" s="2"/>
      <c r="N187" s="235"/>
      <c r="O187" s="235"/>
      <c r="P187" s="235"/>
      <c r="Q187" s="26"/>
      <c r="R187" s="38"/>
    </row>
    <row r="188" spans="1:18" ht="18.75">
      <c r="A188" s="230"/>
      <c r="B188" s="231" t="s">
        <v>145</v>
      </c>
      <c r="C188" s="2"/>
      <c r="D188" s="2"/>
      <c r="E188" s="232"/>
      <c r="F188" s="236"/>
      <c r="G188" s="235"/>
      <c r="H188" s="235"/>
      <c r="J188" s="235"/>
      <c r="K188" s="235"/>
      <c r="L188" s="235"/>
      <c r="M188" s="2"/>
      <c r="N188" s="235"/>
      <c r="O188" s="235"/>
      <c r="P188" s="235"/>
      <c r="Q188" s="26"/>
      <c r="R188" s="38"/>
    </row>
    <row r="189" spans="1:18" ht="18.75">
      <c r="A189" s="230">
        <f>+A186+1</f>
        <v>104</v>
      </c>
      <c r="B189" s="232"/>
      <c r="C189" s="234" t="s">
        <v>146</v>
      </c>
      <c r="D189" s="2"/>
      <c r="E189" s="234"/>
      <c r="F189" s="236" t="s">
        <v>126</v>
      </c>
      <c r="G189" s="235"/>
      <c r="H189" s="236">
        <f>'Att 14 - Cost of Capital Detail'!C21</f>
        <v>2397600</v>
      </c>
      <c r="J189" s="237">
        <v>2397600</v>
      </c>
      <c r="K189" s="53">
        <f t="shared" ref="K189:K195" si="16">$H189-J189</f>
        <v>0</v>
      </c>
      <c r="L189" s="56">
        <f t="shared" ref="L189:L195" si="17">IF(J189=0,"n/m",K189/ABS(J189))</f>
        <v>0</v>
      </c>
      <c r="M189" s="2"/>
      <c r="N189" s="237">
        <v>2397600</v>
      </c>
      <c r="O189" s="53">
        <f t="shared" ref="O189:O195" si="18">$H189-N189</f>
        <v>0</v>
      </c>
      <c r="P189" s="56">
        <f t="shared" ref="P189:P195" si="19">IF(N189=0,"n/m",O189/ABS(N189))</f>
        <v>0</v>
      </c>
      <c r="Q189" s="26"/>
      <c r="R189" s="38"/>
    </row>
    <row r="190" spans="1:18" ht="18.75">
      <c r="A190" s="230">
        <f t="shared" ref="A190:A203" si="20">+A189+1</f>
        <v>105</v>
      </c>
      <c r="B190" s="232"/>
      <c r="C190" s="234" t="s">
        <v>147</v>
      </c>
      <c r="D190" s="2"/>
      <c r="E190" s="234"/>
      <c r="F190" s="236" t="s">
        <v>126</v>
      </c>
      <c r="G190" s="235"/>
      <c r="H190" s="236">
        <f>'Att 14 - Cost of Capital Detail'!C22</f>
        <v>0</v>
      </c>
      <c r="J190" s="237">
        <v>0</v>
      </c>
      <c r="K190" s="53">
        <f t="shared" si="16"/>
        <v>0</v>
      </c>
      <c r="L190" s="56" t="str">
        <f t="shared" si="17"/>
        <v>n/m</v>
      </c>
      <c r="M190" s="2"/>
      <c r="N190" s="237">
        <v>0</v>
      </c>
      <c r="O190" s="53">
        <f t="shared" si="18"/>
        <v>0</v>
      </c>
      <c r="P190" s="56" t="str">
        <f t="shared" si="19"/>
        <v>n/m</v>
      </c>
      <c r="Q190" s="26"/>
      <c r="R190" s="38"/>
    </row>
    <row r="191" spans="1:18" ht="18.75">
      <c r="A191" s="230">
        <f t="shared" si="20"/>
        <v>106</v>
      </c>
      <c r="B191" s="232"/>
      <c r="C191" s="234" t="s">
        <v>148</v>
      </c>
      <c r="D191" s="2"/>
      <c r="E191" s="234"/>
      <c r="F191" s="236" t="s">
        <v>126</v>
      </c>
      <c r="G191" s="235"/>
      <c r="H191" s="236">
        <f>'Att 14 - Cost of Capital Detail'!C23</f>
        <v>0</v>
      </c>
      <c r="J191" s="237">
        <v>0</v>
      </c>
      <c r="K191" s="53">
        <f t="shared" si="16"/>
        <v>0</v>
      </c>
      <c r="L191" s="56" t="str">
        <f t="shared" si="17"/>
        <v>n/m</v>
      </c>
      <c r="M191" s="2"/>
      <c r="N191" s="237">
        <v>0</v>
      </c>
      <c r="O191" s="53">
        <f t="shared" si="18"/>
        <v>0</v>
      </c>
      <c r="P191" s="56" t="str">
        <f t="shared" si="19"/>
        <v>n/m</v>
      </c>
      <c r="Q191" s="26"/>
      <c r="R191" s="38"/>
    </row>
    <row r="192" spans="1:18" ht="18.75">
      <c r="A192" s="230">
        <f t="shared" si="20"/>
        <v>107</v>
      </c>
      <c r="B192" s="232"/>
      <c r="C192" s="234" t="s">
        <v>149</v>
      </c>
      <c r="D192" s="2"/>
      <c r="E192" s="234"/>
      <c r="F192" s="236" t="s">
        <v>126</v>
      </c>
      <c r="G192" s="235"/>
      <c r="H192" s="236">
        <f>'Att 14 - Cost of Capital Detail'!C24</f>
        <v>0</v>
      </c>
      <c r="J192" s="237">
        <v>0</v>
      </c>
      <c r="K192" s="53">
        <f t="shared" si="16"/>
        <v>0</v>
      </c>
      <c r="L192" s="56" t="str">
        <f t="shared" si="17"/>
        <v>n/m</v>
      </c>
      <c r="M192" s="2"/>
      <c r="N192" s="237">
        <v>0</v>
      </c>
      <c r="O192" s="53">
        <f t="shared" si="18"/>
        <v>0</v>
      </c>
      <c r="P192" s="56" t="str">
        <f t="shared" si="19"/>
        <v>n/m</v>
      </c>
      <c r="Q192" s="26"/>
      <c r="R192" s="38"/>
    </row>
    <row r="193" spans="1:18" ht="18.75">
      <c r="A193" s="230">
        <f t="shared" si="20"/>
        <v>108</v>
      </c>
      <c r="B193" s="232"/>
      <c r="C193" s="234" t="s">
        <v>150</v>
      </c>
      <c r="D193" s="2"/>
      <c r="E193" s="234"/>
      <c r="F193" s="236" t="s">
        <v>126</v>
      </c>
      <c r="G193" s="235"/>
      <c r="H193" s="236">
        <f>'Att 14 - Cost of Capital Detail'!C25</f>
        <v>0</v>
      </c>
      <c r="J193" s="237">
        <v>0</v>
      </c>
      <c r="K193" s="53">
        <f t="shared" si="16"/>
        <v>0</v>
      </c>
      <c r="L193" s="56" t="str">
        <f t="shared" si="17"/>
        <v>n/m</v>
      </c>
      <c r="M193" s="2"/>
      <c r="N193" s="237">
        <v>0</v>
      </c>
      <c r="O193" s="53">
        <f t="shared" si="18"/>
        <v>0</v>
      </c>
      <c r="P193" s="56" t="str">
        <f t="shared" si="19"/>
        <v>n/m</v>
      </c>
      <c r="Q193" s="26"/>
      <c r="R193" s="38"/>
    </row>
    <row r="194" spans="1:18" ht="18.75">
      <c r="A194" s="230">
        <f t="shared" si="20"/>
        <v>109</v>
      </c>
      <c r="B194" s="232"/>
      <c r="C194" s="234" t="s">
        <v>151</v>
      </c>
      <c r="D194" s="2"/>
      <c r="E194" s="234"/>
      <c r="F194" s="236" t="s">
        <v>126</v>
      </c>
      <c r="G194" s="235"/>
      <c r="H194" s="236">
        <f>'Att 14 - Cost of Capital Detail'!C26</f>
        <v>0</v>
      </c>
      <c r="J194" s="237">
        <v>0</v>
      </c>
      <c r="K194" s="53">
        <f t="shared" si="16"/>
        <v>0</v>
      </c>
      <c r="L194" s="56" t="str">
        <f t="shared" si="17"/>
        <v>n/m</v>
      </c>
      <c r="M194" s="2"/>
      <c r="N194" s="237">
        <v>0</v>
      </c>
      <c r="O194" s="53">
        <f t="shared" si="18"/>
        <v>0</v>
      </c>
      <c r="P194" s="56" t="str">
        <f t="shared" si="19"/>
        <v>n/m</v>
      </c>
      <c r="Q194" s="26"/>
      <c r="R194" s="38"/>
    </row>
    <row r="195" spans="1:18" ht="18.75">
      <c r="A195" s="230">
        <f t="shared" si="20"/>
        <v>110</v>
      </c>
      <c r="B195" s="232"/>
      <c r="C195" s="239" t="s">
        <v>152</v>
      </c>
      <c r="D195" s="87"/>
      <c r="E195" s="87"/>
      <c r="F195" s="241" t="str">
        <f>"Sum Lines "&amp;A189&amp;" through "&amp;A194</f>
        <v>Sum Lines 104 through 109</v>
      </c>
      <c r="G195" s="241"/>
      <c r="H195" s="243">
        <f>+H189-H190+H191+H192-H193-H194</f>
        <v>2397600</v>
      </c>
      <c r="J195" s="243">
        <v>2397600</v>
      </c>
      <c r="K195" s="67">
        <f t="shared" si="16"/>
        <v>0</v>
      </c>
      <c r="L195" s="68">
        <f t="shared" si="17"/>
        <v>0</v>
      </c>
      <c r="M195" s="2"/>
      <c r="N195" s="243">
        <v>2397600</v>
      </c>
      <c r="O195" s="67">
        <f t="shared" si="18"/>
        <v>0</v>
      </c>
      <c r="P195" s="68">
        <f t="shared" si="19"/>
        <v>0</v>
      </c>
      <c r="Q195" s="26"/>
      <c r="R195" s="38"/>
    </row>
    <row r="196" spans="1:18" ht="15.75">
      <c r="G196" s="21"/>
      <c r="H196" s="248"/>
      <c r="J196" s="248"/>
      <c r="K196" s="248"/>
      <c r="L196" s="248"/>
      <c r="N196" s="248"/>
      <c r="O196" s="248"/>
      <c r="P196" s="248"/>
      <c r="Q196" s="26"/>
      <c r="R196" s="38"/>
    </row>
    <row r="197" spans="1:18" ht="18.75">
      <c r="A197" s="230">
        <f>+A195+1</f>
        <v>111</v>
      </c>
      <c r="B197" s="232"/>
      <c r="C197" s="239" t="s">
        <v>153</v>
      </c>
      <c r="D197" s="87"/>
      <c r="E197" s="240"/>
      <c r="F197" s="241" t="s">
        <v>126</v>
      </c>
      <c r="G197" s="249" t="s">
        <v>154</v>
      </c>
      <c r="H197" s="243">
        <f>'Att 14 - Cost of Capital Detail'!C27</f>
        <v>161901.96</v>
      </c>
      <c r="J197" s="250">
        <v>161901.96</v>
      </c>
      <c r="K197" s="67">
        <f>$H197-J197</f>
        <v>0</v>
      </c>
      <c r="L197" s="68">
        <f>IF(J197=0,"n/m",K197/ABS(J197))</f>
        <v>0</v>
      </c>
      <c r="M197" s="2"/>
      <c r="N197" s="250">
        <v>161901.96</v>
      </c>
      <c r="O197" s="67">
        <f>$H197-N197</f>
        <v>0</v>
      </c>
      <c r="P197" s="68">
        <f>IF(N197=0,"n/m",O197/ABS(N197))</f>
        <v>0</v>
      </c>
      <c r="Q197" s="26"/>
      <c r="R197" s="38"/>
    </row>
    <row r="198" spans="1:18" ht="18.75">
      <c r="A198" s="247"/>
      <c r="B198" s="232"/>
      <c r="C198" s="234"/>
      <c r="D198" s="2"/>
      <c r="E198" s="234"/>
      <c r="F198" s="236"/>
      <c r="G198" s="235"/>
      <c r="H198" s="235"/>
      <c r="J198" s="235"/>
      <c r="K198" s="235"/>
      <c r="L198" s="235"/>
      <c r="M198" s="2"/>
      <c r="N198" s="235"/>
      <c r="O198" s="235"/>
      <c r="P198" s="235"/>
      <c r="Q198" s="26"/>
      <c r="R198" s="38"/>
    </row>
    <row r="199" spans="1:18" ht="18.75">
      <c r="A199" s="230"/>
      <c r="B199" s="231" t="s">
        <v>155</v>
      </c>
      <c r="C199" s="2"/>
      <c r="D199" s="2"/>
      <c r="E199" s="232"/>
      <c r="F199" s="236"/>
      <c r="G199" s="235"/>
      <c r="H199" s="235"/>
      <c r="J199" s="235"/>
      <c r="K199" s="235"/>
      <c r="L199" s="235"/>
      <c r="M199" s="2"/>
      <c r="N199" s="235"/>
      <c r="O199" s="235"/>
      <c r="P199" s="235"/>
      <c r="Q199" s="26"/>
      <c r="R199" s="38"/>
    </row>
    <row r="200" spans="1:18" ht="18.75">
      <c r="A200" s="230">
        <f>+A197+1</f>
        <v>112</v>
      </c>
      <c r="B200" s="232"/>
      <c r="C200" s="234" t="s">
        <v>156</v>
      </c>
      <c r="D200" s="2"/>
      <c r="E200" s="234"/>
      <c r="F200" s="236" t="s">
        <v>126</v>
      </c>
      <c r="G200" s="235"/>
      <c r="H200" s="251">
        <f>'Att 14 - Cost of Capital Detail'!$C$28</f>
        <v>8083782146.4438457</v>
      </c>
      <c r="J200" s="237">
        <v>7497597603.7146158</v>
      </c>
      <c r="K200" s="53">
        <f>$H200-J200</f>
        <v>586184542.72922993</v>
      </c>
      <c r="L200" s="56">
        <f>IF(J200=0,"n/m",K200/ABS(J200))</f>
        <v>7.8182982564816525E-2</v>
      </c>
      <c r="M200" s="2"/>
      <c r="N200" s="237">
        <v>7620310433.945384</v>
      </c>
      <c r="O200" s="53">
        <f>$H200-N200</f>
        <v>463471712.49846172</v>
      </c>
      <c r="P200" s="56">
        <f>IF(N200=0,"n/m",O200/ABS(N200))</f>
        <v>6.0820581591254301E-2</v>
      </c>
      <c r="Q200" s="26"/>
      <c r="R200" s="38"/>
    </row>
    <row r="201" spans="1:18" ht="18.75">
      <c r="A201" s="230">
        <f t="shared" si="20"/>
        <v>113</v>
      </c>
      <c r="B201" s="232"/>
      <c r="C201" s="234" t="s">
        <v>157</v>
      </c>
      <c r="D201" s="2"/>
      <c r="E201" s="2"/>
      <c r="F201" s="40" t="str">
        <f>"(Line "&amp;A195&amp;")"</f>
        <v>(Line 110)</v>
      </c>
      <c r="G201" s="235"/>
      <c r="H201" s="236">
        <f>H195</f>
        <v>2397600</v>
      </c>
      <c r="J201" s="236">
        <v>2397600</v>
      </c>
      <c r="K201" s="53">
        <f>$H201-J201</f>
        <v>0</v>
      </c>
      <c r="L201" s="56">
        <f>IF(J201=0,"n/m",K201/ABS(J201))</f>
        <v>0</v>
      </c>
      <c r="M201" s="2"/>
      <c r="N201" s="236">
        <v>2397600</v>
      </c>
      <c r="O201" s="53">
        <f>$H201-N201</f>
        <v>0</v>
      </c>
      <c r="P201" s="56">
        <f>IF(N201=0,"n/m",O201/ABS(N201))</f>
        <v>0</v>
      </c>
      <c r="Q201" s="26"/>
      <c r="R201" s="38"/>
    </row>
    <row r="202" spans="1:18" ht="18.75">
      <c r="A202" s="230">
        <f t="shared" si="20"/>
        <v>114</v>
      </c>
      <c r="B202" s="232"/>
      <c r="C202" s="234" t="s">
        <v>158</v>
      </c>
      <c r="D202" s="2"/>
      <c r="E202" s="2"/>
      <c r="F202" s="236" t="s">
        <v>126</v>
      </c>
      <c r="G202" s="235"/>
      <c r="H202" s="236">
        <f>'Att 14 - Cost of Capital Detail'!C29</f>
        <v>117471233.69769232</v>
      </c>
      <c r="J202" s="237">
        <v>116833918.79538462</v>
      </c>
      <c r="K202" s="53">
        <f>$H202-J202</f>
        <v>637314.90230770409</v>
      </c>
      <c r="L202" s="56">
        <f>IF(J202=0,"n/m",K202/ABS(J202))</f>
        <v>5.4548791042766977E-3</v>
      </c>
      <c r="M202" s="2"/>
      <c r="N202" s="237">
        <v>101567259.6446154</v>
      </c>
      <c r="O202" s="53">
        <f>$H202-N202</f>
        <v>15903974.053076923</v>
      </c>
      <c r="P202" s="56">
        <f>IF(N202=0,"n/m",O202/ABS(N202))</f>
        <v>0.15658563703229808</v>
      </c>
      <c r="Q202" s="26"/>
      <c r="R202" s="38"/>
    </row>
    <row r="203" spans="1:18" ht="18.75">
      <c r="A203" s="230">
        <f t="shared" si="20"/>
        <v>115</v>
      </c>
      <c r="B203" s="232"/>
      <c r="C203" s="234" t="s">
        <v>159</v>
      </c>
      <c r="D203" s="2"/>
      <c r="E203" s="2"/>
      <c r="F203" s="236" t="s">
        <v>126</v>
      </c>
      <c r="G203" s="252"/>
      <c r="H203" s="245">
        <f>'Att 14 - Cost of Capital Detail'!C30</f>
        <v>-12642902.668461539</v>
      </c>
      <c r="J203" s="246">
        <v>-12567850.549230771</v>
      </c>
      <c r="K203" s="53">
        <f>$H203-J203</f>
        <v>-75052.119230767712</v>
      </c>
      <c r="L203" s="56">
        <f>IF(J203=0,"n/m",K203/ABS(J203))</f>
        <v>-5.9717545921455402E-3</v>
      </c>
      <c r="M203" s="2"/>
      <c r="N203" s="246">
        <v>-14769238.906153845</v>
      </c>
      <c r="O203" s="53">
        <f>$H203-N203</f>
        <v>2126336.2376923058</v>
      </c>
      <c r="P203" s="56">
        <f>IF(N203=0,"n/m",O203/ABS(N203))</f>
        <v>0.14397060344161222</v>
      </c>
      <c r="Q203" s="26"/>
      <c r="R203" s="38"/>
    </row>
    <row r="204" spans="1:18" ht="18.75">
      <c r="A204" s="230">
        <f>A203+1</f>
        <v>116</v>
      </c>
      <c r="B204" s="232"/>
      <c r="C204" s="239" t="s">
        <v>160</v>
      </c>
      <c r="D204" s="87"/>
      <c r="E204" s="87"/>
      <c r="F204" s="241" t="str">
        <f>"Sum Lines "&amp;A200&amp;" through "&amp;A203</f>
        <v>Sum Lines 112 through 115</v>
      </c>
      <c r="G204" s="241"/>
      <c r="H204" s="243">
        <f>H200-H201-H202-H203</f>
        <v>7976556215.4146156</v>
      </c>
      <c r="J204" s="243">
        <v>7390933935.468462</v>
      </c>
      <c r="K204" s="67">
        <f>$H204-J204</f>
        <v>585622279.94615364</v>
      </c>
      <c r="L204" s="68">
        <f>IF(J204=0,"n/m",K204/ABS(J204))</f>
        <v>7.9235220482191324E-2</v>
      </c>
      <c r="M204" s="2"/>
      <c r="N204" s="243">
        <v>7531114813.2069225</v>
      </c>
      <c r="O204" s="67">
        <f>$H204-N204</f>
        <v>445441402.2076931</v>
      </c>
      <c r="P204" s="68">
        <f>IF(N204=0,"n/m",O204/ABS(N204))</f>
        <v>5.9146808043152629E-2</v>
      </c>
      <c r="Q204" s="26"/>
      <c r="R204" s="38"/>
    </row>
    <row r="205" spans="1:18" ht="16.5" thickBot="1">
      <c r="A205" s="71"/>
      <c r="B205" s="253"/>
      <c r="C205" s="253"/>
      <c r="D205" s="254"/>
      <c r="E205" s="255"/>
      <c r="F205" s="256"/>
      <c r="G205" s="257"/>
      <c r="H205" s="258"/>
      <c r="J205" s="258"/>
      <c r="K205" s="259"/>
      <c r="L205" s="259"/>
      <c r="M205" s="2"/>
      <c r="N205" s="258"/>
      <c r="O205" s="259"/>
      <c r="P205" s="259"/>
      <c r="Q205" s="26"/>
      <c r="R205" s="38"/>
    </row>
    <row r="206" spans="1:18" ht="15.75">
      <c r="A206" s="71"/>
      <c r="B206" s="50"/>
      <c r="C206" s="69"/>
      <c r="D206" s="46"/>
      <c r="E206" s="57"/>
      <c r="F206" s="37"/>
      <c r="G206" s="49"/>
      <c r="H206" s="80"/>
      <c r="J206" s="80"/>
      <c r="K206" s="80"/>
      <c r="L206" s="80"/>
      <c r="M206" s="2"/>
      <c r="N206" s="80"/>
      <c r="O206" s="80"/>
      <c r="P206" s="80"/>
      <c r="Q206" s="26"/>
      <c r="R206" s="38"/>
    </row>
    <row r="207" spans="1:18" ht="15.75">
      <c r="A207" s="71">
        <f>+A204+1</f>
        <v>117</v>
      </c>
      <c r="B207" s="50"/>
      <c r="C207" s="260" t="s">
        <v>161</v>
      </c>
      <c r="D207" s="115" t="s">
        <v>162</v>
      </c>
      <c r="E207" s="82" t="str">
        <f>"(Notes "&amp;B327&amp;" &amp; "&amp;B328&amp;")"</f>
        <v>(Notes Q &amp; R)</v>
      </c>
      <c r="F207" s="107" t="str">
        <f>"(Line "&amp;A170&amp;" / (Lines "&amp;A$170&amp;" + "&amp;A$195&amp;" +"&amp;A$204&amp;"))"</f>
        <v>(Line 90 / (Lines 90 + 110 +116))</v>
      </c>
      <c r="G207" s="48"/>
      <c r="H207" s="261">
        <f>+H170/(H170+H195+H204)</f>
        <v>0.48290629011506481</v>
      </c>
      <c r="J207" s="261">
        <v>0.48799562634614152</v>
      </c>
      <c r="K207" s="262">
        <f>$H207-J207</f>
        <v>-5.0893362310767132E-3</v>
      </c>
      <c r="L207" s="261"/>
      <c r="M207" s="2"/>
      <c r="N207" s="261">
        <v>0.48193273750633131</v>
      </c>
      <c r="O207" s="262">
        <f>$H207-N207</f>
        <v>9.7355260873349669E-4</v>
      </c>
      <c r="P207" s="261"/>
      <c r="Q207" s="26"/>
      <c r="R207" s="38"/>
    </row>
    <row r="208" spans="1:18" ht="15.75">
      <c r="A208" s="71">
        <f>+A207+1</f>
        <v>118</v>
      </c>
      <c r="B208" s="50"/>
      <c r="C208" s="260" t="s">
        <v>163</v>
      </c>
      <c r="D208" s="69" t="s">
        <v>164</v>
      </c>
      <c r="E208" s="82"/>
      <c r="F208" s="107" t="str">
        <f>"(Line "&amp;A195&amp;" / (Lines "&amp;A$170&amp;" + "&amp;A$195&amp;" +"&amp;A$204&amp;"))"</f>
        <v>(Line 110 / (Lines 90 + 110 +116))</v>
      </c>
      <c r="G208" s="48"/>
      <c r="H208" s="261">
        <f>H195/(H170+H195+H204)</f>
        <v>1.5538175900015492E-4</v>
      </c>
      <c r="J208" s="261">
        <v>1.6603904212645433E-4</v>
      </c>
      <c r="K208" s="262">
        <f>$H208-J208</f>
        <v>-1.0657283126299413E-5</v>
      </c>
      <c r="L208" s="261"/>
      <c r="M208" s="2"/>
      <c r="N208" s="261">
        <v>1.6487901000564832E-4</v>
      </c>
      <c r="O208" s="262">
        <f>$H208-N208</f>
        <v>-9.4972510054934023E-6</v>
      </c>
      <c r="P208" s="261"/>
      <c r="Q208" s="26"/>
      <c r="R208" s="38"/>
    </row>
    <row r="209" spans="1:18" ht="15.75">
      <c r="A209" s="71">
        <f>+A208+1</f>
        <v>119</v>
      </c>
      <c r="B209" s="50"/>
      <c r="C209" s="260" t="s">
        <v>165</v>
      </c>
      <c r="D209" s="69" t="s">
        <v>155</v>
      </c>
      <c r="E209" s="82" t="str">
        <f>+E207</f>
        <v>(Notes Q &amp; R)</v>
      </c>
      <c r="F209" s="107" t="str">
        <f>"(Line "&amp;A204&amp;" / (Lines "&amp;A$170&amp;" + "&amp;A$195&amp;" +"&amp;A$204&amp;"))"</f>
        <v>(Line 116 / (Lines 90 + 110 +116))</v>
      </c>
      <c r="G209" s="48"/>
      <c r="H209" s="261">
        <f>H204/(H170+H195+H204)</f>
        <v>0.51693832812593499</v>
      </c>
      <c r="J209" s="261">
        <v>0.51183833461173212</v>
      </c>
      <c r="K209" s="262">
        <f>$H209-J209</f>
        <v>5.0999935142028718E-3</v>
      </c>
      <c r="L209" s="261"/>
      <c r="M209" s="2"/>
      <c r="N209" s="261">
        <v>0.51790238348366302</v>
      </c>
      <c r="O209" s="262">
        <f>$H209-N209</f>
        <v>-9.6405535772803308E-4</v>
      </c>
      <c r="P209" s="261"/>
      <c r="Q209" s="26"/>
      <c r="R209" s="38"/>
    </row>
    <row r="210" spans="1:18" ht="15.75">
      <c r="A210" s="71"/>
      <c r="B210" s="263"/>
      <c r="C210" s="264"/>
      <c r="D210" s="104"/>
      <c r="E210" s="117"/>
      <c r="F210" s="88"/>
      <c r="G210" s="88"/>
      <c r="H210" s="265"/>
      <c r="J210" s="265"/>
      <c r="K210" s="266"/>
      <c r="L210" s="266"/>
      <c r="M210" s="2"/>
      <c r="N210" s="265"/>
      <c r="O210" s="266"/>
      <c r="P210" s="266"/>
      <c r="Q210" s="26"/>
      <c r="R210" s="38"/>
    </row>
    <row r="211" spans="1:18" ht="15.75">
      <c r="A211" s="71"/>
      <c r="B211" s="263"/>
      <c r="C211" s="267"/>
      <c r="D211" s="150"/>
      <c r="E211" s="144"/>
      <c r="F211" s="107"/>
      <c r="G211" s="107"/>
      <c r="H211" s="266"/>
      <c r="J211" s="266"/>
      <c r="K211" s="266"/>
      <c r="L211" s="266"/>
      <c r="M211" s="2"/>
      <c r="N211" s="266"/>
      <c r="O211" s="266"/>
      <c r="P211" s="266"/>
      <c r="Q211" s="26"/>
      <c r="R211" s="38"/>
    </row>
    <row r="212" spans="1:18" ht="60.75">
      <c r="A212" s="71">
        <f>+A209+1</f>
        <v>120</v>
      </c>
      <c r="B212" s="50"/>
      <c r="C212" s="268" t="s">
        <v>166</v>
      </c>
      <c r="D212" s="269" t="s">
        <v>167</v>
      </c>
      <c r="E212" s="52"/>
      <c r="F212" s="107" t="str">
        <f>"(Line "&amp;A186&amp;" / Line "&amp;A177&amp;")"</f>
        <v>(Line 103 / Line 96)</v>
      </c>
      <c r="G212" s="48"/>
      <c r="H212" s="270">
        <f>H186/H177</f>
        <v>5.0578830618140384E-2</v>
      </c>
      <c r="J212" s="270">
        <v>5.2094931850804244E-2</v>
      </c>
      <c r="K212" s="262">
        <f>$H212-J212</f>
        <v>-1.5161012326638593E-3</v>
      </c>
      <c r="L212" s="270"/>
      <c r="M212" s="2"/>
      <c r="N212" s="270">
        <v>5.2160554724239958E-2</v>
      </c>
      <c r="O212" s="262">
        <f>$H212-N212</f>
        <v>-1.5817241060995732E-3</v>
      </c>
      <c r="P212" s="270"/>
      <c r="Q212" s="26"/>
      <c r="R212" s="38"/>
    </row>
    <row r="213" spans="1:18" ht="45.75">
      <c r="A213" s="71">
        <f>+A212+1</f>
        <v>121</v>
      </c>
      <c r="B213" s="50"/>
      <c r="C213" s="268" t="s">
        <v>168</v>
      </c>
      <c r="D213" s="271" t="s">
        <v>169</v>
      </c>
      <c r="E213" s="52"/>
      <c r="F213" s="107" t="str">
        <f>"(Line "&amp;A197&amp;" / Line "&amp;A195&amp;")"</f>
        <v>(Line 111 / Line 110)</v>
      </c>
      <c r="G213" s="48"/>
      <c r="H213" s="270">
        <f>H197/H195</f>
        <v>6.7526676676676667E-2</v>
      </c>
      <c r="J213" s="270">
        <v>6.7526676676676667E-2</v>
      </c>
      <c r="K213" s="262">
        <f>$H213-J213</f>
        <v>0</v>
      </c>
      <c r="L213" s="270"/>
      <c r="M213" s="2"/>
      <c r="N213" s="270">
        <v>6.7526676676676667E-2</v>
      </c>
      <c r="O213" s="262">
        <f>$H213-N213</f>
        <v>0</v>
      </c>
      <c r="P213" s="270"/>
      <c r="Q213" s="26"/>
      <c r="R213" s="38"/>
    </row>
    <row r="214" spans="1:18" ht="15.75">
      <c r="A214" s="71">
        <f>+A213+1</f>
        <v>122</v>
      </c>
      <c r="B214" s="50"/>
      <c r="C214" s="268" t="s">
        <v>170</v>
      </c>
      <c r="D214" s="69" t="s">
        <v>155</v>
      </c>
      <c r="E214" s="82" t="str">
        <f>"(Note "&amp;B313&amp;")"</f>
        <v>(Note H)</v>
      </c>
      <c r="F214" s="48" t="s">
        <v>171</v>
      </c>
      <c r="G214" s="48"/>
      <c r="H214" s="272">
        <f>Inputs!$E$7</f>
        <v>9.8000000000000004E-2</v>
      </c>
      <c r="J214" s="272">
        <v>9.8000000000000004E-2</v>
      </c>
      <c r="K214" s="273"/>
      <c r="L214" s="273"/>
      <c r="M214" s="2"/>
      <c r="N214" s="272">
        <v>9.8000000000000004E-2</v>
      </c>
      <c r="O214" s="273"/>
      <c r="P214" s="273"/>
      <c r="Q214" s="26"/>
      <c r="R214" s="38"/>
    </row>
    <row r="215" spans="1:18" ht="15.75">
      <c r="A215" s="71"/>
      <c r="B215" s="263"/>
      <c r="C215" s="264"/>
      <c r="D215" s="274"/>
      <c r="E215" s="102"/>
      <c r="F215" s="88"/>
      <c r="G215" s="88"/>
      <c r="H215" s="275"/>
      <c r="J215" s="275"/>
      <c r="K215" s="276"/>
      <c r="L215" s="276"/>
      <c r="M215" s="2"/>
      <c r="N215" s="275"/>
      <c r="O215" s="276"/>
      <c r="P215" s="276"/>
      <c r="Q215" s="26"/>
      <c r="R215" s="38"/>
    </row>
    <row r="216" spans="1:18" ht="15.75">
      <c r="A216" s="71"/>
      <c r="B216" s="263"/>
      <c r="C216" s="267"/>
      <c r="D216" s="150"/>
      <c r="E216" s="144"/>
      <c r="F216" s="107"/>
      <c r="G216" s="107"/>
      <c r="H216" s="277"/>
      <c r="J216" s="277"/>
      <c r="K216" s="277"/>
      <c r="L216" s="277"/>
      <c r="M216" s="2"/>
      <c r="N216" s="277"/>
      <c r="O216" s="277"/>
      <c r="P216" s="277"/>
      <c r="Q216" s="26"/>
      <c r="R216" s="38"/>
    </row>
    <row r="217" spans="1:18" ht="15.75">
      <c r="A217" s="71">
        <f>+A214+1</f>
        <v>123</v>
      </c>
      <c r="B217" s="50"/>
      <c r="C217" s="260" t="s">
        <v>172</v>
      </c>
      <c r="D217" s="115" t="s">
        <v>173</v>
      </c>
      <c r="E217" s="57"/>
      <c r="F217" s="107" t="str">
        <f>"(Line "&amp;A207&amp;" * Line "&amp;A212&amp;")"</f>
        <v>(Line 117 * Line 120)</v>
      </c>
      <c r="G217" s="278"/>
      <c r="H217" s="270">
        <f>H207*H212</f>
        <v>2.4424835452164423E-2</v>
      </c>
      <c r="J217" s="270">
        <v>2.5422098897992775E-2</v>
      </c>
      <c r="K217" s="270"/>
      <c r="L217" s="270"/>
      <c r="M217" s="2"/>
      <c r="N217" s="270">
        <v>2.5137878928101764E-2</v>
      </c>
      <c r="O217" s="270"/>
      <c r="P217" s="270"/>
      <c r="Q217" s="26"/>
      <c r="R217" s="38"/>
    </row>
    <row r="218" spans="1:18" ht="15.75">
      <c r="A218" s="71">
        <f>+A217+1</f>
        <v>124</v>
      </c>
      <c r="B218" s="50"/>
      <c r="C218" s="260" t="s">
        <v>174</v>
      </c>
      <c r="D218" s="69" t="s">
        <v>164</v>
      </c>
      <c r="E218" s="57"/>
      <c r="F218" s="107" t="str">
        <f>"(Line "&amp;A208&amp;" * Line "&amp;A213&amp;")"</f>
        <v>(Line 118 * Line 121)</v>
      </c>
      <c r="G218" s="215"/>
      <c r="H218" s="270">
        <f>H208*H213</f>
        <v>1.0492413801456756E-5</v>
      </c>
      <c r="J218" s="270">
        <v>1.1212064713378177E-5</v>
      </c>
      <c r="K218" s="270"/>
      <c r="L218" s="270"/>
      <c r="M218" s="2"/>
      <c r="N218" s="270">
        <v>1.1133731599421952E-5</v>
      </c>
      <c r="O218" s="270"/>
      <c r="P218" s="270"/>
      <c r="Q218" s="26"/>
      <c r="R218" s="38"/>
    </row>
    <row r="219" spans="1:18" ht="15.75">
      <c r="A219" s="71">
        <f>+A218+1</f>
        <v>125</v>
      </c>
      <c r="B219" s="50"/>
      <c r="C219" s="279" t="s">
        <v>175</v>
      </c>
      <c r="D219" s="274" t="s">
        <v>155</v>
      </c>
      <c r="E219" s="280"/>
      <c r="F219" s="88" t="str">
        <f>"(Line "&amp;A209&amp;" * Line "&amp;A214&amp;")"</f>
        <v>(Line 119 * Line 122)</v>
      </c>
      <c r="G219" s="281"/>
      <c r="H219" s="275">
        <f>H209*H214</f>
        <v>5.0659956156341633E-2</v>
      </c>
      <c r="J219" s="275">
        <v>5.0160156791949746E-2</v>
      </c>
      <c r="K219" s="276"/>
      <c r="L219" s="276"/>
      <c r="M219" s="2"/>
      <c r="N219" s="275">
        <v>5.0754433581398979E-2</v>
      </c>
      <c r="O219" s="276"/>
      <c r="P219" s="276"/>
      <c r="Q219" s="26"/>
      <c r="R219" s="38"/>
    </row>
    <row r="220" spans="1:18" ht="15.75">
      <c r="A220" s="50">
        <f>+A219+1</f>
        <v>126</v>
      </c>
      <c r="B220" s="50"/>
      <c r="C220" s="282" t="s">
        <v>176</v>
      </c>
      <c r="D220" s="283"/>
      <c r="E220" s="189"/>
      <c r="F220" s="107" t="str">
        <f>"(Sum Lines "&amp;A217&amp;" to "&amp;A219&amp;")"</f>
        <v>(Sum Lines 123 to 125)</v>
      </c>
      <c r="G220" s="284"/>
      <c r="H220" s="285">
        <f>SUM(H217:H219)</f>
        <v>7.5095284022307515E-2</v>
      </c>
      <c r="J220" s="286">
        <v>7.5593467754655891E-2</v>
      </c>
      <c r="K220" s="287">
        <f>$H220-J220</f>
        <v>-4.9818373234837565E-4</v>
      </c>
      <c r="L220" s="286"/>
      <c r="M220" s="2"/>
      <c r="N220" s="286">
        <v>7.5903446241100167E-2</v>
      </c>
      <c r="O220" s="287">
        <f>$H220-N220</f>
        <v>-8.0816221879265182E-4</v>
      </c>
      <c r="P220" s="286"/>
      <c r="Q220" s="26"/>
      <c r="R220" s="38"/>
    </row>
    <row r="221" spans="1:18" ht="15.75">
      <c r="A221" s="288"/>
      <c r="B221" s="288"/>
      <c r="C221" s="289"/>
      <c r="D221" s="283"/>
      <c r="E221" s="189"/>
      <c r="F221" s="259"/>
      <c r="G221" s="284"/>
      <c r="H221" s="290"/>
      <c r="J221" s="290"/>
      <c r="K221" s="290"/>
      <c r="L221" s="290"/>
      <c r="M221" s="2"/>
      <c r="N221" s="290"/>
      <c r="O221" s="290"/>
      <c r="P221" s="290"/>
      <c r="Q221" s="26"/>
      <c r="R221" s="38"/>
    </row>
    <row r="222" spans="1:18" ht="16.5" thickBot="1">
      <c r="A222" s="50">
        <f>+A220+1</f>
        <v>127</v>
      </c>
      <c r="B222" s="291" t="s">
        <v>177</v>
      </c>
      <c r="C222" s="92"/>
      <c r="D222" s="222"/>
      <c r="E222" s="292"/>
      <c r="F222" s="75" t="str">
        <f>"(Line "&amp;A107&amp;" * Line "&amp;A220&amp;")"</f>
        <v>(Line 52 * Line 126)</v>
      </c>
      <c r="G222" s="293"/>
      <c r="H222" s="294">
        <f>H107*H220</f>
        <v>264726683.33644152</v>
      </c>
      <c r="J222" s="294">
        <v>268785065.47288877</v>
      </c>
      <c r="K222" s="126">
        <f>$H222-J222</f>
        <v>-4058382.1364472508</v>
      </c>
      <c r="L222" s="79">
        <f>IF(J222=0,"n/m",K222/ABS(J222))</f>
        <v>-1.5098986728697555E-2</v>
      </c>
      <c r="M222" s="2"/>
      <c r="N222" s="294">
        <v>274475500.39367157</v>
      </c>
      <c r="O222" s="126">
        <f>$H222-N222</f>
        <v>-9748817.0572300553</v>
      </c>
      <c r="P222" s="79">
        <f>IF(N222=0,"n/m",O222/ABS(N222))</f>
        <v>-3.5517986280187611E-2</v>
      </c>
      <c r="Q222" s="295"/>
      <c r="R222" s="38"/>
    </row>
    <row r="223" spans="1:18" ht="16.5" thickTop="1">
      <c r="A223" s="50"/>
      <c r="B223" s="50"/>
      <c r="C223" s="69"/>
      <c r="D223" s="46"/>
      <c r="E223" s="57"/>
      <c r="F223" s="49"/>
      <c r="G223" s="49"/>
      <c r="H223" s="296"/>
      <c r="J223" s="296"/>
      <c r="K223" s="296"/>
      <c r="L223" s="296"/>
      <c r="M223" s="2"/>
      <c r="N223" s="296"/>
      <c r="O223" s="296"/>
      <c r="P223" s="296"/>
      <c r="Q223" s="295"/>
      <c r="R223" s="38"/>
    </row>
    <row r="224" spans="1:18" ht="15.75">
      <c r="A224" s="196" t="s">
        <v>178</v>
      </c>
      <c r="B224" s="197"/>
      <c r="C224" s="198"/>
      <c r="D224" s="199"/>
      <c r="E224" s="227"/>
      <c r="F224" s="137"/>
      <c r="G224" s="137"/>
      <c r="H224" s="97"/>
      <c r="J224" s="97">
        <v>0</v>
      </c>
      <c r="K224" s="97"/>
      <c r="L224" s="97"/>
      <c r="M224" s="2"/>
      <c r="N224" s="97">
        <v>0</v>
      </c>
      <c r="O224" s="97"/>
      <c r="P224" s="97"/>
      <c r="Q224" s="26"/>
      <c r="R224" s="38"/>
    </row>
    <row r="225" spans="1:18" ht="15.75">
      <c r="A225" s="154"/>
      <c r="B225" s="50"/>
      <c r="C225" s="45"/>
      <c r="D225" s="70"/>
      <c r="E225" s="47"/>
      <c r="F225" s="46"/>
      <c r="G225" s="46"/>
      <c r="H225" s="285"/>
      <c r="J225" s="285"/>
      <c r="K225" s="285"/>
      <c r="L225" s="285"/>
      <c r="M225" s="2"/>
      <c r="N225" s="285"/>
      <c r="O225" s="285"/>
      <c r="P225" s="285"/>
      <c r="Q225" s="26"/>
      <c r="R225" s="38"/>
    </row>
    <row r="226" spans="1:18" ht="15.75">
      <c r="A226" s="50" t="s">
        <v>179</v>
      </c>
      <c r="B226" s="297" t="s">
        <v>180</v>
      </c>
      <c r="C226" s="46"/>
      <c r="D226" s="46"/>
      <c r="E226" s="47"/>
      <c r="F226" s="49"/>
      <c r="G226" s="298"/>
      <c r="H226" s="70"/>
      <c r="J226" s="70"/>
      <c r="K226" s="70"/>
      <c r="L226" s="70"/>
      <c r="M226" s="2"/>
      <c r="N226" s="70"/>
      <c r="O226" s="70"/>
      <c r="P226" s="70"/>
      <c r="Q226" s="26"/>
      <c r="R226" s="38"/>
    </row>
    <row r="227" spans="1:18" ht="15.75">
      <c r="A227" s="50">
        <f>+A222+1</f>
        <v>128</v>
      </c>
      <c r="B227" s="50"/>
      <c r="C227" s="46" t="s">
        <v>181</v>
      </c>
      <c r="D227" s="46"/>
      <c r="E227" s="82" t="str">
        <f>"(Note "&amp;B$309&amp;")"</f>
        <v>(Note G)</v>
      </c>
      <c r="F227" s="46"/>
      <c r="G227" s="299"/>
      <c r="H227" s="300">
        <f>Inputs!E91</f>
        <v>0.21</v>
      </c>
      <c r="J227" s="301">
        <v>0.21</v>
      </c>
      <c r="K227" s="262">
        <f>$H227-J227</f>
        <v>0</v>
      </c>
      <c r="L227" s="270"/>
      <c r="M227" s="2"/>
      <c r="N227" s="301">
        <v>0.21</v>
      </c>
      <c r="O227" s="262">
        <f>$H227-N227</f>
        <v>0</v>
      </c>
      <c r="P227" s="270"/>
      <c r="Q227" s="26"/>
      <c r="R227" s="38"/>
    </row>
    <row r="228" spans="1:18" ht="15.75">
      <c r="A228" s="50">
        <f>+A227+1</f>
        <v>129</v>
      </c>
      <c r="B228" s="50"/>
      <c r="C228" s="299" t="s">
        <v>182</v>
      </c>
      <c r="D228" s="302"/>
      <c r="E228" s="82" t="str">
        <f>"(Note "&amp;B$309&amp;")"</f>
        <v>(Note G)</v>
      </c>
      <c r="F228" s="46" t="s">
        <v>25</v>
      </c>
      <c r="G228" s="299"/>
      <c r="H228" s="270">
        <f>'Att 5 - Cost Support'!H260</f>
        <v>4.5400000000000003E-2</v>
      </c>
      <c r="J228" s="301">
        <v>4.5400000000000003E-2</v>
      </c>
      <c r="K228" s="262">
        <f>$H228-J228</f>
        <v>0</v>
      </c>
      <c r="L228" s="270"/>
      <c r="M228" s="2"/>
      <c r="N228" s="301">
        <v>4.5400000000000003E-2</v>
      </c>
      <c r="O228" s="262">
        <f>$H228-N228</f>
        <v>0</v>
      </c>
      <c r="P228" s="270"/>
      <c r="Q228" s="26"/>
      <c r="R228" s="38"/>
    </row>
    <row r="229" spans="1:18" ht="15.75">
      <c r="A229" s="50">
        <f>+A228+1</f>
        <v>130</v>
      </c>
      <c r="B229" s="50"/>
      <c r="C229" s="299" t="s">
        <v>183</v>
      </c>
      <c r="D229" s="299" t="s">
        <v>184</v>
      </c>
      <c r="E229" s="57"/>
      <c r="F229" s="46" t="s">
        <v>185</v>
      </c>
      <c r="G229" s="299"/>
      <c r="H229" s="300">
        <f>Inputs!E93</f>
        <v>0</v>
      </c>
      <c r="J229" s="301">
        <v>0</v>
      </c>
      <c r="K229" s="262">
        <f>$H229-J229</f>
        <v>0</v>
      </c>
      <c r="L229" s="270"/>
      <c r="M229" s="2"/>
      <c r="N229" s="301">
        <v>0</v>
      </c>
      <c r="O229" s="262">
        <f>$H229-N229</f>
        <v>0</v>
      </c>
      <c r="P229" s="270"/>
      <c r="Q229" s="26"/>
      <c r="R229" s="38"/>
    </row>
    <row r="230" spans="1:18" ht="15.75">
      <c r="A230" s="71">
        <f>+A229+1</f>
        <v>131</v>
      </c>
      <c r="B230" s="71"/>
      <c r="C230" s="299" t="s">
        <v>186</v>
      </c>
      <c r="D230" s="303" t="s">
        <v>187</v>
      </c>
      <c r="E230" s="52"/>
      <c r="F230" s="70"/>
      <c r="G230" s="299"/>
      <c r="H230" s="304">
        <f>1-(((1-H228)*(1-H227))/(1-H228*H227*H229))</f>
        <v>0.24586599999999992</v>
      </c>
      <c r="J230" s="304">
        <v>0.24586599999999992</v>
      </c>
      <c r="K230" s="304"/>
      <c r="L230" s="304"/>
      <c r="M230" s="2"/>
      <c r="N230" s="304">
        <v>0.24586599999999992</v>
      </c>
      <c r="O230" s="304"/>
      <c r="P230" s="304"/>
      <c r="Q230" s="26"/>
      <c r="R230" s="38"/>
    </row>
    <row r="231" spans="1:18" ht="15.75">
      <c r="A231" s="52">
        <f>A230+1</f>
        <v>132</v>
      </c>
      <c r="B231" s="305"/>
      <c r="C231" s="299" t="s">
        <v>188</v>
      </c>
      <c r="D231" s="305"/>
      <c r="E231" s="305"/>
      <c r="F231" s="305"/>
      <c r="G231" s="305"/>
      <c r="H231" s="304">
        <f>H230/(1-H230)</f>
        <v>0.32602428746084899</v>
      </c>
      <c r="J231" s="304">
        <v>0.32602428746084899</v>
      </c>
      <c r="K231" s="304"/>
      <c r="L231" s="304"/>
      <c r="M231" s="2"/>
      <c r="N231" s="304">
        <v>0.32602428746084899</v>
      </c>
      <c r="O231" s="304"/>
      <c r="P231" s="304"/>
      <c r="Q231" s="26"/>
      <c r="R231" s="38"/>
    </row>
    <row r="232" spans="1:18" ht="15.75">
      <c r="A232" s="50"/>
      <c r="B232" s="50"/>
      <c r="C232" s="46"/>
      <c r="D232" s="46"/>
      <c r="E232" s="127"/>
      <c r="F232" s="306"/>
      <c r="G232" s="298"/>
      <c r="H232" s="307"/>
      <c r="J232" s="307"/>
      <c r="K232" s="307"/>
      <c r="L232" s="307"/>
      <c r="M232" s="2"/>
      <c r="N232" s="307"/>
      <c r="O232" s="307"/>
      <c r="P232" s="307"/>
      <c r="Q232" s="26"/>
      <c r="R232" s="38"/>
    </row>
    <row r="233" spans="1:18" ht="15.75">
      <c r="A233" s="50"/>
      <c r="B233" s="297" t="s">
        <v>60</v>
      </c>
      <c r="C233" s="308"/>
      <c r="D233" s="150"/>
      <c r="E233" s="57"/>
      <c r="F233" s="107"/>
      <c r="G233" s="309"/>
      <c r="H233" s="276"/>
      <c r="J233" s="276"/>
      <c r="K233" s="276"/>
      <c r="L233" s="276"/>
      <c r="M233" s="2"/>
      <c r="N233" s="276"/>
      <c r="O233" s="276"/>
      <c r="P233" s="276"/>
      <c r="Q233" s="26"/>
      <c r="R233" s="38"/>
    </row>
    <row r="234" spans="1:18" ht="15.75">
      <c r="A234" s="50">
        <f>A231+1</f>
        <v>133</v>
      </c>
      <c r="B234" s="50"/>
      <c r="C234" s="115" t="s">
        <v>189</v>
      </c>
      <c r="D234" s="150"/>
      <c r="E234" s="82"/>
      <c r="F234" s="107" t="s">
        <v>25</v>
      </c>
      <c r="G234" s="309"/>
      <c r="H234" s="118">
        <f>'Att 5 - Cost Support'!J159</f>
        <v>-745681.16380246275</v>
      </c>
      <c r="J234" s="129">
        <v>-993689.56950745406</v>
      </c>
      <c r="K234" s="53">
        <f>$H234-J234</f>
        <v>248008.40570499131</v>
      </c>
      <c r="L234" s="56">
        <f>IF(J234=0,"n/m",K234/ABS(J234))</f>
        <v>0.24958338430373442</v>
      </c>
      <c r="M234" s="2"/>
      <c r="N234" s="129">
        <v>-874441.5875641437</v>
      </c>
      <c r="O234" s="53">
        <f>$H234-N234</f>
        <v>128760.42376168096</v>
      </c>
      <c r="P234" s="56">
        <f>IF(N234=0,"n/m",O234/ABS(N234))</f>
        <v>0.14724874204617569</v>
      </c>
      <c r="Q234" s="26"/>
      <c r="R234" s="38"/>
    </row>
    <row r="235" spans="1:18" ht="15.75">
      <c r="A235" s="50">
        <f>+A234+1</f>
        <v>134</v>
      </c>
      <c r="B235" s="50"/>
      <c r="C235" s="310" t="s">
        <v>190</v>
      </c>
      <c r="D235" s="40" t="s">
        <v>191</v>
      </c>
      <c r="E235" s="82"/>
      <c r="F235" s="107" t="str">
        <f>"Line "&amp;A234&amp;" * (1 / (1 - Line "&amp;A230&amp;"))"</f>
        <v>Line 133 * (1 / (1 - Line 131))</v>
      </c>
      <c r="G235" s="311"/>
      <c r="H235" s="191">
        <f>H234*(1/(1-H230))</f>
        <v>-988791.33390413725</v>
      </c>
      <c r="J235" s="191">
        <v>-1317656.5033633995</v>
      </c>
      <c r="K235" s="53">
        <f>$H235-J235</f>
        <v>328865.16945926228</v>
      </c>
      <c r="L235" s="56">
        <f>IF(J235=0,"n/m",K235/ABS(J235))</f>
        <v>0.24958338430373442</v>
      </c>
      <c r="M235" s="2"/>
      <c r="N235" s="191">
        <v>-1159530.7830758772</v>
      </c>
      <c r="O235" s="53">
        <f>$H235-N235</f>
        <v>170739.44917173998</v>
      </c>
      <c r="P235" s="56">
        <f>IF(N235=0,"n/m",O235/ABS(N235))</f>
        <v>0.14724874204617572</v>
      </c>
      <c r="Q235" s="26"/>
      <c r="R235" s="38"/>
    </row>
    <row r="236" spans="1:18" ht="15.75">
      <c r="A236" s="50"/>
      <c r="B236" s="50"/>
      <c r="C236" s="46"/>
      <c r="D236" s="46"/>
      <c r="E236" s="127"/>
      <c r="F236" s="312"/>
      <c r="G236" s="298"/>
      <c r="H236" s="313"/>
      <c r="J236" s="313"/>
      <c r="K236" s="313"/>
      <c r="L236" s="313"/>
      <c r="M236" s="2"/>
      <c r="N236" s="313"/>
      <c r="O236" s="313"/>
      <c r="P236" s="313"/>
      <c r="Q236" s="26"/>
      <c r="R236" s="38"/>
    </row>
    <row r="237" spans="1:18" ht="15.75">
      <c r="A237" s="71">
        <f>+A235+1</f>
        <v>135</v>
      </c>
      <c r="B237" s="25" t="s">
        <v>192</v>
      </c>
      <c r="C237" s="37"/>
      <c r="D237" s="70" t="s">
        <v>193</v>
      </c>
      <c r="E237" s="80"/>
      <c r="F237" s="107" t="str">
        <f>"[Line "&amp;A231&amp;" * Line "&amp;A222&amp;" * (1- (Line "&amp;A217&amp;" / Line "&amp;A220&amp;"))]"</f>
        <v>[Line 132 * Line 127 * (1- (Line 123 / Line 126))]</v>
      </c>
      <c r="G237" s="70"/>
      <c r="H237" s="314">
        <f>((H231*H222*(1-(H217/H220))))</f>
        <v>58235761.368035011</v>
      </c>
      <c r="J237" s="314">
        <v>58160317.746767066</v>
      </c>
      <c r="K237" s="53">
        <f>$H237-J237</f>
        <v>75443.621267944574</v>
      </c>
      <c r="L237" s="56">
        <f>IF(J237=0,"n/m",K237/ABS(J237))</f>
        <v>1.2971665938351622E-3</v>
      </c>
      <c r="M237" s="2"/>
      <c r="N237" s="314">
        <v>59849605.099580139</v>
      </c>
      <c r="O237" s="53">
        <f>$H237-N237</f>
        <v>-1613843.7315451279</v>
      </c>
      <c r="P237" s="56">
        <f>IF(N237=0,"n/m",O237/ABS(N237))</f>
        <v>-2.696498546414719E-2</v>
      </c>
      <c r="Q237" s="315"/>
      <c r="R237" s="38"/>
    </row>
    <row r="238" spans="1:18" ht="15.75">
      <c r="A238" s="52" t="str">
        <f>A237&amp;"b"</f>
        <v>135b</v>
      </c>
      <c r="B238" s="25"/>
      <c r="C238" s="37" t="s">
        <v>2252</v>
      </c>
      <c r="D238" s="70"/>
      <c r="E238" s="80"/>
      <c r="F238" s="107" t="s">
        <v>2254</v>
      </c>
      <c r="G238" s="70"/>
      <c r="H238" s="371">
        <f>'Att 1B - ADIT'!F20</f>
        <v>-20973074</v>
      </c>
      <c r="J238" s="314">
        <v>0</v>
      </c>
      <c r="K238" s="53">
        <f t="shared" ref="K238:K239" si="21">$H238-J238</f>
        <v>-20973074</v>
      </c>
      <c r="L238" s="56" t="str">
        <f t="shared" ref="L238:L239" si="22">IF(J238=0,"n/m",K238/ABS(J238))</f>
        <v>n/m</v>
      </c>
      <c r="M238" s="2"/>
      <c r="N238" s="314">
        <v>0</v>
      </c>
      <c r="O238" s="53">
        <f>$H238-N238</f>
        <v>-20973074</v>
      </c>
      <c r="P238" s="56" t="str">
        <f>IF(N238=0,"n/m",O238/ABS(N238))</f>
        <v>n/m</v>
      </c>
      <c r="Q238" s="315"/>
      <c r="R238" s="38"/>
    </row>
    <row r="239" spans="1:18" ht="15.75">
      <c r="A239" s="2287" t="str">
        <f>A237&amp;"c"</f>
        <v>135c</v>
      </c>
      <c r="B239" s="25"/>
      <c r="C239" s="25" t="s">
        <v>2253</v>
      </c>
      <c r="D239" s="808" t="s">
        <v>2259</v>
      </c>
      <c r="E239" s="2288"/>
      <c r="F239" s="259" t="s">
        <v>2260</v>
      </c>
      <c r="G239" s="808"/>
      <c r="H239" s="314">
        <f>H238*1/(1-H230)</f>
        <v>-27810805.506713659</v>
      </c>
      <c r="J239" s="314">
        <v>0</v>
      </c>
      <c r="K239" s="53">
        <f t="shared" si="21"/>
        <v>-27810805.506713659</v>
      </c>
      <c r="L239" s="56" t="str">
        <f t="shared" si="22"/>
        <v>n/m</v>
      </c>
      <c r="M239" s="2"/>
      <c r="N239" s="314">
        <v>0</v>
      </c>
      <c r="O239" s="53">
        <f>$H239-N239</f>
        <v>-27810805.506713659</v>
      </c>
      <c r="P239" s="56" t="str">
        <f>IF(N239=0,"n/m",O239/ABS(N239))</f>
        <v>n/m</v>
      </c>
      <c r="Q239" s="315"/>
      <c r="R239" s="38"/>
    </row>
    <row r="240" spans="1:18" ht="15.75">
      <c r="A240" s="71"/>
      <c r="B240" s="71"/>
      <c r="C240" s="158"/>
      <c r="D240" s="40"/>
      <c r="E240" s="217"/>
      <c r="F240" s="2289"/>
      <c r="G240" s="2289"/>
      <c r="H240" s="146"/>
      <c r="J240" s="316"/>
      <c r="K240" s="316"/>
      <c r="L240" s="316"/>
      <c r="M240" s="2"/>
      <c r="N240" s="316"/>
      <c r="O240" s="316"/>
      <c r="P240" s="316"/>
      <c r="Q240" s="315"/>
      <c r="R240" s="38"/>
    </row>
    <row r="241" spans="1:18" ht="16.5" thickBot="1">
      <c r="A241" s="71">
        <f>+A237+1</f>
        <v>136</v>
      </c>
      <c r="B241" s="2290" t="s">
        <v>194</v>
      </c>
      <c r="C241" s="2290"/>
      <c r="D241" s="2291"/>
      <c r="E241" s="124"/>
      <c r="F241" s="75" t="str">
        <f>"(Line "&amp;A235&amp;" + Line "&amp;A237&amp;"+ Line "&amp;A239&amp;")"</f>
        <v>(Line 134 + Line 135+ Line 135c)</v>
      </c>
      <c r="G241" s="2292"/>
      <c r="H241" s="318">
        <f>H235+H237+H239</f>
        <v>29436164.527417213</v>
      </c>
      <c r="J241" s="318">
        <v>56842661.243403666</v>
      </c>
      <c r="K241" s="126">
        <f>$H241-J241</f>
        <v>-27406496.715986453</v>
      </c>
      <c r="L241" s="79">
        <f>IF(J241=0,"n/m",K241/ABS(J241))</f>
        <v>-0.4821466151739483</v>
      </c>
      <c r="M241" s="2"/>
      <c r="N241" s="318">
        <v>58690074.316504262</v>
      </c>
      <c r="O241" s="126">
        <f>$H241-N241</f>
        <v>-29253909.78908705</v>
      </c>
      <c r="P241" s="79">
        <f>IF(N241=0,"n/m",O241/ABS(N241))</f>
        <v>-0.49844731208426063</v>
      </c>
      <c r="Q241" s="295"/>
      <c r="R241" s="38"/>
    </row>
    <row r="242" spans="1:18" ht="16.5" thickTop="1">
      <c r="A242" s="50"/>
      <c r="B242" s="50"/>
      <c r="C242" s="306"/>
      <c r="D242" s="46"/>
      <c r="E242" s="57"/>
      <c r="F242" s="319"/>
      <c r="G242" s="320"/>
      <c r="H242" s="321"/>
      <c r="J242" s="321"/>
      <c r="K242" s="322"/>
      <c r="L242" s="322"/>
      <c r="M242" s="2"/>
      <c r="N242" s="321"/>
      <c r="O242" s="322"/>
      <c r="P242" s="322"/>
      <c r="Q242" s="295"/>
      <c r="R242" s="38"/>
    </row>
    <row r="243" spans="1:18" ht="15.75">
      <c r="A243" s="196" t="s">
        <v>195</v>
      </c>
      <c r="B243" s="197"/>
      <c r="C243" s="198"/>
      <c r="D243" s="199"/>
      <c r="E243" s="200"/>
      <c r="F243" s="137"/>
      <c r="G243" s="137"/>
      <c r="H243" s="323"/>
      <c r="J243" s="323">
        <v>0</v>
      </c>
      <c r="K243" s="323"/>
      <c r="L243" s="323"/>
      <c r="M243" s="2"/>
      <c r="N243" s="323">
        <v>0</v>
      </c>
      <c r="O243" s="323"/>
      <c r="P243" s="323"/>
      <c r="Q243" s="26"/>
      <c r="R243" s="38"/>
    </row>
    <row r="244" spans="1:18" ht="15.75">
      <c r="A244" s="57"/>
      <c r="B244" s="2"/>
      <c r="C244" s="2"/>
      <c r="D244" s="2"/>
      <c r="E244" s="57"/>
      <c r="F244" s="2"/>
      <c r="G244" s="2"/>
      <c r="H244" s="162"/>
      <c r="J244" s="162"/>
      <c r="K244" s="162"/>
      <c r="L244" s="162"/>
      <c r="M244" s="2"/>
      <c r="N244" s="162"/>
      <c r="O244" s="162"/>
      <c r="P244" s="162"/>
      <c r="Q244" s="26"/>
      <c r="R244" s="38"/>
    </row>
    <row r="245" spans="1:18" ht="15.75">
      <c r="A245" s="57"/>
      <c r="B245" s="17" t="s">
        <v>196</v>
      </c>
      <c r="C245" s="42"/>
      <c r="D245" s="145"/>
      <c r="E245" s="57"/>
      <c r="F245" s="2"/>
      <c r="G245" s="2"/>
      <c r="H245" s="162"/>
      <c r="J245" s="162"/>
      <c r="K245" s="162"/>
      <c r="L245" s="162"/>
      <c r="M245" s="2"/>
      <c r="N245" s="162"/>
      <c r="O245" s="162"/>
      <c r="P245" s="162"/>
      <c r="Q245" s="26"/>
      <c r="R245" s="38"/>
    </row>
    <row r="246" spans="1:18" ht="15.75">
      <c r="A246" s="57">
        <f>+A241+1</f>
        <v>137</v>
      </c>
      <c r="B246" s="2"/>
      <c r="C246" s="42" t="s">
        <v>197</v>
      </c>
      <c r="D246" s="145"/>
      <c r="E246" s="57"/>
      <c r="F246" s="107" t="str">
        <f>"(Line "&amp;A64&amp;")"</f>
        <v>(Line 32)</v>
      </c>
      <c r="G246" s="2"/>
      <c r="H246" s="162">
        <f>H64</f>
        <v>4722425612.3564548</v>
      </c>
      <c r="J246" s="162">
        <v>4710719568.8187447</v>
      </c>
      <c r="K246" s="53">
        <f>$H246-J246</f>
        <v>11706043.53771019</v>
      </c>
      <c r="L246" s="56">
        <f>IF(J246=0,"n/m",K246/ABS(J246))</f>
        <v>2.4849799200943701E-3</v>
      </c>
      <c r="M246" s="2"/>
      <c r="N246" s="162">
        <v>4779615374.1396523</v>
      </c>
      <c r="O246" s="53">
        <f>$H246-N246</f>
        <v>-57189761.783197403</v>
      </c>
      <c r="P246" s="56">
        <f>IF(N246=0,"n/m",O246/ABS(N246))</f>
        <v>-1.1965348109939027E-2</v>
      </c>
      <c r="Q246" s="26"/>
      <c r="R246" s="38"/>
    </row>
    <row r="247" spans="1:18" ht="15.75">
      <c r="A247" s="50">
        <f>+A246+1</f>
        <v>138</v>
      </c>
      <c r="B247" s="2"/>
      <c r="C247" s="42" t="s">
        <v>81</v>
      </c>
      <c r="D247" s="145"/>
      <c r="E247" s="57"/>
      <c r="F247" s="88" t="str">
        <f>"(Line "&amp;A105&amp;")"</f>
        <v>(Line 51)</v>
      </c>
      <c r="G247" s="2"/>
      <c r="H247" s="162">
        <f>H105</f>
        <v>-1197215117.6760852</v>
      </c>
      <c r="J247" s="162">
        <v>-1155054331.3771937</v>
      </c>
      <c r="K247" s="53">
        <f>$H247-J247</f>
        <v>-42160786.298891544</v>
      </c>
      <c r="L247" s="56">
        <f>IF(J247=0,"n/m",K247/ABS(J247))</f>
        <v>-3.6501128261752343E-2</v>
      </c>
      <c r="M247" s="2"/>
      <c r="N247" s="162">
        <v>-1163501561.311893</v>
      </c>
      <c r="O247" s="53">
        <f>$H247-N247</f>
        <v>-33713556.364192247</v>
      </c>
      <c r="P247" s="56">
        <f>IF(N247=0,"n/m",O247/ABS(N247))</f>
        <v>-2.8975944240400425E-2</v>
      </c>
      <c r="Q247" s="26"/>
      <c r="R247" s="38"/>
    </row>
    <row r="248" spans="1:18" ht="15.75">
      <c r="A248" s="50">
        <f>+A247+1</f>
        <v>139</v>
      </c>
      <c r="B248" s="50"/>
      <c r="C248" s="85" t="s">
        <v>82</v>
      </c>
      <c r="D248" s="175"/>
      <c r="E248" s="324"/>
      <c r="F248" s="107" t="str">
        <f>"(Line "&amp;A107&amp;")"</f>
        <v>(Line 52)</v>
      </c>
      <c r="G248" s="325"/>
      <c r="H248" s="326">
        <f>SUM(H246:H247)</f>
        <v>3525210494.6803694</v>
      </c>
      <c r="J248" s="326">
        <v>3555665237.4415512</v>
      </c>
      <c r="K248" s="67">
        <f>$H248-J248</f>
        <v>-30454742.761181831</v>
      </c>
      <c r="L248" s="68">
        <f>IF(J248=0,"n/m",K248/ABS(J248))</f>
        <v>-8.5651321841240836E-3</v>
      </c>
      <c r="M248" s="2"/>
      <c r="N248" s="326">
        <v>3616113812.8277593</v>
      </c>
      <c r="O248" s="67">
        <f>$H248-N248</f>
        <v>-90903318.147389889</v>
      </c>
      <c r="P248" s="68">
        <f>IF(N248=0,"n/m",O248/ABS(N248))</f>
        <v>-2.5138400739744566E-2</v>
      </c>
      <c r="Q248" s="26"/>
      <c r="R248" s="38"/>
    </row>
    <row r="249" spans="1:18" ht="15.75">
      <c r="A249" s="50"/>
      <c r="B249" s="50"/>
      <c r="C249" s="115"/>
      <c r="D249" s="40"/>
      <c r="E249" s="47"/>
      <c r="F249" s="70"/>
      <c r="G249" s="46"/>
      <c r="H249" s="162"/>
      <c r="J249" s="162"/>
      <c r="K249" s="162"/>
      <c r="L249" s="162"/>
      <c r="M249" s="2"/>
      <c r="N249" s="162"/>
      <c r="O249" s="162"/>
      <c r="P249" s="162"/>
      <c r="Q249" s="26"/>
      <c r="R249" s="38"/>
    </row>
    <row r="250" spans="1:18" ht="15.75">
      <c r="A250" s="50">
        <f>+A248+1</f>
        <v>140</v>
      </c>
      <c r="B250" s="46"/>
      <c r="C250" s="115" t="s">
        <v>109</v>
      </c>
      <c r="D250" s="150"/>
      <c r="E250" s="57"/>
      <c r="F250" s="107" t="str">
        <f>"(Line "&amp;A140&amp;")"</f>
        <v>(Line 75)</v>
      </c>
      <c r="G250" s="2"/>
      <c r="H250" s="162">
        <f>H140</f>
        <v>72892146.933178991</v>
      </c>
      <c r="J250" s="162">
        <v>73560167.216605455</v>
      </c>
      <c r="K250" s="53">
        <f>$H250-J250</f>
        <v>-668020.2834264636</v>
      </c>
      <c r="L250" s="56">
        <f>IF(J250=0,"n/m",K250/ABS(J250))</f>
        <v>-9.0812773910560786E-3</v>
      </c>
      <c r="M250" s="2"/>
      <c r="N250" s="162">
        <v>73481282.847342566</v>
      </c>
      <c r="O250" s="53">
        <f>$H250-N250</f>
        <v>-589135.91416357458</v>
      </c>
      <c r="P250" s="56">
        <f>IF(N250=0,"n/m",O250/ABS(N250))</f>
        <v>-8.0174963111014942E-3</v>
      </c>
      <c r="Q250" s="26"/>
      <c r="R250" s="38"/>
    </row>
    <row r="251" spans="1:18" ht="15.75">
      <c r="A251" s="50">
        <f>+A250+1</f>
        <v>141</v>
      </c>
      <c r="B251" s="46"/>
      <c r="C251" s="158" t="s">
        <v>118</v>
      </c>
      <c r="D251" s="150"/>
      <c r="E251" s="57"/>
      <c r="F251" s="107" t="str">
        <f>"(Line "&amp;A155&amp;")"</f>
        <v>(Line 83)</v>
      </c>
      <c r="G251" s="2"/>
      <c r="H251" s="162">
        <f>H155</f>
        <v>120230705.40239444</v>
      </c>
      <c r="J251" s="162">
        <v>113555399.20297305</v>
      </c>
      <c r="K251" s="53">
        <f>$H251-J251</f>
        <v>6675306.1994213909</v>
      </c>
      <c r="L251" s="56">
        <f>IF(J251=0,"n/m",K251/ABS(J251))</f>
        <v>5.8784577803206922E-2</v>
      </c>
      <c r="M251" s="2"/>
      <c r="N251" s="162">
        <v>117059701.96502352</v>
      </c>
      <c r="O251" s="53">
        <f>$H251-N251</f>
        <v>3171003.4373709261</v>
      </c>
      <c r="P251" s="56">
        <f>IF(N251=0,"n/m",O251/ABS(N251))</f>
        <v>2.7088770807894215E-2</v>
      </c>
      <c r="Q251" s="26"/>
      <c r="R251" s="38"/>
    </row>
    <row r="252" spans="1:18" ht="15.75">
      <c r="A252" s="50">
        <f>+A251+1</f>
        <v>142</v>
      </c>
      <c r="B252" s="50"/>
      <c r="C252" s="115" t="s">
        <v>198</v>
      </c>
      <c r="D252" s="40"/>
      <c r="E252" s="47"/>
      <c r="F252" s="107" t="str">
        <f>"(Line "&amp;A161&amp;")"</f>
        <v>(Line 85)</v>
      </c>
      <c r="G252" s="46"/>
      <c r="H252" s="162">
        <f>H161</f>
        <v>40532324.096305139</v>
      </c>
      <c r="J252" s="162">
        <v>39067191.094667397</v>
      </c>
      <c r="K252" s="53">
        <f>$H252-J252</f>
        <v>1465133.0016377419</v>
      </c>
      <c r="L252" s="56">
        <f>IF(J252=0,"n/m",K252/ABS(J252))</f>
        <v>3.7502901042653407E-2</v>
      </c>
      <c r="M252" s="2"/>
      <c r="N252" s="162">
        <v>41949221.85869471</v>
      </c>
      <c r="O252" s="53">
        <f>$H252-N252</f>
        <v>-1416897.7623895705</v>
      </c>
      <c r="P252" s="56">
        <f>IF(N252=0,"n/m",O252/ABS(N252))</f>
        <v>-3.3776496907674904E-2</v>
      </c>
      <c r="Q252" s="26"/>
      <c r="R252" s="38"/>
    </row>
    <row r="253" spans="1:18" ht="15.75">
      <c r="A253" s="50">
        <f>+A252+1</f>
        <v>143</v>
      </c>
      <c r="B253" s="50"/>
      <c r="C253" s="327" t="s">
        <v>199</v>
      </c>
      <c r="D253" s="40"/>
      <c r="E253" s="47"/>
      <c r="F253" s="107" t="str">
        <f>"(Line "&amp;A222&amp;")"</f>
        <v>(Line 127)</v>
      </c>
      <c r="G253" s="46"/>
      <c r="H253" s="162">
        <f>H222</f>
        <v>264726683.33644152</v>
      </c>
      <c r="J253" s="162">
        <v>268785065.47288877</v>
      </c>
      <c r="K253" s="53">
        <f>$H253-J253</f>
        <v>-4058382.1364472508</v>
      </c>
      <c r="L253" s="56">
        <f>IF(J253=0,"n/m",K253/ABS(J253))</f>
        <v>-1.5098986728697555E-2</v>
      </c>
      <c r="M253" s="2"/>
      <c r="N253" s="162">
        <v>274475500.39367157</v>
      </c>
      <c r="O253" s="53">
        <f>$H253-N253</f>
        <v>-9748817.0572300553</v>
      </c>
      <c r="P253" s="56">
        <f>IF(N253=0,"n/m",O253/ABS(N253))</f>
        <v>-3.5517986280187611E-2</v>
      </c>
      <c r="Q253" s="26"/>
      <c r="R253" s="38"/>
    </row>
    <row r="254" spans="1:18" ht="15.75">
      <c r="A254" s="50">
        <f>+A253+1</f>
        <v>144</v>
      </c>
      <c r="B254" s="50"/>
      <c r="C254" s="327" t="s">
        <v>200</v>
      </c>
      <c r="D254" s="40"/>
      <c r="E254" s="47"/>
      <c r="F254" s="107" t="str">
        <f>"(Line "&amp;A241&amp;")"</f>
        <v>(Line 136)</v>
      </c>
      <c r="G254" s="46"/>
      <c r="H254" s="162">
        <f>H241</f>
        <v>29436164.527417213</v>
      </c>
      <c r="J254" s="162">
        <v>56842661.243403666</v>
      </c>
      <c r="K254" s="53">
        <f>$H254-J254</f>
        <v>-27406496.715986453</v>
      </c>
      <c r="L254" s="56">
        <f>IF(J254=0,"n/m",K254/ABS(J254))</f>
        <v>-0.4821466151739483</v>
      </c>
      <c r="M254" s="2"/>
      <c r="N254" s="162">
        <v>58690074.316504262</v>
      </c>
      <c r="O254" s="53">
        <f>$H254-N254</f>
        <v>-29253909.78908705</v>
      </c>
      <c r="P254" s="56">
        <f>IF(N254=0,"n/m",O254/ABS(N254))</f>
        <v>-0.49844731208426063</v>
      </c>
      <c r="Q254" s="26"/>
      <c r="R254" s="38"/>
    </row>
    <row r="255" spans="1:18" ht="16.5" thickBot="1">
      <c r="A255" s="50"/>
      <c r="B255" s="50"/>
      <c r="C255" s="327"/>
      <c r="D255" s="40"/>
      <c r="E255" s="47"/>
      <c r="F255" s="70"/>
      <c r="G255" s="46"/>
      <c r="H255" s="162"/>
      <c r="J255" s="162"/>
      <c r="K255" s="162"/>
      <c r="L255" s="162"/>
      <c r="M255" s="2"/>
      <c r="N255" s="162"/>
      <c r="O255" s="162"/>
      <c r="P255" s="162"/>
      <c r="Q255" s="26"/>
      <c r="R255" s="38"/>
    </row>
    <row r="256" spans="1:18" ht="18.75" thickBot="1">
      <c r="A256" s="328">
        <f>+A254+1</f>
        <v>145</v>
      </c>
      <c r="B256" s="329"/>
      <c r="C256" s="330" t="s">
        <v>201</v>
      </c>
      <c r="D256" s="331"/>
      <c r="E256" s="332"/>
      <c r="F256" s="333" t="str">
        <f>"(Sum Lines "&amp;A250&amp;" to "&amp;A254&amp;")"</f>
        <v>(Sum Lines 140 to 144)</v>
      </c>
      <c r="G256" s="334"/>
      <c r="H256" s="335">
        <f>SUM(H250:H254)</f>
        <v>527818024.29573727</v>
      </c>
      <c r="J256" s="336">
        <v>551810484.23053837</v>
      </c>
      <c r="K256" s="337">
        <f>$H256-J256</f>
        <v>-23992459.934801102</v>
      </c>
      <c r="L256" s="338">
        <f>IF(J256=0,"n/m",K256/ABS(J256))</f>
        <v>-4.347952896954637E-2</v>
      </c>
      <c r="M256" s="2"/>
      <c r="N256" s="336">
        <v>565655781.38123655</v>
      </c>
      <c r="O256" s="337">
        <f>$H256-N256</f>
        <v>-37837757.085499287</v>
      </c>
      <c r="P256" s="338">
        <f>IF(N256=0,"n/m",O256/ABS(N256))</f>
        <v>-6.6891841877945335E-2</v>
      </c>
      <c r="Q256" s="339"/>
      <c r="R256" s="38"/>
    </row>
    <row r="257" spans="1:19" ht="18">
      <c r="A257" s="340"/>
      <c r="B257" s="341"/>
      <c r="C257" s="342"/>
      <c r="D257" s="343"/>
      <c r="E257" s="344"/>
      <c r="F257" s="345"/>
      <c r="G257" s="346"/>
      <c r="H257" s="347"/>
      <c r="J257" s="347"/>
      <c r="K257" s="347"/>
      <c r="L257" s="347"/>
      <c r="M257" s="2"/>
      <c r="N257" s="347"/>
      <c r="O257" s="347"/>
      <c r="P257" s="347"/>
      <c r="Q257" s="339"/>
      <c r="R257" s="38"/>
    </row>
    <row r="258" spans="1:19" ht="18">
      <c r="A258" s="340"/>
      <c r="B258" s="310" t="s">
        <v>202</v>
      </c>
      <c r="C258" s="342"/>
      <c r="D258" s="343"/>
      <c r="E258" s="344"/>
      <c r="F258" s="345"/>
      <c r="G258" s="346"/>
      <c r="H258" s="348"/>
      <c r="J258" s="348"/>
      <c r="K258" s="348"/>
      <c r="L258" s="348"/>
      <c r="M258" s="2"/>
      <c r="N258" s="348"/>
      <c r="O258" s="348"/>
      <c r="P258" s="348"/>
      <c r="Q258" s="26"/>
      <c r="R258" s="38"/>
    </row>
    <row r="259" spans="1:19" ht="18">
      <c r="A259" s="217">
        <f>+A256+1</f>
        <v>146</v>
      </c>
      <c r="B259" s="217"/>
      <c r="C259" s="115" t="str">
        <f>+C38</f>
        <v>Transmission Plant In Service</v>
      </c>
      <c r="D259" s="343"/>
      <c r="E259" s="344"/>
      <c r="F259" s="107" t="str">
        <f>"(Line "&amp;A38&amp;")"</f>
        <v>(Line 15)</v>
      </c>
      <c r="G259" s="346"/>
      <c r="H259" s="349">
        <f>H38</f>
        <v>6436346561.193078</v>
      </c>
      <c r="J259" s="349">
        <v>6222285657.000001</v>
      </c>
      <c r="K259" s="53">
        <f>$H259-J259</f>
        <v>214060904.19307709</v>
      </c>
      <c r="L259" s="56">
        <f>IF(J259=0,"n/m",K259/ABS(J259))</f>
        <v>3.4402294589651473E-2</v>
      </c>
      <c r="M259" s="2"/>
      <c r="N259" s="349">
        <v>6353044980.3799982</v>
      </c>
      <c r="O259" s="53">
        <f>$H259-N259</f>
        <v>83301580.813079834</v>
      </c>
      <c r="P259" s="56">
        <f>IF(N259=0,"n/m",O259/ABS(N259))</f>
        <v>1.3112071623975385E-2</v>
      </c>
      <c r="Q259" s="26"/>
      <c r="R259" s="38"/>
      <c r="S259" s="54"/>
    </row>
    <row r="260" spans="1:19" ht="18">
      <c r="A260" s="217">
        <f>+A259+1</f>
        <v>147</v>
      </c>
      <c r="B260" s="217"/>
      <c r="C260" s="100" t="s">
        <v>203</v>
      </c>
      <c r="D260" s="350"/>
      <c r="E260" s="102" t="str">
        <f>"(Note "&amp;B$318&amp;")"</f>
        <v>(Note J)</v>
      </c>
      <c r="F260" s="88" t="s">
        <v>204</v>
      </c>
      <c r="G260" s="351"/>
      <c r="H260" s="352">
        <f>'Att 15 - GSU and Assoc''d Equip'!C27</f>
        <v>251505273.65510669</v>
      </c>
      <c r="J260" s="353">
        <v>170890309.77620298</v>
      </c>
      <c r="K260" s="53">
        <f>$H260-J260</f>
        <v>80614963.878903717</v>
      </c>
      <c r="L260" s="56">
        <f>IF(J260=0,"n/m",K260/ABS(J260))</f>
        <v>0.47173513808054207</v>
      </c>
      <c r="M260" s="2"/>
      <c r="N260" s="353">
        <v>248058043.20524475</v>
      </c>
      <c r="O260" s="53">
        <f>$H260-N260</f>
        <v>3447230.4498619437</v>
      </c>
      <c r="P260" s="56">
        <f>IF(N260=0,"n/m",O260/ABS(N260))</f>
        <v>1.3896870286159938E-2</v>
      </c>
      <c r="Q260" s="26"/>
      <c r="R260" s="38"/>
    </row>
    <row r="261" spans="1:19" ht="18">
      <c r="A261" s="217">
        <f>+A260+1</f>
        <v>148</v>
      </c>
      <c r="B261" s="217"/>
      <c r="C261" s="115" t="s">
        <v>205</v>
      </c>
      <c r="D261" s="343"/>
      <c r="E261" s="354"/>
      <c r="F261" s="107" t="str">
        <f>"(Line "&amp;A259&amp;" - Line "&amp;A260&amp;")"</f>
        <v>(Line 146 - Line 147)</v>
      </c>
      <c r="G261" s="346"/>
      <c r="H261" s="349">
        <f>H259-H260</f>
        <v>6184841287.5379715</v>
      </c>
      <c r="J261" s="349">
        <v>6051395347.2237978</v>
      </c>
      <c r="K261" s="67">
        <f>$H261-J261</f>
        <v>133445940.3141737</v>
      </c>
      <c r="L261" s="68">
        <f>IF(J261=0,"n/m",K261/ABS(J261))</f>
        <v>2.2052094212518237E-2</v>
      </c>
      <c r="M261" s="2"/>
      <c r="N261" s="349">
        <v>6104986937.1747532</v>
      </c>
      <c r="O261" s="67">
        <f>$H261-N261</f>
        <v>79854350.363218307</v>
      </c>
      <c r="P261" s="68">
        <f>IF(N261=0,"n/m",O261/ABS(N261))</f>
        <v>1.3080183657227129E-2</v>
      </c>
      <c r="Q261" s="26"/>
      <c r="R261" s="38"/>
    </row>
    <row r="262" spans="1:19" ht="18">
      <c r="A262" s="217">
        <f>+A261+1</f>
        <v>149</v>
      </c>
      <c r="B262" s="217"/>
      <c r="C262" s="115" t="s">
        <v>206</v>
      </c>
      <c r="D262" s="343"/>
      <c r="E262" s="344"/>
      <c r="F262" s="107" t="str">
        <f>"(Line "&amp;A261&amp;" / Line "&amp;A259&amp;")"</f>
        <v>(Line 148 / Line 146)</v>
      </c>
      <c r="G262" s="346"/>
      <c r="H262" s="355">
        <f>H261/H259</f>
        <v>0.96092421822474305</v>
      </c>
      <c r="J262" s="355">
        <v>0.97253576592325786</v>
      </c>
      <c r="K262" s="355"/>
      <c r="L262" s="355"/>
      <c r="M262" s="2"/>
      <c r="N262" s="355">
        <v>0.96095446451720101</v>
      </c>
      <c r="O262" s="355"/>
      <c r="P262" s="355"/>
      <c r="Q262" s="26"/>
      <c r="R262" s="2093"/>
      <c r="S262" s="54"/>
    </row>
    <row r="263" spans="1:19" ht="18">
      <c r="A263" s="217">
        <f>+A262+1</f>
        <v>150</v>
      </c>
      <c r="B263" s="217"/>
      <c r="C263" s="100" t="s">
        <v>201</v>
      </c>
      <c r="D263" s="350"/>
      <c r="E263" s="356"/>
      <c r="F263" s="88" t="str">
        <f>"(Line "&amp;A256&amp;")"</f>
        <v>(Line 145)</v>
      </c>
      <c r="G263" s="351"/>
      <c r="H263" s="352">
        <f>H256</f>
        <v>527818024.29573727</v>
      </c>
      <c r="J263" s="352">
        <v>551810484.23053837</v>
      </c>
      <c r="K263" s="53">
        <f>$H263-J263</f>
        <v>-23992459.934801102</v>
      </c>
      <c r="L263" s="56">
        <f>IF(J263=0,"n/m",K263/ABS(J263))</f>
        <v>-4.347952896954637E-2</v>
      </c>
      <c r="M263" s="2"/>
      <c r="N263" s="352">
        <v>565655781.38123655</v>
      </c>
      <c r="O263" s="53">
        <f>$H263-N263</f>
        <v>-37837757.085499287</v>
      </c>
      <c r="P263" s="56">
        <f>IF(N263=0,"n/m",O263/ABS(N263))</f>
        <v>-6.6891841877945335E-2</v>
      </c>
      <c r="Q263" s="26"/>
      <c r="R263" s="38"/>
    </row>
    <row r="264" spans="1:19" ht="18">
      <c r="A264" s="217">
        <f>+A263+1</f>
        <v>151</v>
      </c>
      <c r="B264" s="217"/>
      <c r="C264" s="202" t="s">
        <v>207</v>
      </c>
      <c r="D264" s="343"/>
      <c r="E264" s="344"/>
      <c r="F264" s="107" t="str">
        <f>"(Line "&amp;A262&amp;" * Line "&amp;A263&amp;")"</f>
        <v>(Line 149 * Line 150)</v>
      </c>
      <c r="G264" s="346"/>
      <c r="H264" s="357">
        <f>H262*H263</f>
        <v>507193122.36130977</v>
      </c>
      <c r="J264" s="357">
        <v>536655431.92563045</v>
      </c>
      <c r="K264" s="67">
        <f>$H264-J264</f>
        <v>-29462309.564320683</v>
      </c>
      <c r="L264" s="68">
        <f>IF(J264=0,"n/m",K264/ABS(J264))</f>
        <v>-5.4899862764090236E-2</v>
      </c>
      <c r="M264" s="2"/>
      <c r="N264" s="357">
        <v>543569448.49826515</v>
      </c>
      <c r="O264" s="67">
        <f>$H264-N264</f>
        <v>-36376326.13695538</v>
      </c>
      <c r="P264" s="68">
        <f>IF(N264=0,"n/m",O264/ABS(N264))</f>
        <v>-6.6921211700645244E-2</v>
      </c>
      <c r="Q264" s="26"/>
      <c r="R264" s="38"/>
    </row>
    <row r="265" spans="1:19" ht="15.75">
      <c r="A265" s="138"/>
      <c r="B265" s="50"/>
      <c r="C265" s="115"/>
      <c r="D265" s="40"/>
      <c r="E265" s="47"/>
      <c r="F265" s="70"/>
      <c r="G265" s="46"/>
      <c r="H265" s="201"/>
      <c r="J265" s="201"/>
      <c r="K265" s="201"/>
      <c r="L265" s="201"/>
      <c r="M265" s="2"/>
      <c r="N265" s="201"/>
      <c r="O265" s="201"/>
      <c r="P265" s="201"/>
      <c r="Q265" s="26"/>
      <c r="R265" s="38"/>
    </row>
    <row r="266" spans="1:19" ht="15.75">
      <c r="A266" s="138"/>
      <c r="B266" s="214" t="s">
        <v>208</v>
      </c>
      <c r="C266" s="115"/>
      <c r="D266" s="40"/>
      <c r="E266" s="47"/>
      <c r="F266" s="70"/>
      <c r="G266" s="46"/>
      <c r="H266" s="201"/>
      <c r="J266" s="201"/>
      <c r="K266" s="201"/>
      <c r="L266" s="201"/>
      <c r="M266" s="2"/>
      <c r="N266" s="201"/>
      <c r="O266" s="201"/>
      <c r="P266" s="201"/>
      <c r="Q266" s="26"/>
      <c r="R266" s="38"/>
      <c r="S266" s="2201"/>
    </row>
    <row r="267" spans="1:19" ht="15.75">
      <c r="A267" s="71">
        <f>+A264+1</f>
        <v>152</v>
      </c>
      <c r="B267" s="2"/>
      <c r="C267" s="214" t="s">
        <v>208</v>
      </c>
      <c r="D267" s="358"/>
      <c r="E267" s="359"/>
      <c r="F267" s="70" t="s">
        <v>209</v>
      </c>
      <c r="G267" s="46"/>
      <c r="H267" s="314">
        <f>'Att 3 - Revenue Credits'!E22</f>
        <v>89383183.634681389</v>
      </c>
      <c r="J267" s="360">
        <v>92982483.948170707</v>
      </c>
      <c r="K267" s="53">
        <f>$H267-J267</f>
        <v>-3599300.3134893179</v>
      </c>
      <c r="L267" s="56">
        <f>IF(J267=0,"n/m",K267/ABS(J267))</f>
        <v>-3.8709444625028525E-2</v>
      </c>
      <c r="M267" s="2"/>
      <c r="N267" s="360">
        <v>93377130.020960152</v>
      </c>
      <c r="O267" s="53">
        <f>$H267-N267</f>
        <v>-3993946.3862787634</v>
      </c>
      <c r="P267" s="56">
        <f>IF(N267=0,"n/m",O267/ABS(N267))</f>
        <v>-4.2772211840118146E-2</v>
      </c>
      <c r="Q267" s="26"/>
      <c r="R267" s="38"/>
    </row>
    <row r="268" spans="1:19" ht="16.5" thickBot="1">
      <c r="A268" s="50"/>
      <c r="B268" s="50"/>
      <c r="C268" s="42"/>
      <c r="D268" s="42"/>
      <c r="E268" s="57"/>
      <c r="F268" s="46"/>
      <c r="G268" s="46"/>
      <c r="H268" s="212"/>
      <c r="J268" s="212"/>
      <c r="K268" s="212"/>
      <c r="L268" s="212"/>
      <c r="M268" s="2"/>
      <c r="N268" s="212"/>
      <c r="O268" s="212"/>
      <c r="P268" s="212"/>
      <c r="Q268" s="26"/>
      <c r="R268" s="38"/>
    </row>
    <row r="269" spans="1:19" ht="18.75" thickBot="1">
      <c r="A269" s="328">
        <f>A267+1</f>
        <v>153</v>
      </c>
      <c r="B269" s="361"/>
      <c r="C269" s="362" t="s">
        <v>210</v>
      </c>
      <c r="D269" s="363"/>
      <c r="E269" s="364"/>
      <c r="F269" s="365" t="str">
        <f>"(Line "&amp;A264&amp;" - Line "&amp;A267&amp;")"</f>
        <v>(Line 151 - Line 152)</v>
      </c>
      <c r="G269" s="366"/>
      <c r="H269" s="367">
        <f>H264-H267</f>
        <v>417809938.72662836</v>
      </c>
      <c r="J269" s="336">
        <v>443672947.97745973</v>
      </c>
      <c r="K269" s="337">
        <f>$H269-J269</f>
        <v>-25863009.250831366</v>
      </c>
      <c r="L269" s="338">
        <f>IF(J269=0,"n/m",K269/ABS(J269))</f>
        <v>-5.8292959642302342E-2</v>
      </c>
      <c r="M269" s="2"/>
      <c r="N269" s="336">
        <v>450192318.477305</v>
      </c>
      <c r="O269" s="337">
        <f>$H269-N269</f>
        <v>-32382379.750676632</v>
      </c>
      <c r="P269" s="338">
        <f>IF(N269=0,"n/m",O269/ABS(N269))</f>
        <v>-7.1930102806294513E-2</v>
      </c>
      <c r="Q269" s="26"/>
      <c r="R269" s="38"/>
    </row>
    <row r="270" spans="1:19" ht="15.75">
      <c r="A270" s="138"/>
      <c r="B270" s="50"/>
      <c r="C270" s="42"/>
      <c r="D270" s="42"/>
      <c r="E270" s="57"/>
      <c r="F270" s="46"/>
      <c r="G270" s="46"/>
      <c r="H270" s="212"/>
      <c r="J270" s="212"/>
      <c r="K270" s="212"/>
      <c r="L270" s="212"/>
      <c r="M270" s="2"/>
      <c r="N270" s="212"/>
      <c r="O270" s="212"/>
      <c r="P270" s="212"/>
      <c r="Q270" s="26"/>
      <c r="R270" s="38"/>
    </row>
    <row r="271" spans="1:19" ht="15.75">
      <c r="A271" s="71"/>
      <c r="B271" s="368" t="s">
        <v>211</v>
      </c>
      <c r="C271" s="37"/>
      <c r="D271" s="42"/>
      <c r="E271" s="57"/>
      <c r="F271" s="70"/>
      <c r="G271" s="46"/>
      <c r="H271" s="212"/>
      <c r="J271" s="212"/>
      <c r="K271" s="212"/>
      <c r="L271" s="212"/>
      <c r="M271" s="2"/>
      <c r="N271" s="212"/>
      <c r="O271" s="212"/>
      <c r="P271" s="212"/>
      <c r="Q271" s="26"/>
      <c r="R271" s="38"/>
    </row>
    <row r="272" spans="1:19" ht="15.75">
      <c r="A272" s="71">
        <f>+A269+1</f>
        <v>154</v>
      </c>
      <c r="B272" s="71"/>
      <c r="C272" s="42" t="str">
        <f>+C263</f>
        <v>Gross Revenue Requirement</v>
      </c>
      <c r="D272" s="42"/>
      <c r="E272" s="57"/>
      <c r="F272" s="70" t="str">
        <f>"(Line "&amp;A263&amp;")"</f>
        <v>(Line 150)</v>
      </c>
      <c r="G272" s="46"/>
      <c r="H272" s="369">
        <f>H263</f>
        <v>527818024.29573727</v>
      </c>
      <c r="J272" s="369">
        <v>551810484.23053837</v>
      </c>
      <c r="K272" s="53">
        <f>$H272-J272</f>
        <v>-23992459.934801102</v>
      </c>
      <c r="L272" s="56">
        <f>IF(J272=0,"n/m",K272/ABS(J272))</f>
        <v>-4.347952896954637E-2</v>
      </c>
      <c r="M272" s="2"/>
      <c r="N272" s="369">
        <v>565655781.38123655</v>
      </c>
      <c r="O272" s="53">
        <f>$H272-N272</f>
        <v>-37837757.085499287</v>
      </c>
      <c r="P272" s="56">
        <f>IF(N272=0,"n/m",O272/ABS(N272))</f>
        <v>-6.6891841877945335E-2</v>
      </c>
      <c r="Q272" s="26"/>
      <c r="R272" s="38"/>
    </row>
    <row r="273" spans="1:18" ht="15.75">
      <c r="A273" s="71">
        <f>+A272+1</f>
        <v>155</v>
      </c>
      <c r="B273" s="71"/>
      <c r="C273" s="42" t="s">
        <v>212</v>
      </c>
      <c r="D273" s="42"/>
      <c r="E273" s="57"/>
      <c r="F273" s="70" t="str">
        <f>"(Line "&amp;A40&amp;" - Line "&amp;A54&amp;" + Line "&amp;A73&amp;")"</f>
        <v>(Line 17 - Line 25 + Line 34)</v>
      </c>
      <c r="G273" s="70"/>
      <c r="H273" s="370">
        <f>(H40-H54)+H73</f>
        <v>4621816433.2684622</v>
      </c>
      <c r="J273" s="370">
        <v>4611462508.5312443</v>
      </c>
      <c r="K273" s="53">
        <f>$H273-J273</f>
        <v>10353924.737217903</v>
      </c>
      <c r="L273" s="56">
        <f>IF(J273=0,"n/m",K273/ABS(J273))</f>
        <v>2.2452583574219796E-3</v>
      </c>
      <c r="M273" s="2"/>
      <c r="N273" s="370">
        <v>4676269865.9732246</v>
      </c>
      <c r="O273" s="53">
        <f>$H273-N273</f>
        <v>-54453432.704762459</v>
      </c>
      <c r="P273" s="56">
        <f>IF(N273=0,"n/m",O273/ABS(N273))</f>
        <v>-1.1644630071714139E-2</v>
      </c>
      <c r="Q273" s="26"/>
      <c r="R273" s="38"/>
    </row>
    <row r="274" spans="1:18" ht="15.75">
      <c r="A274" s="71">
        <f>+A273+1</f>
        <v>156</v>
      </c>
      <c r="B274" s="71"/>
      <c r="C274" s="42" t="s">
        <v>213</v>
      </c>
      <c r="D274" s="42"/>
      <c r="E274" s="57"/>
      <c r="F274" s="70" t="str">
        <f>"(Line "&amp;A272&amp;" / Line "&amp;A273&amp;")"</f>
        <v>(Line 154 / Line 155)</v>
      </c>
      <c r="G274" s="70"/>
      <c r="H274" s="114">
        <f>H272/H273</f>
        <v>0.11420142533061925</v>
      </c>
      <c r="J274" s="114">
        <v>0.11966062463040399</v>
      </c>
      <c r="K274" s="262">
        <f>$H274-J274</f>
        <v>-5.4591992997847366E-3</v>
      </c>
      <c r="L274" s="114"/>
      <c r="M274" s="2"/>
      <c r="N274" s="114">
        <v>0.12096303198778549</v>
      </c>
      <c r="O274" s="262">
        <f>$H274-N274</f>
        <v>-6.7616066571662414E-3</v>
      </c>
      <c r="P274" s="114"/>
      <c r="Q274" s="26"/>
      <c r="R274" s="38"/>
    </row>
    <row r="275" spans="1:18" ht="15.75">
      <c r="A275" s="71">
        <f>+A274+1</f>
        <v>157</v>
      </c>
      <c r="B275" s="71"/>
      <c r="C275" s="42" t="s">
        <v>214</v>
      </c>
      <c r="D275" s="42"/>
      <c r="E275" s="57"/>
      <c r="F275" s="70" t="str">
        <f>"(Line "&amp;A272&amp;" - Line "&amp;A145&amp;") / Line "&amp;A273</f>
        <v>(Line 154 - Line 76) / Line 155</v>
      </c>
      <c r="G275" s="70"/>
      <c r="H275" s="114">
        <f>(H272-H145)/H273</f>
        <v>8.9858688957500973E-2</v>
      </c>
      <c r="J275" s="114">
        <v>9.6505717526104678E-2</v>
      </c>
      <c r="K275" s="262">
        <f>$H275-J275</f>
        <v>-6.6470285686037051E-3</v>
      </c>
      <c r="L275" s="114"/>
      <c r="M275" s="2"/>
      <c r="N275" s="114">
        <v>9.7567539183558524E-2</v>
      </c>
      <c r="O275" s="262">
        <f>$H275-N275</f>
        <v>-7.7088502260575509E-3</v>
      </c>
      <c r="P275" s="114"/>
      <c r="Q275" s="26"/>
      <c r="R275" s="38"/>
    </row>
    <row r="276" spans="1:18" ht="15.75">
      <c r="A276" s="71">
        <f>+A275+1</f>
        <v>158</v>
      </c>
      <c r="B276" s="71"/>
      <c r="C276" s="42" t="s">
        <v>215</v>
      </c>
      <c r="D276" s="42"/>
      <c r="E276" s="52"/>
      <c r="F276" s="70" t="str">
        <f>"(Line "&amp;A272&amp;" - Line "&amp;A145&amp;" - Line "&amp;A222&amp;" - Line "&amp;A241&amp;") / Line "&amp;A273</f>
        <v>(Line 154 - Line 76 - Line 127 - Line 136) / Line 155</v>
      </c>
      <c r="G276" s="70"/>
      <c r="H276" s="114">
        <f>(H272-H145-H222-H241)/H273</f>
        <v>2.6212100627762337E-2</v>
      </c>
      <c r="J276" s="114">
        <v>2.5893037467689718E-2</v>
      </c>
      <c r="K276" s="262">
        <f>$H276-J276</f>
        <v>3.1906316007261973E-4</v>
      </c>
      <c r="L276" s="114"/>
      <c r="M276" s="2"/>
      <c r="N276" s="114">
        <v>2.6321528098003377E-2</v>
      </c>
      <c r="O276" s="262">
        <f>$H276-N276</f>
        <v>-1.094274702410393E-4</v>
      </c>
      <c r="P276" s="114"/>
      <c r="Q276" s="26"/>
      <c r="R276" s="38"/>
    </row>
    <row r="277" spans="1:18" ht="15.75">
      <c r="A277" s="71"/>
      <c r="B277" s="71"/>
      <c r="C277" s="42"/>
      <c r="D277" s="42"/>
      <c r="E277" s="57"/>
      <c r="F277" s="70"/>
      <c r="G277" s="70"/>
      <c r="H277" s="81"/>
      <c r="J277" s="81"/>
      <c r="K277" s="81"/>
      <c r="L277" s="81"/>
      <c r="M277" s="2"/>
      <c r="N277" s="81"/>
      <c r="O277" s="81"/>
      <c r="P277" s="81"/>
      <c r="Q277" s="26"/>
      <c r="R277" s="38"/>
    </row>
    <row r="278" spans="1:18" ht="15.75">
      <c r="A278" s="71"/>
      <c r="B278" s="368" t="s">
        <v>216</v>
      </c>
      <c r="C278" s="42"/>
      <c r="D278" s="42"/>
      <c r="E278" s="57"/>
      <c r="F278" s="70"/>
      <c r="G278" s="70"/>
      <c r="H278" s="81"/>
      <c r="J278" s="81"/>
      <c r="K278" s="81"/>
      <c r="L278" s="81"/>
      <c r="M278" s="2"/>
      <c r="N278" s="81"/>
      <c r="O278" s="81"/>
      <c r="P278" s="81"/>
      <c r="Q278" s="26"/>
      <c r="R278" s="38"/>
    </row>
    <row r="279" spans="1:18" ht="15.75">
      <c r="A279" s="71">
        <f>+A276+1</f>
        <v>159</v>
      </c>
      <c r="B279" s="71"/>
      <c r="C279" s="42" t="s">
        <v>217</v>
      </c>
      <c r="D279" s="42"/>
      <c r="E279" s="57"/>
      <c r="F279" s="70" t="str">
        <f>"(Line "&amp;A263&amp;" - Line "&amp;A253&amp;" - Line "&amp;A254&amp;")"</f>
        <v>(Line 150 - Line 143 - Line 144)</v>
      </c>
      <c r="G279" s="70"/>
      <c r="H279" s="371">
        <f>H263-H253-H254</f>
        <v>233655176.43187854</v>
      </c>
      <c r="J279" s="371">
        <v>226182757.51424593</v>
      </c>
      <c r="K279" s="53">
        <f>$H279-J279</f>
        <v>7472418.9176326096</v>
      </c>
      <c r="L279" s="56">
        <f>IF(J279=0,"n/m",K279/ABS(J279))</f>
        <v>3.3037084699800628E-2</v>
      </c>
      <c r="M279" s="2"/>
      <c r="N279" s="371">
        <v>232490206.67106071</v>
      </c>
      <c r="O279" s="53">
        <f>$H279-N279</f>
        <v>1164969.7608178258</v>
      </c>
      <c r="P279" s="56">
        <f>IF(N279=0,"n/m",O279/ABS(N279))</f>
        <v>5.0108336927330698E-3</v>
      </c>
      <c r="Q279" s="26"/>
      <c r="R279" s="38"/>
    </row>
    <row r="280" spans="1:18" ht="15.75">
      <c r="A280" s="71">
        <f>+A279+1</f>
        <v>160</v>
      </c>
      <c r="B280" s="71"/>
      <c r="C280" s="42" t="s">
        <v>218</v>
      </c>
      <c r="D280" s="42"/>
      <c r="E280" s="57"/>
      <c r="F280" s="70" t="s">
        <v>219</v>
      </c>
      <c r="G280" s="70"/>
      <c r="H280" s="371">
        <f>'Att 4 - 100 Basis Point ROE'!I8</f>
        <v>318327206.17964959</v>
      </c>
      <c r="J280" s="372">
        <v>349760384.48757601</v>
      </c>
      <c r="K280" s="53">
        <f>$H280-J280</f>
        <v>-31433178.307926416</v>
      </c>
      <c r="L280" s="56">
        <f>IF(J280=0,"n/m",K280/ABS(J280))</f>
        <v>-8.9870607713272821E-2</v>
      </c>
      <c r="M280" s="2"/>
      <c r="N280" s="372">
        <v>357999277.50850731</v>
      </c>
      <c r="O280" s="53">
        <f>$H280-N280</f>
        <v>-39672071.32885772</v>
      </c>
      <c r="P280" s="56">
        <f>IF(N280=0,"n/m",O280/ABS(N280))</f>
        <v>-0.11081606534224074</v>
      </c>
      <c r="Q280" s="26"/>
      <c r="R280" s="38"/>
    </row>
    <row r="281" spans="1:18" ht="15.75">
      <c r="A281" s="71">
        <f>+A280+1</f>
        <v>161</v>
      </c>
      <c r="B281" s="71"/>
      <c r="C281" s="42" t="s">
        <v>220</v>
      </c>
      <c r="D281" s="42"/>
      <c r="E281" s="57"/>
      <c r="F281" s="70" t="str">
        <f>"(Line "&amp;A279&amp;" + Line "&amp;A280&amp;")"</f>
        <v>(Line 159 + Line 160)</v>
      </c>
      <c r="G281" s="70"/>
      <c r="H281" s="371">
        <f>H279+H280</f>
        <v>551982382.61152816</v>
      </c>
      <c r="J281" s="371">
        <v>575943142.00182199</v>
      </c>
      <c r="K281" s="53">
        <f>$H281-J281</f>
        <v>-23960759.390293837</v>
      </c>
      <c r="L281" s="56">
        <f>IF(J281=0,"n/m",K281/ABS(J281))</f>
        <v>-4.1602647280446367E-2</v>
      </c>
      <c r="M281" s="2"/>
      <c r="N281" s="371">
        <v>590489484.17956805</v>
      </c>
      <c r="O281" s="53">
        <f>$H281-N281</f>
        <v>-38507101.568039894</v>
      </c>
      <c r="P281" s="56">
        <f>IF(N281=0,"n/m",O281/ABS(N281))</f>
        <v>-6.5212171596149671E-2</v>
      </c>
      <c r="Q281" s="26"/>
      <c r="R281" s="38"/>
    </row>
    <row r="282" spans="1:18" ht="15.75">
      <c r="A282" s="71">
        <f>+A281+1</f>
        <v>162</v>
      </c>
      <c r="B282" s="71"/>
      <c r="C282" s="42" t="str">
        <f>+C273</f>
        <v xml:space="preserve">Net Transmission Plant </v>
      </c>
      <c r="D282" s="42"/>
      <c r="E282" s="57"/>
      <c r="F282" s="70" t="str">
        <f>"(Line "&amp;A40&amp;" - Line "&amp;A54&amp;" + Line "&amp;A73&amp;")"</f>
        <v>(Line 17 - Line 25 + Line 34)</v>
      </c>
      <c r="G282" s="70"/>
      <c r="H282" s="370">
        <f>(H40-H54)+H73</f>
        <v>4621816433.2684622</v>
      </c>
      <c r="J282" s="370">
        <v>4611462508.5312443</v>
      </c>
      <c r="K282" s="53">
        <f>$H282-J282</f>
        <v>10353924.737217903</v>
      </c>
      <c r="L282" s="56">
        <f>IF(J282=0,"n/m",K282/ABS(J282))</f>
        <v>2.2452583574219796E-3</v>
      </c>
      <c r="M282" s="2"/>
      <c r="N282" s="370">
        <v>4676269865.9732246</v>
      </c>
      <c r="O282" s="53">
        <f>$H282-N282</f>
        <v>-54453432.704762459</v>
      </c>
      <c r="P282" s="56">
        <f>IF(N282=0,"n/m",O282/ABS(N282))</f>
        <v>-1.1644630071714139E-2</v>
      </c>
      <c r="Q282" s="26"/>
      <c r="R282" s="38"/>
    </row>
    <row r="283" spans="1:18" ht="15.75">
      <c r="A283" s="71">
        <f>+A282+1</f>
        <v>163</v>
      </c>
      <c r="B283" s="71"/>
      <c r="C283" s="42" t="s">
        <v>221</v>
      </c>
      <c r="D283" s="42"/>
      <c r="E283" s="57"/>
      <c r="F283" s="70" t="str">
        <f>"(Line "&amp;A281&amp;" / Line "&amp;A282&amp;")"</f>
        <v>(Line 161 / Line 162)</v>
      </c>
      <c r="G283" s="46"/>
      <c r="H283" s="373">
        <f>H281/H282</f>
        <v>0.1194297503116489</v>
      </c>
      <c r="J283" s="373">
        <v>0.1248938142587785</v>
      </c>
      <c r="K283" s="373"/>
      <c r="L283" s="373"/>
      <c r="M283" s="2"/>
      <c r="N283" s="373">
        <v>0.12627361146888716</v>
      </c>
      <c r="O283" s="373"/>
      <c r="P283" s="373"/>
      <c r="Q283" s="26"/>
      <c r="R283" s="38"/>
    </row>
    <row r="284" spans="1:18" ht="15.75">
      <c r="A284" s="71">
        <f>+A283+1</f>
        <v>164</v>
      </c>
      <c r="B284" s="71"/>
      <c r="C284" s="42" t="s">
        <v>222</v>
      </c>
      <c r="D284" s="42"/>
      <c r="E284" s="57"/>
      <c r="F284" s="70" t="str">
        <f>"(Line "&amp;A281&amp;" - Line "&amp;A145&amp;") /  Line "&amp;A282</f>
        <v>(Line 161 - Line 76) /  Line 162</v>
      </c>
      <c r="G284" s="46"/>
      <c r="H284" s="373">
        <f>(H281-H145)/H282</f>
        <v>9.5087013938530626E-2</v>
      </c>
      <c r="J284" s="373">
        <v>0.1017389071544792</v>
      </c>
      <c r="K284" s="373"/>
      <c r="L284" s="373"/>
      <c r="M284" s="2"/>
      <c r="N284" s="373">
        <v>0.10287811866466021</v>
      </c>
      <c r="O284" s="373"/>
      <c r="P284" s="373"/>
      <c r="Q284" s="26"/>
      <c r="R284" s="38"/>
    </row>
    <row r="285" spans="1:18" ht="15.75">
      <c r="A285" s="71"/>
      <c r="B285" s="71"/>
      <c r="C285" s="42"/>
      <c r="D285" s="42"/>
      <c r="E285" s="57"/>
      <c r="F285" s="70"/>
      <c r="G285" s="46"/>
      <c r="H285" s="285"/>
      <c r="J285" s="285"/>
      <c r="K285" s="285"/>
      <c r="L285" s="285"/>
      <c r="M285" s="2"/>
      <c r="N285" s="285"/>
      <c r="O285" s="285"/>
      <c r="P285" s="285"/>
      <c r="Q285" s="26"/>
      <c r="R285" s="38"/>
    </row>
    <row r="286" spans="1:18" ht="15.75">
      <c r="A286" s="71">
        <f>+A284+1</f>
        <v>165</v>
      </c>
      <c r="B286" s="71"/>
      <c r="C286" s="368" t="s">
        <v>210</v>
      </c>
      <c r="D286" s="42"/>
      <c r="E286" s="52"/>
      <c r="F286" s="70" t="str">
        <f>"(Line "&amp;A269&amp;")"</f>
        <v>(Line 153)</v>
      </c>
      <c r="G286" s="46"/>
      <c r="H286" s="371">
        <f>H269</f>
        <v>417809938.72662836</v>
      </c>
      <c r="J286" s="371">
        <v>443672947.97745973</v>
      </c>
      <c r="K286" s="53">
        <f>$H286-J286</f>
        <v>-25863009.250831366</v>
      </c>
      <c r="L286" s="56">
        <f>IF(J286=0,"n/m",K286/ABS(J286))</f>
        <v>-5.8292959642302342E-2</v>
      </c>
      <c r="M286" s="2"/>
      <c r="N286" s="371">
        <v>450192318.477305</v>
      </c>
      <c r="O286" s="53">
        <f>$H286-N286</f>
        <v>-32382379.750676632</v>
      </c>
      <c r="P286" s="56">
        <f>IF(N286=0,"n/m",O286/ABS(N286))</f>
        <v>-7.1930102806294513E-2</v>
      </c>
      <c r="Q286" s="26"/>
      <c r="R286" s="38"/>
    </row>
    <row r="287" spans="1:18" ht="15.75">
      <c r="A287" s="71">
        <f>+A286+1</f>
        <v>166</v>
      </c>
      <c r="B287" s="71"/>
      <c r="C287" s="40" t="s">
        <v>223</v>
      </c>
      <c r="D287" s="374"/>
      <c r="E287" s="82"/>
      <c r="F287" s="40" t="s">
        <v>224</v>
      </c>
      <c r="G287" s="46"/>
      <c r="H287" s="371">
        <f>'Att 5 - Cost Support'!H285</f>
        <v>0</v>
      </c>
      <c r="J287" s="372">
        <v>0</v>
      </c>
      <c r="K287" s="53">
        <f>$H287-J287</f>
        <v>0</v>
      </c>
      <c r="L287" s="56" t="str">
        <f>IF(J287=0,"n/m",K287/ABS(J287))</f>
        <v>n/m</v>
      </c>
      <c r="M287" s="2"/>
      <c r="N287" s="372">
        <v>0</v>
      </c>
      <c r="O287" s="53">
        <f>$H287-N287</f>
        <v>0</v>
      </c>
      <c r="P287" s="56" t="str">
        <f>IF(N287=0,"n/m",O287/ABS(N287))</f>
        <v>n/m</v>
      </c>
      <c r="Q287" s="26"/>
      <c r="R287" s="38"/>
    </row>
    <row r="288" spans="1:18" ht="15.75">
      <c r="A288" s="71">
        <f>A287+1</f>
        <v>167</v>
      </c>
      <c r="B288" s="71"/>
      <c r="C288" s="40" t="s">
        <v>225</v>
      </c>
      <c r="D288" s="374"/>
      <c r="E288" s="82"/>
      <c r="F288" s="40" t="s">
        <v>226</v>
      </c>
      <c r="G288" s="46"/>
      <c r="H288" s="371">
        <f>INDEX('Att 7 - Trans Enhance Charge'!$D$30:$T$71,MATCH(IF(Toggle=Projection,data_year+1,data_year)&amp;'Att 7 - Trans Enhance Charge'!$C$31,'Att 7 - Trans Enhance Charge'!$B$30:$B$69,0),MATCH('Att 7 - Trans Enhance Charge'!$T$29,'Att 7 - Trans Enhance Charge'!$D$29:$T$29,0))</f>
        <v>3623760.6623737514</v>
      </c>
      <c r="J288" s="372">
        <v>3701441.9869333208</v>
      </c>
      <c r="K288" s="53">
        <f>$H288-J288</f>
        <v>-77681.324559569359</v>
      </c>
      <c r="L288" s="56">
        <f>IF(J288=0,"n/m",K288/ABS(J288))</f>
        <v>-2.0986773488223455E-2</v>
      </c>
      <c r="M288" s="37"/>
      <c r="N288" s="372">
        <v>3680689.8840587139</v>
      </c>
      <c r="O288" s="53">
        <f>$H288-N288</f>
        <v>-56929.221684962511</v>
      </c>
      <c r="P288" s="56">
        <f>IF(N288=0,"n/m",O288/ABS(N288))</f>
        <v>-1.5466997622246402E-2</v>
      </c>
      <c r="Q288" s="26"/>
      <c r="R288" s="38"/>
    </row>
    <row r="289" spans="1:18" ht="15.75">
      <c r="A289" s="71">
        <f>A288+1</f>
        <v>168</v>
      </c>
      <c r="B289" s="71"/>
      <c r="C289" s="40" t="s">
        <v>227</v>
      </c>
      <c r="D289" s="374"/>
      <c r="E289" s="82"/>
      <c r="F289" s="40" t="s">
        <v>224</v>
      </c>
      <c r="G289" s="46"/>
      <c r="H289" s="371">
        <f>'Att 5 - Cost Support'!H286</f>
        <v>2410364.63</v>
      </c>
      <c r="J289" s="372">
        <v>1468173.9100000001</v>
      </c>
      <c r="K289" s="53">
        <f>$H289-J289</f>
        <v>942190.71999999974</v>
      </c>
      <c r="L289" s="56">
        <f>IF(J289=0,"n/m",K289/ABS(J289))</f>
        <v>0.64174326595954811</v>
      </c>
      <c r="M289" s="2"/>
      <c r="N289" s="372">
        <v>986704.87999999989</v>
      </c>
      <c r="O289" s="53">
        <f>$H289-N289</f>
        <v>1423659.75</v>
      </c>
      <c r="P289" s="56">
        <f>IF(N289=0,"n/m",O289/ABS(N289))</f>
        <v>1.4428425143696464</v>
      </c>
      <c r="Q289" s="26"/>
      <c r="R289" s="38"/>
    </row>
    <row r="290" spans="1:18" ht="15.75">
      <c r="A290" s="71">
        <f>A289+1</f>
        <v>169</v>
      </c>
      <c r="B290" s="71"/>
      <c r="C290" s="368" t="s">
        <v>228</v>
      </c>
      <c r="D290" s="42"/>
      <c r="E290" s="52"/>
      <c r="F290" s="70" t="str">
        <f>"(Line "&amp;A286&amp;" + "&amp;A287&amp;" + "&amp;A288&amp;" + "&amp;A289&amp;")"</f>
        <v>(Line 165 + 166 + 167 + 168)</v>
      </c>
      <c r="G290" s="46"/>
      <c r="H290" s="371">
        <f>(H286+H287+H288+H289)</f>
        <v>423844064.01900208</v>
      </c>
      <c r="J290" s="371">
        <v>448842563.87439305</v>
      </c>
      <c r="K290" s="53">
        <f>$H290-J290</f>
        <v>-24998499.855390966</v>
      </c>
      <c r="L290" s="56">
        <f>IF(J290=0,"n/m",K290/ABS(J290))</f>
        <v>-5.569547513409781E-2</v>
      </c>
      <c r="M290" s="2"/>
      <c r="N290" s="371">
        <v>454859713.2413637</v>
      </c>
      <c r="O290" s="53">
        <f>$H290-N290</f>
        <v>-31015649.222361624</v>
      </c>
      <c r="P290" s="56">
        <f>IF(N290=0,"n/m",O290/ABS(N290))</f>
        <v>-6.8187285704732634E-2</v>
      </c>
      <c r="Q290" s="26"/>
      <c r="R290" s="38"/>
    </row>
    <row r="291" spans="1:18" ht="15.75">
      <c r="A291" s="71"/>
      <c r="B291" s="50"/>
      <c r="C291" s="42"/>
      <c r="D291" s="42"/>
      <c r="E291" s="57"/>
      <c r="F291" s="70"/>
      <c r="G291" s="46"/>
      <c r="H291" s="314"/>
      <c r="J291" s="314"/>
      <c r="K291" s="314"/>
      <c r="L291" s="314"/>
      <c r="M291" s="2"/>
      <c r="N291" s="314"/>
      <c r="O291" s="314"/>
      <c r="P291" s="314"/>
      <c r="Q291" s="26"/>
      <c r="R291" s="38"/>
    </row>
    <row r="292" spans="1:18" ht="15.75">
      <c r="A292" s="71"/>
      <c r="B292" s="153" t="s">
        <v>229</v>
      </c>
      <c r="C292" s="42"/>
      <c r="D292" s="42"/>
      <c r="E292" s="359"/>
      <c r="F292" s="70"/>
      <c r="G292" s="46"/>
      <c r="H292" s="314"/>
      <c r="J292" s="314"/>
      <c r="K292" s="314"/>
      <c r="L292" s="314"/>
      <c r="M292" s="2"/>
      <c r="N292" s="314"/>
      <c r="O292" s="314"/>
      <c r="P292" s="314"/>
      <c r="Q292" s="26"/>
      <c r="R292" s="38"/>
    </row>
    <row r="293" spans="1:18" ht="15.75">
      <c r="A293" s="71">
        <f>+A290+1</f>
        <v>170</v>
      </c>
      <c r="B293" s="50"/>
      <c r="C293" s="70" t="s">
        <v>230</v>
      </c>
      <c r="D293" s="46"/>
      <c r="E293" s="82" t="str">
        <f>"(Note "&amp;B$316&amp;")"</f>
        <v>(Note I)</v>
      </c>
      <c r="F293" s="42" t="s">
        <v>231</v>
      </c>
      <c r="G293" s="42"/>
      <c r="H293" s="314">
        <f>IF(Toggle=Projection,'Att 9a - 2020 Projection'!AJ43,IF(Toggle=True_up,'Att 9b - 2019 True-up'!AL43,"Set Toggle!"))</f>
        <v>13892.520166666667</v>
      </c>
      <c r="J293" s="360">
        <v>14017.188975277779</v>
      </c>
      <c r="K293" s="53">
        <f>$H293-J293</f>
        <v>-124.66880861111167</v>
      </c>
      <c r="L293" s="56">
        <f>IF(J293=0,"n/m",K293/ABS(J293))</f>
        <v>-8.8939949964997253E-3</v>
      </c>
      <c r="M293" s="375"/>
      <c r="N293" s="360">
        <v>13895.10385888889</v>
      </c>
      <c r="O293" s="53">
        <f>$H293-N293</f>
        <v>-2.583692222222453</v>
      </c>
      <c r="P293" s="56">
        <f>IF(N293=0,"n/m",O293/ABS(N293))</f>
        <v>-1.8594263479143622E-4</v>
      </c>
      <c r="Q293" s="26"/>
      <c r="R293" s="38"/>
    </row>
    <row r="294" spans="1:18" ht="15.75">
      <c r="A294" s="71">
        <f>+A293+1</f>
        <v>171</v>
      </c>
      <c r="B294" s="50"/>
      <c r="C294" s="46" t="s">
        <v>232</v>
      </c>
      <c r="D294" s="376"/>
      <c r="E294" s="377"/>
      <c r="F294" s="107" t="str">
        <f>"(Line "&amp;A290&amp;" / "&amp;A293&amp;")"</f>
        <v>(Line 169 / 170)</v>
      </c>
      <c r="G294" s="378"/>
      <c r="H294" s="379">
        <f>H290/H293</f>
        <v>30508.796023630177</v>
      </c>
      <c r="J294" s="379">
        <v>32020.868425618006</v>
      </c>
      <c r="K294" s="53">
        <f>$H294-J294</f>
        <v>-1512.0724019878289</v>
      </c>
      <c r="L294" s="56">
        <f>IF(J294=0,"n/m",K294/ABS(J294))</f>
        <v>-4.7221467634466434E-2</v>
      </c>
      <c r="M294" s="2"/>
      <c r="N294" s="379">
        <v>32735.251053944707</v>
      </c>
      <c r="O294" s="53">
        <f>$H294-N294</f>
        <v>-2226.4550303145297</v>
      </c>
      <c r="P294" s="56">
        <f>IF(N294=0,"n/m",O294/ABS(N294))</f>
        <v>-6.8013989770401795E-2</v>
      </c>
      <c r="Q294" s="26"/>
      <c r="R294" s="38"/>
    </row>
    <row r="295" spans="1:18" ht="16.5" thickBot="1">
      <c r="A295" s="50"/>
      <c r="B295" s="50"/>
      <c r="C295" s="46"/>
      <c r="D295" s="46"/>
      <c r="E295" s="380"/>
      <c r="F295" s="381"/>
      <c r="G295" s="378"/>
      <c r="H295" s="382"/>
      <c r="J295" s="382"/>
      <c r="K295" s="382"/>
      <c r="L295" s="382"/>
      <c r="M295" s="42"/>
      <c r="N295" s="382"/>
      <c r="O295" s="382"/>
      <c r="P295" s="382"/>
      <c r="Q295" s="26"/>
      <c r="R295" s="38"/>
    </row>
    <row r="296" spans="1:18" ht="18.75" thickBot="1">
      <c r="A296" s="328">
        <f>+A294+1</f>
        <v>172</v>
      </c>
      <c r="B296" s="383"/>
      <c r="C296" s="384" t="s">
        <v>233</v>
      </c>
      <c r="D296" s="385"/>
      <c r="E296" s="385"/>
      <c r="F296" s="386" t="str">
        <f>"(Line "&amp;A294&amp;")"</f>
        <v>(Line 171)</v>
      </c>
      <c r="G296" s="385"/>
      <c r="H296" s="387">
        <f>H294</f>
        <v>30508.796023630177</v>
      </c>
      <c r="J296" s="336">
        <v>32020.868425618006</v>
      </c>
      <c r="K296" s="337">
        <f>$H296-J296</f>
        <v>-1512.0724019878289</v>
      </c>
      <c r="L296" s="338">
        <f>IF(J296=0,"n/m",K296/ABS(J296))</f>
        <v>-4.7221467634466434E-2</v>
      </c>
      <c r="M296" s="42"/>
      <c r="N296" s="336">
        <v>32735.251053944707</v>
      </c>
      <c r="O296" s="337">
        <f>$H296-N296</f>
        <v>-2226.4550303145297</v>
      </c>
      <c r="P296" s="338">
        <f>IF(N296=0,"n/m",O296/ABS(N296))</f>
        <v>-6.8013989770401795E-2</v>
      </c>
      <c r="Q296" s="26"/>
      <c r="R296" s="38"/>
    </row>
    <row r="297" spans="1:18" ht="15.75">
      <c r="A297" s="138"/>
      <c r="B297" s="263"/>
      <c r="C297" s="150"/>
      <c r="D297" s="150"/>
      <c r="E297" s="380"/>
      <c r="F297" s="378"/>
      <c r="G297" s="378"/>
      <c r="H297" s="382"/>
      <c r="J297" s="382"/>
      <c r="K297" s="382"/>
      <c r="L297" s="382"/>
      <c r="M297" s="42"/>
      <c r="N297" s="382"/>
      <c r="O297" s="382"/>
      <c r="P297" s="382"/>
      <c r="Q297" s="26"/>
      <c r="R297" s="38"/>
    </row>
    <row r="298" spans="1:18" ht="15.75">
      <c r="A298" s="30" t="s">
        <v>6</v>
      </c>
      <c r="B298" s="32"/>
      <c r="C298" s="32"/>
      <c r="D298" s="32"/>
      <c r="E298" s="96"/>
      <c r="F298" s="35"/>
      <c r="G298" s="35"/>
      <c r="H298" s="137"/>
      <c r="J298" s="137"/>
      <c r="K298" s="137"/>
      <c r="L298" s="137"/>
      <c r="M298" s="42"/>
      <c r="N298" s="137"/>
      <c r="O298" s="137"/>
      <c r="P298" s="137"/>
      <c r="Q298" s="26"/>
      <c r="R298" s="38"/>
    </row>
    <row r="299" spans="1:18" ht="20.25">
      <c r="A299" s="388"/>
      <c r="B299" s="389"/>
      <c r="C299" s="390"/>
      <c r="D299" s="391"/>
      <c r="E299" s="392"/>
      <c r="F299" s="393"/>
      <c r="G299" s="394"/>
      <c r="H299" s="395"/>
      <c r="J299" s="395"/>
      <c r="K299" s="395"/>
      <c r="L299" s="395"/>
      <c r="M299" s="42"/>
      <c r="N299" s="395"/>
      <c r="O299" s="395"/>
      <c r="P299" s="395"/>
      <c r="Q299" s="26"/>
      <c r="R299" s="38"/>
    </row>
    <row r="300" spans="1:18" ht="20.25">
      <c r="A300" s="388"/>
      <c r="B300" s="389" t="s">
        <v>234</v>
      </c>
      <c r="C300" s="396" t="str">
        <f>"Line "&amp;A39&amp;" includes New Transmission Plant to be placed in service in the current calendar year.   Projected capital additions will include only the capital costs associated "</f>
        <v xml:space="preserve">Line 16 includes New Transmission Plant to be placed in service in the current calendar year.   Projected capital additions will include only the capital costs associated </v>
      </c>
      <c r="D300" s="391"/>
      <c r="E300" s="392"/>
      <c r="F300" s="394"/>
      <c r="G300" s="394"/>
      <c r="H300" s="397"/>
      <c r="J300" s="397"/>
      <c r="K300" s="397"/>
      <c r="L300" s="397"/>
      <c r="M300" s="42"/>
      <c r="N300" s="397"/>
      <c r="O300" s="397"/>
      <c r="P300" s="397"/>
      <c r="Q300" s="26"/>
      <c r="R300" s="38"/>
    </row>
    <row r="301" spans="1:18" ht="20.25">
      <c r="A301" s="388"/>
      <c r="B301" s="60"/>
      <c r="C301" s="398" t="s">
        <v>235</v>
      </c>
      <c r="D301" s="391"/>
      <c r="E301" s="392"/>
      <c r="F301" s="394"/>
      <c r="G301" s="394"/>
      <c r="H301" s="397"/>
      <c r="J301" s="397"/>
      <c r="K301" s="397"/>
      <c r="L301" s="397"/>
      <c r="M301" s="399"/>
      <c r="N301" s="397"/>
      <c r="O301" s="397"/>
      <c r="P301" s="397"/>
      <c r="Q301" s="26"/>
      <c r="R301" s="38"/>
    </row>
    <row r="302" spans="1:18" ht="20.25">
      <c r="A302" s="388"/>
      <c r="B302" s="60"/>
      <c r="C302" s="398" t="s">
        <v>236</v>
      </c>
      <c r="D302" s="391"/>
      <c r="E302" s="392"/>
      <c r="F302" s="394"/>
      <c r="G302" s="394"/>
      <c r="H302" s="397"/>
      <c r="J302" s="397"/>
      <c r="K302" s="397"/>
      <c r="L302" s="397"/>
      <c r="M302" s="42"/>
      <c r="N302" s="397"/>
      <c r="O302" s="397"/>
      <c r="P302" s="397"/>
      <c r="Q302" s="26"/>
      <c r="R302" s="38"/>
    </row>
    <row r="303" spans="1:18" ht="20.25">
      <c r="A303" s="388"/>
      <c r="B303" s="389" t="s">
        <v>237</v>
      </c>
      <c r="C303" s="396" t="s">
        <v>238</v>
      </c>
      <c r="D303" s="391"/>
      <c r="E303" s="392"/>
      <c r="F303" s="394"/>
      <c r="G303" s="394"/>
      <c r="H303" s="397"/>
      <c r="J303" s="397"/>
      <c r="K303" s="397"/>
      <c r="L303" s="397"/>
      <c r="M303" s="42"/>
      <c r="N303" s="397"/>
      <c r="O303" s="397"/>
      <c r="P303" s="397"/>
      <c r="Q303" s="26"/>
      <c r="R303" s="38"/>
    </row>
    <row r="304" spans="1:18" ht="20.25">
      <c r="A304" s="388"/>
      <c r="B304" s="389" t="s">
        <v>239</v>
      </c>
      <c r="C304" s="400" t="str">
        <f>"Annual membership dues (e.g., for EPRI, NEETRAC, SEPA and NCTA) are excluded from the calculation of the ATRR and charges under the Formula Rate and are subtracted from "</f>
        <v xml:space="preserve">Annual membership dues (e.g., for EPRI, NEETRAC, SEPA and NCTA) are excluded from the calculation of the ATRR and charges under the Formula Rate and are subtracted from </v>
      </c>
      <c r="D304" s="401"/>
      <c r="E304" s="401"/>
      <c r="F304" s="401"/>
      <c r="G304" s="401"/>
      <c r="H304" s="401"/>
      <c r="J304" s="397"/>
      <c r="K304" s="397"/>
      <c r="L304" s="397"/>
      <c r="M304" s="402"/>
      <c r="N304" s="401"/>
      <c r="O304" s="401"/>
      <c r="P304" s="401"/>
      <c r="Q304" s="26"/>
      <c r="R304" s="38"/>
    </row>
    <row r="305" spans="1:18" ht="20.25">
      <c r="A305" s="388"/>
      <c r="B305" s="389"/>
      <c r="C305" s="400" t="str">
        <f>"Total A&amp;G.  Total A&amp;G does not include lobbying expenses."</f>
        <v>Total A&amp;G.  Total A&amp;G does not include lobbying expenses.</v>
      </c>
      <c r="D305" s="401"/>
      <c r="E305" s="401"/>
      <c r="F305" s="401"/>
      <c r="G305" s="401"/>
      <c r="H305" s="401"/>
      <c r="I305" s="401"/>
      <c r="J305" s="397"/>
      <c r="K305" s="397"/>
      <c r="L305" s="397"/>
      <c r="M305" s="402"/>
      <c r="N305" s="401"/>
      <c r="O305" s="401"/>
      <c r="P305" s="401"/>
      <c r="Q305" s="26"/>
      <c r="R305" s="38"/>
    </row>
    <row r="306" spans="1:18" ht="20.25">
      <c r="A306" s="388"/>
      <c r="B306" s="389" t="s">
        <v>240</v>
      </c>
      <c r="C306" s="403" t="s">
        <v>241</v>
      </c>
      <c r="D306" s="391"/>
      <c r="E306" s="392"/>
      <c r="F306" s="394"/>
      <c r="G306" s="394"/>
      <c r="H306" s="397"/>
      <c r="I306" s="397"/>
      <c r="J306" s="397"/>
      <c r="K306" s="397"/>
      <c r="L306" s="397"/>
      <c r="M306" s="42"/>
      <c r="N306" s="397"/>
      <c r="O306" s="397"/>
      <c r="P306" s="397"/>
      <c r="Q306" s="26"/>
      <c r="R306" s="38"/>
    </row>
    <row r="307" spans="1:18" ht="20.25">
      <c r="A307" s="388"/>
      <c r="B307" s="389" t="s">
        <v>242</v>
      </c>
      <c r="C307" s="404" t="s">
        <v>243</v>
      </c>
      <c r="D307" s="391"/>
      <c r="E307" s="392"/>
      <c r="F307" s="394"/>
      <c r="G307" s="394"/>
      <c r="H307" s="397"/>
      <c r="I307" s="397"/>
      <c r="J307" s="397"/>
      <c r="K307" s="397"/>
      <c r="L307" s="397"/>
      <c r="M307" s="42"/>
      <c r="N307" s="397"/>
      <c r="O307" s="397"/>
      <c r="P307" s="397"/>
      <c r="Q307" s="26"/>
      <c r="R307" s="38"/>
    </row>
    <row r="308" spans="1:18" ht="20.25">
      <c r="A308" s="388"/>
      <c r="B308" s="389" t="s">
        <v>244</v>
      </c>
      <c r="C308" s="391" t="s">
        <v>245</v>
      </c>
      <c r="D308" s="391"/>
      <c r="E308" s="392"/>
      <c r="F308" s="394"/>
      <c r="G308" s="394"/>
      <c r="H308" s="397"/>
      <c r="I308" s="397"/>
      <c r="J308" s="397"/>
      <c r="K308" s="397"/>
      <c r="L308" s="397"/>
      <c r="M308" s="42"/>
      <c r="N308" s="397"/>
      <c r="O308" s="397"/>
      <c r="P308" s="397"/>
      <c r="Q308" s="26"/>
      <c r="R308" s="38"/>
    </row>
    <row r="309" spans="1:18" ht="20.25">
      <c r="A309" s="388"/>
      <c r="B309" s="389" t="s">
        <v>246</v>
      </c>
      <c r="C309" s="405" t="s">
        <v>247</v>
      </c>
      <c r="D309" s="391"/>
      <c r="E309" s="392"/>
      <c r="F309" s="394"/>
      <c r="G309" s="394"/>
      <c r="H309" s="397"/>
      <c r="I309" s="397"/>
      <c r="J309" s="397"/>
      <c r="K309" s="397"/>
      <c r="L309" s="397"/>
      <c r="M309" s="42"/>
      <c r="N309" s="397"/>
      <c r="O309" s="397"/>
      <c r="P309" s="397"/>
      <c r="Q309" s="26"/>
      <c r="R309" s="38"/>
    </row>
    <row r="310" spans="1:18" ht="20.25">
      <c r="A310" s="388"/>
      <c r="B310" s="389"/>
      <c r="C310" s="404" t="s">
        <v>248</v>
      </c>
      <c r="D310" s="391"/>
      <c r="E310" s="392"/>
      <c r="F310" s="394"/>
      <c r="G310" s="394"/>
      <c r="H310" s="397"/>
      <c r="I310" s="397"/>
      <c r="J310" s="397"/>
      <c r="K310" s="397"/>
      <c r="L310" s="397"/>
      <c r="M310" s="42"/>
      <c r="N310" s="397"/>
      <c r="O310" s="397"/>
      <c r="P310" s="397"/>
      <c r="Q310" s="26"/>
      <c r="R310" s="38"/>
    </row>
    <row r="311" spans="1:18" ht="20.25">
      <c r="A311" s="388"/>
      <c r="B311" s="60"/>
      <c r="C311" s="404" t="s">
        <v>249</v>
      </c>
      <c r="D311" s="391"/>
      <c r="E311" s="392"/>
      <c r="F311" s="394"/>
      <c r="G311" s="394"/>
      <c r="H311" s="397"/>
      <c r="I311" s="397"/>
      <c r="J311" s="397"/>
      <c r="K311" s="397"/>
      <c r="L311" s="397"/>
      <c r="M311" s="42"/>
      <c r="N311" s="397"/>
      <c r="O311" s="397"/>
      <c r="P311" s="397"/>
      <c r="Q311" s="26"/>
      <c r="R311" s="38"/>
    </row>
    <row r="312" spans="1:18" ht="20.25">
      <c r="A312" s="388"/>
      <c r="B312" s="60"/>
      <c r="C312" s="406" t="s">
        <v>250</v>
      </c>
      <c r="D312" s="391"/>
      <c r="E312" s="392"/>
      <c r="F312" s="394"/>
      <c r="G312" s="394"/>
      <c r="H312" s="397"/>
      <c r="I312" s="397"/>
      <c r="J312" s="397"/>
      <c r="K312" s="397"/>
      <c r="L312" s="397"/>
      <c r="M312" s="42"/>
      <c r="N312" s="397"/>
      <c r="O312" s="397"/>
      <c r="P312" s="397"/>
      <c r="Q312" s="26"/>
      <c r="R312" s="38"/>
    </row>
    <row r="313" spans="1:18" ht="20.25">
      <c r="A313" s="388"/>
      <c r="B313" s="389" t="s">
        <v>251</v>
      </c>
      <c r="C313" s="391" t="s">
        <v>252</v>
      </c>
      <c r="D313" s="391"/>
      <c r="E313" s="392"/>
      <c r="F313" s="394"/>
      <c r="G313" s="394"/>
      <c r="H313" s="397"/>
      <c r="I313" s="397"/>
      <c r="J313" s="397"/>
      <c r="K313" s="397"/>
      <c r="L313" s="397"/>
      <c r="M313" s="42"/>
      <c r="N313" s="397"/>
      <c r="O313" s="397"/>
      <c r="P313" s="397"/>
      <c r="Q313" s="26"/>
      <c r="R313" s="38"/>
    </row>
    <row r="314" spans="1:18" ht="20.25">
      <c r="A314" s="388"/>
      <c r="B314" s="389"/>
      <c r="C314" s="2420" t="s">
        <v>253</v>
      </c>
      <c r="D314" s="2420"/>
      <c r="E314" s="2420"/>
      <c r="F314" s="2420"/>
      <c r="G314" s="2420"/>
      <c r="H314" s="2420"/>
      <c r="I314" s="397"/>
      <c r="J314" s="397"/>
      <c r="K314" s="397"/>
      <c r="L314" s="397"/>
      <c r="M314" s="42"/>
      <c r="N314" s="397"/>
      <c r="O314" s="397"/>
      <c r="P314" s="397"/>
      <c r="Q314" s="26"/>
      <c r="R314" s="38"/>
    </row>
    <row r="315" spans="1:18" ht="20.25">
      <c r="A315" s="388"/>
      <c r="B315" s="389"/>
      <c r="C315" s="391" t="s">
        <v>254</v>
      </c>
      <c r="D315" s="391"/>
      <c r="E315" s="392"/>
      <c r="F315" s="394"/>
      <c r="G315" s="394"/>
      <c r="H315" s="397"/>
      <c r="I315" s="397"/>
      <c r="J315" s="397"/>
      <c r="K315" s="397"/>
      <c r="L315" s="397"/>
      <c r="M315" s="42"/>
      <c r="N315" s="397"/>
      <c r="O315" s="397"/>
      <c r="P315" s="397"/>
      <c r="Q315" s="26"/>
      <c r="R315" s="38"/>
    </row>
    <row r="316" spans="1:18" ht="20.25">
      <c r="A316" s="388"/>
      <c r="B316" s="389" t="s">
        <v>255</v>
      </c>
      <c r="C316" s="391" t="s">
        <v>256</v>
      </c>
      <c r="D316" s="391"/>
      <c r="E316" s="392"/>
      <c r="F316" s="394"/>
      <c r="G316" s="394"/>
      <c r="H316" s="397"/>
      <c r="I316" s="397"/>
      <c r="J316" s="397"/>
      <c r="K316" s="397"/>
      <c r="L316" s="397"/>
      <c r="M316" s="42"/>
      <c r="N316" s="397"/>
      <c r="O316" s="397"/>
      <c r="P316" s="397"/>
      <c r="Q316" s="26"/>
      <c r="R316" s="38"/>
    </row>
    <row r="317" spans="1:18" ht="20.25">
      <c r="A317" s="388"/>
      <c r="B317" s="407"/>
      <c r="C317" s="403" t="s">
        <v>257</v>
      </c>
      <c r="D317" s="391"/>
      <c r="E317" s="392"/>
      <c r="F317" s="394"/>
      <c r="G317" s="394"/>
      <c r="H317" s="397"/>
      <c r="I317" s="397"/>
      <c r="J317" s="397"/>
      <c r="K317" s="397"/>
      <c r="L317" s="397"/>
      <c r="M317" s="42"/>
      <c r="N317" s="397"/>
      <c r="O317" s="397"/>
      <c r="P317" s="397"/>
      <c r="Q317" s="26"/>
      <c r="R317" s="38"/>
    </row>
    <row r="318" spans="1:18" ht="20.25">
      <c r="A318" s="388"/>
      <c r="B318" s="408" t="s">
        <v>258</v>
      </c>
      <c r="C318" s="409" t="s">
        <v>259</v>
      </c>
      <c r="D318" s="391"/>
      <c r="E318" s="392"/>
      <c r="F318" s="394"/>
      <c r="G318" s="394"/>
      <c r="H318" s="397"/>
      <c r="I318" s="397"/>
      <c r="J318" s="397"/>
      <c r="K318" s="397"/>
      <c r="L318" s="397"/>
      <c r="M318" s="42"/>
      <c r="N318" s="397"/>
      <c r="O318" s="397"/>
      <c r="P318" s="397"/>
      <c r="Q318" s="26"/>
      <c r="R318" s="38"/>
    </row>
    <row r="319" spans="1:18" ht="20.25">
      <c r="A319" s="388"/>
      <c r="B319" s="408" t="s">
        <v>260</v>
      </c>
      <c r="C319" s="409" t="s">
        <v>261</v>
      </c>
      <c r="D319" s="391"/>
      <c r="E319" s="392"/>
      <c r="F319" s="394"/>
      <c r="G319" s="394"/>
      <c r="H319" s="397"/>
      <c r="I319" s="397"/>
      <c r="J319" s="397"/>
      <c r="K319" s="397"/>
      <c r="L319" s="397"/>
      <c r="M319" s="42"/>
      <c r="N319" s="397"/>
      <c r="O319" s="397"/>
      <c r="P319" s="397"/>
      <c r="Q319" s="26"/>
      <c r="R319" s="38"/>
    </row>
    <row r="320" spans="1:18" ht="20.25">
      <c r="A320" s="388"/>
      <c r="B320" s="408" t="s">
        <v>262</v>
      </c>
      <c r="C320" s="403" t="s">
        <v>263</v>
      </c>
      <c r="D320" s="391"/>
      <c r="E320" s="392"/>
      <c r="F320" s="394"/>
      <c r="G320" s="394"/>
      <c r="H320" s="397"/>
      <c r="I320" s="397"/>
      <c r="J320" s="397"/>
      <c r="K320" s="397"/>
      <c r="L320" s="397"/>
      <c r="M320" s="42"/>
      <c r="N320" s="397"/>
      <c r="O320" s="397"/>
      <c r="P320" s="397"/>
      <c r="Q320" s="26"/>
      <c r="R320" s="38"/>
    </row>
    <row r="321" spans="1:18" ht="20.25">
      <c r="A321" s="388"/>
      <c r="B321" s="389"/>
      <c r="C321" s="391" t="s">
        <v>264</v>
      </c>
      <c r="D321" s="391"/>
      <c r="E321" s="392"/>
      <c r="F321" s="394"/>
      <c r="G321" s="394"/>
      <c r="H321" s="397"/>
      <c r="I321" s="397"/>
      <c r="J321" s="397"/>
      <c r="K321" s="397"/>
      <c r="L321" s="397"/>
      <c r="M321" s="42"/>
      <c r="N321" s="397"/>
      <c r="O321" s="397"/>
      <c r="P321" s="397"/>
      <c r="Q321" s="26"/>
      <c r="R321" s="38"/>
    </row>
    <row r="322" spans="1:18" ht="20.25">
      <c r="A322" s="388"/>
      <c r="B322" s="389" t="s">
        <v>265</v>
      </c>
      <c r="C322" s="391" t="s">
        <v>266</v>
      </c>
      <c r="D322" s="391"/>
      <c r="E322" s="392"/>
      <c r="F322" s="394"/>
      <c r="G322" s="394"/>
      <c r="H322" s="397"/>
      <c r="I322" s="397"/>
      <c r="J322" s="397"/>
      <c r="K322" s="397"/>
      <c r="L322" s="397"/>
      <c r="M322" s="42"/>
      <c r="N322" s="397"/>
      <c r="O322" s="397"/>
      <c r="P322" s="397"/>
      <c r="Q322" s="26"/>
      <c r="R322" s="38"/>
    </row>
    <row r="323" spans="1:18" ht="20.25">
      <c r="A323" s="388"/>
      <c r="B323" s="389" t="s">
        <v>267</v>
      </c>
      <c r="C323" s="391" t="s">
        <v>268</v>
      </c>
      <c r="D323" s="391"/>
      <c r="E323" s="392"/>
      <c r="F323" s="394"/>
      <c r="G323" s="394"/>
      <c r="H323" s="397"/>
      <c r="I323" s="397"/>
      <c r="J323" s="397"/>
      <c r="K323" s="397"/>
      <c r="L323" s="397"/>
      <c r="M323" s="42"/>
      <c r="N323" s="397"/>
      <c r="O323" s="397"/>
      <c r="P323" s="397"/>
      <c r="Q323" s="26"/>
      <c r="R323" s="38"/>
    </row>
    <row r="324" spans="1:18" ht="20.25">
      <c r="A324" s="410"/>
      <c r="B324" s="389" t="s">
        <v>269</v>
      </c>
      <c r="C324" s="391" t="s">
        <v>270</v>
      </c>
      <c r="D324" s="403"/>
      <c r="E324" s="392"/>
      <c r="F324" s="394"/>
      <c r="G324" s="394"/>
      <c r="H324" s="397"/>
      <c r="I324" s="397"/>
      <c r="J324" s="397"/>
      <c r="K324" s="397"/>
      <c r="L324" s="397"/>
      <c r="M324" s="37"/>
      <c r="N324" s="397"/>
      <c r="O324" s="397"/>
      <c r="P324" s="397"/>
      <c r="Q324" s="26"/>
      <c r="R324" s="38"/>
    </row>
    <row r="325" spans="1:18" ht="20.25">
      <c r="A325" s="410"/>
      <c r="B325" s="408" t="s">
        <v>271</v>
      </c>
      <c r="C325" s="2411" t="s">
        <v>272</v>
      </c>
      <c r="D325" s="2411"/>
      <c r="E325" s="2411"/>
      <c r="F325" s="2411"/>
      <c r="G325" s="2411"/>
      <c r="H325" s="2411"/>
      <c r="I325" s="411"/>
      <c r="J325" s="411"/>
      <c r="K325" s="411"/>
      <c r="L325" s="411"/>
      <c r="M325" s="37"/>
      <c r="N325" s="411"/>
      <c r="O325" s="411"/>
      <c r="P325" s="411"/>
      <c r="Q325" s="26"/>
      <c r="R325" s="38"/>
    </row>
    <row r="326" spans="1:18" ht="20.25">
      <c r="A326" s="410"/>
      <c r="B326" s="407"/>
      <c r="C326" s="2411"/>
      <c r="D326" s="2411"/>
      <c r="E326" s="2411"/>
      <c r="F326" s="2411"/>
      <c r="G326" s="2411"/>
      <c r="H326" s="2411"/>
      <c r="I326" s="411"/>
      <c r="J326" s="411"/>
      <c r="K326" s="411"/>
      <c r="L326" s="411"/>
      <c r="M326" s="37"/>
      <c r="N326" s="411"/>
      <c r="O326" s="411"/>
      <c r="P326" s="411"/>
      <c r="Q326" s="26"/>
      <c r="R326" s="38"/>
    </row>
    <row r="327" spans="1:18" ht="20.25">
      <c r="A327" s="412"/>
      <c r="B327" s="408" t="s">
        <v>273</v>
      </c>
      <c r="C327" s="2411" t="s">
        <v>274</v>
      </c>
      <c r="D327" s="2411"/>
      <c r="E327" s="2411"/>
      <c r="F327" s="2411"/>
      <c r="G327" s="2411"/>
      <c r="H327" s="2411"/>
      <c r="I327" s="411"/>
      <c r="J327" s="411"/>
      <c r="K327" s="411"/>
      <c r="L327" s="411"/>
      <c r="M327" s="37"/>
      <c r="N327" s="411"/>
      <c r="O327" s="411"/>
      <c r="P327" s="411"/>
      <c r="Q327" s="26"/>
      <c r="R327" s="38"/>
    </row>
    <row r="328" spans="1:18" ht="20.25">
      <c r="A328" s="412"/>
      <c r="B328" s="408" t="s">
        <v>275</v>
      </c>
      <c r="C328" s="2411" t="s">
        <v>276</v>
      </c>
      <c r="D328" s="2411"/>
      <c r="E328" s="2411"/>
      <c r="F328" s="2411"/>
      <c r="G328" s="2411"/>
      <c r="H328" s="2411"/>
      <c r="I328" s="411"/>
      <c r="J328" s="411"/>
      <c r="K328" s="411"/>
      <c r="L328" s="411"/>
      <c r="N328" s="411"/>
      <c r="O328" s="411"/>
      <c r="P328" s="411"/>
      <c r="Q328" s="26"/>
      <c r="R328" s="38"/>
    </row>
    <row r="329" spans="1:18" ht="20.25">
      <c r="A329" s="412"/>
      <c r="B329" s="408"/>
      <c r="C329" s="2411"/>
      <c r="D329" s="2411"/>
      <c r="E329" s="2411"/>
      <c r="F329" s="2411"/>
      <c r="G329" s="2411"/>
      <c r="H329" s="2411"/>
      <c r="I329" s="411"/>
      <c r="J329" s="411"/>
      <c r="K329" s="411"/>
      <c r="L329" s="411"/>
      <c r="N329" s="411"/>
      <c r="O329" s="411"/>
      <c r="P329" s="411"/>
      <c r="Q329" s="26"/>
      <c r="R329" s="38"/>
    </row>
    <row r="330" spans="1:18" ht="20.25">
      <c r="A330" s="412"/>
      <c r="B330" s="408" t="s">
        <v>277</v>
      </c>
      <c r="C330" s="2421" t="s">
        <v>278</v>
      </c>
      <c r="D330" s="2421"/>
      <c r="E330" s="2421"/>
      <c r="F330" s="2421"/>
      <c r="G330" s="2421"/>
      <c r="H330" s="2421"/>
      <c r="I330" s="413"/>
      <c r="J330" s="413"/>
      <c r="K330" s="413"/>
      <c r="L330" s="413"/>
      <c r="M330" s="2"/>
      <c r="N330" s="413"/>
      <c r="O330" s="413"/>
      <c r="P330" s="413"/>
      <c r="Q330" s="26"/>
      <c r="R330" s="38"/>
    </row>
    <row r="331" spans="1:18" ht="20.25">
      <c r="A331" s="412"/>
      <c r="B331" s="408"/>
      <c r="C331" s="2422" t="s">
        <v>279</v>
      </c>
      <c r="D331" s="2422"/>
      <c r="E331" s="2422"/>
      <c r="F331" s="2422"/>
      <c r="G331" s="2422"/>
      <c r="H331" s="2422"/>
      <c r="I331" s="414"/>
      <c r="J331" s="414"/>
      <c r="K331" s="414"/>
      <c r="L331" s="414"/>
      <c r="M331" s="2"/>
      <c r="N331" s="414"/>
      <c r="O331" s="414"/>
      <c r="P331" s="414"/>
      <c r="Q331" s="26"/>
      <c r="R331" s="38"/>
    </row>
    <row r="332" spans="1:18" ht="20.25">
      <c r="A332" s="412"/>
      <c r="B332" s="408"/>
      <c r="C332" s="2422" t="s">
        <v>280</v>
      </c>
      <c r="D332" s="2422"/>
      <c r="E332" s="2422"/>
      <c r="F332" s="2422"/>
      <c r="G332" s="2422"/>
      <c r="H332" s="2422"/>
      <c r="I332" s="414"/>
      <c r="J332" s="414"/>
      <c r="K332" s="414"/>
      <c r="L332" s="414"/>
      <c r="M332" s="2"/>
      <c r="N332" s="414"/>
      <c r="O332" s="414"/>
      <c r="P332" s="414"/>
      <c r="Q332" s="26"/>
      <c r="R332" s="38"/>
    </row>
    <row r="333" spans="1:18" ht="20.25">
      <c r="A333" s="412"/>
      <c r="B333" s="408"/>
      <c r="C333" s="2422" t="s">
        <v>281</v>
      </c>
      <c r="D333" s="2422"/>
      <c r="E333" s="2422"/>
      <c r="F333" s="2422"/>
      <c r="G333" s="2422"/>
      <c r="H333" s="2422"/>
      <c r="I333" s="414"/>
      <c r="J333" s="414"/>
      <c r="K333" s="414"/>
      <c r="L333" s="414"/>
      <c r="M333" s="2"/>
      <c r="N333" s="414"/>
      <c r="O333" s="414"/>
      <c r="P333" s="414"/>
      <c r="Q333" s="26"/>
      <c r="R333" s="38"/>
    </row>
    <row r="334" spans="1:18" ht="20.25">
      <c r="A334" s="412"/>
      <c r="B334" s="408" t="s">
        <v>186</v>
      </c>
      <c r="C334" s="409" t="s">
        <v>282</v>
      </c>
      <c r="D334" s="403"/>
      <c r="E334" s="408"/>
      <c r="F334" s="409"/>
      <c r="G334" s="409"/>
      <c r="H334" s="409"/>
      <c r="I334" s="409"/>
      <c r="J334" s="409"/>
      <c r="K334" s="409"/>
      <c r="L334" s="409"/>
      <c r="M334" s="2"/>
      <c r="N334" s="409"/>
      <c r="O334" s="409"/>
      <c r="P334" s="409"/>
      <c r="Q334" s="26"/>
      <c r="R334" s="38"/>
    </row>
    <row r="335" spans="1:18" ht="21" thickBot="1">
      <c r="A335" s="415"/>
      <c r="B335" s="416"/>
      <c r="C335" s="417"/>
      <c r="D335" s="416"/>
      <c r="E335" s="418"/>
      <c r="F335" s="419"/>
      <c r="G335" s="417"/>
      <c r="H335" s="417"/>
      <c r="I335" s="420"/>
      <c r="J335" s="420"/>
      <c r="K335" s="420"/>
      <c r="L335" s="420"/>
      <c r="M335" s="2"/>
      <c r="N335" s="420"/>
      <c r="O335" s="420"/>
      <c r="P335" s="420"/>
      <c r="Q335" s="26"/>
      <c r="R335" s="38"/>
    </row>
  </sheetData>
  <mergeCells count="11">
    <mergeCell ref="C328:H329"/>
    <mergeCell ref="C330:H330"/>
    <mergeCell ref="C331:H331"/>
    <mergeCell ref="C332:H332"/>
    <mergeCell ref="C333:H333"/>
    <mergeCell ref="C327:H327"/>
    <mergeCell ref="A6:D7"/>
    <mergeCell ref="E6:E7"/>
    <mergeCell ref="F6:G7"/>
    <mergeCell ref="C314:H314"/>
    <mergeCell ref="C325:H326"/>
  </mergeCells>
  <dataValidations count="1">
    <dataValidation type="list" allowBlank="1" showInputMessage="1" showErrorMessage="1" sqref="Q8">
      <formula1>Toggle.list</formula1>
    </dataValidation>
  </dataValidations>
  <pageMargins left="0.7" right="0.7" top="0.75" bottom="0.75" header="0.3" footer="0.3"/>
  <pageSetup scale="49" fitToHeight="0" orientation="landscape" r:id="rId1"/>
  <rowBreaks count="7" manualBreakCount="7">
    <brk id="50" max="16383" man="1"/>
    <brk id="107" max="16383" man="1"/>
    <brk id="161" max="16383" man="1"/>
    <brk id="204" max="16383" man="1"/>
    <brk id="241" max="16383" man="1"/>
    <brk id="296" max="16383" man="1"/>
    <brk id="335"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8"/>
  <sheetViews>
    <sheetView topLeftCell="A25" workbookViewId="0">
      <selection activeCell="N33" sqref="N33"/>
    </sheetView>
  </sheetViews>
  <sheetFormatPr defaultRowHeight="15"/>
  <cols>
    <col min="1" max="1" width="9.28515625" bestFit="1" customWidth="1"/>
    <col min="2" max="2" width="3" customWidth="1"/>
    <col min="3" max="3" width="8.140625" customWidth="1"/>
    <col min="4" max="4" width="49.42578125" customWidth="1"/>
    <col min="5" max="5" width="84.7109375" bestFit="1" customWidth="1"/>
    <col min="6" max="6" width="15.42578125" bestFit="1" customWidth="1"/>
    <col min="7" max="7" width="52" bestFit="1" customWidth="1"/>
    <col min="8" max="8" width="3.85546875" customWidth="1"/>
    <col min="9" max="9" width="19.42578125" bestFit="1" customWidth="1"/>
  </cols>
  <sheetData>
    <row r="1" spans="1:11" ht="18">
      <c r="A1" s="798" t="s">
        <v>2</v>
      </c>
      <c r="B1" s="1"/>
      <c r="C1" s="1"/>
      <c r="D1" s="1"/>
      <c r="E1" s="1"/>
      <c r="F1" s="1"/>
      <c r="G1" s="1"/>
      <c r="H1" s="799"/>
      <c r="I1" s="799"/>
    </row>
    <row r="2" spans="1:11" ht="18">
      <c r="A2" s="800" t="s">
        <v>999</v>
      </c>
      <c r="B2" s="801"/>
      <c r="C2" s="801"/>
      <c r="D2" s="801"/>
      <c r="E2" s="801"/>
      <c r="F2" s="801"/>
      <c r="G2" s="801"/>
      <c r="H2" s="802"/>
      <c r="I2" s="802"/>
    </row>
    <row r="3" spans="1:11">
      <c r="A3" s="803"/>
      <c r="B3" s="803"/>
      <c r="C3" s="803"/>
      <c r="D3" s="803"/>
      <c r="E3" s="803"/>
      <c r="F3" s="803"/>
      <c r="G3" s="803"/>
      <c r="H3" s="803"/>
      <c r="I3" s="803"/>
    </row>
    <row r="4" spans="1:11" ht="15.75">
      <c r="A4" s="2"/>
      <c r="B4" s="804"/>
      <c r="C4" s="2"/>
      <c r="D4" s="2"/>
      <c r="E4" s="2"/>
      <c r="F4" s="2"/>
      <c r="G4" s="2"/>
      <c r="H4" s="2"/>
      <c r="I4" s="2"/>
      <c r="J4" s="2"/>
      <c r="K4" s="2"/>
    </row>
    <row r="5" spans="1:11" ht="15.75">
      <c r="A5" s="2"/>
      <c r="B5" s="2"/>
      <c r="C5" s="2"/>
      <c r="D5" s="2"/>
      <c r="E5" s="2"/>
      <c r="F5" s="2"/>
      <c r="G5" s="2"/>
      <c r="H5" s="2"/>
      <c r="I5" s="2"/>
      <c r="J5" s="2"/>
      <c r="K5" s="2"/>
    </row>
    <row r="6" spans="1:11" ht="15.75">
      <c r="A6" s="2"/>
      <c r="B6" s="2"/>
      <c r="C6" s="2"/>
      <c r="D6" s="2"/>
      <c r="E6" s="2"/>
      <c r="F6" s="2"/>
      <c r="G6" s="2"/>
      <c r="H6" s="2"/>
      <c r="I6" s="37"/>
      <c r="J6" s="2"/>
      <c r="K6" s="2"/>
    </row>
    <row r="7" spans="1:11" ht="15.75">
      <c r="A7" s="2"/>
      <c r="B7" s="2"/>
      <c r="C7" s="37" t="s">
        <v>1000</v>
      </c>
      <c r="D7" s="37"/>
      <c r="E7" s="37"/>
      <c r="F7" s="2"/>
      <c r="G7" s="2"/>
      <c r="H7" s="2"/>
      <c r="I7" s="37"/>
      <c r="J7" s="2"/>
      <c r="K7" s="2"/>
    </row>
    <row r="8" spans="1:11" ht="15.75">
      <c r="A8" s="57" t="s">
        <v>234</v>
      </c>
      <c r="B8" s="57"/>
      <c r="C8" s="37"/>
      <c r="D8" s="37" t="s">
        <v>1001</v>
      </c>
      <c r="E8" s="37"/>
      <c r="F8" s="2"/>
      <c r="G8" s="107" t="str">
        <f>"Appendix A input: Line "&amp;A28&amp;" + Line "&amp;A50&amp;" from below"</f>
        <v>Appendix A input: Line 127 + Line 137 from below</v>
      </c>
      <c r="H8" s="2"/>
      <c r="I8" s="2304">
        <f>+I28+I50</f>
        <v>318327206.17964959</v>
      </c>
      <c r="J8" s="2"/>
      <c r="K8" s="2"/>
    </row>
    <row r="9" spans="1:11" ht="15.75">
      <c r="A9" s="57" t="s">
        <v>237</v>
      </c>
      <c r="B9" s="57"/>
      <c r="C9" s="2"/>
      <c r="D9" s="2" t="str">
        <f>I9*10000&amp;" Basis Point increase in ROE"</f>
        <v>100 Basis Point increase in ROE</v>
      </c>
      <c r="E9" s="2"/>
      <c r="F9" s="2"/>
      <c r="G9" s="2"/>
      <c r="H9" s="2"/>
      <c r="I9" s="805">
        <v>0.01</v>
      </c>
      <c r="J9" s="2"/>
      <c r="K9" s="2"/>
    </row>
    <row r="10" spans="1:11" ht="15.75">
      <c r="A10" s="57"/>
      <c r="B10" s="57"/>
      <c r="C10" s="2"/>
      <c r="D10" s="2"/>
      <c r="E10" s="2"/>
      <c r="F10" s="2"/>
      <c r="G10" s="2"/>
      <c r="H10" s="2"/>
      <c r="I10" s="37"/>
      <c r="J10" s="37"/>
      <c r="K10" s="37"/>
    </row>
    <row r="11" spans="1:11" ht="15.75">
      <c r="A11" s="806" t="s">
        <v>1002</v>
      </c>
      <c r="B11" s="137"/>
      <c r="C11" s="137"/>
      <c r="D11" s="137"/>
      <c r="E11" s="137"/>
      <c r="F11" s="137"/>
      <c r="G11" s="137"/>
      <c r="H11" s="137"/>
      <c r="I11" s="37"/>
      <c r="J11" s="37"/>
      <c r="K11" s="37"/>
    </row>
    <row r="12" spans="1:11" ht="15.75">
      <c r="A12" s="807"/>
      <c r="B12" s="37"/>
      <c r="C12" s="37"/>
      <c r="D12" s="37"/>
      <c r="E12" s="37"/>
      <c r="F12" s="37" t="s">
        <v>6</v>
      </c>
      <c r="G12" s="808" t="s">
        <v>1003</v>
      </c>
      <c r="H12" s="37"/>
      <c r="I12" s="37"/>
      <c r="J12" s="37"/>
      <c r="K12" s="37"/>
    </row>
    <row r="13" spans="1:11" ht="15.75">
      <c r="A13" s="37"/>
      <c r="B13" s="2"/>
      <c r="C13" s="2"/>
      <c r="D13" s="37"/>
      <c r="E13" s="37"/>
      <c r="F13" s="37"/>
      <c r="G13" s="37"/>
      <c r="H13" s="37"/>
      <c r="I13" s="809"/>
      <c r="J13" s="37"/>
      <c r="K13" s="2"/>
    </row>
    <row r="14" spans="1:11" ht="15.75">
      <c r="A14" s="71"/>
      <c r="B14" s="195"/>
      <c r="C14" s="195"/>
      <c r="D14" s="95"/>
      <c r="E14" s="46"/>
      <c r="F14" s="69"/>
      <c r="G14" s="143"/>
      <c r="H14" s="49"/>
      <c r="I14" s="810"/>
      <c r="J14" s="2"/>
      <c r="K14" s="2"/>
    </row>
    <row r="15" spans="1:11" ht="15.75">
      <c r="A15" s="133">
        <f>+'Appendix A'!A207</f>
        <v>117</v>
      </c>
      <c r="B15" s="195"/>
      <c r="C15" s="2"/>
      <c r="D15" s="811" t="str">
        <f>+'Appendix A'!C207</f>
        <v>Debt percent</v>
      </c>
      <c r="E15" s="811" t="str">
        <f>+'Appendix A'!D207</f>
        <v>Total Long Term Debt</v>
      </c>
      <c r="F15" s="811" t="str">
        <f>IF(ISBLANK('Appendix A'!E207),"",'Appendix A'!E207)</f>
        <v>(Notes Q &amp; R)</v>
      </c>
      <c r="G15" s="811" t="str">
        <f>+'Appendix A'!F207</f>
        <v>(Line 90 / (Lines 90 + 110 +116))</v>
      </c>
      <c r="H15" s="2"/>
      <c r="I15" s="812">
        <f>+'Appendix A'!H207</f>
        <v>0.48290629011506481</v>
      </c>
      <c r="J15" s="2"/>
      <c r="K15" s="2"/>
    </row>
    <row r="16" spans="1:11" ht="15.75">
      <c r="A16" s="133">
        <f>+'Appendix A'!A208</f>
        <v>118</v>
      </c>
      <c r="B16" s="195"/>
      <c r="C16" s="2"/>
      <c r="D16" s="811" t="str">
        <f>+'Appendix A'!C208</f>
        <v>Preferred percent</v>
      </c>
      <c r="E16" s="811" t="str">
        <f>+'Appendix A'!D208</f>
        <v>Preferred Stock</v>
      </c>
      <c r="F16" s="811" t="str">
        <f>IF(ISBLANK('Appendix A'!E208),"",'Appendix A'!E208)</f>
        <v/>
      </c>
      <c r="G16" s="811" t="str">
        <f>+'Appendix A'!F208</f>
        <v>(Line 110 / (Lines 90 + 110 +116))</v>
      </c>
      <c r="H16" s="2"/>
      <c r="I16" s="812">
        <f>+'Appendix A'!H208</f>
        <v>1.5538175900015492E-4</v>
      </c>
      <c r="J16" s="2"/>
      <c r="K16" s="2"/>
    </row>
    <row r="17" spans="1:11" ht="15.75">
      <c r="A17" s="133">
        <f>+'Appendix A'!A209</f>
        <v>119</v>
      </c>
      <c r="B17" s="195"/>
      <c r="C17" s="2"/>
      <c r="D17" s="811" t="str">
        <f>+'Appendix A'!C209</f>
        <v>Common percent</v>
      </c>
      <c r="E17" s="811" t="str">
        <f>+'Appendix A'!D209</f>
        <v>Common Stock</v>
      </c>
      <c r="F17" s="811" t="str">
        <f>IF(ISBLANK('Appendix A'!E209),"",'Appendix A'!E209)</f>
        <v>(Notes Q &amp; R)</v>
      </c>
      <c r="G17" s="811" t="str">
        <f>+'Appendix A'!F209</f>
        <v>(Line 116 / (Lines 90 + 110 +116))</v>
      </c>
      <c r="H17" s="2"/>
      <c r="I17" s="812">
        <f>+'Appendix A'!H209</f>
        <v>0.51693832812593499</v>
      </c>
      <c r="J17" s="2"/>
      <c r="K17" s="2"/>
    </row>
    <row r="18" spans="1:11" ht="15.75">
      <c r="A18" s="133"/>
      <c r="B18" s="195"/>
      <c r="C18" s="195"/>
      <c r="D18" s="95"/>
      <c r="E18" s="195"/>
      <c r="F18" s="268"/>
      <c r="G18" s="813"/>
      <c r="H18" s="49"/>
      <c r="I18" s="812"/>
      <c r="J18" s="2"/>
      <c r="K18" s="2"/>
    </row>
    <row r="19" spans="1:11" ht="15.75">
      <c r="A19" s="133">
        <f>+'Appendix A'!A212</f>
        <v>120</v>
      </c>
      <c r="B19" s="195"/>
      <c r="C19" s="2"/>
      <c r="D19" s="811" t="str">
        <f>+'Appendix A'!C212</f>
        <v>Debt Cost</v>
      </c>
      <c r="E19" s="811" t="str">
        <f>+'Appendix A'!D212</f>
        <v>Long Term Debt Cost = 
Long Term Debt Cost / 
Net Proceeds Long Term Debt</v>
      </c>
      <c r="F19" s="811" t="str">
        <f>IF(ISBLANK('Appendix A'!E212),"",'Appendix A'!E212)</f>
        <v/>
      </c>
      <c r="G19" s="811" t="str">
        <f>+'Appendix A'!F212</f>
        <v>(Line 103 / Line 96)</v>
      </c>
      <c r="H19" s="2"/>
      <c r="I19" s="812">
        <f>+'Appendix A'!H212</f>
        <v>5.0578830618140384E-2</v>
      </c>
      <c r="J19" s="2"/>
      <c r="K19" s="2"/>
    </row>
    <row r="20" spans="1:11" ht="15.75">
      <c r="A20" s="133">
        <f>+'Appendix A'!A213</f>
        <v>121</v>
      </c>
      <c r="B20" s="195"/>
      <c r="C20" s="2"/>
      <c r="D20" s="811" t="str">
        <f>+'Appendix A'!C213</f>
        <v>Preferred Cost</v>
      </c>
      <c r="E20" s="811" t="str">
        <f>+'Appendix A'!D213</f>
        <v>Preferred Stock cost  =  Preferred Dividends / 
Total Preferred Stock</v>
      </c>
      <c r="F20" s="811" t="str">
        <f>IF(ISBLANK('Appendix A'!E213),"",'Appendix A'!E213)</f>
        <v/>
      </c>
      <c r="G20" s="811" t="str">
        <f>+'Appendix A'!F213</f>
        <v>(Line 111 / Line 110)</v>
      </c>
      <c r="H20" s="2"/>
      <c r="I20" s="812">
        <f>+'Appendix A'!H213</f>
        <v>6.7526676676676667E-2</v>
      </c>
      <c r="J20" s="2"/>
      <c r="K20" s="2"/>
    </row>
    <row r="21" spans="1:11" ht="15.75">
      <c r="A21" s="133">
        <f>+'Appendix A'!A214</f>
        <v>122</v>
      </c>
      <c r="B21" s="195"/>
      <c r="C21" s="2"/>
      <c r="D21" s="811" t="str">
        <f>+'Appendix A'!C214</f>
        <v>Common Cost</v>
      </c>
      <c r="E21" s="811" t="str">
        <f>+'Appendix A'!D214</f>
        <v>Common Stock</v>
      </c>
      <c r="F21" s="811" t="str">
        <f>IF(ISBLANK('Appendix A'!E214),"",'Appendix A'!E214)</f>
        <v>(Note H)</v>
      </c>
      <c r="G21" s="811" t="str">
        <f>+'Appendix A'!F214&amp;" plus 100 basis points"</f>
        <v>Fixed plus 100 basis points</v>
      </c>
      <c r="H21" s="2"/>
      <c r="I21" s="812">
        <f>'Appendix A'!H214+I9</f>
        <v>0.108</v>
      </c>
      <c r="J21" s="37"/>
      <c r="K21" s="2"/>
    </row>
    <row r="22" spans="1:11" ht="15.75">
      <c r="A22" s="133"/>
      <c r="B22" s="195"/>
      <c r="C22" s="195"/>
      <c r="D22" s="95"/>
      <c r="E22" s="195"/>
      <c r="F22" s="268"/>
      <c r="G22" s="813"/>
      <c r="H22" s="49"/>
      <c r="I22" s="307"/>
      <c r="J22" s="2"/>
      <c r="K22" s="2"/>
    </row>
    <row r="23" spans="1:11" ht="15.75">
      <c r="A23" s="133">
        <f>+'Appendix A'!A217</f>
        <v>123</v>
      </c>
      <c r="B23" s="195"/>
      <c r="C23" s="2"/>
      <c r="D23" s="811" t="str">
        <f>+'Appendix A'!C217</f>
        <v>Weighted Cost of Debt</v>
      </c>
      <c r="E23" s="811" t="str">
        <f>+'Appendix A'!D217</f>
        <v>Total Long Term Debt (WCLTD)</v>
      </c>
      <c r="F23" s="811" t="str">
        <f>IF(ISBLANK('Appendix A'!E217),"",'Appendix A'!E217)</f>
        <v/>
      </c>
      <c r="G23" s="811" t="str">
        <f>+'Appendix A'!F217</f>
        <v>(Line 117 * Line 120)</v>
      </c>
      <c r="H23" s="2"/>
      <c r="I23" s="812">
        <f>+I15*I19</f>
        <v>2.4424835452164423E-2</v>
      </c>
      <c r="J23" s="2"/>
      <c r="K23" s="2"/>
    </row>
    <row r="24" spans="1:11" ht="15.75">
      <c r="A24" s="133">
        <f>+'Appendix A'!A218</f>
        <v>124</v>
      </c>
      <c r="B24" s="195"/>
      <c r="C24" s="2"/>
      <c r="D24" s="811" t="str">
        <f>+'Appendix A'!C218</f>
        <v>Weighted Cost of Preferred</v>
      </c>
      <c r="E24" s="811" t="str">
        <f>+'Appendix A'!D218</f>
        <v>Preferred Stock</v>
      </c>
      <c r="F24" s="811" t="str">
        <f>IF(ISBLANK('Appendix A'!E218),"",'Appendix A'!E218)</f>
        <v/>
      </c>
      <c r="G24" s="811" t="str">
        <f>+'Appendix A'!F218</f>
        <v>(Line 118 * Line 121)</v>
      </c>
      <c r="H24" s="2"/>
      <c r="I24" s="812">
        <f>+I16*I20</f>
        <v>1.0492413801456756E-5</v>
      </c>
      <c r="J24" s="2"/>
      <c r="K24" s="2"/>
    </row>
    <row r="25" spans="1:11" ht="15.75">
      <c r="A25" s="133">
        <f>+'Appendix A'!A219</f>
        <v>125</v>
      </c>
      <c r="B25" s="195"/>
      <c r="C25" s="2"/>
      <c r="D25" s="811" t="str">
        <f>+'Appendix A'!C219</f>
        <v>Weighted Cost of Common</v>
      </c>
      <c r="E25" s="811" t="str">
        <f>+'Appendix A'!D219</f>
        <v>Common Stock</v>
      </c>
      <c r="F25" s="811" t="str">
        <f>IF(ISBLANK('Appendix A'!E219),"",'Appendix A'!E219)</f>
        <v/>
      </c>
      <c r="G25" s="811" t="str">
        <f>+'Appendix A'!F219</f>
        <v>(Line 119 * Line 122)</v>
      </c>
      <c r="H25" s="2"/>
      <c r="I25" s="812">
        <f>+I17*I21</f>
        <v>5.5829339437600975E-2</v>
      </c>
      <c r="J25" s="2"/>
      <c r="K25" s="2"/>
    </row>
    <row r="26" spans="1:11" ht="15.75">
      <c r="A26" s="71">
        <f>A25+1</f>
        <v>126</v>
      </c>
      <c r="B26" s="195"/>
      <c r="C26" s="814" t="str">
        <f>'Appendix A'!C220</f>
        <v>Rate of Return on Rate Base ( ROR )</v>
      </c>
      <c r="D26" s="195"/>
      <c r="E26" s="283"/>
      <c r="F26" s="811" t="str">
        <f>IF(ISBLANK('Appendix A'!E220),"",'Appendix A'!E220)</f>
        <v/>
      </c>
      <c r="G26" s="107" t="str">
        <f>"(Sum Lines "&amp;A23&amp;" to "&amp;A25&amp;")"</f>
        <v>(Sum Lines 123 to 125)</v>
      </c>
      <c r="H26" s="284"/>
      <c r="I26" s="2305">
        <f>SUM(I23:I25)</f>
        <v>8.026466730356685E-2</v>
      </c>
      <c r="J26" s="2"/>
      <c r="K26" s="2"/>
    </row>
    <row r="27" spans="1:11" ht="15.75">
      <c r="A27" s="44"/>
      <c r="B27" s="195"/>
      <c r="C27" s="195"/>
      <c r="D27" s="195"/>
      <c r="E27" s="283"/>
      <c r="F27" s="289"/>
      <c r="G27" s="259"/>
      <c r="H27" s="284"/>
      <c r="I27" s="2306"/>
      <c r="J27" s="2"/>
      <c r="K27" s="2"/>
    </row>
    <row r="28" spans="1:11" ht="16.5" thickBot="1">
      <c r="A28" s="71">
        <f>A26+1</f>
        <v>127</v>
      </c>
      <c r="B28" s="195"/>
      <c r="C28" s="222" t="str">
        <f>'Appendix A'!B222</f>
        <v>Investment Return = Rate Base * Rate of Return</v>
      </c>
      <c r="D28" s="222"/>
      <c r="E28" s="222"/>
      <c r="F28" s="92"/>
      <c r="G28" s="815" t="str">
        <f>+'Appendix A'!F222</f>
        <v>(Line 52 * Line 126)</v>
      </c>
      <c r="H28" s="293"/>
      <c r="I28" s="211">
        <f>+I26*'Appendix A'!H107</f>
        <v>282949847.53056216</v>
      </c>
      <c r="J28" s="2"/>
      <c r="K28" s="2"/>
    </row>
    <row r="29" spans="1:11" ht="16.5" thickTop="1">
      <c r="A29" s="71"/>
      <c r="B29" s="50"/>
      <c r="C29" s="50"/>
      <c r="D29" s="69"/>
      <c r="E29" s="46"/>
      <c r="F29" s="57"/>
      <c r="G29" s="48"/>
      <c r="H29" s="49"/>
      <c r="I29" s="2307"/>
      <c r="J29" s="2"/>
      <c r="K29" s="2"/>
    </row>
    <row r="30" spans="1:11" ht="15.75">
      <c r="A30" s="816" t="s">
        <v>1004</v>
      </c>
      <c r="B30" s="817"/>
      <c r="C30" s="197"/>
      <c r="D30" s="198"/>
      <c r="E30" s="199"/>
      <c r="F30" s="200"/>
      <c r="G30" s="137"/>
      <c r="H30" s="137"/>
      <c r="I30" s="43"/>
      <c r="J30" s="2"/>
      <c r="K30" s="2"/>
    </row>
    <row r="31" spans="1:11" ht="15.75">
      <c r="A31" s="154"/>
      <c r="B31" s="154"/>
      <c r="C31" s="50"/>
      <c r="D31" s="45"/>
      <c r="E31" s="70"/>
      <c r="F31" s="47"/>
      <c r="G31" s="46"/>
      <c r="H31" s="46"/>
      <c r="I31" s="81"/>
      <c r="J31" s="2"/>
      <c r="K31" s="2"/>
    </row>
    <row r="32" spans="1:11" ht="15.75">
      <c r="A32" s="71" t="s">
        <v>179</v>
      </c>
      <c r="B32" s="50"/>
      <c r="C32" s="297" t="s">
        <v>180</v>
      </c>
      <c r="D32" s="46"/>
      <c r="E32" s="46"/>
      <c r="F32" s="47"/>
      <c r="G32" s="49"/>
      <c r="H32" s="298"/>
      <c r="I32" s="70"/>
      <c r="J32" s="2"/>
      <c r="K32" s="2"/>
    </row>
    <row r="33" spans="1:11" ht="15.75">
      <c r="A33" s="71">
        <f>+A28+1</f>
        <v>128</v>
      </c>
      <c r="B33" s="57"/>
      <c r="C33" s="50"/>
      <c r="D33" s="46" t="s">
        <v>181</v>
      </c>
      <c r="E33" s="46"/>
      <c r="F33" s="57"/>
      <c r="G33" s="818"/>
      <c r="H33" s="299"/>
      <c r="I33" s="2308">
        <f>+'Appendix A'!H227</f>
        <v>0.21</v>
      </c>
      <c r="J33" s="2"/>
      <c r="K33" s="2"/>
    </row>
    <row r="34" spans="1:11" ht="15.75">
      <c r="A34" s="71">
        <f>+A33+1</f>
        <v>129</v>
      </c>
      <c r="B34" s="57"/>
      <c r="C34" s="50"/>
      <c r="D34" s="299" t="s">
        <v>182</v>
      </c>
      <c r="E34" s="302"/>
      <c r="F34" s="57"/>
      <c r="G34" s="818"/>
      <c r="H34" s="299"/>
      <c r="I34" s="2308">
        <f>+'Appendix A'!H228</f>
        <v>4.5400000000000003E-2</v>
      </c>
      <c r="J34" s="2"/>
      <c r="K34" s="2"/>
    </row>
    <row r="35" spans="1:11" ht="15.75">
      <c r="A35" s="71">
        <f>+A34+1</f>
        <v>130</v>
      </c>
      <c r="B35" s="57"/>
      <c r="C35" s="50"/>
      <c r="D35" s="299" t="s">
        <v>1005</v>
      </c>
      <c r="E35" s="299"/>
      <c r="F35" s="57"/>
      <c r="G35" s="819" t="str">
        <f>+'Appendix A'!F229</f>
        <v>Per state tax code</v>
      </c>
      <c r="H35" s="299"/>
      <c r="I35" s="2308">
        <f>+'Appendix A'!H229</f>
        <v>0</v>
      </c>
      <c r="J35" s="2"/>
      <c r="K35" s="2"/>
    </row>
    <row r="36" spans="1:11" ht="15.75">
      <c r="A36" s="71">
        <f>+A35+1</f>
        <v>131</v>
      </c>
      <c r="B36" s="57"/>
      <c r="C36" s="50"/>
      <c r="D36" s="299" t="s">
        <v>186</v>
      </c>
      <c r="E36" s="306" t="s">
        <v>187</v>
      </c>
      <c r="F36" s="57"/>
      <c r="G36" s="2"/>
      <c r="H36" s="299"/>
      <c r="I36" s="2308">
        <f>+'Appendix A'!H230</f>
        <v>0.24586599999999992</v>
      </c>
      <c r="J36" s="2"/>
      <c r="K36" s="2"/>
    </row>
    <row r="37" spans="1:11" ht="15.75">
      <c r="A37" s="71">
        <f>A36+1</f>
        <v>132</v>
      </c>
      <c r="B37" s="52"/>
      <c r="C37" s="71"/>
      <c r="D37" s="299" t="s">
        <v>1006</v>
      </c>
      <c r="E37" s="305"/>
      <c r="F37" s="305"/>
      <c r="G37" s="305"/>
      <c r="H37" s="305"/>
      <c r="I37" s="2308">
        <f>I36/(1-I36)</f>
        <v>0.32602428746084899</v>
      </c>
      <c r="J37" s="37"/>
      <c r="K37" s="2"/>
    </row>
    <row r="38" spans="1:11" ht="15.75">
      <c r="A38" s="71">
        <f>A37+1</f>
        <v>133</v>
      </c>
      <c r="B38" s="52"/>
      <c r="C38" s="71"/>
      <c r="D38" s="299" t="s">
        <v>1007</v>
      </c>
      <c r="E38" s="820"/>
      <c r="F38" s="52"/>
      <c r="G38" s="70"/>
      <c r="H38" s="299"/>
      <c r="I38" s="2308">
        <f>1/(1-I36)</f>
        <v>1.326024287460849</v>
      </c>
      <c r="J38" s="37"/>
      <c r="K38" s="2"/>
    </row>
    <row r="39" spans="1:11" ht="15.75">
      <c r="A39" s="71"/>
      <c r="B39" s="50"/>
      <c r="C39" s="50"/>
      <c r="D39" s="46"/>
      <c r="E39" s="46"/>
      <c r="F39" s="127"/>
      <c r="G39" s="306"/>
      <c r="H39" s="298"/>
      <c r="I39" s="307"/>
      <c r="J39" s="2"/>
      <c r="K39" s="2"/>
    </row>
    <row r="40" spans="1:11" ht="15.75">
      <c r="A40" s="71"/>
      <c r="B40" s="50"/>
      <c r="C40" s="297" t="s">
        <v>60</v>
      </c>
      <c r="D40" s="69"/>
      <c r="E40" s="46"/>
      <c r="F40" s="47"/>
      <c r="G40" s="49"/>
      <c r="H40" s="298"/>
      <c r="I40" s="270"/>
      <c r="J40" s="2"/>
      <c r="K40" s="2"/>
    </row>
    <row r="41" spans="1:11" ht="15.75">
      <c r="A41" s="71">
        <f>+A38+1</f>
        <v>134</v>
      </c>
      <c r="B41" s="57"/>
      <c r="C41" s="50"/>
      <c r="D41" s="274" t="s">
        <v>1008</v>
      </c>
      <c r="E41" s="821"/>
      <c r="F41" s="822"/>
      <c r="G41" s="823" t="str">
        <f>+'Appendix A'!F234</f>
        <v>Attachment 5</v>
      </c>
      <c r="H41" s="824"/>
      <c r="I41" s="352">
        <f>+'Appendix A'!H234</f>
        <v>-745681.16380246275</v>
      </c>
      <c r="J41" s="2"/>
      <c r="K41" s="2"/>
    </row>
    <row r="42" spans="1:11" ht="15.75">
      <c r="A42" s="71"/>
      <c r="B42" s="57"/>
      <c r="C42" s="50"/>
      <c r="D42" s="69"/>
      <c r="E42" s="46"/>
      <c r="F42" s="50"/>
      <c r="G42" s="819"/>
      <c r="H42" s="298"/>
      <c r="I42" s="58"/>
      <c r="J42" s="2"/>
      <c r="K42" s="2"/>
    </row>
    <row r="43" spans="1:11" ht="15.75">
      <c r="A43" s="71"/>
      <c r="B43" s="57"/>
      <c r="C43" s="263"/>
      <c r="D43" s="112"/>
      <c r="E43" s="103"/>
      <c r="F43" s="825"/>
      <c r="G43" s="823"/>
      <c r="H43" s="311"/>
      <c r="I43" s="146"/>
      <c r="J43" s="2"/>
      <c r="K43" s="2"/>
    </row>
    <row r="44" spans="1:11" ht="15.75">
      <c r="A44" s="71">
        <f>+A41+1</f>
        <v>135</v>
      </c>
      <c r="B44" s="57"/>
      <c r="C44" s="50"/>
      <c r="D44" s="310" t="s">
        <v>190</v>
      </c>
      <c r="E44" s="2"/>
      <c r="F44" s="40"/>
      <c r="G44" s="107" t="str">
        <f>"(Line "&amp;A41&amp;" * (1 / (1 - Line "&amp;A36&amp;")"</f>
        <v>(Line 134 * (1 / (1 - Line 131)</v>
      </c>
      <c r="H44" s="826"/>
      <c r="I44" s="187">
        <f>I41*(1/(1-I36))</f>
        <v>-988791.33390413725</v>
      </c>
      <c r="J44" s="2"/>
      <c r="K44" s="2"/>
    </row>
    <row r="45" spans="1:11" ht="15.75">
      <c r="A45" s="71"/>
      <c r="B45" s="50"/>
      <c r="C45" s="50"/>
      <c r="D45" s="310"/>
      <c r="E45" s="40"/>
      <c r="F45" s="827"/>
      <c r="G45" s="828"/>
      <c r="H45" s="311"/>
      <c r="I45" s="2309"/>
      <c r="J45" s="2"/>
      <c r="K45" s="2"/>
    </row>
    <row r="46" spans="1:11" ht="15.75">
      <c r="A46" s="71"/>
      <c r="B46" s="50"/>
      <c r="C46" s="50"/>
      <c r="D46" s="310"/>
      <c r="E46" s="40"/>
      <c r="F46" s="827"/>
      <c r="G46" s="828"/>
      <c r="H46" s="311"/>
      <c r="I46" s="2310"/>
      <c r="J46" s="2"/>
      <c r="K46" s="2"/>
    </row>
    <row r="47" spans="1:11" ht="15.75">
      <c r="A47" s="71"/>
      <c r="B47" s="50"/>
      <c r="C47" s="50"/>
      <c r="D47" s="46"/>
      <c r="E47" s="46"/>
      <c r="F47" s="127"/>
      <c r="G47" s="306"/>
      <c r="H47" s="298"/>
      <c r="I47" s="829"/>
      <c r="J47" s="2"/>
      <c r="K47" s="2"/>
    </row>
    <row r="48" spans="1:11" ht="15.75">
      <c r="A48" s="71">
        <f>+A44+1</f>
        <v>136</v>
      </c>
      <c r="B48" s="57"/>
      <c r="C48" s="17" t="s">
        <v>192</v>
      </c>
      <c r="D48" s="2"/>
      <c r="E48" s="46" t="s">
        <v>1009</v>
      </c>
      <c r="F48" s="47"/>
      <c r="G48" s="210"/>
      <c r="H48" s="46"/>
      <c r="I48" s="370">
        <f>+I37*(1-I23/I26)*I28</f>
        <v>64176955.489705257</v>
      </c>
      <c r="J48" s="2"/>
      <c r="K48" s="2"/>
    </row>
    <row r="49" spans="1:11" ht="15.75">
      <c r="A49" s="71" t="s">
        <v>2291</v>
      </c>
      <c r="B49" s="50"/>
      <c r="C49" s="17" t="s">
        <v>2253</v>
      </c>
      <c r="D49" s="260"/>
      <c r="E49" s="40" t="s">
        <v>2259</v>
      </c>
      <c r="F49" s="217"/>
      <c r="G49" s="210" t="s">
        <v>2292</v>
      </c>
      <c r="H49" s="311"/>
      <c r="I49" s="316">
        <f>'Appendix A'!H239</f>
        <v>-27810805.506713659</v>
      </c>
      <c r="J49" s="2"/>
      <c r="K49" s="2"/>
    </row>
    <row r="50" spans="1:11" ht="16.5" thickBot="1">
      <c r="A50" s="71">
        <f>+A48+1</f>
        <v>137</v>
      </c>
      <c r="B50" s="57"/>
      <c r="C50" s="291" t="s">
        <v>194</v>
      </c>
      <c r="D50" s="291"/>
      <c r="E50" s="222"/>
      <c r="F50" s="136"/>
      <c r="G50" s="830"/>
      <c r="H50" s="317"/>
      <c r="I50" s="831">
        <f>+I48+I44+I49</f>
        <v>35377358.649087459</v>
      </c>
      <c r="J50" s="2"/>
      <c r="K50" s="2"/>
    </row>
    <row r="51" spans="1:11" ht="16.5" thickTop="1">
      <c r="A51" s="71"/>
      <c r="B51" s="50"/>
      <c r="C51" s="50"/>
      <c r="D51" s="306"/>
      <c r="E51" s="46"/>
      <c r="F51" s="57"/>
      <c r="G51" s="319"/>
      <c r="H51" s="320"/>
      <c r="I51" s="832"/>
      <c r="J51" s="2"/>
      <c r="K51" s="2"/>
    </row>
    <row r="52" spans="1:11" ht="15.75">
      <c r="A52" s="37"/>
      <c r="B52" s="2"/>
      <c r="C52" s="2"/>
      <c r="D52" s="2"/>
      <c r="E52" s="2"/>
      <c r="F52" s="2"/>
      <c r="G52" s="2"/>
      <c r="H52" s="2"/>
      <c r="I52" s="2"/>
      <c r="J52" s="2"/>
      <c r="K52" s="2"/>
    </row>
    <row r="53" spans="1:11">
      <c r="A53" s="21"/>
    </row>
    <row r="54" spans="1:11">
      <c r="A54" s="21"/>
    </row>
    <row r="55" spans="1:11">
      <c r="A55" s="21"/>
    </row>
    <row r="56" spans="1:11">
      <c r="A56" s="21"/>
    </row>
    <row r="57" spans="1:11">
      <c r="A57" s="21"/>
    </row>
    <row r="58" spans="1:11">
      <c r="A58" s="21"/>
    </row>
    <row r="59" spans="1:11">
      <c r="A59" s="21"/>
    </row>
    <row r="60" spans="1:11">
      <c r="A60" s="21"/>
    </row>
    <row r="61" spans="1:11">
      <c r="A61" s="21"/>
    </row>
    <row r="62" spans="1:11">
      <c r="A62" s="21"/>
    </row>
    <row r="63" spans="1:11">
      <c r="A63" s="21"/>
    </row>
    <row r="64" spans="1:11">
      <c r="A64" s="21"/>
    </row>
    <row r="65" spans="1:1">
      <c r="A65" s="21"/>
    </row>
    <row r="66" spans="1:1">
      <c r="A66" s="21"/>
    </row>
    <row r="67" spans="1:1">
      <c r="A67" s="21"/>
    </row>
    <row r="68" spans="1:1">
      <c r="A68" s="21"/>
    </row>
    <row r="69" spans="1:1">
      <c r="A69" s="21"/>
    </row>
    <row r="70" spans="1:1">
      <c r="A70" s="21"/>
    </row>
    <row r="71" spans="1:1">
      <c r="A71" s="21"/>
    </row>
    <row r="72" spans="1:1">
      <c r="A72" s="21"/>
    </row>
    <row r="73" spans="1:1">
      <c r="A73" s="21"/>
    </row>
    <row r="74" spans="1:1">
      <c r="A74" s="21"/>
    </row>
    <row r="75" spans="1:1">
      <c r="A75" s="21"/>
    </row>
    <row r="76" spans="1:1">
      <c r="A76" s="21"/>
    </row>
    <row r="77" spans="1:1">
      <c r="A77" s="21"/>
    </row>
    <row r="78" spans="1:1">
      <c r="A78" s="21"/>
    </row>
    <row r="79" spans="1:1">
      <c r="A79" s="21"/>
    </row>
    <row r="80" spans="1:1">
      <c r="A80" s="21"/>
    </row>
    <row r="81" spans="1:1">
      <c r="A81" s="21"/>
    </row>
    <row r="82" spans="1:1">
      <c r="A82" s="21"/>
    </row>
    <row r="83" spans="1:1">
      <c r="A83" s="21"/>
    </row>
    <row r="84" spans="1:1">
      <c r="A84" s="21"/>
    </row>
    <row r="85" spans="1:1">
      <c r="A85" s="21"/>
    </row>
    <row r="86" spans="1:1">
      <c r="A86" s="21"/>
    </row>
    <row r="87" spans="1:1">
      <c r="A87" s="21"/>
    </row>
    <row r="88" spans="1:1">
      <c r="A88" s="21"/>
    </row>
    <row r="89" spans="1:1">
      <c r="A89" s="21"/>
    </row>
    <row r="90" spans="1:1">
      <c r="A90" s="21"/>
    </row>
    <row r="91" spans="1:1">
      <c r="A91" s="21"/>
    </row>
    <row r="92" spans="1:1">
      <c r="A92" s="21"/>
    </row>
    <row r="93" spans="1:1">
      <c r="A93" s="21"/>
    </row>
    <row r="94" spans="1:1">
      <c r="A94" s="21"/>
    </row>
    <row r="95" spans="1:1">
      <c r="A95" s="21"/>
    </row>
    <row r="96" spans="1:1">
      <c r="A96" s="21"/>
    </row>
    <row r="97" spans="1:1">
      <c r="A97" s="21"/>
    </row>
    <row r="98" spans="1:1">
      <c r="A98" s="21"/>
    </row>
    <row r="99" spans="1:1">
      <c r="A99" s="21"/>
    </row>
    <row r="100" spans="1:1">
      <c r="A100" s="21"/>
    </row>
    <row r="101" spans="1:1">
      <c r="A101" s="21"/>
    </row>
    <row r="102" spans="1:1">
      <c r="A102" s="21"/>
    </row>
    <row r="103" spans="1:1">
      <c r="A103" s="21"/>
    </row>
    <row r="104" spans="1:1">
      <c r="A104" s="21"/>
    </row>
    <row r="105" spans="1:1">
      <c r="A105" s="21"/>
    </row>
    <row r="106" spans="1:1">
      <c r="A106" s="21"/>
    </row>
    <row r="107" spans="1:1">
      <c r="A107" s="21"/>
    </row>
    <row r="108" spans="1:1">
      <c r="A108" s="21"/>
    </row>
    <row r="109" spans="1:1">
      <c r="A109" s="21"/>
    </row>
    <row r="110" spans="1:1">
      <c r="A110" s="21"/>
    </row>
    <row r="111" spans="1:1">
      <c r="A111" s="21"/>
    </row>
    <row r="112" spans="1:1">
      <c r="A112" s="21"/>
    </row>
    <row r="113" spans="1:1">
      <c r="A113" s="21"/>
    </row>
    <row r="114" spans="1:1">
      <c r="A114" s="21"/>
    </row>
    <row r="115" spans="1:1">
      <c r="A115" s="21"/>
    </row>
    <row r="116" spans="1:1">
      <c r="A116" s="21"/>
    </row>
    <row r="117" spans="1:1">
      <c r="A117" s="21"/>
    </row>
    <row r="118" spans="1:1">
      <c r="A118" s="21"/>
    </row>
    <row r="119" spans="1:1">
      <c r="A119" s="21"/>
    </row>
    <row r="120" spans="1:1">
      <c r="A120" s="21"/>
    </row>
    <row r="121" spans="1:1">
      <c r="A121" s="21"/>
    </row>
    <row r="122" spans="1:1">
      <c r="A122" s="21"/>
    </row>
    <row r="123" spans="1:1">
      <c r="A123" s="21"/>
    </row>
    <row r="124" spans="1:1">
      <c r="A124" s="21"/>
    </row>
    <row r="125" spans="1:1">
      <c r="A125" s="21"/>
    </row>
    <row r="126" spans="1:1">
      <c r="A126" s="21"/>
    </row>
    <row r="127" spans="1:1">
      <c r="A127" s="21"/>
    </row>
    <row r="128" spans="1:1">
      <c r="A128" s="21"/>
    </row>
    <row r="129" spans="1:1">
      <c r="A129" s="21"/>
    </row>
    <row r="130" spans="1:1">
      <c r="A130" s="21"/>
    </row>
    <row r="131" spans="1:1">
      <c r="A131" s="21"/>
    </row>
    <row r="132" spans="1:1">
      <c r="A132" s="21"/>
    </row>
    <row r="133" spans="1:1">
      <c r="A133" s="21"/>
    </row>
    <row r="134" spans="1:1">
      <c r="A134" s="21"/>
    </row>
    <row r="135" spans="1:1">
      <c r="A135" s="21"/>
    </row>
    <row r="136" spans="1:1">
      <c r="A136" s="21"/>
    </row>
    <row r="137" spans="1:1">
      <c r="A137" s="21"/>
    </row>
    <row r="138" spans="1:1">
      <c r="A138" s="21"/>
    </row>
    <row r="139" spans="1:1">
      <c r="A139" s="21"/>
    </row>
    <row r="140" spans="1:1">
      <c r="A140" s="21"/>
    </row>
    <row r="141" spans="1:1">
      <c r="A141" s="21"/>
    </row>
    <row r="142" spans="1:1">
      <c r="A142" s="21"/>
    </row>
    <row r="143" spans="1:1">
      <c r="A143" s="21"/>
    </row>
    <row r="144" spans="1:1">
      <c r="A144" s="21"/>
    </row>
    <row r="145" spans="1:1">
      <c r="A145" s="21"/>
    </row>
    <row r="146" spans="1:1">
      <c r="A146" s="21"/>
    </row>
    <row r="147" spans="1:1">
      <c r="A147" s="21"/>
    </row>
    <row r="148" spans="1:1">
      <c r="A148" s="21"/>
    </row>
  </sheetData>
  <pageMargins left="0.7" right="0.7" top="0.75" bottom="0.75" header="0.3" footer="0.3"/>
  <pageSetup scale="5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40"/>
  <sheetViews>
    <sheetView topLeftCell="C76" workbookViewId="0">
      <selection activeCell="I99" sqref="I99"/>
    </sheetView>
  </sheetViews>
  <sheetFormatPr defaultRowHeight="15"/>
  <cols>
    <col min="1" max="2" width="5.85546875" customWidth="1"/>
    <col min="3" max="3" width="66.28515625" customWidth="1"/>
    <col min="4" max="4" width="36.85546875" bestFit="1" customWidth="1"/>
    <col min="5" max="5" width="19.140625" customWidth="1"/>
    <col min="6" max="6" width="22" customWidth="1"/>
    <col min="7" max="7" width="22" bestFit="1" customWidth="1"/>
    <col min="8" max="8" width="18.5703125" customWidth="1"/>
    <col min="9" max="9" width="19.28515625" customWidth="1"/>
    <col min="10" max="10" width="18.5703125" customWidth="1"/>
    <col min="11" max="11" width="44.140625" customWidth="1"/>
    <col min="12" max="12" width="25.42578125" customWidth="1"/>
    <col min="13" max="13" width="21" customWidth="1"/>
    <col min="14" max="14" width="10.5703125" bestFit="1" customWidth="1"/>
    <col min="15" max="15" width="19.85546875" customWidth="1"/>
    <col min="16" max="16" width="15" style="21" bestFit="1" customWidth="1"/>
    <col min="17" max="17" width="15" bestFit="1" customWidth="1"/>
  </cols>
  <sheetData>
    <row r="1" spans="1:17" ht="15.75">
      <c r="A1" s="800" t="s">
        <v>2</v>
      </c>
      <c r="B1" s="833"/>
      <c r="C1" s="834"/>
      <c r="D1" s="835"/>
      <c r="E1" s="835"/>
      <c r="F1" s="836"/>
      <c r="G1" s="834"/>
      <c r="H1" s="834"/>
      <c r="I1" s="834"/>
      <c r="J1" s="834"/>
      <c r="K1" s="834"/>
      <c r="L1" s="834"/>
      <c r="M1" s="834"/>
      <c r="N1" s="2"/>
      <c r="O1" s="2"/>
      <c r="P1" s="2215"/>
      <c r="Q1" s="2"/>
    </row>
    <row r="2" spans="1:17" ht="15.75">
      <c r="A2" s="800" t="s">
        <v>1010</v>
      </c>
      <c r="B2" s="833"/>
      <c r="C2" s="834"/>
      <c r="D2" s="835"/>
      <c r="E2" s="835"/>
      <c r="F2" s="836"/>
      <c r="G2" s="834"/>
      <c r="H2" s="834"/>
      <c r="I2" s="834"/>
      <c r="J2" s="834"/>
      <c r="K2" s="834"/>
      <c r="L2" s="834"/>
      <c r="M2" s="834"/>
      <c r="N2" s="2"/>
      <c r="O2" s="2"/>
      <c r="P2" s="2215"/>
      <c r="Q2" s="2"/>
    </row>
    <row r="3" spans="1:17" ht="15.75">
      <c r="A3" s="837"/>
      <c r="B3" s="838"/>
      <c r="C3" s="838"/>
      <c r="D3" s="838"/>
      <c r="E3" s="838"/>
      <c r="F3" s="838"/>
      <c r="G3" s="838"/>
      <c r="H3" s="838"/>
      <c r="I3" s="838"/>
      <c r="J3" s="838"/>
      <c r="K3" s="838"/>
      <c r="L3" s="838"/>
      <c r="M3" s="839"/>
      <c r="N3" s="839"/>
      <c r="O3" s="839"/>
      <c r="P3" s="2216"/>
      <c r="Q3" s="839"/>
    </row>
    <row r="4" spans="1:17" ht="16.5" thickBot="1">
      <c r="A4" s="840" t="s">
        <v>1011</v>
      </c>
      <c r="B4" s="838"/>
      <c r="C4" s="838"/>
      <c r="D4" s="838"/>
      <c r="E4" s="838"/>
      <c r="F4" s="838"/>
      <c r="G4" s="838"/>
      <c r="H4" s="838"/>
      <c r="I4" s="838"/>
      <c r="J4" s="838"/>
      <c r="K4" s="838"/>
      <c r="L4" s="838"/>
      <c r="M4" s="839"/>
      <c r="N4" s="839"/>
      <c r="O4" s="841"/>
      <c r="P4" s="842"/>
      <c r="Q4" s="841"/>
    </row>
    <row r="5" spans="1:17" ht="15.75">
      <c r="A5" s="2445" t="s">
        <v>1012</v>
      </c>
      <c r="B5" s="2446"/>
      <c r="C5" s="2446"/>
      <c r="D5" s="2446"/>
      <c r="E5" s="2446"/>
      <c r="F5" s="2446"/>
      <c r="G5" s="2447"/>
      <c r="H5" s="843" t="s">
        <v>1013</v>
      </c>
      <c r="I5" s="844"/>
      <c r="J5" s="844"/>
      <c r="K5" s="845"/>
      <c r="L5" s="845"/>
      <c r="M5" s="846"/>
      <c r="N5" s="839"/>
      <c r="O5" s="841"/>
      <c r="P5" s="842"/>
      <c r="Q5" s="847"/>
    </row>
    <row r="6" spans="1:17" ht="15.75">
      <c r="A6" s="848"/>
      <c r="B6" s="849"/>
      <c r="C6" s="850" t="s">
        <v>1014</v>
      </c>
      <c r="D6" s="851" t="s">
        <v>1015</v>
      </c>
      <c r="E6" s="849" t="s">
        <v>1016</v>
      </c>
      <c r="F6" s="849" t="s">
        <v>1017</v>
      </c>
      <c r="G6" s="852" t="s">
        <v>1018</v>
      </c>
      <c r="H6" s="853"/>
      <c r="I6" s="854"/>
      <c r="J6" s="854"/>
      <c r="K6" s="855"/>
      <c r="L6" s="855"/>
      <c r="M6" s="856"/>
      <c r="N6" s="839"/>
      <c r="O6" s="842"/>
      <c r="P6" s="842"/>
      <c r="Q6" s="841"/>
    </row>
    <row r="7" spans="1:17" ht="15.75">
      <c r="A7" s="848"/>
      <c r="B7" s="857">
        <v>1</v>
      </c>
      <c r="C7" s="858" t="s">
        <v>1019</v>
      </c>
      <c r="D7" s="859" t="s">
        <v>1020</v>
      </c>
      <c r="E7" s="859"/>
      <c r="F7" s="860">
        <f>data_year-1</f>
        <v>2018</v>
      </c>
      <c r="G7" s="861">
        <v>6353044980.3799982</v>
      </c>
      <c r="H7" s="862" t="str">
        <f>IF((INDEX(Inputs_EndYrBal_prior,MATCH($D19,Inputs_FF1_Map,0))-G7)&lt;1,"-","Check values!")</f>
        <v>-</v>
      </c>
      <c r="I7" s="2380"/>
      <c r="J7" s="863"/>
      <c r="K7" s="855"/>
      <c r="L7" s="855"/>
      <c r="M7" s="856"/>
      <c r="N7" s="839"/>
      <c r="O7" s="842"/>
      <c r="P7" s="842"/>
      <c r="Q7" s="841"/>
    </row>
    <row r="8" spans="1:17" ht="15.75">
      <c r="A8" s="848"/>
      <c r="B8" s="849">
        <f t="shared" ref="B8:B20" si="0">+B7+1</f>
        <v>2</v>
      </c>
      <c r="C8" s="864" t="s">
        <v>1021</v>
      </c>
      <c r="D8" s="851" t="s">
        <v>1022</v>
      </c>
      <c r="E8" s="851"/>
      <c r="F8" s="860">
        <f>+F7+1</f>
        <v>2019</v>
      </c>
      <c r="G8" s="861">
        <v>6382517909.6200018</v>
      </c>
      <c r="H8" s="865"/>
      <c r="I8" s="2380"/>
      <c r="J8" s="863"/>
      <c r="K8" s="855"/>
      <c r="L8" s="866"/>
      <c r="M8" s="867"/>
      <c r="N8" s="839"/>
      <c r="O8" s="842"/>
      <c r="P8" s="842"/>
      <c r="Q8" s="868"/>
    </row>
    <row r="9" spans="1:17" ht="15.75">
      <c r="A9" s="848"/>
      <c r="B9" s="849">
        <f t="shared" si="0"/>
        <v>3</v>
      </c>
      <c r="C9" s="869" t="s">
        <v>1023</v>
      </c>
      <c r="D9" s="851" t="s">
        <v>1022</v>
      </c>
      <c r="E9" s="851"/>
      <c r="F9" s="860">
        <f t="shared" ref="F9:F19" si="1">+F8</f>
        <v>2019</v>
      </c>
      <c r="G9" s="861">
        <v>6395075642.6300011</v>
      </c>
      <c r="H9" s="870"/>
      <c r="I9" s="2380"/>
      <c r="J9" s="863"/>
      <c r="K9" s="855"/>
      <c r="L9" s="855"/>
      <c r="M9" s="867"/>
      <c r="N9" s="839"/>
      <c r="O9" s="842"/>
      <c r="P9" s="842"/>
      <c r="Q9" s="868"/>
    </row>
    <row r="10" spans="1:17" ht="15.75">
      <c r="A10" s="848"/>
      <c r="B10" s="849">
        <f t="shared" si="0"/>
        <v>4</v>
      </c>
      <c r="C10" s="869" t="s">
        <v>1024</v>
      </c>
      <c r="D10" s="851" t="s">
        <v>1022</v>
      </c>
      <c r="E10" s="851"/>
      <c r="F10" s="860">
        <f t="shared" si="1"/>
        <v>2019</v>
      </c>
      <c r="G10" s="861">
        <v>6422160075.8300009</v>
      </c>
      <c r="H10" s="870"/>
      <c r="I10" s="2380"/>
      <c r="J10" s="863"/>
      <c r="K10" s="871"/>
      <c r="L10" s="855"/>
      <c r="M10" s="867"/>
      <c r="N10" s="839"/>
      <c r="O10" s="842"/>
      <c r="P10" s="842"/>
      <c r="Q10" s="868"/>
    </row>
    <row r="11" spans="1:17" ht="15.75">
      <c r="A11" s="848"/>
      <c r="B11" s="849">
        <f t="shared" si="0"/>
        <v>5</v>
      </c>
      <c r="C11" s="864" t="s">
        <v>1025</v>
      </c>
      <c r="D11" s="851" t="s">
        <v>1022</v>
      </c>
      <c r="E11" s="851"/>
      <c r="F11" s="860">
        <f t="shared" si="1"/>
        <v>2019</v>
      </c>
      <c r="G11" s="861">
        <v>6424859086.8199997</v>
      </c>
      <c r="H11" s="870"/>
      <c r="I11" s="2380"/>
      <c r="J11" s="863"/>
      <c r="K11" s="871"/>
      <c r="L11" s="855"/>
      <c r="M11" s="867"/>
      <c r="N11" s="839"/>
      <c r="O11" s="842"/>
      <c r="P11" s="842"/>
      <c r="Q11" s="868"/>
    </row>
    <row r="12" spans="1:17" ht="15.75">
      <c r="A12" s="848"/>
      <c r="B12" s="849">
        <f t="shared" si="0"/>
        <v>6</v>
      </c>
      <c r="C12" s="869" t="s">
        <v>1026</v>
      </c>
      <c r="D12" s="851" t="s">
        <v>1022</v>
      </c>
      <c r="E12" s="851"/>
      <c r="F12" s="860">
        <f t="shared" si="1"/>
        <v>2019</v>
      </c>
      <c r="G12" s="861">
        <v>6438770947.5199995</v>
      </c>
      <c r="H12" s="872"/>
      <c r="I12" s="2380"/>
      <c r="J12" s="863"/>
      <c r="K12" s="854"/>
      <c r="L12" s="855"/>
      <c r="M12" s="873"/>
      <c r="N12" s="839"/>
      <c r="O12" s="842"/>
      <c r="P12" s="842"/>
      <c r="Q12" s="868"/>
    </row>
    <row r="13" spans="1:17" ht="15.75">
      <c r="A13" s="848"/>
      <c r="B13" s="849">
        <f t="shared" si="0"/>
        <v>7</v>
      </c>
      <c r="C13" s="869" t="s">
        <v>1027</v>
      </c>
      <c r="D13" s="851" t="s">
        <v>1022</v>
      </c>
      <c r="E13" s="851"/>
      <c r="F13" s="860">
        <f t="shared" si="1"/>
        <v>2019</v>
      </c>
      <c r="G13" s="861">
        <v>6446904301.749999</v>
      </c>
      <c r="H13" s="870"/>
      <c r="I13" s="2380"/>
      <c r="J13" s="863"/>
      <c r="K13" s="871"/>
      <c r="L13" s="855"/>
      <c r="M13" s="867"/>
      <c r="N13" s="839"/>
      <c r="O13" s="842"/>
      <c r="P13" s="842"/>
      <c r="Q13" s="868"/>
    </row>
    <row r="14" spans="1:17" ht="15.75">
      <c r="A14" s="848"/>
      <c r="B14" s="849">
        <f t="shared" si="0"/>
        <v>8</v>
      </c>
      <c r="C14" s="864" t="s">
        <v>1028</v>
      </c>
      <c r="D14" s="851" t="s">
        <v>1022</v>
      </c>
      <c r="E14" s="851"/>
      <c r="F14" s="860">
        <f t="shared" si="1"/>
        <v>2019</v>
      </c>
      <c r="G14" s="861">
        <v>6457267789.4399996</v>
      </c>
      <c r="H14" s="865"/>
      <c r="I14" s="2380"/>
      <c r="J14" s="863"/>
      <c r="K14" s="871"/>
      <c r="L14" s="855"/>
      <c r="M14" s="867"/>
      <c r="N14" s="839"/>
      <c r="O14" s="842"/>
      <c r="P14" s="842"/>
      <c r="Q14" s="868"/>
    </row>
    <row r="15" spans="1:17" ht="15.75">
      <c r="A15" s="848"/>
      <c r="B15" s="849">
        <f t="shared" si="0"/>
        <v>9</v>
      </c>
      <c r="C15" s="869" t="s">
        <v>1029</v>
      </c>
      <c r="D15" s="851" t="s">
        <v>1022</v>
      </c>
      <c r="E15" s="851"/>
      <c r="F15" s="860">
        <f t="shared" si="1"/>
        <v>2019</v>
      </c>
      <c r="G15" s="861">
        <v>6459718800.0700006</v>
      </c>
      <c r="H15" s="870"/>
      <c r="I15" s="2380"/>
      <c r="J15" s="863"/>
      <c r="K15" s="871"/>
      <c r="L15" s="855"/>
      <c r="M15" s="867"/>
      <c r="N15" s="839"/>
      <c r="O15" s="842"/>
      <c r="P15" s="842"/>
      <c r="Q15" s="868"/>
    </row>
    <row r="16" spans="1:17" ht="15.75">
      <c r="A16" s="848"/>
      <c r="B16" s="849">
        <f t="shared" si="0"/>
        <v>10</v>
      </c>
      <c r="C16" s="869" t="s">
        <v>1030</v>
      </c>
      <c r="D16" s="851" t="s">
        <v>1022</v>
      </c>
      <c r="E16" s="851"/>
      <c r="F16" s="860">
        <f t="shared" si="1"/>
        <v>2019</v>
      </c>
      <c r="G16" s="861">
        <v>6464387691.4699984</v>
      </c>
      <c r="H16" s="870"/>
      <c r="I16" s="2380"/>
      <c r="J16" s="863"/>
      <c r="K16" s="871"/>
      <c r="L16" s="855"/>
      <c r="M16" s="867"/>
      <c r="N16" s="839"/>
      <c r="O16" s="842"/>
      <c r="P16" s="842"/>
      <c r="Q16" s="868"/>
    </row>
    <row r="17" spans="1:17" ht="15.75">
      <c r="A17" s="848"/>
      <c r="B17" s="849">
        <f t="shared" si="0"/>
        <v>11</v>
      </c>
      <c r="C17" s="864" t="s">
        <v>1031</v>
      </c>
      <c r="D17" s="851" t="s">
        <v>1022</v>
      </c>
      <c r="E17" s="851"/>
      <c r="F17" s="860">
        <f t="shared" si="1"/>
        <v>2019</v>
      </c>
      <c r="G17" s="861">
        <v>6469126297.8699999</v>
      </c>
      <c r="H17" s="870"/>
      <c r="I17" s="2380"/>
      <c r="J17" s="863"/>
      <c r="K17" s="871"/>
      <c r="L17" s="855"/>
      <c r="M17" s="867"/>
      <c r="N17" s="839"/>
      <c r="O17" s="842"/>
      <c r="P17" s="842"/>
      <c r="Q17" s="868"/>
    </row>
    <row r="18" spans="1:17" ht="15.75">
      <c r="A18" s="848"/>
      <c r="B18" s="849">
        <f t="shared" si="0"/>
        <v>12</v>
      </c>
      <c r="C18" s="864" t="s">
        <v>1032</v>
      </c>
      <c r="D18" s="851" t="s">
        <v>1022</v>
      </c>
      <c r="E18" s="851"/>
      <c r="F18" s="860">
        <f t="shared" si="1"/>
        <v>2019</v>
      </c>
      <c r="G18" s="861">
        <v>6480051692.54</v>
      </c>
      <c r="H18" s="870"/>
      <c r="I18" s="2381"/>
      <c r="J18" s="863"/>
      <c r="K18" s="871"/>
      <c r="L18" s="855"/>
      <c r="M18" s="867"/>
      <c r="N18" s="839"/>
      <c r="O18" s="842"/>
      <c r="P18" s="842"/>
      <c r="Q18" s="868"/>
    </row>
    <row r="19" spans="1:17" ht="15.75">
      <c r="A19" s="848"/>
      <c r="B19" s="849">
        <f t="shared" si="0"/>
        <v>13</v>
      </c>
      <c r="C19" s="874" t="s">
        <v>1019</v>
      </c>
      <c r="D19" s="875" t="s">
        <v>1033</v>
      </c>
      <c r="E19" s="875"/>
      <c r="F19" s="876">
        <f t="shared" si="1"/>
        <v>2019</v>
      </c>
      <c r="G19" s="861">
        <v>6478620079.5699997</v>
      </c>
      <c r="H19" s="862" t="str">
        <f>IF((INDEX(Inputs_EndYrBal,MATCH($D19,Inputs_FF1_Map,0))-G19)&lt;1,"-","Check values!")</f>
        <v>-</v>
      </c>
      <c r="I19" s="2381"/>
      <c r="J19" s="863"/>
      <c r="K19" s="878"/>
      <c r="L19" s="855"/>
      <c r="M19" s="867"/>
      <c r="N19" s="839"/>
      <c r="O19" s="842"/>
      <c r="P19" s="842"/>
      <c r="Q19" s="868"/>
    </row>
    <row r="20" spans="1:17" ht="15.75">
      <c r="A20" s="848">
        <f>'Appendix A'!$A$38</f>
        <v>15</v>
      </c>
      <c r="B20" s="849">
        <f t="shared" si="0"/>
        <v>14</v>
      </c>
      <c r="C20" s="879" t="s">
        <v>36</v>
      </c>
      <c r="D20" s="880" t="str">
        <f>IF(Toggle=Projection,"(line "&amp;B19&amp;")",IF(Toggle=True_up,"(sum lines "&amp;B7&amp;"-"&amp;B19&amp;") /13","Set Toggle!"))</f>
        <v>(sum lines 1-13) /13</v>
      </c>
      <c r="E20" s="881" t="str">
        <f>'Appendix A'!$E$38</f>
        <v>(Note M)</v>
      </c>
      <c r="F20" s="882" t="str">
        <f>Toggle</f>
        <v>True-Up</v>
      </c>
      <c r="G20" s="2095">
        <f>IF(Toggle=Projection,G19,IF(Toggle=True_up,AVERAGE(G7:G19),"Set Toggle!"))</f>
        <v>6436346561.193078</v>
      </c>
      <c r="H20" s="884" t="s">
        <v>1034</v>
      </c>
      <c r="I20" s="2380"/>
      <c r="J20" s="863"/>
      <c r="K20" s="871"/>
      <c r="L20" s="885"/>
      <c r="M20" s="886"/>
      <c r="N20" s="839"/>
      <c r="O20" s="868"/>
      <c r="P20" s="868"/>
      <c r="Q20" s="887"/>
    </row>
    <row r="21" spans="1:17" ht="15.75">
      <c r="A21" s="848"/>
      <c r="B21" s="849"/>
      <c r="C21" s="869"/>
      <c r="D21" s="851"/>
      <c r="E21" s="851"/>
      <c r="F21" s="888"/>
      <c r="G21" s="889"/>
      <c r="H21" s="870"/>
      <c r="I21" s="2380"/>
      <c r="J21" s="863"/>
      <c r="K21" s="871"/>
      <c r="L21" s="890"/>
      <c r="M21" s="856"/>
      <c r="N21" s="839"/>
      <c r="O21" s="841"/>
      <c r="P21" s="842"/>
      <c r="Q21" s="841"/>
    </row>
    <row r="22" spans="1:17" ht="15.75">
      <c r="A22" s="848"/>
      <c r="B22" s="849"/>
      <c r="C22" s="850" t="s">
        <v>1035</v>
      </c>
      <c r="D22" s="851" t="s">
        <v>1015</v>
      </c>
      <c r="E22" s="851"/>
      <c r="F22" s="849" t="s">
        <v>1017</v>
      </c>
      <c r="G22" s="891" t="s">
        <v>1018</v>
      </c>
      <c r="H22" s="872"/>
      <c r="I22" s="2380"/>
      <c r="J22" s="863"/>
      <c r="K22" s="871"/>
      <c r="L22" s="890"/>
      <c r="M22" s="856"/>
      <c r="N22" s="839"/>
      <c r="O22" s="841"/>
      <c r="P22" s="842"/>
      <c r="Q22" s="841"/>
    </row>
    <row r="23" spans="1:17" ht="17.25">
      <c r="A23" s="848"/>
      <c r="B23" s="849">
        <f>+B20+1</f>
        <v>15</v>
      </c>
      <c r="C23" s="858" t="s">
        <v>1019</v>
      </c>
      <c r="D23" s="859" t="s">
        <v>1036</v>
      </c>
      <c r="E23" s="859"/>
      <c r="F23" s="860">
        <f>+F7</f>
        <v>2018</v>
      </c>
      <c r="G23" s="861">
        <v>7017942815.7799988</v>
      </c>
      <c r="H23" s="862" t="str">
        <f>IF((INDEX(Inputs_EndYrBal_prior,MATCH($D23,Inputs_FF1_Map,0))-G23)&lt;1,"-","Check values!")</f>
        <v>-</v>
      </c>
      <c r="I23" s="2380"/>
      <c r="J23" s="863"/>
      <c r="K23" s="871"/>
      <c r="L23" s="890"/>
      <c r="M23" s="856"/>
      <c r="N23" s="839"/>
      <c r="O23" s="892"/>
      <c r="P23" s="842"/>
      <c r="Q23" s="893"/>
    </row>
    <row r="24" spans="1:17" ht="15.75">
      <c r="A24" s="848"/>
      <c r="B24" s="849">
        <f t="shared" ref="B24:B36" si="2">+B23+1</f>
        <v>16</v>
      </c>
      <c r="C24" s="864" t="s">
        <v>1021</v>
      </c>
      <c r="D24" s="851" t="s">
        <v>1022</v>
      </c>
      <c r="E24" s="851"/>
      <c r="F24" s="860">
        <f>+F23+1</f>
        <v>2019</v>
      </c>
      <c r="G24" s="861">
        <v>7040503649.8300018</v>
      </c>
      <c r="H24" s="865"/>
      <c r="I24" s="2380"/>
      <c r="J24" s="863"/>
      <c r="K24" s="871"/>
      <c r="L24" s="890"/>
      <c r="M24" s="856"/>
      <c r="N24" s="839"/>
      <c r="O24" s="841"/>
      <c r="P24" s="894"/>
      <c r="Q24" s="842"/>
    </row>
    <row r="25" spans="1:17" ht="15.75">
      <c r="A25" s="848"/>
      <c r="B25" s="849">
        <f t="shared" si="2"/>
        <v>17</v>
      </c>
      <c r="C25" s="869" t="s">
        <v>1023</v>
      </c>
      <c r="D25" s="851" t="s">
        <v>1022</v>
      </c>
      <c r="E25" s="851"/>
      <c r="F25" s="860">
        <f t="shared" ref="F25:F35" si="3">+F24</f>
        <v>2019</v>
      </c>
      <c r="G25" s="861">
        <v>7057601913.3400011</v>
      </c>
      <c r="H25" s="870"/>
      <c r="I25" s="2380"/>
      <c r="J25" s="863"/>
      <c r="K25" s="871"/>
      <c r="L25" s="890"/>
      <c r="M25" s="856"/>
      <c r="N25" s="839"/>
      <c r="O25" s="841"/>
      <c r="P25" s="894"/>
      <c r="Q25" s="842"/>
    </row>
    <row r="26" spans="1:17" ht="15.75">
      <c r="A26" s="848"/>
      <c r="B26" s="849">
        <f t="shared" si="2"/>
        <v>18</v>
      </c>
      <c r="C26" s="869" t="s">
        <v>1024</v>
      </c>
      <c r="D26" s="851" t="s">
        <v>1022</v>
      </c>
      <c r="E26" s="851"/>
      <c r="F26" s="860">
        <f t="shared" si="3"/>
        <v>2019</v>
      </c>
      <c r="G26" s="861">
        <v>7075349163.3800011</v>
      </c>
      <c r="H26" s="870"/>
      <c r="I26" s="2380"/>
      <c r="J26" s="863"/>
      <c r="K26" s="871"/>
      <c r="L26" s="890"/>
      <c r="M26" s="856"/>
      <c r="N26" s="839"/>
      <c r="O26" s="841"/>
      <c r="P26" s="894"/>
      <c r="Q26" s="842"/>
    </row>
    <row r="27" spans="1:17" ht="15.75">
      <c r="A27" s="848"/>
      <c r="B27" s="849">
        <f t="shared" si="2"/>
        <v>19</v>
      </c>
      <c r="C27" s="864" t="s">
        <v>1025</v>
      </c>
      <c r="D27" s="851" t="s">
        <v>1022</v>
      </c>
      <c r="E27" s="851"/>
      <c r="F27" s="860">
        <f t="shared" si="3"/>
        <v>2019</v>
      </c>
      <c r="G27" s="861">
        <v>7093346891.5799999</v>
      </c>
      <c r="H27" s="870"/>
      <c r="I27" s="2380"/>
      <c r="J27" s="863"/>
      <c r="K27" s="871"/>
      <c r="L27" s="890"/>
      <c r="M27" s="856"/>
      <c r="N27" s="839"/>
      <c r="O27" s="841"/>
      <c r="P27" s="894"/>
      <c r="Q27" s="842"/>
    </row>
    <row r="28" spans="1:17" ht="15.75">
      <c r="A28" s="848"/>
      <c r="B28" s="849">
        <f t="shared" si="2"/>
        <v>20</v>
      </c>
      <c r="C28" s="869" t="s">
        <v>1026</v>
      </c>
      <c r="D28" s="851" t="s">
        <v>1022</v>
      </c>
      <c r="E28" s="851"/>
      <c r="F28" s="860">
        <f t="shared" si="3"/>
        <v>2019</v>
      </c>
      <c r="G28" s="861">
        <v>7117529664.7099972</v>
      </c>
      <c r="H28" s="872"/>
      <c r="I28" s="2380"/>
      <c r="J28" s="863"/>
      <c r="K28" s="854"/>
      <c r="L28" s="895"/>
      <c r="M28" s="896"/>
      <c r="N28" s="839"/>
      <c r="O28" s="841"/>
      <c r="P28" s="894"/>
      <c r="Q28" s="842"/>
    </row>
    <row r="29" spans="1:17" ht="15.75">
      <c r="A29" s="848"/>
      <c r="B29" s="849">
        <f t="shared" si="2"/>
        <v>21</v>
      </c>
      <c r="C29" s="869" t="s">
        <v>1027</v>
      </c>
      <c r="D29" s="851" t="s">
        <v>1022</v>
      </c>
      <c r="E29" s="851"/>
      <c r="F29" s="860">
        <f t="shared" si="3"/>
        <v>2019</v>
      </c>
      <c r="G29" s="861">
        <v>7138586565.4399986</v>
      </c>
      <c r="H29" s="870"/>
      <c r="I29" s="2380"/>
      <c r="J29" s="863"/>
      <c r="K29" s="871"/>
      <c r="L29" s="890"/>
      <c r="M29" s="856"/>
      <c r="N29" s="839"/>
      <c r="O29" s="841"/>
      <c r="P29" s="894"/>
      <c r="Q29" s="842"/>
    </row>
    <row r="30" spans="1:17" ht="15.75">
      <c r="A30" s="848"/>
      <c r="B30" s="849">
        <f t="shared" si="2"/>
        <v>22</v>
      </c>
      <c r="C30" s="864" t="s">
        <v>1028</v>
      </c>
      <c r="D30" s="851" t="s">
        <v>1022</v>
      </c>
      <c r="E30" s="851"/>
      <c r="F30" s="860">
        <f t="shared" si="3"/>
        <v>2019</v>
      </c>
      <c r="G30" s="861">
        <v>7162720373.0200024</v>
      </c>
      <c r="H30" s="865"/>
      <c r="I30" s="2380"/>
      <c r="J30" s="863"/>
      <c r="K30" s="871"/>
      <c r="L30" s="890"/>
      <c r="M30" s="856"/>
      <c r="N30" s="839"/>
      <c r="O30" s="841"/>
      <c r="P30" s="894"/>
      <c r="Q30" s="842"/>
    </row>
    <row r="31" spans="1:17" ht="15.75">
      <c r="A31" s="848"/>
      <c r="B31" s="849">
        <f t="shared" si="2"/>
        <v>23</v>
      </c>
      <c r="C31" s="869" t="s">
        <v>1029</v>
      </c>
      <c r="D31" s="851" t="s">
        <v>1022</v>
      </c>
      <c r="E31" s="851"/>
      <c r="F31" s="860">
        <f t="shared" si="3"/>
        <v>2019</v>
      </c>
      <c r="G31" s="861">
        <v>7181341253.3299999</v>
      </c>
      <c r="H31" s="870"/>
      <c r="I31" s="2380"/>
      <c r="J31" s="863"/>
      <c r="K31" s="871"/>
      <c r="L31" s="890"/>
      <c r="M31" s="856"/>
      <c r="N31" s="839"/>
      <c r="O31" s="841"/>
      <c r="P31" s="894"/>
      <c r="Q31" s="842"/>
    </row>
    <row r="32" spans="1:17" ht="15.75">
      <c r="A32" s="848"/>
      <c r="B32" s="849">
        <f t="shared" si="2"/>
        <v>24</v>
      </c>
      <c r="C32" s="869" t="s">
        <v>1030</v>
      </c>
      <c r="D32" s="851" t="s">
        <v>1022</v>
      </c>
      <c r="E32" s="851"/>
      <c r="F32" s="860">
        <f t="shared" si="3"/>
        <v>2019</v>
      </c>
      <c r="G32" s="861">
        <v>7204927186.5800009</v>
      </c>
      <c r="H32" s="870"/>
      <c r="I32" s="2380"/>
      <c r="J32" s="863"/>
      <c r="K32" s="871"/>
      <c r="L32" s="890"/>
      <c r="M32" s="856"/>
      <c r="N32" s="839"/>
      <c r="O32" s="841"/>
      <c r="P32" s="894"/>
      <c r="Q32" s="842"/>
    </row>
    <row r="33" spans="1:17" ht="15.75">
      <c r="A33" s="848"/>
      <c r="B33" s="849">
        <f t="shared" si="2"/>
        <v>25</v>
      </c>
      <c r="C33" s="864" t="s">
        <v>1037</v>
      </c>
      <c r="D33" s="851" t="s">
        <v>1022</v>
      </c>
      <c r="E33" s="851"/>
      <c r="F33" s="860">
        <f t="shared" si="3"/>
        <v>2019</v>
      </c>
      <c r="G33" s="861">
        <v>7233755772.2200003</v>
      </c>
      <c r="H33" s="870"/>
      <c r="I33" s="2380"/>
      <c r="J33" s="863"/>
      <c r="K33" s="871"/>
      <c r="L33" s="890"/>
      <c r="M33" s="856"/>
      <c r="N33" s="839"/>
      <c r="O33" s="841"/>
      <c r="P33" s="894"/>
      <c r="Q33" s="842"/>
    </row>
    <row r="34" spans="1:17" ht="15.75">
      <c r="A34" s="848"/>
      <c r="B34" s="849">
        <f t="shared" si="2"/>
        <v>26</v>
      </c>
      <c r="C34" s="864" t="s">
        <v>1032</v>
      </c>
      <c r="D34" s="851" t="s">
        <v>1022</v>
      </c>
      <c r="E34" s="851"/>
      <c r="F34" s="860">
        <f t="shared" si="3"/>
        <v>2019</v>
      </c>
      <c r="G34" s="861">
        <v>7257042175.6899986</v>
      </c>
      <c r="H34" s="870"/>
      <c r="I34" s="2380"/>
      <c r="J34" s="863"/>
      <c r="K34" s="871"/>
      <c r="L34" s="890"/>
      <c r="M34" s="856"/>
      <c r="N34" s="839"/>
      <c r="O34" s="841"/>
      <c r="P34" s="894"/>
      <c r="Q34" s="842"/>
    </row>
    <row r="35" spans="1:17" ht="15.75">
      <c r="A35" s="848"/>
      <c r="B35" s="849">
        <f t="shared" si="2"/>
        <v>27</v>
      </c>
      <c r="C35" s="874" t="s">
        <v>1019</v>
      </c>
      <c r="D35" s="875" t="s">
        <v>1038</v>
      </c>
      <c r="E35" s="875"/>
      <c r="F35" s="876">
        <f t="shared" si="3"/>
        <v>2019</v>
      </c>
      <c r="G35" s="861">
        <v>7295300652.4400015</v>
      </c>
      <c r="H35" s="862" t="str">
        <f>IF((INDEX(Inputs_EndYrBal,MATCH($D35,Inputs_FF1_Map,0))-G35)&lt;1,"-","Check values!")</f>
        <v>-</v>
      </c>
      <c r="I35" s="2380"/>
      <c r="J35" s="863"/>
      <c r="K35" s="878"/>
      <c r="L35" s="895"/>
      <c r="M35" s="896"/>
      <c r="N35" s="839"/>
      <c r="O35" s="841"/>
      <c r="P35" s="894"/>
      <c r="Q35" s="842"/>
    </row>
    <row r="36" spans="1:17" ht="15.75">
      <c r="A36" s="848"/>
      <c r="B36" s="849">
        <f t="shared" si="2"/>
        <v>28</v>
      </c>
      <c r="C36" s="879" t="s">
        <v>1039</v>
      </c>
      <c r="D36" s="880" t="str">
        <f>IF(Toggle=Projection,"(line "&amp;B35&amp;")",IF(Toggle=True_up,"(sum lines "&amp;B23&amp;"-"&amp;B35&amp;") /13","Set Toggle!"))</f>
        <v>(sum lines 15-27) /13</v>
      </c>
      <c r="E36" s="851"/>
      <c r="F36" s="882" t="str">
        <f>Toggle</f>
        <v>True-Up</v>
      </c>
      <c r="G36" s="2094">
        <f>IF(Toggle=Projection,G35,IF(Toggle=True_up,AVERAGE(G23:G35),"Set Toggle!"))</f>
        <v>7144303698.2569237</v>
      </c>
      <c r="H36" s="884"/>
      <c r="I36" s="2380"/>
      <c r="J36" s="863"/>
      <c r="K36" s="871"/>
      <c r="L36" s="885"/>
      <c r="M36" s="886"/>
      <c r="N36" s="839"/>
      <c r="O36" s="841"/>
      <c r="P36" s="842"/>
      <c r="Q36" s="842"/>
    </row>
    <row r="37" spans="1:17" ht="15.75">
      <c r="A37" s="848"/>
      <c r="B37" s="849"/>
      <c r="C37" s="869"/>
      <c r="D37" s="851"/>
      <c r="E37" s="851"/>
      <c r="F37" s="888"/>
      <c r="G37" s="889"/>
      <c r="H37" s="870"/>
      <c r="I37" s="2380"/>
      <c r="J37" s="863"/>
      <c r="K37" s="871"/>
      <c r="L37" s="890"/>
      <c r="M37" s="856"/>
      <c r="N37" s="839"/>
      <c r="O37" s="841"/>
      <c r="P37" s="842"/>
      <c r="Q37" s="841"/>
    </row>
    <row r="38" spans="1:17" ht="15.75">
      <c r="A38" s="848"/>
      <c r="B38" s="849"/>
      <c r="C38" s="850" t="s">
        <v>1040</v>
      </c>
      <c r="D38" s="851" t="s">
        <v>1015</v>
      </c>
      <c r="E38" s="851"/>
      <c r="F38" s="849" t="s">
        <v>1017</v>
      </c>
      <c r="G38" s="891" t="s">
        <v>1018</v>
      </c>
      <c r="H38" s="872"/>
      <c r="I38" s="2380"/>
      <c r="J38" s="863"/>
      <c r="K38" s="871"/>
      <c r="L38" s="890"/>
      <c r="M38" s="856"/>
      <c r="N38" s="839"/>
      <c r="O38" s="839"/>
      <c r="P38" s="2216"/>
      <c r="Q38" s="839"/>
    </row>
    <row r="39" spans="1:17" ht="15.75">
      <c r="A39" s="848"/>
      <c r="B39" s="849">
        <f>+B36+1</f>
        <v>29</v>
      </c>
      <c r="C39" s="858" t="s">
        <v>1019</v>
      </c>
      <c r="D39" s="859" t="s">
        <v>1041</v>
      </c>
      <c r="E39" s="859"/>
      <c r="F39" s="860">
        <f>+F23</f>
        <v>2018</v>
      </c>
      <c r="G39" s="861">
        <v>970432020.77999997</v>
      </c>
      <c r="H39" s="862" t="str">
        <f>IF((INDEX(Inputs_EndYrBal,MATCH($D39,Inputs_FF1_Map,0))-G39)&lt;1,"-","Check values!")</f>
        <v>-</v>
      </c>
      <c r="I39" s="2380"/>
      <c r="J39" s="863"/>
      <c r="K39" s="871"/>
      <c r="L39" s="890"/>
      <c r="M39" s="856"/>
      <c r="N39" s="839"/>
      <c r="O39" s="839"/>
      <c r="P39" s="2216"/>
      <c r="Q39" s="839"/>
    </row>
    <row r="40" spans="1:17" ht="15.75">
      <c r="A40" s="848"/>
      <c r="B40" s="849">
        <f>+B39+1</f>
        <v>30</v>
      </c>
      <c r="C40" s="874" t="s">
        <v>1019</v>
      </c>
      <c r="D40" s="875" t="s">
        <v>1042</v>
      </c>
      <c r="E40" s="875"/>
      <c r="F40" s="876">
        <f>+F39+1</f>
        <v>2019</v>
      </c>
      <c r="G40" s="877">
        <v>1015882796.17</v>
      </c>
      <c r="H40" s="862" t="str">
        <f>IF((INDEX(Inputs_EndYrBal,MATCH($D40,Inputs_FF1_Map,0))-G40)&lt;1,"-","Check values!")</f>
        <v>-</v>
      </c>
      <c r="I40" s="2380"/>
      <c r="J40" s="863"/>
      <c r="K40" s="854"/>
      <c r="L40" s="895"/>
      <c r="M40" s="856"/>
      <c r="N40" s="839"/>
      <c r="O40" s="839"/>
      <c r="P40" s="2216"/>
      <c r="Q40" s="839"/>
    </row>
    <row r="41" spans="1:17" ht="15.75">
      <c r="A41" s="848">
        <f>'Appendix A'!$A$43</f>
        <v>19</v>
      </c>
      <c r="B41" s="849">
        <f>+B40+1</f>
        <v>31</v>
      </c>
      <c r="C41" s="879" t="s">
        <v>1043</v>
      </c>
      <c r="D41" s="880" t="str">
        <f>IF(Toggle=Projection,"(line "&amp;B40&amp;")",IF(Toggle=True_up,"(sum lines "&amp;B39&amp;" &amp; "&amp;B40&amp;") /2","Set Toggle!"))</f>
        <v>(sum lines 29 &amp; 30) /2</v>
      </c>
      <c r="E41" s="881" t="str">
        <f>'Appendix A'!$E$43</f>
        <v>(Note N)</v>
      </c>
      <c r="F41" s="882" t="str">
        <f>Toggle</f>
        <v>True-Up</v>
      </c>
      <c r="G41" s="883">
        <f>IF(Toggle=Projection,G40,IF(Toggle=True_up,AVERAGE(G39:G40),"Set Toggle!"))</f>
        <v>993157408.4749999</v>
      </c>
      <c r="H41" s="884" t="s">
        <v>1034</v>
      </c>
      <c r="I41" s="2380"/>
      <c r="J41" s="863"/>
      <c r="K41" s="871"/>
      <c r="L41" s="885"/>
      <c r="M41" s="886"/>
      <c r="N41" s="839"/>
      <c r="O41" s="839"/>
      <c r="P41" s="2216"/>
      <c r="Q41" s="839"/>
    </row>
    <row r="42" spans="1:17" ht="15.75">
      <c r="A42" s="848"/>
      <c r="B42" s="849"/>
      <c r="C42" s="864"/>
      <c r="D42" s="851"/>
      <c r="E42" s="851"/>
      <c r="F42" s="898"/>
      <c r="G42" s="899"/>
      <c r="H42" s="870"/>
      <c r="I42" s="2380"/>
      <c r="J42" s="863"/>
      <c r="K42" s="871"/>
      <c r="L42" s="885"/>
      <c r="M42" s="856"/>
      <c r="N42" s="839"/>
      <c r="O42" s="839"/>
      <c r="P42" s="2216"/>
      <c r="Q42" s="839"/>
    </row>
    <row r="43" spans="1:17" ht="15.75">
      <c r="A43" s="848"/>
      <c r="B43" s="849"/>
      <c r="C43" s="850" t="s">
        <v>1044</v>
      </c>
      <c r="D43" s="851" t="s">
        <v>1015</v>
      </c>
      <c r="E43" s="851"/>
      <c r="F43" s="849" t="s">
        <v>1017</v>
      </c>
      <c r="G43" s="891" t="s">
        <v>1018</v>
      </c>
      <c r="H43" s="872"/>
      <c r="I43" s="2380"/>
      <c r="J43" s="863"/>
      <c r="K43" s="871"/>
      <c r="L43" s="890"/>
      <c r="M43" s="856"/>
      <c r="N43" s="839"/>
      <c r="O43" s="839"/>
      <c r="P43" s="2216"/>
      <c r="Q43" s="839"/>
    </row>
    <row r="44" spans="1:17" ht="15.75">
      <c r="A44" s="848"/>
      <c r="B44" s="849">
        <f>+B41+1</f>
        <v>32</v>
      </c>
      <c r="C44" s="858" t="s">
        <v>1019</v>
      </c>
      <c r="D44" s="859" t="s">
        <v>1045</v>
      </c>
      <c r="E44" s="859"/>
      <c r="F44" s="860">
        <f>+F39</f>
        <v>2018</v>
      </c>
      <c r="G44" s="861">
        <v>1274442961.22</v>
      </c>
      <c r="H44" s="862" t="str">
        <f>IF((INDEX(Inputs_EndYrBal,MATCH($D44,Inputs_FF1_Map,0))-G44)&lt;1,"-","Check values!")</f>
        <v>-</v>
      </c>
      <c r="I44" s="2380"/>
      <c r="J44" s="863"/>
      <c r="K44" s="871"/>
      <c r="L44" s="890"/>
      <c r="M44" s="856"/>
      <c r="N44" s="839"/>
      <c r="O44" s="839"/>
      <c r="P44" s="2216"/>
      <c r="Q44" s="839"/>
    </row>
    <row r="45" spans="1:17" ht="15.75">
      <c r="A45" s="848"/>
      <c r="B45" s="849">
        <f>+B44+1</f>
        <v>33</v>
      </c>
      <c r="C45" s="874" t="s">
        <v>1019</v>
      </c>
      <c r="D45" s="875" t="s">
        <v>1046</v>
      </c>
      <c r="E45" s="875"/>
      <c r="F45" s="876">
        <f>+F44+1</f>
        <v>2019</v>
      </c>
      <c r="G45" s="877">
        <v>1287632917.52</v>
      </c>
      <c r="H45" s="862" t="str">
        <f>IF((INDEX(Inputs_EndYrBal,MATCH($D45,Inputs_FF1_Map,0))-G45)&lt;1,"-","Check values!")</f>
        <v>-</v>
      </c>
      <c r="I45" s="2380"/>
      <c r="J45" s="863"/>
      <c r="K45" s="878"/>
      <c r="L45" s="900"/>
      <c r="M45" s="856"/>
      <c r="N45" s="839"/>
      <c r="O45" s="839"/>
      <c r="P45" s="2216"/>
      <c r="Q45" s="839"/>
    </row>
    <row r="46" spans="1:17" ht="15.75">
      <c r="A46" s="848">
        <f>'Appendix A'!$A$42</f>
        <v>18</v>
      </c>
      <c r="B46" s="849">
        <f>+B45+1</f>
        <v>34</v>
      </c>
      <c r="C46" s="879" t="s">
        <v>1047</v>
      </c>
      <c r="D46" s="880" t="str">
        <f>IF(Toggle=Projection,"(line "&amp;B45&amp;")",IF(Toggle=True_up,"(sum lines "&amp;B44&amp;" &amp; "&amp;B45&amp;") /2","Set Toggle!"))</f>
        <v>(sum lines 32 &amp; 33) /2</v>
      </c>
      <c r="E46" s="881" t="str">
        <f>'Appendix A'!$E$42</f>
        <v>(Note N)</v>
      </c>
      <c r="F46" s="882" t="str">
        <f>Toggle</f>
        <v>True-Up</v>
      </c>
      <c r="G46" s="883">
        <f>IF(Toggle=Projection,G45,IF(Toggle=True_up,AVERAGE(G44:G45),"Set Toggle!"))</f>
        <v>1281037939.3699999</v>
      </c>
      <c r="H46" s="884" t="s">
        <v>1034</v>
      </c>
      <c r="I46" s="2380"/>
      <c r="J46" s="863"/>
      <c r="K46" s="871"/>
      <c r="L46" s="885"/>
      <c r="M46" s="886"/>
      <c r="N46" s="839"/>
      <c r="O46" s="839"/>
      <c r="P46" s="2216"/>
      <c r="Q46" s="839"/>
    </row>
    <row r="47" spans="1:17" ht="15.75">
      <c r="A47" s="848"/>
      <c r="B47" s="849"/>
      <c r="C47" s="869"/>
      <c r="D47" s="859"/>
      <c r="E47" s="859"/>
      <c r="F47" s="901"/>
      <c r="G47" s="899"/>
      <c r="H47" s="872"/>
      <c r="I47" s="2380"/>
      <c r="J47" s="863"/>
      <c r="K47" s="854"/>
      <c r="L47" s="895"/>
      <c r="M47" s="896"/>
      <c r="N47" s="839"/>
      <c r="O47" s="839"/>
      <c r="P47" s="2216"/>
      <c r="Q47" s="839"/>
    </row>
    <row r="48" spans="1:17" ht="15.75">
      <c r="A48" s="848"/>
      <c r="B48" s="849"/>
      <c r="C48" s="850" t="s">
        <v>1048</v>
      </c>
      <c r="D48" s="851" t="s">
        <v>1015</v>
      </c>
      <c r="E48" s="851"/>
      <c r="F48" s="849" t="s">
        <v>1017</v>
      </c>
      <c r="G48" s="891" t="s">
        <v>1018</v>
      </c>
      <c r="H48" s="872"/>
      <c r="I48" s="2380"/>
      <c r="J48" s="863"/>
      <c r="K48" s="871"/>
      <c r="L48" s="890"/>
      <c r="M48" s="856"/>
      <c r="N48" s="839"/>
      <c r="O48" s="839"/>
      <c r="P48" s="2216"/>
      <c r="Q48" s="839"/>
    </row>
    <row r="49" spans="1:17" ht="15.75">
      <c r="A49" s="848"/>
      <c r="B49" s="849">
        <f>+B46+1</f>
        <v>35</v>
      </c>
      <c r="C49" s="858" t="s">
        <v>1019</v>
      </c>
      <c r="D49" s="859" t="s">
        <v>1049</v>
      </c>
      <c r="E49" s="859"/>
      <c r="F49" s="860">
        <f>+F44</f>
        <v>2018</v>
      </c>
      <c r="G49" s="861">
        <v>12454178185.549999</v>
      </c>
      <c r="H49" s="862" t="str">
        <f>IF((INDEX(Inputs_EndYrBal_prior,MATCH($D61,Inputs_FF1_Map,0))-G49)&lt;1,"-","Check values!")</f>
        <v>-</v>
      </c>
      <c r="I49" s="2380"/>
      <c r="J49" s="863"/>
      <c r="K49" s="871"/>
      <c r="L49" s="890"/>
      <c r="M49" s="856"/>
      <c r="N49" s="839"/>
      <c r="O49" s="839"/>
      <c r="P49" s="2216"/>
      <c r="Q49" s="839"/>
    </row>
    <row r="50" spans="1:17" ht="15.75">
      <c r="A50" s="848"/>
      <c r="B50" s="849">
        <f t="shared" ref="B50:B62" si="4">+B49+1</f>
        <v>36</v>
      </c>
      <c r="C50" s="902" t="s">
        <v>1021</v>
      </c>
      <c r="D50" s="851" t="s">
        <v>1022</v>
      </c>
      <c r="E50" s="851"/>
      <c r="F50" s="860">
        <f>+F49+1</f>
        <v>2019</v>
      </c>
      <c r="G50" s="861">
        <v>12397051849.380001</v>
      </c>
      <c r="H50" s="872"/>
      <c r="I50" s="2380"/>
      <c r="J50" s="863"/>
      <c r="K50" s="871"/>
      <c r="L50" s="890"/>
      <c r="M50" s="856"/>
      <c r="N50" s="839"/>
      <c r="O50" s="839"/>
      <c r="P50" s="2216"/>
      <c r="Q50" s="839"/>
    </row>
    <row r="51" spans="1:17" ht="15.75">
      <c r="A51" s="848"/>
      <c r="B51" s="849">
        <f t="shared" si="4"/>
        <v>37</v>
      </c>
      <c r="C51" s="869" t="s">
        <v>1023</v>
      </c>
      <c r="D51" s="851" t="s">
        <v>1022</v>
      </c>
      <c r="E51" s="851"/>
      <c r="F51" s="860">
        <f t="shared" ref="F51:F61" si="5">+F50</f>
        <v>2019</v>
      </c>
      <c r="G51" s="861">
        <v>12397545132.419998</v>
      </c>
      <c r="H51" s="872"/>
      <c r="I51" s="2380"/>
      <c r="J51" s="863"/>
      <c r="K51" s="871"/>
      <c r="L51" s="890"/>
      <c r="M51" s="856"/>
      <c r="N51" s="839"/>
      <c r="O51" s="839"/>
      <c r="P51" s="2216"/>
      <c r="Q51" s="839"/>
    </row>
    <row r="52" spans="1:17" ht="15.75">
      <c r="A52" s="848"/>
      <c r="B52" s="849">
        <f t="shared" si="4"/>
        <v>38</v>
      </c>
      <c r="C52" s="869" t="s">
        <v>1024</v>
      </c>
      <c r="D52" s="851" t="s">
        <v>1022</v>
      </c>
      <c r="E52" s="851"/>
      <c r="F52" s="860">
        <f t="shared" si="5"/>
        <v>2019</v>
      </c>
      <c r="G52" s="861">
        <v>12394271580.9</v>
      </c>
      <c r="H52" s="872"/>
      <c r="I52" s="2380"/>
      <c r="J52" s="863"/>
      <c r="K52" s="871"/>
      <c r="L52" s="890"/>
      <c r="M52" s="856"/>
      <c r="N52" s="839"/>
      <c r="O52" s="839"/>
      <c r="P52" s="2216"/>
      <c r="Q52" s="839"/>
    </row>
    <row r="53" spans="1:17" ht="15.75">
      <c r="A53" s="848"/>
      <c r="B53" s="849">
        <f t="shared" si="4"/>
        <v>39</v>
      </c>
      <c r="C53" s="902" t="s">
        <v>1025</v>
      </c>
      <c r="D53" s="851" t="s">
        <v>1022</v>
      </c>
      <c r="E53" s="851"/>
      <c r="F53" s="860">
        <f t="shared" si="5"/>
        <v>2019</v>
      </c>
      <c r="G53" s="861">
        <v>12401790999.189999</v>
      </c>
      <c r="H53" s="872"/>
      <c r="I53" s="2380"/>
      <c r="J53" s="863"/>
      <c r="K53" s="871"/>
      <c r="L53" s="890"/>
      <c r="M53" s="856"/>
      <c r="N53" s="839"/>
      <c r="O53" s="839"/>
      <c r="P53" s="2216"/>
      <c r="Q53" s="839"/>
    </row>
    <row r="54" spans="1:17" ht="15.75">
      <c r="A54" s="848"/>
      <c r="B54" s="849">
        <f t="shared" si="4"/>
        <v>40</v>
      </c>
      <c r="C54" s="869" t="s">
        <v>1026</v>
      </c>
      <c r="D54" s="851" t="s">
        <v>1022</v>
      </c>
      <c r="E54" s="851"/>
      <c r="F54" s="860">
        <f t="shared" si="5"/>
        <v>2019</v>
      </c>
      <c r="G54" s="861">
        <v>12436193972.330002</v>
      </c>
      <c r="H54" s="872"/>
      <c r="I54" s="2380"/>
      <c r="J54" s="863"/>
      <c r="K54" s="871"/>
      <c r="L54" s="890"/>
      <c r="M54" s="856"/>
      <c r="N54" s="839"/>
      <c r="O54" s="839"/>
      <c r="P54" s="2216"/>
      <c r="Q54" s="839"/>
    </row>
    <row r="55" spans="1:17" ht="15.75">
      <c r="A55" s="848"/>
      <c r="B55" s="849">
        <f t="shared" si="4"/>
        <v>41</v>
      </c>
      <c r="C55" s="869" t="s">
        <v>1180</v>
      </c>
      <c r="D55" s="851" t="s">
        <v>1022</v>
      </c>
      <c r="E55" s="851"/>
      <c r="F55" s="860">
        <f t="shared" si="5"/>
        <v>2019</v>
      </c>
      <c r="G55" s="861">
        <v>12429933621.849998</v>
      </c>
      <c r="H55" s="872"/>
      <c r="I55" s="2380"/>
      <c r="J55" s="863"/>
      <c r="K55" s="871"/>
      <c r="L55" s="890"/>
      <c r="M55" s="856"/>
      <c r="N55" s="839"/>
      <c r="O55" s="839"/>
      <c r="P55" s="2216"/>
      <c r="Q55" s="839"/>
    </row>
    <row r="56" spans="1:17" ht="15.75">
      <c r="A56" s="848"/>
      <c r="B56" s="849">
        <f t="shared" si="4"/>
        <v>42</v>
      </c>
      <c r="C56" s="869" t="s">
        <v>1028</v>
      </c>
      <c r="D56" s="851" t="s">
        <v>1022</v>
      </c>
      <c r="E56" s="851"/>
      <c r="F56" s="860">
        <f t="shared" si="5"/>
        <v>2019</v>
      </c>
      <c r="G56" s="861">
        <v>12433762247.309998</v>
      </c>
      <c r="H56" s="872"/>
      <c r="I56" s="2380"/>
      <c r="J56" s="863"/>
      <c r="K56" s="871"/>
      <c r="L56" s="890"/>
      <c r="M56" s="856"/>
      <c r="N56" s="839"/>
      <c r="O56" s="839"/>
      <c r="P56" s="2216"/>
      <c r="Q56" s="839"/>
    </row>
    <row r="57" spans="1:17" ht="15.75">
      <c r="A57" s="848"/>
      <c r="B57" s="849">
        <f t="shared" si="4"/>
        <v>43</v>
      </c>
      <c r="C57" s="869" t="s">
        <v>1029</v>
      </c>
      <c r="D57" s="851" t="s">
        <v>1022</v>
      </c>
      <c r="E57" s="851"/>
      <c r="F57" s="860">
        <f t="shared" si="5"/>
        <v>2019</v>
      </c>
      <c r="G57" s="861">
        <v>12442257211.840002</v>
      </c>
      <c r="H57" s="872"/>
      <c r="I57" s="2380"/>
      <c r="J57" s="863"/>
      <c r="K57" s="871"/>
      <c r="L57" s="890"/>
      <c r="M57" s="856"/>
      <c r="N57" s="839"/>
      <c r="O57" s="839"/>
      <c r="P57" s="2216"/>
      <c r="Q57" s="839"/>
    </row>
    <row r="58" spans="1:17" ht="15.75">
      <c r="A58" s="848"/>
      <c r="B58" s="849">
        <f t="shared" si="4"/>
        <v>44</v>
      </c>
      <c r="C58" s="869" t="s">
        <v>1030</v>
      </c>
      <c r="D58" s="851" t="s">
        <v>1022</v>
      </c>
      <c r="E58" s="851"/>
      <c r="F58" s="860">
        <f t="shared" si="5"/>
        <v>2019</v>
      </c>
      <c r="G58" s="861">
        <v>12408860367.08</v>
      </c>
      <c r="H58" s="872"/>
      <c r="I58" s="2380"/>
      <c r="J58" s="863"/>
      <c r="K58" s="871"/>
      <c r="L58" s="890"/>
      <c r="M58" s="856"/>
      <c r="N58" s="839"/>
      <c r="O58" s="839"/>
      <c r="P58" s="2216"/>
      <c r="Q58" s="839"/>
    </row>
    <row r="59" spans="1:17" ht="15.75">
      <c r="A59" s="848"/>
      <c r="B59" s="849">
        <f t="shared" si="4"/>
        <v>45</v>
      </c>
      <c r="C59" s="902" t="s">
        <v>1037</v>
      </c>
      <c r="D59" s="851" t="s">
        <v>1022</v>
      </c>
      <c r="E59" s="851"/>
      <c r="F59" s="860">
        <f t="shared" si="5"/>
        <v>2019</v>
      </c>
      <c r="G59" s="861">
        <v>12394905600.42</v>
      </c>
      <c r="H59" s="872"/>
      <c r="I59" s="2380"/>
      <c r="J59" s="863"/>
      <c r="K59" s="871"/>
      <c r="L59" s="890"/>
      <c r="M59" s="856"/>
      <c r="N59" s="839"/>
      <c r="O59" s="839"/>
      <c r="P59" s="2216"/>
      <c r="Q59" s="839"/>
    </row>
    <row r="60" spans="1:17" ht="15.75">
      <c r="A60" s="848"/>
      <c r="B60" s="849">
        <f t="shared" si="4"/>
        <v>46</v>
      </c>
      <c r="C60" s="902" t="s">
        <v>1032</v>
      </c>
      <c r="D60" s="851" t="s">
        <v>1022</v>
      </c>
      <c r="E60" s="851"/>
      <c r="F60" s="860">
        <f t="shared" si="5"/>
        <v>2019</v>
      </c>
      <c r="G60" s="861">
        <v>12409756392.229998</v>
      </c>
      <c r="H60" s="872"/>
      <c r="I60" s="2380"/>
      <c r="J60" s="863"/>
      <c r="K60" s="903"/>
      <c r="L60" s="904"/>
      <c r="M60" s="856"/>
      <c r="N60" s="839"/>
      <c r="O60" s="839"/>
      <c r="P60" s="2216"/>
      <c r="Q60" s="839"/>
    </row>
    <row r="61" spans="1:17" ht="15.75">
      <c r="A61" s="848"/>
      <c r="B61" s="849">
        <f t="shared" si="4"/>
        <v>47</v>
      </c>
      <c r="C61" s="874" t="s">
        <v>1019</v>
      </c>
      <c r="D61" s="875" t="s">
        <v>1050</v>
      </c>
      <c r="E61" s="875"/>
      <c r="F61" s="876">
        <f t="shared" si="5"/>
        <v>2019</v>
      </c>
      <c r="G61" s="861">
        <v>12370876824.829998</v>
      </c>
      <c r="H61" s="862" t="str">
        <f>IF((INDEX(Inputs_EndYrBal,MATCH($D61,Inputs_FF1_Map,0))-G61)&lt;1,"-","Check values!")</f>
        <v>-</v>
      </c>
      <c r="I61" s="2380"/>
      <c r="J61" s="863"/>
      <c r="K61" s="854"/>
      <c r="L61" s="895"/>
      <c r="M61" s="856"/>
      <c r="N61" s="839"/>
      <c r="O61" s="839"/>
      <c r="P61" s="2216"/>
      <c r="Q61" s="839"/>
    </row>
    <row r="62" spans="1:17" ht="15.75">
      <c r="A62" s="848"/>
      <c r="B62" s="849">
        <f t="shared" si="4"/>
        <v>48</v>
      </c>
      <c r="C62" s="879" t="s">
        <v>1051</v>
      </c>
      <c r="D62" s="880" t="str">
        <f>IF(Toggle=Projection,"(line "&amp;B61&amp;")",IF(Toggle=True_up,"(sum lines "&amp;B49&amp;"-"&amp;B61&amp;") /13","Set Toggle!"))</f>
        <v>(sum lines 35-47) /13</v>
      </c>
      <c r="E62" s="851"/>
      <c r="F62" s="882" t="str">
        <f>Toggle</f>
        <v>True-Up</v>
      </c>
      <c r="G62" s="2094">
        <f>IF(Toggle=Projection,G61,IF(Toggle=True_up,AVERAGE(G49:G61),"Set Toggle!"))</f>
        <v>12413183383.486921</v>
      </c>
      <c r="H62" s="905"/>
      <c r="I62" s="2380"/>
      <c r="J62" s="863"/>
      <c r="K62" s="871"/>
      <c r="L62" s="885"/>
      <c r="M62" s="886"/>
      <c r="N62" s="839"/>
      <c r="O62" s="839"/>
      <c r="P62" s="2216"/>
      <c r="Q62" s="839"/>
    </row>
    <row r="63" spans="1:17" ht="15.75">
      <c r="A63" s="906"/>
      <c r="B63" s="851"/>
      <c r="C63" s="869"/>
      <c r="D63" s="851"/>
      <c r="E63" s="851"/>
      <c r="F63" s="888"/>
      <c r="G63" s="889"/>
      <c r="H63" s="870"/>
      <c r="I63" s="2380"/>
      <c r="J63" s="863"/>
      <c r="K63" s="871"/>
      <c r="L63" s="890"/>
      <c r="M63" s="856"/>
      <c r="N63" s="839"/>
      <c r="O63" s="839"/>
      <c r="P63" s="2216"/>
      <c r="Q63" s="839"/>
    </row>
    <row r="64" spans="1:17" ht="15.75">
      <c r="A64" s="906"/>
      <c r="B64" s="907"/>
      <c r="C64" s="908"/>
      <c r="D64" s="854"/>
      <c r="E64" s="854"/>
      <c r="F64" s="909"/>
      <c r="G64" s="910"/>
      <c r="H64" s="911"/>
      <c r="I64" s="2380"/>
      <c r="J64" s="863"/>
      <c r="K64" s="871"/>
      <c r="L64" s="890"/>
      <c r="M64" s="856"/>
      <c r="N64" s="839"/>
      <c r="O64" s="839"/>
      <c r="P64" s="2216"/>
      <c r="Q64" s="839"/>
    </row>
    <row r="65" spans="1:17" ht="15.75">
      <c r="A65" s="848"/>
      <c r="B65" s="909">
        <f>+B62+1</f>
        <v>49</v>
      </c>
      <c r="C65" s="869" t="s">
        <v>1052</v>
      </c>
      <c r="D65" s="859" t="s">
        <v>1053</v>
      </c>
      <c r="E65" s="859"/>
      <c r="F65" s="912"/>
      <c r="G65" s="861">
        <v>0</v>
      </c>
      <c r="H65" s="862" t="str">
        <f>IF((INDEX(Inputs_EndYrBal,MATCH("206.102g",Inputs_FF1_Map,0))-G65)&lt;1,"-","Check values!")</f>
        <v>-</v>
      </c>
      <c r="I65" s="2380"/>
      <c r="J65" s="863"/>
      <c r="K65" s="871"/>
      <c r="L65" s="885"/>
      <c r="M65" s="886"/>
      <c r="N65" s="839"/>
      <c r="O65" s="839"/>
      <c r="P65" s="2216"/>
      <c r="Q65" s="839"/>
    </row>
    <row r="66" spans="1:17" ht="15.75">
      <c r="A66" s="848"/>
      <c r="B66" s="909"/>
      <c r="C66" s="879"/>
      <c r="D66" s="854"/>
      <c r="E66" s="854"/>
      <c r="F66" s="913"/>
      <c r="G66" s="897"/>
      <c r="H66" s="914"/>
      <c r="I66" s="2382"/>
      <c r="J66" s="863"/>
      <c r="K66" s="871"/>
      <c r="L66" s="890"/>
      <c r="M66" s="856"/>
      <c r="N66" s="839"/>
      <c r="O66" s="839"/>
      <c r="P66" s="2216"/>
      <c r="Q66" s="839"/>
    </row>
    <row r="67" spans="1:17" ht="15.75">
      <c r="A67" s="848"/>
      <c r="B67" s="849"/>
      <c r="C67" s="879"/>
      <c r="D67" s="851"/>
      <c r="E67" s="851"/>
      <c r="F67" s="913"/>
      <c r="G67" s="897"/>
      <c r="H67" s="915"/>
      <c r="I67" s="2382"/>
      <c r="J67" s="863"/>
      <c r="K67" s="871"/>
      <c r="L67" s="890"/>
      <c r="M67" s="916"/>
      <c r="N67" s="839"/>
      <c r="O67" s="839"/>
      <c r="P67" s="2216"/>
      <c r="Q67" s="839"/>
    </row>
    <row r="68" spans="1:17" ht="15.75">
      <c r="A68" s="848">
        <f>'Appendix A'!$A$21</f>
        <v>6</v>
      </c>
      <c r="B68" s="849">
        <f>+B65+1</f>
        <v>50</v>
      </c>
      <c r="C68" s="917" t="s">
        <v>1054</v>
      </c>
      <c r="D68" s="918" t="str">
        <f>"(sum lines "&amp;B20&amp;", "&amp;B36&amp;", "&amp;B41&amp;", "&amp;B46&amp;", "&amp;B62&amp;", &amp; "&amp;B65&amp;")"</f>
        <v>(sum lines 14, 28, 31, 34, 48, &amp; 49)</v>
      </c>
      <c r="E68" s="919" t="str">
        <f>'Appendix A'!$E$21</f>
        <v>(Note M)</v>
      </c>
      <c r="F68" s="920" t="str">
        <f>Toggle</f>
        <v>True-Up</v>
      </c>
      <c r="G68" s="921">
        <f>SUM(G62,G46,G41,G36,G20,G65)</f>
        <v>28268028990.781921</v>
      </c>
      <c r="H68" s="884" t="s">
        <v>1034</v>
      </c>
      <c r="I68" s="2382"/>
      <c r="J68" s="863"/>
      <c r="K68" s="854"/>
      <c r="L68" s="854"/>
      <c r="M68" s="896"/>
      <c r="N68" s="839"/>
      <c r="O68" s="839"/>
      <c r="P68" s="2216"/>
      <c r="Q68" s="839"/>
    </row>
    <row r="69" spans="1:17" ht="16.5" thickBot="1">
      <c r="A69" s="922"/>
      <c r="B69" s="923"/>
      <c r="C69" s="924"/>
      <c r="D69" s="925"/>
      <c r="E69" s="925"/>
      <c r="F69" s="926"/>
      <c r="G69" s="927"/>
      <c r="H69" s="928"/>
      <c r="I69" s="2383"/>
      <c r="J69" s="929"/>
      <c r="K69" s="930"/>
      <c r="L69" s="930"/>
      <c r="M69" s="931"/>
      <c r="N69" s="839"/>
      <c r="O69" s="839"/>
      <c r="P69" s="2216"/>
      <c r="Q69" s="839"/>
    </row>
    <row r="70" spans="1:17" ht="15.75">
      <c r="A70" s="932"/>
      <c r="B70" s="933"/>
      <c r="C70" s="869"/>
      <c r="D70" s="851"/>
      <c r="E70" s="851"/>
      <c r="F70" s="888"/>
      <c r="G70" s="869"/>
      <c r="H70" s="914"/>
      <c r="I70" s="909"/>
      <c r="J70" s="849"/>
      <c r="K70" s="871"/>
      <c r="L70" s="871"/>
      <c r="M70" s="871"/>
      <c r="N70" s="839"/>
      <c r="O70" s="839"/>
      <c r="P70" s="2216"/>
      <c r="Q70" s="839"/>
    </row>
    <row r="71" spans="1:17" ht="15.75">
      <c r="A71" s="932"/>
      <c r="B71" s="933"/>
      <c r="C71" s="869"/>
      <c r="D71" s="851"/>
      <c r="E71" s="851"/>
      <c r="F71" s="888"/>
      <c r="G71" s="869"/>
      <c r="H71" s="934"/>
      <c r="I71" s="909"/>
      <c r="J71" s="849"/>
      <c r="K71" s="871"/>
      <c r="L71" s="871"/>
      <c r="M71" s="871"/>
      <c r="N71" s="935"/>
      <c r="O71" s="839"/>
      <c r="P71" s="2216"/>
      <c r="Q71" s="839"/>
    </row>
    <row r="72" spans="1:17" ht="16.5" thickBot="1">
      <c r="A72" s="840" t="s">
        <v>1055</v>
      </c>
      <c r="B72" s="838"/>
      <c r="C72" s="838"/>
      <c r="D72" s="838"/>
      <c r="E72" s="838"/>
      <c r="F72" s="838"/>
      <c r="G72" s="838"/>
      <c r="H72" s="838"/>
      <c r="I72" s="2384"/>
      <c r="J72" s="838"/>
      <c r="K72" s="838"/>
      <c r="L72" s="838"/>
      <c r="M72" s="838"/>
      <c r="N72" s="839"/>
      <c r="O72" s="839"/>
      <c r="P72" s="2216"/>
      <c r="Q72" s="839"/>
    </row>
    <row r="73" spans="1:17" ht="15.75">
      <c r="A73" s="2448" t="s">
        <v>1012</v>
      </c>
      <c r="B73" s="2449"/>
      <c r="C73" s="2449"/>
      <c r="D73" s="2449"/>
      <c r="E73" s="2449"/>
      <c r="F73" s="2449"/>
      <c r="G73" s="2450"/>
      <c r="H73" s="936" t="s">
        <v>6</v>
      </c>
      <c r="I73" s="938"/>
      <c r="J73" s="938"/>
      <c r="K73" s="938"/>
      <c r="L73" s="938"/>
      <c r="M73" s="939"/>
      <c r="N73" s="839"/>
      <c r="O73" s="839"/>
      <c r="P73" s="2216"/>
      <c r="Q73" s="839"/>
    </row>
    <row r="74" spans="1:17" ht="15.75">
      <c r="A74" s="848"/>
      <c r="B74" s="849"/>
      <c r="C74" s="850" t="s">
        <v>1056</v>
      </c>
      <c r="D74" s="851" t="s">
        <v>1015</v>
      </c>
      <c r="E74" s="851"/>
      <c r="F74" s="849" t="s">
        <v>1017</v>
      </c>
      <c r="G74" s="852" t="s">
        <v>1018</v>
      </c>
      <c r="H74" s="853"/>
      <c r="I74" s="854"/>
      <c r="J74" s="851"/>
      <c r="K74" s="871"/>
      <c r="L74" s="871"/>
      <c r="M74" s="856"/>
      <c r="N74" s="839"/>
      <c r="O74" s="839"/>
      <c r="P74" s="2216"/>
      <c r="Q74" s="839"/>
    </row>
    <row r="75" spans="1:17" ht="15.75">
      <c r="A75" s="848"/>
      <c r="B75" s="849">
        <f>+B68+1</f>
        <v>51</v>
      </c>
      <c r="C75" s="858" t="s">
        <v>1019</v>
      </c>
      <c r="D75" s="859" t="s">
        <v>1057</v>
      </c>
      <c r="E75" s="859"/>
      <c r="F75" s="860">
        <f>+F49</f>
        <v>2018</v>
      </c>
      <c r="G75" s="861">
        <v>1768531624.9400001</v>
      </c>
      <c r="H75" s="862" t="str">
        <f>IF((INDEX(Inputs_EndYrBal_prior,MATCH($D87,Inputs_FF1_Map,0))-G75)&lt;1,"-","Check values!")</f>
        <v>-</v>
      </c>
      <c r="I75" s="2380"/>
      <c r="J75" s="863"/>
      <c r="K75" s="871"/>
      <c r="L75" s="871"/>
      <c r="M75" s="856"/>
      <c r="N75" s="839"/>
      <c r="O75" s="839"/>
      <c r="P75" s="2216"/>
      <c r="Q75" s="839"/>
    </row>
    <row r="76" spans="1:17" ht="15.75">
      <c r="A76" s="848"/>
      <c r="B76" s="849">
        <f t="shared" ref="B76:B88" si="6">+B75+1</f>
        <v>52</v>
      </c>
      <c r="C76" s="864" t="s">
        <v>1021</v>
      </c>
      <c r="D76" s="851" t="s">
        <v>1022</v>
      </c>
      <c r="E76" s="851"/>
      <c r="F76" s="860">
        <f>+F75+1</f>
        <v>2019</v>
      </c>
      <c r="G76" s="861">
        <v>1774729573.0699999</v>
      </c>
      <c r="H76" s="865"/>
      <c r="I76" s="2380"/>
      <c r="J76" s="863"/>
      <c r="K76" s="871"/>
      <c r="L76" s="871"/>
      <c r="M76" s="856"/>
      <c r="N76" s="839"/>
      <c r="O76" s="839"/>
      <c r="P76" s="2216"/>
      <c r="Q76" s="839"/>
    </row>
    <row r="77" spans="1:17" ht="15.75">
      <c r="A77" s="848"/>
      <c r="B77" s="849">
        <f t="shared" si="6"/>
        <v>53</v>
      </c>
      <c r="C77" s="869" t="s">
        <v>1023</v>
      </c>
      <c r="D77" s="851" t="s">
        <v>1022</v>
      </c>
      <c r="E77" s="851"/>
      <c r="F77" s="860">
        <f t="shared" ref="F77:F87" si="7">+F76</f>
        <v>2019</v>
      </c>
      <c r="G77" s="861">
        <v>1782515761.76</v>
      </c>
      <c r="H77" s="870"/>
      <c r="I77" s="2380"/>
      <c r="J77" s="863"/>
      <c r="K77" s="871"/>
      <c r="L77" s="871"/>
      <c r="M77" s="856"/>
      <c r="N77" s="839"/>
      <c r="O77" s="839"/>
      <c r="P77" s="2216"/>
      <c r="Q77" s="839"/>
    </row>
    <row r="78" spans="1:17" ht="15.75">
      <c r="A78" s="848"/>
      <c r="B78" s="849">
        <f t="shared" si="6"/>
        <v>54</v>
      </c>
      <c r="C78" s="869" t="s">
        <v>1024</v>
      </c>
      <c r="D78" s="851" t="s">
        <v>1022</v>
      </c>
      <c r="E78" s="851"/>
      <c r="F78" s="860">
        <f t="shared" si="7"/>
        <v>2019</v>
      </c>
      <c r="G78" s="861">
        <v>1790562279.75</v>
      </c>
      <c r="H78" s="870"/>
      <c r="I78" s="2380"/>
      <c r="J78" s="863"/>
      <c r="K78" s="871"/>
      <c r="L78" s="871"/>
      <c r="M78" s="856"/>
      <c r="N78" s="839"/>
      <c r="O78" s="839"/>
      <c r="P78" s="2216"/>
      <c r="Q78" s="839"/>
    </row>
    <row r="79" spans="1:17" ht="15.75">
      <c r="A79" s="848"/>
      <c r="B79" s="849">
        <f t="shared" si="6"/>
        <v>55</v>
      </c>
      <c r="C79" s="864" t="s">
        <v>1025</v>
      </c>
      <c r="D79" s="851" t="s">
        <v>1022</v>
      </c>
      <c r="E79" s="851"/>
      <c r="F79" s="860">
        <f t="shared" si="7"/>
        <v>2019</v>
      </c>
      <c r="G79" s="861">
        <v>1798970618.1299999</v>
      </c>
      <c r="H79" s="870"/>
      <c r="I79" s="2380"/>
      <c r="J79" s="863"/>
      <c r="K79" s="871"/>
      <c r="L79" s="871"/>
      <c r="M79" s="856"/>
      <c r="N79" s="839"/>
      <c r="O79" s="839"/>
      <c r="P79" s="2216"/>
      <c r="Q79" s="839"/>
    </row>
    <row r="80" spans="1:17" ht="15.75">
      <c r="A80" s="848"/>
      <c r="B80" s="849">
        <f t="shared" si="6"/>
        <v>56</v>
      </c>
      <c r="C80" s="869" t="s">
        <v>1026</v>
      </c>
      <c r="D80" s="851" t="s">
        <v>1022</v>
      </c>
      <c r="E80" s="851"/>
      <c r="F80" s="860">
        <f t="shared" si="7"/>
        <v>2019</v>
      </c>
      <c r="G80" s="861">
        <v>1807203295.0699999</v>
      </c>
      <c r="H80" s="872"/>
      <c r="I80" s="2380"/>
      <c r="J80" s="863"/>
      <c r="K80" s="851"/>
      <c r="L80" s="851"/>
      <c r="M80" s="940"/>
      <c r="N80" s="839"/>
      <c r="O80" s="839"/>
      <c r="P80" s="2216"/>
      <c r="Q80" s="839"/>
    </row>
    <row r="81" spans="1:17" ht="15.75">
      <c r="A81" s="848"/>
      <c r="B81" s="849">
        <f t="shared" si="6"/>
        <v>57</v>
      </c>
      <c r="C81" s="869" t="s">
        <v>1027</v>
      </c>
      <c r="D81" s="851" t="s">
        <v>1022</v>
      </c>
      <c r="E81" s="851"/>
      <c r="F81" s="860">
        <f t="shared" si="7"/>
        <v>2019</v>
      </c>
      <c r="G81" s="861">
        <v>1813309736.75</v>
      </c>
      <c r="H81" s="870"/>
      <c r="I81" s="2380"/>
      <c r="J81" s="863"/>
      <c r="K81" s="871"/>
      <c r="L81" s="871"/>
      <c r="M81" s="856"/>
      <c r="N81" s="839"/>
      <c r="O81" s="839"/>
      <c r="P81" s="2216"/>
      <c r="Q81" s="839"/>
    </row>
    <row r="82" spans="1:17" ht="15.75">
      <c r="A82" s="848"/>
      <c r="B82" s="849">
        <f t="shared" si="6"/>
        <v>58</v>
      </c>
      <c r="C82" s="864" t="s">
        <v>1028</v>
      </c>
      <c r="D82" s="851" t="s">
        <v>1022</v>
      </c>
      <c r="E82" s="851"/>
      <c r="F82" s="860">
        <f t="shared" si="7"/>
        <v>2019</v>
      </c>
      <c r="G82" s="861">
        <v>1821620512.8599999</v>
      </c>
      <c r="H82" s="865"/>
      <c r="I82" s="2380"/>
      <c r="J82" s="863"/>
      <c r="K82" s="935"/>
      <c r="L82" s="935"/>
      <c r="M82" s="856"/>
      <c r="N82" s="839"/>
      <c r="O82" s="839"/>
      <c r="P82" s="2216"/>
      <c r="Q82" s="839"/>
    </row>
    <row r="83" spans="1:17" ht="15.75">
      <c r="A83" s="848"/>
      <c r="B83" s="849">
        <f t="shared" si="6"/>
        <v>59</v>
      </c>
      <c r="C83" s="869" t="s">
        <v>1029</v>
      </c>
      <c r="D83" s="851" t="s">
        <v>1022</v>
      </c>
      <c r="E83" s="851"/>
      <c r="F83" s="860">
        <f t="shared" si="7"/>
        <v>2019</v>
      </c>
      <c r="G83" s="861">
        <v>1829599488.78</v>
      </c>
      <c r="H83" s="870"/>
      <c r="I83" s="2380"/>
      <c r="J83" s="863"/>
      <c r="K83" s="935"/>
      <c r="L83" s="935"/>
      <c r="M83" s="856"/>
      <c r="N83" s="839"/>
      <c r="O83" s="839"/>
      <c r="P83" s="2216"/>
      <c r="Q83" s="839"/>
    </row>
    <row r="84" spans="1:17" ht="15.75">
      <c r="A84" s="848"/>
      <c r="B84" s="849">
        <f t="shared" si="6"/>
        <v>60</v>
      </c>
      <c r="C84" s="869" t="s">
        <v>1030</v>
      </c>
      <c r="D84" s="851" t="s">
        <v>1022</v>
      </c>
      <c r="E84" s="851"/>
      <c r="F84" s="860">
        <f t="shared" si="7"/>
        <v>2019</v>
      </c>
      <c r="G84" s="861">
        <v>1837582020.1500001</v>
      </c>
      <c r="H84" s="870"/>
      <c r="I84" s="2380"/>
      <c r="J84" s="863"/>
      <c r="K84" s="935"/>
      <c r="L84" s="935"/>
      <c r="M84" s="856"/>
      <c r="N84" s="839"/>
      <c r="O84" s="839"/>
      <c r="P84" s="2216"/>
      <c r="Q84" s="839"/>
    </row>
    <row r="85" spans="1:17" ht="15.75">
      <c r="A85" s="848"/>
      <c r="B85" s="849">
        <f t="shared" si="6"/>
        <v>61</v>
      </c>
      <c r="C85" s="864" t="s">
        <v>1037</v>
      </c>
      <c r="D85" s="851" t="s">
        <v>1022</v>
      </c>
      <c r="E85" s="851"/>
      <c r="F85" s="860">
        <f t="shared" si="7"/>
        <v>2019</v>
      </c>
      <c r="G85" s="861">
        <v>1846106985.9300001</v>
      </c>
      <c r="H85" s="870"/>
      <c r="I85" s="2380"/>
      <c r="J85" s="863"/>
      <c r="K85" s="935"/>
      <c r="L85" s="935"/>
      <c r="M85" s="856"/>
      <c r="N85" s="839"/>
      <c r="O85" s="839"/>
      <c r="P85" s="2216"/>
      <c r="Q85" s="839"/>
    </row>
    <row r="86" spans="1:17" ht="15.75">
      <c r="A86" s="848"/>
      <c r="B86" s="849">
        <f t="shared" si="6"/>
        <v>62</v>
      </c>
      <c r="C86" s="864" t="s">
        <v>1032</v>
      </c>
      <c r="D86" s="851" t="s">
        <v>1022</v>
      </c>
      <c r="E86" s="851"/>
      <c r="F86" s="860">
        <f t="shared" si="7"/>
        <v>2019</v>
      </c>
      <c r="G86" s="861">
        <v>1855006768.3099999</v>
      </c>
      <c r="H86" s="872"/>
      <c r="I86" s="2380"/>
      <c r="J86" s="863"/>
      <c r="K86" s="935"/>
      <c r="L86" s="935"/>
      <c r="M86" s="856"/>
      <c r="N86" s="839"/>
      <c r="O86" s="839"/>
      <c r="P86" s="2216"/>
      <c r="Q86" s="839"/>
    </row>
    <row r="87" spans="1:17" ht="15.75">
      <c r="A87" s="848"/>
      <c r="B87" s="849">
        <f t="shared" si="6"/>
        <v>63</v>
      </c>
      <c r="C87" s="874" t="s">
        <v>1019</v>
      </c>
      <c r="D87" s="875" t="s">
        <v>1058</v>
      </c>
      <c r="E87" s="875"/>
      <c r="F87" s="876">
        <f t="shared" si="7"/>
        <v>2019</v>
      </c>
      <c r="G87" s="861">
        <v>1863152997.52</v>
      </c>
      <c r="H87" s="862" t="str">
        <f>IF((INDEX(Inputs_EndYrBal,MATCH($D87,Inputs_FF1_Map,0))-G87)&lt;1,"-","Check values!")</f>
        <v>-</v>
      </c>
      <c r="I87" s="2380"/>
      <c r="J87" s="863"/>
      <c r="K87" s="935"/>
      <c r="L87" s="935"/>
      <c r="M87" s="940"/>
      <c r="N87" s="839"/>
      <c r="O87" s="839"/>
      <c r="P87" s="2216"/>
      <c r="Q87" s="839"/>
    </row>
    <row r="88" spans="1:17" ht="15.75">
      <c r="A88" s="848">
        <f>'Appendix A'!$A$54</f>
        <v>25</v>
      </c>
      <c r="B88" s="849">
        <f t="shared" si="6"/>
        <v>64</v>
      </c>
      <c r="C88" s="879" t="s">
        <v>48</v>
      </c>
      <c r="D88" s="880" t="str">
        <f>IF(Toggle=Projection,"(line "&amp;B87&amp;")",IF(Toggle=True_up,"(sum lines "&amp;B75&amp;"-"&amp;B87&amp;") /13","Set Toggle!"))</f>
        <v>(sum lines 51-63) /13</v>
      </c>
      <c r="E88" s="881" t="str">
        <f>'Appendix A'!$E$54</f>
        <v>(Note M)</v>
      </c>
      <c r="F88" s="882" t="str">
        <f>Toggle</f>
        <v>True-Up</v>
      </c>
      <c r="G88" s="2095">
        <f>IF(Toggle=Projection,G87,IF(Toggle=True_up,AVERAGE(G75:G87),"Set Toggle!"))</f>
        <v>1814530127.9246156</v>
      </c>
      <c r="H88" s="884" t="s">
        <v>1034</v>
      </c>
      <c r="I88" s="854"/>
      <c r="J88" s="863"/>
      <c r="K88" s="935"/>
      <c r="L88" s="935"/>
      <c r="M88" s="856"/>
      <c r="N88" s="839"/>
      <c r="O88" s="839"/>
      <c r="P88" s="2216"/>
      <c r="Q88" s="839"/>
    </row>
    <row r="89" spans="1:17" ht="15.75">
      <c r="A89" s="848"/>
      <c r="B89" s="849"/>
      <c r="C89" s="869"/>
      <c r="D89" s="851"/>
      <c r="E89" s="851"/>
      <c r="F89" s="888"/>
      <c r="G89" s="889"/>
      <c r="H89" s="870"/>
      <c r="I89" s="854"/>
      <c r="J89" s="863"/>
      <c r="K89" s="935"/>
      <c r="L89" s="935"/>
      <c r="M89" s="856"/>
      <c r="N89" s="839"/>
      <c r="O89" s="839"/>
      <c r="P89" s="2216"/>
      <c r="Q89" s="839"/>
    </row>
    <row r="90" spans="1:17" ht="15.75">
      <c r="A90" s="848"/>
      <c r="B90" s="849"/>
      <c r="C90" s="850" t="s">
        <v>1059</v>
      </c>
      <c r="D90" s="851" t="s">
        <v>1015</v>
      </c>
      <c r="E90" s="851"/>
      <c r="F90" s="849" t="s">
        <v>1017</v>
      </c>
      <c r="G90" s="941" t="s">
        <v>1018</v>
      </c>
      <c r="H90" s="872"/>
      <c r="I90" s="854"/>
      <c r="J90" s="863"/>
      <c r="K90" s="942"/>
      <c r="L90" s="871"/>
      <c r="M90" s="856"/>
      <c r="N90" s="839"/>
      <c r="O90" s="839"/>
      <c r="P90" s="2216"/>
      <c r="Q90" s="839"/>
    </row>
    <row r="91" spans="1:17" ht="15.75">
      <c r="A91" s="848"/>
      <c r="B91" s="849">
        <f>+B88+1</f>
        <v>65</v>
      </c>
      <c r="C91" s="858" t="s">
        <v>1019</v>
      </c>
      <c r="D91" s="859" t="s">
        <v>1060</v>
      </c>
      <c r="E91" s="859"/>
      <c r="F91" s="860">
        <f>+F75</f>
        <v>2018</v>
      </c>
      <c r="G91" s="861">
        <v>2847150663.8699999</v>
      </c>
      <c r="H91" s="862" t="str">
        <f>IF((INDEX(Inputs_EndYrBal_prior,MATCH($D103,Inputs_FF1_Map,0))-G91)&lt;1,"-","Check values!")</f>
        <v>-</v>
      </c>
      <c r="I91" s="2380"/>
      <c r="J91" s="863"/>
      <c r="K91" s="943"/>
      <c r="L91" s="943"/>
      <c r="M91" s="856"/>
      <c r="N91" s="839"/>
      <c r="O91" s="839"/>
      <c r="P91" s="2216"/>
      <c r="Q91" s="839"/>
    </row>
    <row r="92" spans="1:17" ht="15.75">
      <c r="A92" s="848"/>
      <c r="B92" s="849">
        <f t="shared" ref="B92:B104" si="8">+B91+1</f>
        <v>66</v>
      </c>
      <c r="C92" s="864" t="s">
        <v>1021</v>
      </c>
      <c r="D92" s="851" t="s">
        <v>1022</v>
      </c>
      <c r="E92" s="851"/>
      <c r="F92" s="860">
        <f>+F91+1</f>
        <v>2019</v>
      </c>
      <c r="G92" s="861">
        <v>2852878569.3200002</v>
      </c>
      <c r="H92" s="865"/>
      <c r="I92" s="2380"/>
      <c r="J92" s="863"/>
      <c r="K92" s="871"/>
      <c r="L92" s="871"/>
      <c r="M92" s="856"/>
      <c r="N92" s="839"/>
      <c r="O92" s="839"/>
      <c r="P92" s="2216"/>
      <c r="Q92" s="839"/>
    </row>
    <row r="93" spans="1:17" ht="15.75">
      <c r="A93" s="848"/>
      <c r="B93" s="849">
        <f t="shared" si="8"/>
        <v>67</v>
      </c>
      <c r="C93" s="869" t="s">
        <v>1023</v>
      </c>
      <c r="D93" s="851" t="s">
        <v>1022</v>
      </c>
      <c r="E93" s="851"/>
      <c r="F93" s="860">
        <f t="shared" ref="F93:F103" si="9">+F92</f>
        <v>2019</v>
      </c>
      <c r="G93" s="861">
        <v>2857929657.8099995</v>
      </c>
      <c r="H93" s="870"/>
      <c r="I93" s="2380"/>
      <c r="J93" s="863"/>
      <c r="K93" s="871"/>
      <c r="L93" s="871"/>
      <c r="M93" s="856"/>
      <c r="N93" s="839"/>
      <c r="O93" s="839"/>
      <c r="P93" s="2216"/>
      <c r="Q93" s="839"/>
    </row>
    <row r="94" spans="1:17" ht="15.75">
      <c r="A94" s="848"/>
      <c r="B94" s="849">
        <f t="shared" si="8"/>
        <v>68</v>
      </c>
      <c r="C94" s="869" t="s">
        <v>1024</v>
      </c>
      <c r="D94" s="851" t="s">
        <v>1022</v>
      </c>
      <c r="E94" s="851"/>
      <c r="F94" s="860">
        <f t="shared" si="9"/>
        <v>2019</v>
      </c>
      <c r="G94" s="861">
        <v>2864040932.0500002</v>
      </c>
      <c r="H94" s="870"/>
      <c r="I94" s="2380"/>
      <c r="J94" s="863"/>
      <c r="K94" s="871"/>
      <c r="L94" s="871"/>
      <c r="M94" s="856"/>
      <c r="N94" s="839"/>
      <c r="O94" s="839"/>
      <c r="P94" s="2216"/>
      <c r="Q94" s="839"/>
    </row>
    <row r="95" spans="1:17" ht="15.75">
      <c r="A95" s="848"/>
      <c r="B95" s="849">
        <f t="shared" si="8"/>
        <v>69</v>
      </c>
      <c r="C95" s="864" t="s">
        <v>1025</v>
      </c>
      <c r="D95" s="851" t="s">
        <v>1022</v>
      </c>
      <c r="E95" s="851"/>
      <c r="F95" s="860">
        <f t="shared" si="9"/>
        <v>2019</v>
      </c>
      <c r="G95" s="861">
        <v>2867950468.5500002</v>
      </c>
      <c r="H95" s="870"/>
      <c r="I95" s="2380"/>
      <c r="J95" s="863"/>
      <c r="K95" s="871"/>
      <c r="L95" s="871"/>
      <c r="M95" s="856"/>
      <c r="N95" s="839"/>
      <c r="O95" s="839"/>
      <c r="P95" s="2216"/>
      <c r="Q95" s="839"/>
    </row>
    <row r="96" spans="1:17" ht="15.75">
      <c r="A96" s="848"/>
      <c r="B96" s="849">
        <f t="shared" si="8"/>
        <v>70</v>
      </c>
      <c r="C96" s="869" t="s">
        <v>1026</v>
      </c>
      <c r="D96" s="851" t="s">
        <v>1022</v>
      </c>
      <c r="E96" s="851"/>
      <c r="F96" s="860">
        <f t="shared" si="9"/>
        <v>2019</v>
      </c>
      <c r="G96" s="861">
        <v>2874196115.73</v>
      </c>
      <c r="H96" s="872"/>
      <c r="I96" s="2380"/>
      <c r="J96" s="863"/>
      <c r="K96" s="851"/>
      <c r="L96" s="851"/>
      <c r="M96" s="940"/>
      <c r="N96" s="839"/>
      <c r="O96" s="839"/>
      <c r="P96" s="2216"/>
      <c r="Q96" s="839"/>
    </row>
    <row r="97" spans="1:17" ht="15.75">
      <c r="A97" s="848"/>
      <c r="B97" s="849">
        <f t="shared" si="8"/>
        <v>71</v>
      </c>
      <c r="C97" s="869" t="s">
        <v>1027</v>
      </c>
      <c r="D97" s="851" t="s">
        <v>1022</v>
      </c>
      <c r="E97" s="851"/>
      <c r="F97" s="860">
        <f t="shared" si="9"/>
        <v>2019</v>
      </c>
      <c r="G97" s="861">
        <v>2880985998.1300001</v>
      </c>
      <c r="H97" s="870"/>
      <c r="I97" s="2380"/>
      <c r="J97" s="863"/>
      <c r="K97" s="871"/>
      <c r="L97" s="871"/>
      <c r="M97" s="856"/>
      <c r="N97" s="839"/>
      <c r="O97" s="839"/>
      <c r="P97" s="2216"/>
      <c r="Q97" s="839"/>
    </row>
    <row r="98" spans="1:17" ht="15.75">
      <c r="A98" s="848"/>
      <c r="B98" s="849">
        <f t="shared" si="8"/>
        <v>72</v>
      </c>
      <c r="C98" s="864" t="s">
        <v>1028</v>
      </c>
      <c r="D98" s="851" t="s">
        <v>1022</v>
      </c>
      <c r="E98" s="851"/>
      <c r="F98" s="860">
        <f t="shared" si="9"/>
        <v>2019</v>
      </c>
      <c r="G98" s="861">
        <v>2888465825.6900001</v>
      </c>
      <c r="H98" s="865"/>
      <c r="I98" s="2380"/>
      <c r="J98" s="863"/>
      <c r="K98" s="871"/>
      <c r="L98" s="871"/>
      <c r="M98" s="856"/>
      <c r="N98" s="839"/>
      <c r="O98" s="839"/>
      <c r="P98" s="2216"/>
      <c r="Q98" s="839"/>
    </row>
    <row r="99" spans="1:17" ht="15.75">
      <c r="A99" s="848"/>
      <c r="B99" s="849">
        <f t="shared" si="8"/>
        <v>73</v>
      </c>
      <c r="C99" s="869" t="s">
        <v>1029</v>
      </c>
      <c r="D99" s="851" t="s">
        <v>1022</v>
      </c>
      <c r="E99" s="851"/>
      <c r="F99" s="860">
        <f t="shared" si="9"/>
        <v>2019</v>
      </c>
      <c r="G99" s="861">
        <v>2895368801.8800001</v>
      </c>
      <c r="H99" s="870"/>
      <c r="I99" s="2380"/>
      <c r="J99" s="863"/>
      <c r="K99" s="871"/>
      <c r="L99" s="871"/>
      <c r="M99" s="856"/>
      <c r="N99" s="839"/>
      <c r="O99" s="839"/>
      <c r="P99" s="2216"/>
      <c r="Q99" s="839"/>
    </row>
    <row r="100" spans="1:17" ht="15.75">
      <c r="A100" s="848"/>
      <c r="B100" s="849">
        <f t="shared" si="8"/>
        <v>74</v>
      </c>
      <c r="C100" s="869" t="s">
        <v>1030</v>
      </c>
      <c r="D100" s="851" t="s">
        <v>1022</v>
      </c>
      <c r="E100" s="851"/>
      <c r="F100" s="860">
        <f t="shared" si="9"/>
        <v>2019</v>
      </c>
      <c r="G100" s="861">
        <v>2902472457.2700005</v>
      </c>
      <c r="H100" s="870"/>
      <c r="I100" s="2380"/>
      <c r="J100" s="863"/>
      <c r="K100" s="871"/>
      <c r="L100" s="871"/>
      <c r="M100" s="856"/>
      <c r="N100" s="839"/>
      <c r="O100" s="839"/>
      <c r="P100" s="2216"/>
      <c r="Q100" s="839"/>
    </row>
    <row r="101" spans="1:17" ht="15.75">
      <c r="A101" s="848"/>
      <c r="B101" s="849">
        <f t="shared" si="8"/>
        <v>75</v>
      </c>
      <c r="C101" s="864" t="s">
        <v>1031</v>
      </c>
      <c r="D101" s="851" t="s">
        <v>1022</v>
      </c>
      <c r="E101" s="851"/>
      <c r="F101" s="860">
        <f t="shared" si="9"/>
        <v>2019</v>
      </c>
      <c r="G101" s="861">
        <v>2910787592.6799998</v>
      </c>
      <c r="H101" s="870"/>
      <c r="I101" s="2380"/>
      <c r="J101" s="863"/>
      <c r="K101" s="871"/>
      <c r="L101" s="871"/>
      <c r="M101" s="856"/>
      <c r="N101" s="839"/>
      <c r="O101" s="839"/>
      <c r="P101" s="2216"/>
      <c r="Q101" s="839"/>
    </row>
    <row r="102" spans="1:17" ht="15.75">
      <c r="A102" s="848"/>
      <c r="B102" s="849">
        <f t="shared" si="8"/>
        <v>76</v>
      </c>
      <c r="C102" s="864" t="s">
        <v>1032</v>
      </c>
      <c r="D102" s="851" t="s">
        <v>1022</v>
      </c>
      <c r="E102" s="851"/>
      <c r="F102" s="860">
        <f t="shared" si="9"/>
        <v>2019</v>
      </c>
      <c r="G102" s="861">
        <v>2918554463.8400002</v>
      </c>
      <c r="H102" s="870"/>
      <c r="I102" s="2380"/>
      <c r="J102" s="863"/>
      <c r="K102" s="871"/>
      <c r="L102" s="871"/>
      <c r="M102" s="856"/>
      <c r="N102" s="839"/>
      <c r="O102" s="839"/>
      <c r="P102" s="2216"/>
      <c r="Q102" s="839"/>
    </row>
    <row r="103" spans="1:17" ht="15.75">
      <c r="A103" s="848"/>
      <c r="B103" s="849">
        <f t="shared" si="8"/>
        <v>77</v>
      </c>
      <c r="C103" s="874" t="s">
        <v>1019</v>
      </c>
      <c r="D103" s="875" t="s">
        <v>1061</v>
      </c>
      <c r="E103" s="875"/>
      <c r="F103" s="876">
        <f t="shared" si="9"/>
        <v>2019</v>
      </c>
      <c r="G103" s="861">
        <v>2925945710.2800002</v>
      </c>
      <c r="H103" s="862" t="str">
        <f>IF((INDEX(Inputs_EndYrBal,MATCH($D103,Inputs_FF1_Map,0))-G103)&lt;1,"-","Check values!")</f>
        <v>-</v>
      </c>
      <c r="I103" s="2380"/>
      <c r="J103" s="863"/>
      <c r="K103" s="944"/>
      <c r="L103" s="851"/>
      <c r="M103" s="940"/>
      <c r="N103" s="839"/>
      <c r="O103" s="839"/>
      <c r="P103" s="2216"/>
      <c r="Q103" s="839"/>
    </row>
    <row r="104" spans="1:17" ht="15.75">
      <c r="A104" s="848"/>
      <c r="B104" s="849">
        <f t="shared" si="8"/>
        <v>78</v>
      </c>
      <c r="C104" s="879" t="s">
        <v>1062</v>
      </c>
      <c r="D104" s="880" t="str">
        <f>IF(Toggle=Projection,"(line "&amp;B103&amp;")",IF(Toggle=True_up,"(sum lines "&amp;B91&amp;"-"&amp;B103&amp;") /13","Set Toggle!"))</f>
        <v>(sum lines 65-77) /13</v>
      </c>
      <c r="E104" s="851"/>
      <c r="F104" s="882" t="str">
        <f>Toggle</f>
        <v>True-Up</v>
      </c>
      <c r="G104" s="2095">
        <f>IF(Toggle=Projection,G103,IF(Toggle=True_up,AVERAGE(G91:G103),"Set Toggle!"))</f>
        <v>2883594404.3923078</v>
      </c>
      <c r="H104" s="945"/>
      <c r="I104" s="854"/>
      <c r="J104" s="863"/>
      <c r="K104" s="871"/>
      <c r="L104" s="871"/>
      <c r="M104" s="856"/>
      <c r="N104" s="839"/>
      <c r="O104" s="839"/>
      <c r="P104" s="2216"/>
      <c r="Q104" s="839"/>
    </row>
    <row r="105" spans="1:17" ht="15.75">
      <c r="A105" s="848"/>
      <c r="B105" s="849"/>
      <c r="C105" s="869"/>
      <c r="D105" s="851"/>
      <c r="E105" s="851"/>
      <c r="F105" s="888"/>
      <c r="G105" s="889"/>
      <c r="H105" s="870"/>
      <c r="I105" s="854"/>
      <c r="J105" s="863"/>
      <c r="K105" s="871"/>
      <c r="L105" s="871"/>
      <c r="M105" s="856"/>
      <c r="N105" s="839"/>
      <c r="O105" s="839"/>
      <c r="P105" s="2216"/>
      <c r="Q105" s="839"/>
    </row>
    <row r="106" spans="1:17" ht="15.75">
      <c r="A106" s="848"/>
      <c r="B106" s="849"/>
      <c r="C106" s="850" t="s">
        <v>1063</v>
      </c>
      <c r="D106" s="851" t="s">
        <v>1015</v>
      </c>
      <c r="E106" s="851"/>
      <c r="F106" s="849" t="s">
        <v>1017</v>
      </c>
      <c r="G106" s="941" t="s">
        <v>1018</v>
      </c>
      <c r="H106" s="872"/>
      <c r="I106" s="854"/>
      <c r="J106" s="863"/>
      <c r="K106" s="871"/>
      <c r="L106" s="871"/>
      <c r="M106" s="856"/>
      <c r="N106" s="839"/>
      <c r="O106" s="839"/>
      <c r="P106" s="2216"/>
      <c r="Q106" s="839"/>
    </row>
    <row r="107" spans="1:17" ht="15.75">
      <c r="A107" s="848"/>
      <c r="B107" s="849">
        <f>+B104+1</f>
        <v>79</v>
      </c>
      <c r="C107" s="858" t="s">
        <v>1019</v>
      </c>
      <c r="D107" s="859" t="s">
        <v>1064</v>
      </c>
      <c r="E107" s="859"/>
      <c r="F107" s="860">
        <f>+F91</f>
        <v>2018</v>
      </c>
      <c r="G107" s="861">
        <v>614571347.25999999</v>
      </c>
      <c r="H107" s="862" t="str">
        <f>IF((INDEX(Inputs_EndYrBal_prior,MATCH($D108,Inputs_FF1_Map,0))-G107)&lt;1,"-","Check values!")</f>
        <v>-</v>
      </c>
      <c r="I107" s="2380"/>
      <c r="J107" s="863"/>
      <c r="K107" s="871"/>
      <c r="L107" s="871"/>
      <c r="M107" s="856"/>
      <c r="N107" s="839"/>
      <c r="O107" s="839"/>
      <c r="P107" s="2216"/>
      <c r="Q107" s="839"/>
    </row>
    <row r="108" spans="1:17" ht="15.75">
      <c r="A108" s="848"/>
      <c r="B108" s="849">
        <f>+B107+1</f>
        <v>80</v>
      </c>
      <c r="C108" s="874" t="s">
        <v>1019</v>
      </c>
      <c r="D108" s="875" t="s">
        <v>1065</v>
      </c>
      <c r="E108" s="875"/>
      <c r="F108" s="876">
        <f>+F107+1</f>
        <v>2019</v>
      </c>
      <c r="G108" s="877">
        <v>652942422.38999999</v>
      </c>
      <c r="H108" s="862" t="str">
        <f>IF((INDEX(Inputs_EndYrBal,MATCH($D108,Inputs_FF1_Map,0))-G108)&lt;1,"-","Check values!")</f>
        <v>-</v>
      </c>
      <c r="I108" s="2380"/>
      <c r="J108" s="863"/>
      <c r="K108" s="851"/>
      <c r="L108" s="851"/>
      <c r="M108" s="940"/>
      <c r="N108" s="839"/>
      <c r="O108" s="839"/>
      <c r="P108" s="2216"/>
      <c r="Q108" s="839"/>
    </row>
    <row r="109" spans="1:17" ht="15.75">
      <c r="A109" s="946">
        <f>'Appendix A'!$A$24</f>
        <v>8</v>
      </c>
      <c r="B109" s="849">
        <f>+B108+1</f>
        <v>81</v>
      </c>
      <c r="C109" s="879" t="s">
        <v>1066</v>
      </c>
      <c r="D109" s="880" t="str">
        <f>IF(Toggle=Projection,"(line "&amp;B108&amp;")",IF(Toggle=True_up,"(sum lines "&amp;B107&amp;" &amp; "&amp;B108&amp;") /2","Set Toggle!"))</f>
        <v>(sum lines 79 &amp; 80) /2</v>
      </c>
      <c r="E109" s="881" t="str">
        <f>'Appendix A'!$E$24</f>
        <v>(Note N)</v>
      </c>
      <c r="F109" s="882" t="str">
        <f>Toggle</f>
        <v>True-Up</v>
      </c>
      <c r="G109" s="883">
        <f>IF(Toggle=Projection,G108,IF(Toggle=True_up,AVERAGE(G107:G108),"Set Toggle!"))</f>
        <v>633756884.82500005</v>
      </c>
      <c r="H109" s="884" t="s">
        <v>1034</v>
      </c>
      <c r="I109" s="854"/>
      <c r="J109" s="863"/>
      <c r="K109" s="935"/>
      <c r="L109" s="935"/>
      <c r="M109" s="947"/>
      <c r="N109" s="839"/>
      <c r="O109" s="839"/>
      <c r="P109" s="2216"/>
      <c r="Q109" s="839"/>
    </row>
    <row r="110" spans="1:17" ht="15.75">
      <c r="A110" s="848"/>
      <c r="B110" s="849"/>
      <c r="C110" s="864"/>
      <c r="D110" s="851"/>
      <c r="E110" s="851"/>
      <c r="F110" s="898"/>
      <c r="G110" s="899"/>
      <c r="H110" s="870"/>
      <c r="I110" s="854"/>
      <c r="J110" s="863"/>
      <c r="K110" s="935"/>
      <c r="L110" s="935"/>
      <c r="M110" s="947"/>
      <c r="N110" s="839"/>
      <c r="O110" s="948"/>
      <c r="P110" s="2216"/>
      <c r="Q110" s="839"/>
    </row>
    <row r="111" spans="1:17" ht="15.75">
      <c r="A111" s="848"/>
      <c r="B111" s="849"/>
      <c r="C111" s="850" t="s">
        <v>1067</v>
      </c>
      <c r="D111" s="851" t="s">
        <v>1015</v>
      </c>
      <c r="E111" s="851"/>
      <c r="F111" s="849" t="s">
        <v>1017</v>
      </c>
      <c r="G111" s="941" t="s">
        <v>1018</v>
      </c>
      <c r="H111" s="872"/>
      <c r="I111" s="854"/>
      <c r="J111" s="863"/>
      <c r="K111" s="935"/>
      <c r="L111" s="935"/>
      <c r="M111" s="947"/>
      <c r="N111" s="839"/>
      <c r="O111" s="948"/>
      <c r="P111" s="2216"/>
      <c r="Q111" s="839"/>
    </row>
    <row r="112" spans="1:17" ht="15.75">
      <c r="A112" s="848"/>
      <c r="B112" s="849">
        <f>+B109+1</f>
        <v>82</v>
      </c>
      <c r="C112" s="858" t="s">
        <v>1019</v>
      </c>
      <c r="D112" s="859" t="s">
        <v>1068</v>
      </c>
      <c r="E112" s="859"/>
      <c r="F112" s="860">
        <f>+F107</f>
        <v>2018</v>
      </c>
      <c r="G112" s="861">
        <v>482727326.93000001</v>
      </c>
      <c r="H112" s="862" t="str">
        <f>IF((INDEX(Inputs_EndYrBal_prior,MATCH($D113,Inputs_FF1_Map,0))-G112)&lt;1,"-","Check values!")</f>
        <v>-</v>
      </c>
      <c r="I112" s="2380"/>
      <c r="J112" s="863"/>
      <c r="K112" s="935"/>
      <c r="L112" s="935"/>
      <c r="M112" s="947"/>
      <c r="N112" s="839"/>
      <c r="O112" s="948"/>
      <c r="P112" s="2216"/>
      <c r="Q112" s="839"/>
    </row>
    <row r="113" spans="1:17" ht="15.75">
      <c r="A113" s="848"/>
      <c r="B113" s="849">
        <f>+B112+1</f>
        <v>83</v>
      </c>
      <c r="C113" s="874" t="s">
        <v>1019</v>
      </c>
      <c r="D113" s="875" t="s">
        <v>1069</v>
      </c>
      <c r="E113" s="875"/>
      <c r="F113" s="876">
        <f>+F112+1</f>
        <v>2019</v>
      </c>
      <c r="G113" s="877">
        <v>493756071.42000002</v>
      </c>
      <c r="H113" s="862" t="str">
        <f>IF((INDEX(Inputs_EndYrBal,MATCH($D113,Inputs_FF1_Map,0))-G113)&lt;1,"-","Check values!")</f>
        <v>-</v>
      </c>
      <c r="I113" s="2380"/>
      <c r="J113" s="863"/>
      <c r="K113" s="935"/>
      <c r="L113" s="935"/>
      <c r="M113" s="947"/>
      <c r="N113" s="839"/>
      <c r="O113" s="949"/>
      <c r="P113" s="2216"/>
      <c r="Q113" s="839"/>
    </row>
    <row r="114" spans="1:17" ht="15.75">
      <c r="A114" s="848">
        <f>'Appendix A'!$A$56</f>
        <v>26</v>
      </c>
      <c r="B114" s="849">
        <f>+B113+1</f>
        <v>84</v>
      </c>
      <c r="C114" s="879" t="s">
        <v>49</v>
      </c>
      <c r="D114" s="880" t="str">
        <f>IF(Toggle=Projection,"(line "&amp;B113&amp;")",IF(Toggle=True_up,"(sum lines "&amp;B112&amp;" &amp; "&amp;B113&amp;") /2","Set Toggle!"))</f>
        <v>(sum lines 82 &amp; 83) /2</v>
      </c>
      <c r="E114" s="881" t="str">
        <f>'Appendix A'!$E$56</f>
        <v>(Note N)</v>
      </c>
      <c r="F114" s="882" t="str">
        <f>Toggle</f>
        <v>True-Up</v>
      </c>
      <c r="G114" s="883">
        <f>IF(Toggle=Projection,G113,IF(Toggle=True_up,AVERAGE(G112:G113),"Set Toggle!"))</f>
        <v>488241699.17500001</v>
      </c>
      <c r="H114" s="884" t="s">
        <v>1034</v>
      </c>
      <c r="I114" s="854"/>
      <c r="J114" s="863"/>
      <c r="K114" s="935"/>
      <c r="L114" s="935"/>
      <c r="M114" s="947"/>
      <c r="N114" s="839"/>
      <c r="O114" s="948"/>
      <c r="P114" s="2216"/>
      <c r="Q114" s="839"/>
    </row>
    <row r="115" spans="1:17" ht="15.75">
      <c r="A115" s="848"/>
      <c r="B115" s="849"/>
      <c r="C115" s="869"/>
      <c r="D115" s="859"/>
      <c r="E115" s="859"/>
      <c r="F115" s="901"/>
      <c r="G115" s="899"/>
      <c r="H115" s="872"/>
      <c r="I115" s="854"/>
      <c r="J115" s="863"/>
      <c r="K115" s="935"/>
      <c r="L115" s="935"/>
      <c r="M115" s="947"/>
      <c r="N115" s="839"/>
      <c r="O115" s="949"/>
      <c r="P115" s="2216"/>
      <c r="Q115" s="839"/>
    </row>
    <row r="116" spans="1:17" ht="15.75">
      <c r="A116" s="848"/>
      <c r="B116" s="849"/>
      <c r="C116" s="850" t="s">
        <v>1070</v>
      </c>
      <c r="D116" s="851" t="s">
        <v>1015</v>
      </c>
      <c r="E116" s="851"/>
      <c r="F116" s="849" t="s">
        <v>1017</v>
      </c>
      <c r="G116" s="941" t="s">
        <v>1018</v>
      </c>
      <c r="H116" s="872"/>
      <c r="I116" s="2380"/>
      <c r="J116" s="863"/>
      <c r="K116" s="935"/>
      <c r="L116" s="935"/>
      <c r="M116" s="947"/>
      <c r="N116" s="839"/>
      <c r="O116" s="839"/>
      <c r="P116" s="950"/>
      <c r="Q116" s="839"/>
    </row>
    <row r="117" spans="1:17" ht="15.75">
      <c r="A117" s="848"/>
      <c r="B117" s="849">
        <f>+B114+1</f>
        <v>85</v>
      </c>
      <c r="C117" s="858" t="s">
        <v>1019</v>
      </c>
      <c r="D117" s="859" t="s">
        <v>1071</v>
      </c>
      <c r="E117" s="859"/>
      <c r="F117" s="860">
        <f>+F112</f>
        <v>2018</v>
      </c>
      <c r="G117" s="861">
        <v>5141626787.0299997</v>
      </c>
      <c r="H117" s="862"/>
      <c r="I117" s="2380"/>
      <c r="J117" s="863"/>
      <c r="K117" s="935"/>
      <c r="L117" s="935"/>
      <c r="M117" s="947"/>
      <c r="N117" s="839"/>
      <c r="O117" s="839"/>
      <c r="P117" s="950"/>
      <c r="Q117" s="839"/>
    </row>
    <row r="118" spans="1:17" ht="15.75">
      <c r="A118" s="848"/>
      <c r="B118" s="849">
        <f t="shared" ref="B118:B130" si="10">+B117+1</f>
        <v>86</v>
      </c>
      <c r="C118" s="902" t="s">
        <v>1021</v>
      </c>
      <c r="D118" s="851" t="s">
        <v>1022</v>
      </c>
      <c r="E118" s="851"/>
      <c r="F118" s="860">
        <f>+F117+1</f>
        <v>2019</v>
      </c>
      <c r="G118" s="861">
        <v>5117218058.6699991</v>
      </c>
      <c r="H118" s="872"/>
      <c r="I118" s="2380"/>
      <c r="J118" s="863"/>
      <c r="K118" s="935"/>
      <c r="L118" s="935"/>
      <c r="M118" s="947"/>
      <c r="N118" s="839"/>
      <c r="O118" s="839"/>
      <c r="P118" s="950"/>
      <c r="Q118" s="839"/>
    </row>
    <row r="119" spans="1:17" ht="15.75">
      <c r="A119" s="848"/>
      <c r="B119" s="849">
        <f t="shared" si="10"/>
        <v>87</v>
      </c>
      <c r="C119" s="869" t="s">
        <v>1023</v>
      </c>
      <c r="D119" s="851" t="s">
        <v>1022</v>
      </c>
      <c r="E119" s="851"/>
      <c r="F119" s="860">
        <f t="shared" ref="F119:F129" si="11">+F118</f>
        <v>2019</v>
      </c>
      <c r="G119" s="861">
        <v>5147918488.0199995</v>
      </c>
      <c r="H119" s="872"/>
      <c r="I119" s="2380"/>
      <c r="J119" s="863"/>
      <c r="K119" s="935"/>
      <c r="L119" s="935"/>
      <c r="M119" s="947"/>
      <c r="N119" s="839"/>
      <c r="O119" s="839"/>
      <c r="P119" s="950"/>
      <c r="Q119" s="839"/>
    </row>
    <row r="120" spans="1:17" ht="15.75">
      <c r="A120" s="848"/>
      <c r="B120" s="849">
        <f t="shared" si="10"/>
        <v>88</v>
      </c>
      <c r="C120" s="869" t="s">
        <v>1024</v>
      </c>
      <c r="D120" s="851" t="s">
        <v>1022</v>
      </c>
      <c r="E120" s="851"/>
      <c r="F120" s="860">
        <f t="shared" si="11"/>
        <v>2019</v>
      </c>
      <c r="G120" s="861">
        <v>5176143454.2000008</v>
      </c>
      <c r="H120" s="872"/>
      <c r="I120" s="2380"/>
      <c r="J120" s="863"/>
      <c r="K120" s="935"/>
      <c r="L120" s="935"/>
      <c r="M120" s="947"/>
      <c r="N120" s="839"/>
      <c r="O120" s="839"/>
      <c r="P120" s="950"/>
      <c r="Q120" s="839"/>
    </row>
    <row r="121" spans="1:17" ht="15.75">
      <c r="A121" s="848"/>
      <c r="B121" s="849">
        <f t="shared" si="10"/>
        <v>89</v>
      </c>
      <c r="C121" s="902" t="s">
        <v>1025</v>
      </c>
      <c r="D121" s="851" t="s">
        <v>1022</v>
      </c>
      <c r="E121" s="851"/>
      <c r="F121" s="860">
        <f t="shared" si="11"/>
        <v>2019</v>
      </c>
      <c r="G121" s="861">
        <v>5207980255.7799997</v>
      </c>
      <c r="H121" s="872"/>
      <c r="I121" s="2380"/>
      <c r="J121" s="863"/>
      <c r="K121" s="935"/>
      <c r="L121" s="935"/>
      <c r="M121" s="947"/>
      <c r="N121" s="839"/>
      <c r="O121" s="839"/>
      <c r="P121" s="950"/>
      <c r="Q121" s="839"/>
    </row>
    <row r="122" spans="1:17" ht="15.75">
      <c r="A122" s="848"/>
      <c r="B122" s="849">
        <f t="shared" si="10"/>
        <v>90</v>
      </c>
      <c r="C122" s="869" t="s">
        <v>1026</v>
      </c>
      <c r="D122" s="851" t="s">
        <v>1022</v>
      </c>
      <c r="E122" s="851"/>
      <c r="F122" s="860">
        <f t="shared" si="11"/>
        <v>2019</v>
      </c>
      <c r="G122" s="861">
        <v>5237207898.04</v>
      </c>
      <c r="H122" s="872"/>
      <c r="I122" s="2380"/>
      <c r="J122" s="863"/>
      <c r="K122" s="935"/>
      <c r="L122" s="935"/>
      <c r="M122" s="947"/>
      <c r="N122" s="839"/>
      <c r="O122" s="839"/>
      <c r="P122" s="950"/>
      <c r="Q122" s="839"/>
    </row>
    <row r="123" spans="1:17" ht="15.75">
      <c r="A123" s="848"/>
      <c r="B123" s="849">
        <f t="shared" si="10"/>
        <v>91</v>
      </c>
      <c r="C123" s="869" t="s">
        <v>1027</v>
      </c>
      <c r="D123" s="851" t="s">
        <v>1022</v>
      </c>
      <c r="E123" s="851"/>
      <c r="F123" s="860">
        <f t="shared" si="11"/>
        <v>2019</v>
      </c>
      <c r="G123" s="861">
        <v>5256172293.6700001</v>
      </c>
      <c r="H123" s="872"/>
      <c r="I123" s="2381"/>
      <c r="J123" s="863"/>
      <c r="K123" s="935"/>
      <c r="L123" s="935"/>
      <c r="M123" s="947"/>
      <c r="N123" s="839"/>
      <c r="O123" s="839"/>
      <c r="P123" s="950"/>
      <c r="Q123" s="839"/>
    </row>
    <row r="124" spans="1:17" ht="15.75">
      <c r="A124" s="848"/>
      <c r="B124" s="849">
        <f t="shared" si="10"/>
        <v>92</v>
      </c>
      <c r="C124" s="902" t="s">
        <v>1028</v>
      </c>
      <c r="D124" s="851" t="s">
        <v>1022</v>
      </c>
      <c r="E124" s="851"/>
      <c r="F124" s="860">
        <f t="shared" si="11"/>
        <v>2019</v>
      </c>
      <c r="G124" s="861">
        <v>5285654748.8699999</v>
      </c>
      <c r="H124" s="872"/>
      <c r="I124" s="2381"/>
      <c r="J124" s="863"/>
      <c r="K124" s="935"/>
      <c r="L124" s="935"/>
      <c r="M124" s="947"/>
      <c r="N124" s="839"/>
      <c r="O124" s="839"/>
      <c r="P124" s="2216"/>
      <c r="Q124" s="839"/>
    </row>
    <row r="125" spans="1:17" ht="15.75">
      <c r="A125" s="848"/>
      <c r="B125" s="849">
        <f t="shared" si="10"/>
        <v>93</v>
      </c>
      <c r="C125" s="869" t="s">
        <v>1029</v>
      </c>
      <c r="D125" s="851" t="s">
        <v>1022</v>
      </c>
      <c r="E125" s="851"/>
      <c r="F125" s="860">
        <f t="shared" si="11"/>
        <v>2019</v>
      </c>
      <c r="G125" s="861">
        <v>5318526551.0500002</v>
      </c>
      <c r="H125" s="872"/>
      <c r="I125" s="2381"/>
      <c r="J125" s="863"/>
      <c r="K125" s="935"/>
      <c r="L125" s="935"/>
      <c r="M125" s="947"/>
      <c r="N125" s="839"/>
      <c r="O125" s="839"/>
      <c r="P125" s="2216"/>
      <c r="Q125" s="839"/>
    </row>
    <row r="126" spans="1:17" ht="15.75">
      <c r="A126" s="848"/>
      <c r="B126" s="849">
        <f t="shared" si="10"/>
        <v>94</v>
      </c>
      <c r="C126" s="869" t="s">
        <v>1030</v>
      </c>
      <c r="D126" s="851" t="s">
        <v>1022</v>
      </c>
      <c r="E126" s="851"/>
      <c r="F126" s="860">
        <f t="shared" si="11"/>
        <v>2019</v>
      </c>
      <c r="G126" s="861">
        <v>5027950438.5899992</v>
      </c>
      <c r="H126" s="872"/>
      <c r="I126" s="2381"/>
      <c r="J126" s="863"/>
      <c r="K126" s="935"/>
      <c r="L126" s="935"/>
      <c r="M126" s="947"/>
      <c r="N126" s="839"/>
      <c r="O126" s="839"/>
      <c r="P126" s="2216"/>
      <c r="Q126" s="839"/>
    </row>
    <row r="127" spans="1:17" ht="15.75">
      <c r="A127" s="848"/>
      <c r="B127" s="849">
        <f t="shared" si="10"/>
        <v>95</v>
      </c>
      <c r="C127" s="902" t="s">
        <v>1031</v>
      </c>
      <c r="D127" s="851" t="s">
        <v>1022</v>
      </c>
      <c r="E127" s="851"/>
      <c r="F127" s="860">
        <f t="shared" si="11"/>
        <v>2019</v>
      </c>
      <c r="G127" s="861">
        <v>4961041696.6400003</v>
      </c>
      <c r="H127" s="872"/>
      <c r="I127" s="2381"/>
      <c r="J127" s="863"/>
      <c r="K127" s="935"/>
      <c r="L127" s="935"/>
      <c r="M127" s="947"/>
      <c r="N127" s="839"/>
      <c r="O127" s="839"/>
      <c r="P127" s="2216"/>
      <c r="Q127" s="839"/>
    </row>
    <row r="128" spans="1:17" ht="15.75">
      <c r="A128" s="848"/>
      <c r="B128" s="849">
        <f t="shared" si="10"/>
        <v>96</v>
      </c>
      <c r="C128" s="902" t="s">
        <v>1032</v>
      </c>
      <c r="D128" s="851" t="s">
        <v>1022</v>
      </c>
      <c r="E128" s="851"/>
      <c r="F128" s="860">
        <f t="shared" si="11"/>
        <v>2019</v>
      </c>
      <c r="G128" s="861">
        <v>4910885542.6499996</v>
      </c>
      <c r="H128" s="870"/>
      <c r="I128" s="2381"/>
      <c r="J128" s="863"/>
      <c r="K128" s="935"/>
      <c r="L128" s="935"/>
      <c r="M128" s="947"/>
      <c r="N128" s="839"/>
      <c r="O128" s="839"/>
      <c r="P128" s="2216"/>
      <c r="Q128" s="839"/>
    </row>
    <row r="129" spans="1:17" ht="15.75">
      <c r="A129" s="848"/>
      <c r="B129" s="849">
        <f t="shared" si="10"/>
        <v>97</v>
      </c>
      <c r="C129" s="874" t="s">
        <v>1019</v>
      </c>
      <c r="D129" s="875" t="s">
        <v>1072</v>
      </c>
      <c r="E129" s="875"/>
      <c r="F129" s="876">
        <f t="shared" si="11"/>
        <v>2019</v>
      </c>
      <c r="G129" s="861">
        <v>4731395492.2000008</v>
      </c>
      <c r="H129" s="862" t="str">
        <f>IF((INDEX(Inputs_EndYrBal,MATCH($D129,Inputs_FF1_Map,0))-G129)&lt;1,"-","Check values!")</f>
        <v>-</v>
      </c>
      <c r="I129" s="2381"/>
      <c r="J129" s="863"/>
      <c r="K129" s="935"/>
      <c r="L129" s="935"/>
      <c r="M129" s="947"/>
      <c r="N129" s="839"/>
      <c r="O129" s="839"/>
      <c r="P129" s="2216"/>
      <c r="Q129" s="839"/>
    </row>
    <row r="130" spans="1:17" ht="15.75">
      <c r="A130" s="848"/>
      <c r="B130" s="849">
        <f t="shared" si="10"/>
        <v>98</v>
      </c>
      <c r="C130" s="879" t="s">
        <v>1073</v>
      </c>
      <c r="D130" s="880" t="str">
        <f>IF(Toggle=Projection,"(line "&amp;B129&amp;")",IF(Toggle=True_up,"(sum lines "&amp;B117&amp;"-"&amp;B129&amp;") /13","Set Toggle!"))</f>
        <v>(sum lines 85-97) /13</v>
      </c>
      <c r="E130" s="851"/>
      <c r="F130" s="882" t="str">
        <f>Toggle</f>
        <v>True-Up</v>
      </c>
      <c r="G130" s="2094">
        <f>IF(Toggle=Projection,G129,IF(Toggle=True_up,AVERAGE(G117:G129),"Set Toggle!"))</f>
        <v>5116901669.6469231</v>
      </c>
      <c r="H130" s="945"/>
      <c r="I130" s="854"/>
      <c r="J130" s="863"/>
      <c r="K130" s="935"/>
      <c r="L130" s="935"/>
      <c r="M130" s="947"/>
      <c r="N130" s="839"/>
      <c r="O130" s="839"/>
      <c r="P130" s="2216"/>
      <c r="Q130" s="839"/>
    </row>
    <row r="131" spans="1:17" ht="15.75">
      <c r="A131" s="848"/>
      <c r="B131" s="849"/>
      <c r="C131" s="869"/>
      <c r="D131" s="851"/>
      <c r="E131" s="851"/>
      <c r="F131" s="888"/>
      <c r="G131" s="889"/>
      <c r="H131" s="870"/>
      <c r="I131" s="854"/>
      <c r="J131" s="863"/>
      <c r="K131" s="935"/>
      <c r="L131" s="935"/>
      <c r="M131" s="947"/>
      <c r="N131" s="839"/>
      <c r="O131" s="839"/>
      <c r="P131" s="2216"/>
      <c r="Q131" s="839"/>
    </row>
    <row r="132" spans="1:17" ht="15.75">
      <c r="A132" s="951">
        <f>+'Appendix A'!A23</f>
        <v>7</v>
      </c>
      <c r="B132" s="849">
        <f>+B130+1</f>
        <v>99</v>
      </c>
      <c r="C132" s="952" t="str">
        <f>'Appendix A'!C23</f>
        <v>Accumulated Depreciation (Total Electric Plant)</v>
      </c>
      <c r="D132" s="851" t="str">
        <f>"(sum lines "&amp;B88&amp;", "&amp;B104&amp;", "&amp;B114&amp;", &amp; "&amp;B130&amp;")"</f>
        <v>(sum lines 64, 78, 84, &amp; 98)</v>
      </c>
      <c r="E132" s="881" t="str">
        <f>'Appendix A'!$E$23</f>
        <v>(Note M)</v>
      </c>
      <c r="F132" s="882" t="str">
        <f>Toggle</f>
        <v>True-Up</v>
      </c>
      <c r="G132" s="953">
        <f>SUM(G130,G114,G104,G88)</f>
        <v>10303267901.138847</v>
      </c>
      <c r="H132" s="884" t="s">
        <v>1034</v>
      </c>
      <c r="I132" s="854"/>
      <c r="J132" s="863"/>
      <c r="K132" s="935"/>
      <c r="L132" s="935"/>
      <c r="M132" s="947"/>
      <c r="N132" s="839"/>
      <c r="O132" s="839"/>
      <c r="P132" s="2216"/>
      <c r="Q132" s="839"/>
    </row>
    <row r="133" spans="1:17" ht="15.75">
      <c r="A133" s="848"/>
      <c r="B133" s="849"/>
      <c r="C133" s="879"/>
      <c r="D133" s="851"/>
      <c r="E133" s="851"/>
      <c r="F133" s="913"/>
      <c r="G133" s="897"/>
      <c r="H133" s="870"/>
      <c r="I133" s="854"/>
      <c r="J133" s="863"/>
      <c r="K133" s="935"/>
      <c r="L133" s="935"/>
      <c r="M133" s="947"/>
      <c r="N133" s="839"/>
      <c r="O133" s="839"/>
      <c r="P133" s="2216"/>
      <c r="Q133" s="839"/>
    </row>
    <row r="134" spans="1:17" ht="15.75">
      <c r="A134" s="848"/>
      <c r="B134" s="849">
        <f>+B132+1</f>
        <v>100</v>
      </c>
      <c r="C134" s="952" t="s">
        <v>28</v>
      </c>
      <c r="D134" s="859" t="str">
        <f>"(sum lines "&amp;B88&amp;", "&amp;B104&amp;", "&amp;B109&amp;", "&amp;B114&amp;", &amp; "&amp;B130&amp;")"</f>
        <v>(sum lines 64, 78, 81, 84, &amp; 98)</v>
      </c>
      <c r="E134" s="859"/>
      <c r="F134" s="882" t="str">
        <f>Toggle</f>
        <v>True-Up</v>
      </c>
      <c r="G134" s="954">
        <f>SUM(G130,G114,G104,G88,G109)</f>
        <v>10937024785.963848</v>
      </c>
      <c r="H134" s="915"/>
      <c r="I134" s="854"/>
      <c r="J134" s="863"/>
      <c r="K134" s="935"/>
      <c r="L134" s="935"/>
      <c r="M134" s="947"/>
      <c r="N134" s="839"/>
      <c r="O134" s="839"/>
      <c r="P134" s="2216"/>
      <c r="Q134" s="839"/>
    </row>
    <row r="135" spans="1:17" ht="16.5" thickBot="1">
      <c r="A135" s="922"/>
      <c r="B135" s="923"/>
      <c r="C135" s="924"/>
      <c r="D135" s="925"/>
      <c r="E135" s="925"/>
      <c r="F135" s="926"/>
      <c r="G135" s="927"/>
      <c r="H135" s="928"/>
      <c r="I135" s="2383"/>
      <c r="J135" s="929"/>
      <c r="K135" s="930"/>
      <c r="L135" s="930"/>
      <c r="M135" s="931"/>
      <c r="N135" s="839"/>
      <c r="O135" s="839"/>
      <c r="P135" s="2216"/>
      <c r="Q135" s="839"/>
    </row>
    <row r="136" spans="1:17" ht="15.75">
      <c r="A136" s="955"/>
      <c r="B136" s="956"/>
      <c r="C136" s="957"/>
      <c r="D136" s="958"/>
      <c r="E136" s="958"/>
      <c r="F136" s="959"/>
      <c r="G136" s="957"/>
      <c r="H136" s="960"/>
      <c r="I136" s="2385"/>
      <c r="J136" s="961"/>
      <c r="K136" s="962"/>
      <c r="L136" s="962"/>
      <c r="M136" s="962"/>
      <c r="N136" s="839"/>
      <c r="O136" s="839"/>
      <c r="P136" s="2216"/>
      <c r="Q136" s="839"/>
    </row>
    <row r="137" spans="1:17" ht="15.75">
      <c r="A137" s="932"/>
      <c r="B137" s="933"/>
      <c r="C137" s="869"/>
      <c r="D137" s="851"/>
      <c r="E137" s="851"/>
      <c r="F137" s="888"/>
      <c r="G137" s="869"/>
      <c r="H137" s="914"/>
      <c r="I137" s="909"/>
      <c r="J137" s="849"/>
      <c r="K137" s="871"/>
      <c r="L137" s="871"/>
      <c r="M137" s="871"/>
      <c r="N137" s="839"/>
      <c r="O137" s="839"/>
      <c r="P137" s="2216"/>
      <c r="Q137" s="839"/>
    </row>
    <row r="138" spans="1:17" ht="16.5" thickBot="1">
      <c r="A138" s="963" t="s">
        <v>1074</v>
      </c>
      <c r="B138" s="923"/>
      <c r="C138" s="924"/>
      <c r="D138" s="925"/>
      <c r="E138" s="925"/>
      <c r="F138" s="926"/>
      <c r="G138" s="924"/>
      <c r="H138" s="964"/>
      <c r="I138" s="929"/>
      <c r="J138" s="929"/>
      <c r="K138" s="930"/>
      <c r="L138" s="930"/>
      <c r="M138" s="930"/>
      <c r="N138" s="839"/>
      <c r="O138" s="839"/>
      <c r="P138" s="2216"/>
      <c r="Q138" s="839"/>
    </row>
    <row r="139" spans="1:17" ht="30.75">
      <c r="A139" s="2448" t="s">
        <v>1075</v>
      </c>
      <c r="B139" s="2449"/>
      <c r="C139" s="2449"/>
      <c r="D139" s="2449"/>
      <c r="E139" s="2449"/>
      <c r="F139" s="2449"/>
      <c r="G139" s="2450"/>
      <c r="H139" s="965" t="s">
        <v>1076</v>
      </c>
      <c r="I139" s="937"/>
      <c r="J139" s="937"/>
      <c r="K139" s="937"/>
      <c r="L139" s="937"/>
      <c r="M139" s="966"/>
      <c r="N139" s="839"/>
      <c r="O139" s="839"/>
      <c r="P139" s="2216"/>
      <c r="Q139" s="839"/>
    </row>
    <row r="140" spans="1:17" ht="15.75">
      <c r="A140" s="951"/>
      <c r="B140" s="933"/>
      <c r="C140" s="869"/>
      <c r="D140" s="851"/>
      <c r="E140" s="851"/>
      <c r="F140" s="888"/>
      <c r="G140" s="967"/>
      <c r="H140" s="914"/>
      <c r="I140" s="849"/>
      <c r="J140" s="849"/>
      <c r="K140" s="871"/>
      <c r="L140" s="871"/>
      <c r="M140" s="856"/>
      <c r="N140" s="839"/>
      <c r="O140" s="839"/>
      <c r="P140" s="2216"/>
      <c r="Q140" s="839"/>
    </row>
    <row r="141" spans="1:17" ht="15.75">
      <c r="A141" s="968"/>
      <c r="B141" s="933"/>
      <c r="C141" s="42" t="s">
        <v>69</v>
      </c>
      <c r="D141" s="40"/>
      <c r="E141" s="40"/>
      <c r="F141" s="40" t="s">
        <v>1077</v>
      </c>
      <c r="G141" s="969" t="s">
        <v>1078</v>
      </c>
      <c r="H141" s="970">
        <f>INDEX(Inputs_EndYrBal_prior,MATCH(G141,Inputs_FF1_Map,0))</f>
        <v>0</v>
      </c>
      <c r="I141" s="849"/>
      <c r="J141" s="849"/>
      <c r="K141" s="871"/>
      <c r="L141" s="871"/>
      <c r="M141" s="856"/>
      <c r="N141" s="839"/>
      <c r="O141" s="839"/>
      <c r="P141" s="2216" t="s">
        <v>1079</v>
      </c>
      <c r="Q141" s="839"/>
    </row>
    <row r="142" spans="1:17" ht="15.75">
      <c r="A142" s="951"/>
      <c r="B142" s="933"/>
      <c r="C142" s="158"/>
      <c r="D142" s="39"/>
      <c r="E142" s="39"/>
      <c r="F142" s="100" t="s">
        <v>1080</v>
      </c>
      <c r="G142" s="971" t="s">
        <v>1078</v>
      </c>
      <c r="H142" s="970">
        <f>INDEX(Inputs_EndYrBal,MATCH(G142,Inputs_FF1_Map,0))</f>
        <v>0</v>
      </c>
      <c r="I142" s="849"/>
      <c r="J142" s="849"/>
      <c r="K142" s="871"/>
      <c r="L142" s="871"/>
      <c r="M142" s="856"/>
      <c r="N142" s="839"/>
      <c r="O142" s="839"/>
      <c r="P142" s="2216"/>
      <c r="Q142" s="839"/>
    </row>
    <row r="143" spans="1:17" ht="15.75">
      <c r="A143" s="951">
        <f>+'Appendix A'!A88</f>
        <v>39</v>
      </c>
      <c r="B143" s="933"/>
      <c r="C143" s="158"/>
      <c r="D143" s="935"/>
      <c r="E143" s="881" t="str">
        <f>'Appendix A'!$E$88</f>
        <v>(Note N)</v>
      </c>
      <c r="F143" s="972" t="s">
        <v>1034</v>
      </c>
      <c r="G143" s="973" t="str">
        <f>Toggle</f>
        <v>True-Up</v>
      </c>
      <c r="H143" s="974">
        <f>IF(Toggle=Projection,H142,IF(Toggle=True_up,AVERAGE(H141:H142),"Set Toggle!"))</f>
        <v>0</v>
      </c>
      <c r="I143" s="880" t="str">
        <f>IF(Toggle=Projection,"current end-of-year balance",IF(Toggle=True_up,"beg-of-year and end-of-year average ","Set Toggle!"))</f>
        <v xml:space="preserve">beg-of-year and end-of-year average </v>
      </c>
      <c r="J143" s="975"/>
      <c r="K143" s="871"/>
      <c r="L143" s="871"/>
      <c r="M143" s="856"/>
      <c r="N143" s="839"/>
      <c r="O143" s="839"/>
      <c r="P143" s="2216"/>
      <c r="Q143" s="839"/>
    </row>
    <row r="144" spans="1:17" ht="15.75">
      <c r="A144" s="951"/>
      <c r="B144" s="933"/>
      <c r="C144" s="158"/>
      <c r="D144" s="935"/>
      <c r="E144" s="849"/>
      <c r="F144" s="40"/>
      <c r="G144" s="976"/>
      <c r="H144" s="977"/>
      <c r="I144" s="849"/>
      <c r="J144" s="839"/>
      <c r="K144" s="871"/>
      <c r="L144" s="871"/>
      <c r="M144" s="856"/>
      <c r="N144" s="839"/>
      <c r="O144" s="839"/>
      <c r="P144" s="2216"/>
      <c r="Q144" s="839"/>
    </row>
    <row r="145" spans="1:17" ht="15.75">
      <c r="A145" s="968"/>
      <c r="B145" s="933"/>
      <c r="C145" s="158" t="s">
        <v>71</v>
      </c>
      <c r="D145" s="935"/>
      <c r="E145" s="849"/>
      <c r="F145" s="40" t="s">
        <v>1077</v>
      </c>
      <c r="G145" s="976" t="s">
        <v>1081</v>
      </c>
      <c r="H145" s="970">
        <f>INDEX(Inputs_EndYrBal_prior,MATCH(G145,Inputs_FF1_Map,0))</f>
        <v>161139297</v>
      </c>
      <c r="I145" s="849"/>
      <c r="J145" s="839"/>
      <c r="K145" s="871"/>
      <c r="L145" s="871"/>
      <c r="M145" s="856"/>
      <c r="N145" s="839"/>
      <c r="O145" s="839"/>
      <c r="P145" s="2216" t="s">
        <v>1079</v>
      </c>
      <c r="Q145" s="839"/>
    </row>
    <row r="146" spans="1:17" ht="15.75">
      <c r="A146" s="951"/>
      <c r="B146" s="933"/>
      <c r="C146" s="158"/>
      <c r="D146" s="935"/>
      <c r="E146" s="849"/>
      <c r="F146" s="100" t="s">
        <v>1080</v>
      </c>
      <c r="G146" s="978" t="s">
        <v>1081</v>
      </c>
      <c r="H146" s="970">
        <f>INDEX(Inputs_EndYrBal,MATCH(G146,Inputs_FF1_Map,0))</f>
        <v>162913741</v>
      </c>
      <c r="I146" s="849"/>
      <c r="J146" s="839"/>
      <c r="K146" s="871"/>
      <c r="L146" s="871"/>
      <c r="M146" s="856"/>
      <c r="N146" s="839"/>
      <c r="O146" s="839"/>
      <c r="P146" s="2216" t="s">
        <v>1079</v>
      </c>
      <c r="Q146" s="839"/>
    </row>
    <row r="147" spans="1:17" ht="15.75">
      <c r="A147" s="951">
        <f>+'Appendix A'!A91</f>
        <v>42</v>
      </c>
      <c r="B147" s="933"/>
      <c r="C147" s="158"/>
      <c r="D147" s="935"/>
      <c r="E147" s="881" t="str">
        <f>'Appendix A'!$E$91</f>
        <v>(Note N)</v>
      </c>
      <c r="F147" s="972" t="s">
        <v>1034</v>
      </c>
      <c r="G147" s="973" t="str">
        <f>Toggle</f>
        <v>True-Up</v>
      </c>
      <c r="H147" s="974">
        <f>IF(Toggle=Projection,H146,IF(Toggle=True_up,AVERAGE(H145:H146),"Set Toggle!"))</f>
        <v>162026519</v>
      </c>
      <c r="I147" s="880" t="str">
        <f>IF(Toggle=Projection,"current end-of-year balance",IF(Toggle=True_up,"beg-of-year and end-of-year average ","Set Toggle!"))</f>
        <v xml:space="preserve">beg-of-year and end-of-year average </v>
      </c>
      <c r="J147" s="975"/>
      <c r="K147" s="871"/>
      <c r="L147" s="871"/>
      <c r="M147" s="856"/>
      <c r="N147" s="839"/>
      <c r="O147" s="839"/>
      <c r="P147" s="2216"/>
      <c r="Q147" s="839"/>
    </row>
    <row r="148" spans="1:17" ht="15.75">
      <c r="A148" s="951"/>
      <c r="B148" s="933"/>
      <c r="C148" s="158"/>
      <c r="D148" s="935"/>
      <c r="E148" s="849"/>
      <c r="F148" s="40"/>
      <c r="G148" s="976"/>
      <c r="H148" s="977"/>
      <c r="I148" s="979"/>
      <c r="J148" s="839"/>
      <c r="K148" s="871"/>
      <c r="L148" s="871"/>
      <c r="M148" s="856"/>
      <c r="N148" s="839"/>
      <c r="O148" s="839"/>
      <c r="P148" s="2216"/>
      <c r="Q148" s="839"/>
    </row>
    <row r="149" spans="1:17" ht="15.75">
      <c r="A149" s="968"/>
      <c r="B149" s="933"/>
      <c r="C149" s="158" t="s">
        <v>73</v>
      </c>
      <c r="D149" s="935"/>
      <c r="E149" s="849"/>
      <c r="F149" s="40" t="s">
        <v>1077</v>
      </c>
      <c r="G149" s="969" t="s">
        <v>1082</v>
      </c>
      <c r="H149" s="970">
        <f>INDEX(Inputs_EndYrBal_prior,MATCH(G149,Inputs_FF1_Map,0))</f>
        <v>786256</v>
      </c>
      <c r="I149" s="849"/>
      <c r="J149" s="839"/>
      <c r="K149" s="871"/>
      <c r="L149" s="871"/>
      <c r="M149" s="856"/>
      <c r="N149" s="839"/>
      <c r="O149" s="839"/>
      <c r="P149" s="2216"/>
      <c r="Q149" s="839"/>
    </row>
    <row r="150" spans="1:17" ht="15.75">
      <c r="A150" s="951"/>
      <c r="B150" s="933"/>
      <c r="C150" s="869"/>
      <c r="D150" s="935"/>
      <c r="E150" s="849"/>
      <c r="F150" s="100" t="s">
        <v>1080</v>
      </c>
      <c r="G150" s="971" t="s">
        <v>1082</v>
      </c>
      <c r="H150" s="970">
        <f>INDEX(Inputs_EndYrBal,MATCH(G150,Inputs_FF1_Map,0))</f>
        <v>852235</v>
      </c>
      <c r="I150" s="849"/>
      <c r="J150" s="839"/>
      <c r="K150" s="871"/>
      <c r="L150" s="871"/>
      <c r="M150" s="856"/>
      <c r="N150" s="839"/>
      <c r="O150" s="839"/>
      <c r="P150" s="2216" t="s">
        <v>1079</v>
      </c>
      <c r="Q150" s="839"/>
    </row>
    <row r="151" spans="1:17" ht="15.75">
      <c r="A151" s="951">
        <f>+'Appendix A'!A94</f>
        <v>45</v>
      </c>
      <c r="B151" s="933"/>
      <c r="C151" s="869"/>
      <c r="D151" s="935"/>
      <c r="E151" s="881" t="str">
        <f>'Appendix A'!$E$94</f>
        <v>(Note N)</v>
      </c>
      <c r="F151" s="972" t="s">
        <v>1034</v>
      </c>
      <c r="G151" s="973" t="str">
        <f>Toggle</f>
        <v>True-Up</v>
      </c>
      <c r="H151" s="974">
        <f>IF(Toggle=Projection,H150,IF(Toggle=True_up,AVERAGE(H149:H150),"Set Toggle!"))</f>
        <v>819245.5</v>
      </c>
      <c r="I151" s="880" t="str">
        <f>IF(Toggle=Projection,"current end-of-year balance",IF(Toggle=True_up,"beg-of-year and end-of-year average ","Set Toggle!"))</f>
        <v xml:space="preserve">beg-of-year and end-of-year average </v>
      </c>
      <c r="J151" s="975"/>
      <c r="K151" s="871"/>
      <c r="L151" s="871"/>
      <c r="M151" s="856"/>
      <c r="N151" s="839"/>
      <c r="O151" s="839"/>
      <c r="P151" s="2216" t="s">
        <v>1079</v>
      </c>
      <c r="Q151" s="839"/>
    </row>
    <row r="152" spans="1:17" ht="16.5" thickBot="1">
      <c r="A152" s="922"/>
      <c r="B152" s="923"/>
      <c r="C152" s="924"/>
      <c r="D152" s="925"/>
      <c r="E152" s="925"/>
      <c r="F152" s="980"/>
      <c r="G152" s="927"/>
      <c r="H152" s="964"/>
      <c r="I152" s="929"/>
      <c r="J152" s="929"/>
      <c r="K152" s="930"/>
      <c r="L152" s="930"/>
      <c r="M152" s="931"/>
      <c r="N152" s="839"/>
      <c r="O152" s="839"/>
      <c r="P152" s="2216"/>
      <c r="Q152" s="839"/>
    </row>
    <row r="153" spans="1:17">
      <c r="A153" s="981"/>
      <c r="B153" s="982"/>
      <c r="C153" s="983"/>
      <c r="D153" s="984"/>
      <c r="E153" s="984"/>
      <c r="F153" s="985"/>
      <c r="G153" s="983"/>
      <c r="H153" s="986"/>
      <c r="I153" s="987"/>
      <c r="J153" s="987"/>
      <c r="K153" s="988"/>
      <c r="L153" s="988"/>
      <c r="M153" s="839"/>
      <c r="N153" s="839"/>
      <c r="O153" s="839"/>
      <c r="P153" s="2216"/>
      <c r="Q153" s="839"/>
    </row>
    <row r="154" spans="1:17">
      <c r="A154" s="981"/>
      <c r="B154" s="982"/>
      <c r="C154" s="983"/>
      <c r="D154" s="984"/>
      <c r="E154" s="984"/>
      <c r="F154" s="985"/>
      <c r="G154" s="983"/>
      <c r="H154" s="986"/>
      <c r="I154" s="987"/>
      <c r="J154" s="987"/>
      <c r="K154" s="988"/>
      <c r="L154" s="988"/>
      <c r="M154" s="839"/>
      <c r="N154" s="839"/>
      <c r="O154" s="839"/>
      <c r="P154" s="2216"/>
      <c r="Q154" s="839"/>
    </row>
    <row r="155" spans="1:17" ht="16.5" thickBot="1">
      <c r="A155" s="963" t="s">
        <v>60</v>
      </c>
      <c r="B155" s="2"/>
      <c r="C155" s="2"/>
      <c r="D155" s="2"/>
      <c r="E155" s="2"/>
      <c r="F155" s="2"/>
      <c r="G155" s="2"/>
      <c r="H155" s="2"/>
      <c r="I155" s="2"/>
      <c r="J155" s="2"/>
      <c r="K155" s="2"/>
      <c r="L155" s="2"/>
      <c r="M155" s="2"/>
      <c r="N155" s="2"/>
      <c r="O155" s="2"/>
      <c r="P155" s="2215"/>
      <c r="Q155" s="2"/>
    </row>
    <row r="156" spans="1:17" ht="31.5">
      <c r="A156" s="2438" t="s">
        <v>1075</v>
      </c>
      <c r="B156" s="2439"/>
      <c r="C156" s="2439"/>
      <c r="D156" s="2439"/>
      <c r="E156" s="2439"/>
      <c r="F156" s="2439"/>
      <c r="G156" s="2440"/>
      <c r="H156" s="965" t="s">
        <v>1076</v>
      </c>
      <c r="I156" s="965" t="s">
        <v>1083</v>
      </c>
      <c r="J156" s="989" t="s">
        <v>1084</v>
      </c>
      <c r="K156" s="2441" t="s">
        <v>1085</v>
      </c>
      <c r="L156" s="2441"/>
      <c r="M156" s="2442"/>
      <c r="N156" s="2"/>
      <c r="O156" s="2"/>
      <c r="P156" s="2215"/>
      <c r="Q156" s="2"/>
    </row>
    <row r="157" spans="1:17" ht="15.75">
      <c r="A157" s="990"/>
      <c r="B157" s="991"/>
      <c r="C157" s="260"/>
      <c r="D157" s="40"/>
      <c r="E157" s="40"/>
      <c r="F157" s="992"/>
      <c r="G157" s="993"/>
      <c r="H157" s="994"/>
      <c r="I157" s="2"/>
      <c r="J157" s="203"/>
      <c r="K157" s="995"/>
      <c r="L157" s="995"/>
      <c r="M157" s="996"/>
      <c r="N157" s="2"/>
      <c r="O157" s="2"/>
      <c r="P157" s="2215"/>
      <c r="Q157" s="2"/>
    </row>
    <row r="158" spans="1:17" ht="30.75">
      <c r="A158" s="997"/>
      <c r="B158" s="140" t="s">
        <v>1008</v>
      </c>
      <c r="C158" s="260"/>
      <c r="D158" s="40"/>
      <c r="E158" s="40"/>
      <c r="F158" s="992"/>
      <c r="G158" s="998"/>
      <c r="H158" s="999"/>
      <c r="I158" s="1000" t="str">
        <f>'Appendix A'!B33</f>
        <v>Net Plant Allocator</v>
      </c>
      <c r="J158" s="203"/>
      <c r="K158" s="2"/>
      <c r="L158" s="40"/>
      <c r="M158" s="1001"/>
      <c r="N158" s="2"/>
      <c r="O158" s="2"/>
      <c r="P158" s="2215"/>
      <c r="Q158" s="2"/>
    </row>
    <row r="159" spans="1:17" ht="15.75">
      <c r="A159" s="990">
        <f>+'Appendix A'!A234</f>
        <v>133</v>
      </c>
      <c r="B159" s="140"/>
      <c r="C159" s="260" t="s">
        <v>1086</v>
      </c>
      <c r="D159" s="40"/>
      <c r="E159" s="40"/>
      <c r="F159" s="992"/>
      <c r="G159" s="1002" t="s">
        <v>1087</v>
      </c>
      <c r="H159" s="1003">
        <v>-2738724</v>
      </c>
      <c r="I159" s="1004">
        <f>Allocator.net.plant</f>
        <v>0.27227320599025778</v>
      </c>
      <c r="J159" s="1005">
        <f>H159*I159</f>
        <v>-745681.16380246275</v>
      </c>
      <c r="K159" s="2"/>
      <c r="L159" s="40"/>
      <c r="M159" s="1001"/>
      <c r="N159" s="2"/>
      <c r="O159" s="2"/>
      <c r="P159" s="2217">
        <v>2019</v>
      </c>
      <c r="Q159" s="2"/>
    </row>
    <row r="160" spans="1:17" ht="15.75">
      <c r="A160" s="990"/>
      <c r="B160" s="140"/>
      <c r="C160" s="260"/>
      <c r="D160" s="40"/>
      <c r="E160" s="40"/>
      <c r="F160" s="992"/>
      <c r="G160" s="1006"/>
      <c r="H160" s="1007"/>
      <c r="I160" s="1004"/>
      <c r="J160" s="1008"/>
      <c r="K160" s="2"/>
      <c r="L160" s="40"/>
      <c r="M160" s="1001"/>
      <c r="N160" s="2"/>
      <c r="O160" s="2"/>
      <c r="P160" s="2215"/>
      <c r="Q160" s="2"/>
    </row>
    <row r="161" spans="1:17" ht="15.75">
      <c r="A161" s="990"/>
      <c r="B161" s="140" t="s">
        <v>1088</v>
      </c>
      <c r="C161" s="260"/>
      <c r="D161" s="40"/>
      <c r="E161" s="40"/>
      <c r="F161" s="992"/>
      <c r="G161" s="1006"/>
      <c r="H161" s="1007"/>
      <c r="I161" s="1004"/>
      <c r="J161" s="1008"/>
      <c r="K161" s="40"/>
      <c r="L161" s="40"/>
      <c r="M161" s="1001"/>
      <c r="N161" s="2"/>
      <c r="O161" s="2"/>
      <c r="P161" s="2215"/>
      <c r="Q161" s="2"/>
    </row>
    <row r="162" spans="1:17" ht="15.75">
      <c r="A162" s="990"/>
      <c r="B162" s="140"/>
      <c r="C162" s="260" t="s">
        <v>1089</v>
      </c>
      <c r="D162" s="40"/>
      <c r="E162" s="40"/>
      <c r="F162" s="992"/>
      <c r="G162" s="1006"/>
      <c r="H162" s="1007"/>
      <c r="I162" s="1004"/>
      <c r="J162" s="1008"/>
      <c r="K162" s="40"/>
      <c r="L162" s="40"/>
      <c r="M162" s="1001"/>
      <c r="N162" s="2"/>
      <c r="O162" s="2"/>
      <c r="P162" s="2215"/>
      <c r="Q162" s="2"/>
    </row>
    <row r="163" spans="1:17" ht="15.75">
      <c r="A163" s="990"/>
      <c r="B163" s="140"/>
      <c r="C163" s="260"/>
      <c r="D163" s="40"/>
      <c r="E163" s="40"/>
      <c r="F163" s="1009" t="s">
        <v>1090</v>
      </c>
      <c r="G163" s="1010" t="s">
        <v>1091</v>
      </c>
      <c r="H163" s="1003">
        <f>56922+41112</f>
        <v>98034</v>
      </c>
      <c r="I163" s="1004"/>
      <c r="J163" s="1008"/>
      <c r="K163" s="1011"/>
      <c r="L163" s="40"/>
      <c r="M163" s="1001"/>
      <c r="N163" s="2"/>
      <c r="O163" s="2"/>
      <c r="P163" s="2217">
        <v>2019</v>
      </c>
      <c r="Q163" s="2"/>
    </row>
    <row r="164" spans="1:17" ht="15.75">
      <c r="A164" s="990"/>
      <c r="B164" s="140"/>
      <c r="C164" s="2"/>
      <c r="D164" s="2"/>
      <c r="E164" s="2"/>
      <c r="F164" s="1009" t="s">
        <v>1092</v>
      </c>
      <c r="G164" s="1010" t="s">
        <v>1091</v>
      </c>
      <c r="H164" s="1003">
        <f>28146+35313</f>
        <v>63459</v>
      </c>
      <c r="I164" s="2"/>
      <c r="J164" s="2"/>
      <c r="K164" s="1011"/>
      <c r="L164" s="40"/>
      <c r="M164" s="1001"/>
      <c r="N164" s="2"/>
      <c r="O164" s="2"/>
      <c r="P164" s="2217">
        <v>2019</v>
      </c>
      <c r="Q164" s="2"/>
    </row>
    <row r="165" spans="1:17" ht="15.75">
      <c r="A165" s="990">
        <f>'Appendix A'!$A$76</f>
        <v>35</v>
      </c>
      <c r="B165" s="140"/>
      <c r="C165" s="260" t="s">
        <v>1089</v>
      </c>
      <c r="D165" s="40"/>
      <c r="E165" s="40"/>
      <c r="F165" s="992"/>
      <c r="G165" s="1012" t="s">
        <v>1093</v>
      </c>
      <c r="H165" s="1013">
        <f>AVERAGE(H163:H164)</f>
        <v>80746.5</v>
      </c>
      <c r="I165" s="1014">
        <f>Allocator.net.plant</f>
        <v>0.27227320599025778</v>
      </c>
      <c r="J165" s="1005">
        <f>H165*I165</f>
        <v>21985.108427492349</v>
      </c>
      <c r="K165" s="40" t="s">
        <v>1094</v>
      </c>
      <c r="L165" s="40"/>
      <c r="M165" s="1001"/>
      <c r="N165" s="2"/>
      <c r="O165" s="2"/>
      <c r="P165" s="2215"/>
      <c r="Q165" s="2"/>
    </row>
    <row r="166" spans="1:17" ht="16.5" thickBot="1">
      <c r="A166" s="1015"/>
      <c r="B166" s="1016"/>
      <c r="C166" s="1017"/>
      <c r="D166" s="1018"/>
      <c r="E166" s="1018"/>
      <c r="F166" s="1019"/>
      <c r="G166" s="1020"/>
      <c r="H166" s="1021"/>
      <c r="I166" s="1022"/>
      <c r="J166" s="1023"/>
      <c r="K166" s="2443"/>
      <c r="L166" s="2443"/>
      <c r="M166" s="2444"/>
      <c r="N166" s="2"/>
      <c r="O166" s="2"/>
      <c r="P166" s="2215"/>
      <c r="Q166" s="2"/>
    </row>
    <row r="167" spans="1:17" ht="15.75">
      <c r="A167" s="37"/>
      <c r="B167" s="2"/>
      <c r="C167" s="2"/>
      <c r="D167" s="2"/>
      <c r="E167" s="2"/>
      <c r="F167" s="2"/>
      <c r="G167" s="2"/>
      <c r="H167" s="2"/>
      <c r="I167" s="2"/>
      <c r="J167" s="2"/>
      <c r="K167" s="2"/>
      <c r="L167" s="2"/>
      <c r="M167" s="2"/>
      <c r="N167" s="2"/>
      <c r="O167" s="2"/>
      <c r="P167" s="2215"/>
      <c r="Q167" s="2"/>
    </row>
    <row r="168" spans="1:17" ht="15.75">
      <c r="A168" s="37"/>
      <c r="B168" s="2"/>
      <c r="C168" s="2"/>
      <c r="D168" s="2"/>
      <c r="E168" s="2"/>
      <c r="F168" s="2"/>
      <c r="G168" s="2"/>
      <c r="H168" s="2"/>
      <c r="I168" s="2"/>
      <c r="J168" s="2"/>
      <c r="K168" s="2"/>
      <c r="L168" s="2"/>
      <c r="M168" s="2"/>
      <c r="N168" s="2"/>
      <c r="O168" s="2"/>
      <c r="P168" s="2215"/>
      <c r="Q168" s="2"/>
    </row>
    <row r="169" spans="1:17" ht="16.5" thickBot="1">
      <c r="A169" s="963" t="s">
        <v>1095</v>
      </c>
      <c r="B169" s="2"/>
      <c r="C169" s="2"/>
      <c r="D169" s="2"/>
      <c r="E169" s="2"/>
      <c r="F169" s="2"/>
      <c r="G169" s="2"/>
      <c r="H169" s="2"/>
      <c r="I169" s="2"/>
      <c r="J169" s="2"/>
      <c r="K169" s="2"/>
      <c r="L169" s="2"/>
      <c r="M169" s="2"/>
      <c r="N169" s="2"/>
      <c r="O169" s="2"/>
      <c r="P169" s="2215"/>
      <c r="Q169" s="2"/>
    </row>
    <row r="170" spans="1:17" ht="45.75">
      <c r="A170" s="2438" t="s">
        <v>1075</v>
      </c>
      <c r="B170" s="2439"/>
      <c r="C170" s="2439"/>
      <c r="D170" s="2439"/>
      <c r="E170" s="2439"/>
      <c r="F170" s="2439"/>
      <c r="G170" s="2440"/>
      <c r="H170" s="965" t="s">
        <v>1076</v>
      </c>
      <c r="I170" s="965" t="s">
        <v>339</v>
      </c>
      <c r="J170" s="965" t="s">
        <v>1096</v>
      </c>
      <c r="K170" s="1024" t="s">
        <v>1085</v>
      </c>
      <c r="L170" s="1024"/>
      <c r="M170" s="1025"/>
      <c r="N170" s="2"/>
      <c r="O170" s="37"/>
      <c r="P170" s="2215"/>
      <c r="Q170" s="2"/>
    </row>
    <row r="171" spans="1:17" ht="15.75">
      <c r="A171" s="997"/>
      <c r="B171" s="140" t="str">
        <f>+'Appendix A'!C48</f>
        <v>Land Held for Future Use</v>
      </c>
      <c r="C171" s="145"/>
      <c r="D171" s="82"/>
      <c r="E171" s="82"/>
      <c r="F171" s="145"/>
      <c r="G171" s="1026"/>
      <c r="H171" s="1027"/>
      <c r="I171" s="2"/>
      <c r="J171" s="2"/>
      <c r="K171" s="145"/>
      <c r="L171" s="145"/>
      <c r="M171" s="1028"/>
      <c r="N171" s="2"/>
      <c r="O171" s="37"/>
      <c r="P171" s="2215"/>
      <c r="Q171" s="2"/>
    </row>
    <row r="172" spans="1:17" ht="15.75">
      <c r="A172" s="997"/>
      <c r="B172" s="140"/>
      <c r="C172" s="145"/>
      <c r="D172" s="82"/>
      <c r="E172" s="82"/>
      <c r="F172" s="150" t="s">
        <v>1077</v>
      </c>
      <c r="G172" s="969" t="s">
        <v>1097</v>
      </c>
      <c r="H172" s="1029">
        <f>INDEX(Inputs_EndYrBal_prior,MATCH(G172,Inputs_FF1_Map,0))</f>
        <v>26415220</v>
      </c>
      <c r="I172" s="1030">
        <f>'Att 12 - Plant Held Future Use'!$D$16</f>
        <v>3657534.48</v>
      </c>
      <c r="J172" s="1031">
        <f>H172-I172</f>
        <v>22757685.52</v>
      </c>
      <c r="K172" s="145" t="s">
        <v>1098</v>
      </c>
      <c r="L172" s="145"/>
      <c r="M172" s="1028"/>
      <c r="N172" s="2"/>
      <c r="O172" s="1032"/>
      <c r="P172" s="2216" t="s">
        <v>1079</v>
      </c>
      <c r="Q172" s="2"/>
    </row>
    <row r="173" spans="1:17" ht="15.75">
      <c r="A173" s="990"/>
      <c r="B173" s="991"/>
      <c r="C173" s="158"/>
      <c r="D173" s="82"/>
      <c r="E173" s="82"/>
      <c r="F173" s="150" t="s">
        <v>1080</v>
      </c>
      <c r="G173" s="969" t="s">
        <v>1097</v>
      </c>
      <c r="H173" s="1033">
        <f>INDEX(Inputs_EndYrBal,MATCH(G173,Inputs_FF1_Map,0))</f>
        <v>25890060</v>
      </c>
      <c r="I173" s="1030">
        <f>'Att 12 - Plant Held Future Use'!$E$16</f>
        <v>3657534.48</v>
      </c>
      <c r="J173" s="1031">
        <f>H173-I173</f>
        <v>22232525.52</v>
      </c>
      <c r="K173" s="145" t="s">
        <v>1098</v>
      </c>
      <c r="L173" s="40"/>
      <c r="M173" s="1028"/>
      <c r="N173" s="2"/>
      <c r="O173" s="1032"/>
      <c r="P173" s="2216" t="s">
        <v>1079</v>
      </c>
      <c r="Q173" s="2"/>
    </row>
    <row r="174" spans="1:17" ht="15.75">
      <c r="A174" s="990">
        <f>+'Appendix A'!A48</f>
        <v>23</v>
      </c>
      <c r="B174" s="991"/>
      <c r="C174" s="158"/>
      <c r="D174" s="145"/>
      <c r="E174" s="111" t="str">
        <f>'Appendix A'!E48</f>
        <v>(Notes B &amp; L)</v>
      </c>
      <c r="F174" s="119" t="s">
        <v>1034</v>
      </c>
      <c r="G174" s="1034" t="str">
        <f>Toggle</f>
        <v>True-Up</v>
      </c>
      <c r="H174" s="326"/>
      <c r="I174" s="1035">
        <f>IF(Toggle=Projection,I173,IF(Toggle=True_up,AVERAGE(I172:I173),"Set Toggle!"))</f>
        <v>3657534.48</v>
      </c>
      <c r="J174" s="326"/>
      <c r="K174" s="880" t="str">
        <f>IF(Toggle=Projection,"current end-of-year balance",IF(Toggle=True_up,"beg-of-year and end-of-year average ","Set Toggle!"))</f>
        <v xml:space="preserve">beg-of-year and end-of-year average </v>
      </c>
      <c r="L174" s="975"/>
      <c r="M174" s="1036"/>
      <c r="N174" s="2"/>
      <c r="O174" s="37"/>
      <c r="P174" s="2215"/>
      <c r="Q174" s="2"/>
    </row>
    <row r="175" spans="1:17" ht="16.5" thickBot="1">
      <c r="A175" s="1015"/>
      <c r="B175" s="1016"/>
      <c r="C175" s="1017"/>
      <c r="D175" s="1018"/>
      <c r="E175" s="1018"/>
      <c r="F175" s="1019"/>
      <c r="G175" s="1037"/>
      <c r="H175" s="1038"/>
      <c r="I175" s="1039"/>
      <c r="J175" s="1038"/>
      <c r="K175" s="1038"/>
      <c r="L175" s="1038"/>
      <c r="M175" s="1040"/>
      <c r="N175" s="2"/>
      <c r="O175" s="37"/>
      <c r="P175" s="2215"/>
      <c r="Q175" s="2"/>
    </row>
    <row r="176" spans="1:17" ht="15.75">
      <c r="A176" s="37"/>
      <c r="B176" s="2"/>
      <c r="C176" s="2"/>
      <c r="D176" s="2"/>
      <c r="E176" s="2"/>
      <c r="F176" s="2"/>
      <c r="G176" s="2"/>
      <c r="H176" s="2"/>
      <c r="I176" s="2"/>
      <c r="J176" s="2"/>
      <c r="K176" s="2"/>
      <c r="L176" s="2"/>
      <c r="M176" s="2"/>
      <c r="N176" s="2"/>
      <c r="O176" s="37"/>
      <c r="P176" s="2215"/>
      <c r="Q176" s="2"/>
    </row>
    <row r="177" spans="1:17" ht="15.75">
      <c r="A177" s="37"/>
      <c r="B177" s="2"/>
      <c r="C177" s="2"/>
      <c r="D177" s="2"/>
      <c r="E177" s="2"/>
      <c r="F177" s="2"/>
      <c r="G177" s="2"/>
      <c r="H177" s="2"/>
      <c r="I177" s="2"/>
      <c r="J177" s="2"/>
      <c r="K177" s="2"/>
      <c r="L177" s="2"/>
      <c r="M177" s="2"/>
      <c r="N177" s="2"/>
      <c r="O177" s="37"/>
      <c r="P177" s="2215"/>
      <c r="Q177" s="2"/>
    </row>
    <row r="178" spans="1:17" ht="16.5" thickBot="1">
      <c r="A178" s="963" t="s">
        <v>1099</v>
      </c>
      <c r="B178" s="37"/>
      <c r="C178" s="37"/>
      <c r="D178" s="37"/>
      <c r="E178" s="37"/>
      <c r="F178" s="37"/>
      <c r="G178" s="37"/>
      <c r="H178" s="37"/>
      <c r="I178" s="37"/>
      <c r="J178" s="2"/>
      <c r="K178" s="2"/>
      <c r="L178" s="2"/>
      <c r="M178" s="2"/>
      <c r="N178" s="2"/>
      <c r="O178" s="37"/>
      <c r="P178" s="2215"/>
      <c r="Q178" s="2"/>
    </row>
    <row r="179" spans="1:17" ht="15.75">
      <c r="A179" s="2438" t="s">
        <v>1075</v>
      </c>
      <c r="B179" s="2439"/>
      <c r="C179" s="2439"/>
      <c r="D179" s="2439"/>
      <c r="E179" s="2439"/>
      <c r="F179" s="2439"/>
      <c r="G179" s="2440"/>
      <c r="H179" s="936"/>
      <c r="I179" s="965" t="s">
        <v>1100</v>
      </c>
      <c r="J179" s="965"/>
      <c r="K179" s="2441" t="s">
        <v>1085</v>
      </c>
      <c r="L179" s="2441"/>
      <c r="M179" s="2442"/>
      <c r="N179" s="2"/>
      <c r="O179" s="2"/>
      <c r="P179" s="2215"/>
      <c r="Q179" s="2"/>
    </row>
    <row r="180" spans="1:17" ht="15.75">
      <c r="A180" s="990"/>
      <c r="B180" s="202"/>
      <c r="C180" s="40"/>
      <c r="D180" s="40"/>
      <c r="E180" s="40"/>
      <c r="F180" s="131"/>
      <c r="G180" s="1001"/>
      <c r="H180" s="1041"/>
      <c r="I180" s="60"/>
      <c r="J180" s="145"/>
      <c r="K180" s="175"/>
      <c r="L180" s="175"/>
      <c r="M180" s="1042"/>
      <c r="N180" s="2"/>
      <c r="O180" s="2"/>
      <c r="P180" s="2215"/>
      <c r="Q180" s="2"/>
    </row>
    <row r="181" spans="1:17" ht="15.75">
      <c r="A181" s="990"/>
      <c r="B181" s="202"/>
      <c r="C181" s="158"/>
      <c r="D181" s="40"/>
      <c r="E181" s="40"/>
      <c r="F181" s="131"/>
      <c r="G181" s="1001"/>
      <c r="H181" s="1043"/>
      <c r="I181" s="1044"/>
      <c r="J181" s="1044"/>
      <c r="K181" s="1045"/>
      <c r="L181" s="43"/>
      <c r="M181" s="1046"/>
      <c r="N181" s="2"/>
      <c r="O181" s="2"/>
      <c r="P181" s="2215"/>
      <c r="Q181" s="2"/>
    </row>
    <row r="182" spans="1:17" ht="15.75">
      <c r="A182" s="997"/>
      <c r="B182" s="158" t="s">
        <v>1101</v>
      </c>
      <c r="C182" s="42"/>
      <c r="D182" s="40"/>
      <c r="E182" s="40"/>
      <c r="F182" s="131"/>
      <c r="G182" s="1001"/>
      <c r="H182" s="1043"/>
      <c r="I182" s="1044"/>
      <c r="J182" s="1044"/>
      <c r="K182" s="1045"/>
      <c r="L182" s="43"/>
      <c r="M182" s="1046"/>
      <c r="N182" s="2"/>
      <c r="O182" s="2"/>
      <c r="P182" s="2215"/>
      <c r="Q182" s="2"/>
    </row>
    <row r="183" spans="1:17" ht="15.75">
      <c r="A183" s="997"/>
      <c r="B183" s="158"/>
      <c r="C183" s="42"/>
      <c r="D183" s="40"/>
      <c r="E183" s="40"/>
      <c r="F183" s="131"/>
      <c r="G183" s="1001"/>
      <c r="H183" s="1043"/>
      <c r="I183" s="1044"/>
      <c r="J183" s="1044"/>
      <c r="K183" s="1045"/>
      <c r="L183" s="43"/>
      <c r="M183" s="1046"/>
      <c r="N183" s="2"/>
      <c r="O183" s="2"/>
      <c r="P183" s="2217"/>
      <c r="Q183" s="2"/>
    </row>
    <row r="184" spans="1:17" ht="15.75">
      <c r="A184" s="990"/>
      <c r="B184" s="202"/>
      <c r="C184" s="2"/>
      <c r="D184" s="2"/>
      <c r="E184" s="2"/>
      <c r="F184" s="2"/>
      <c r="G184" s="1001"/>
      <c r="H184" s="1043"/>
      <c r="I184" s="2"/>
      <c r="J184" s="863"/>
      <c r="K184" s="1045"/>
      <c r="L184" s="43"/>
      <c r="M184" s="1046"/>
      <c r="N184" s="2"/>
      <c r="O184" s="2"/>
      <c r="P184" s="2217"/>
      <c r="Q184" s="2"/>
    </row>
    <row r="185" spans="1:17" ht="15.75">
      <c r="A185" s="990"/>
      <c r="B185" s="202"/>
      <c r="C185" s="1047" t="s">
        <v>1858</v>
      </c>
      <c r="D185" s="1048"/>
      <c r="E185" s="1048"/>
      <c r="F185" s="1049"/>
      <c r="G185" s="1050" t="s">
        <v>115</v>
      </c>
      <c r="H185" s="171" t="s">
        <v>1102</v>
      </c>
      <c r="I185" s="171" t="s">
        <v>1103</v>
      </c>
      <c r="J185" s="863"/>
      <c r="K185" s="1045"/>
      <c r="L185" s="43"/>
      <c r="M185" s="1046"/>
      <c r="N185" s="2"/>
      <c r="O185" s="2"/>
      <c r="P185" s="2217"/>
      <c r="Q185" s="2"/>
    </row>
    <row r="186" spans="1:17" ht="15.75">
      <c r="A186" s="990"/>
      <c r="B186" s="202"/>
      <c r="C186" s="1047"/>
      <c r="D186" s="1048"/>
      <c r="E186" s="1048"/>
      <c r="F186" s="1049"/>
      <c r="G186" s="1050"/>
      <c r="H186" s="1051"/>
      <c r="I186" s="171"/>
      <c r="J186" s="863"/>
      <c r="K186" s="1045"/>
      <c r="L186" s="43"/>
      <c r="M186" s="1046"/>
      <c r="N186" s="2"/>
      <c r="O186" s="2"/>
      <c r="P186" s="2217"/>
      <c r="Q186" s="2"/>
    </row>
    <row r="187" spans="1:17" ht="15.75">
      <c r="A187" s="990"/>
      <c r="B187" s="202"/>
      <c r="C187" s="1052" t="s">
        <v>1104</v>
      </c>
      <c r="D187" s="1048"/>
      <c r="E187" s="1048"/>
      <c r="F187" s="1049"/>
      <c r="G187" s="1050"/>
      <c r="H187" s="1051"/>
      <c r="I187" s="171"/>
      <c r="J187" s="863"/>
      <c r="K187" s="1045"/>
      <c r="L187" s="43"/>
      <c r="M187" s="1046"/>
      <c r="N187" s="2"/>
      <c r="O187" s="2"/>
      <c r="P187" s="2217">
        <v>2019</v>
      </c>
      <c r="Q187" s="2"/>
    </row>
    <row r="188" spans="1:17" ht="15.75">
      <c r="A188" s="990"/>
      <c r="B188" s="202"/>
      <c r="C188" s="1053" t="s">
        <v>1848</v>
      </c>
      <c r="D188" s="1048"/>
      <c r="E188" s="1053" t="s">
        <v>1106</v>
      </c>
      <c r="F188" s="1049"/>
      <c r="G188" s="1054">
        <v>25000</v>
      </c>
      <c r="H188" s="1051"/>
      <c r="I188" s="171">
        <f>G188</f>
        <v>25000</v>
      </c>
      <c r="J188" s="863"/>
      <c r="K188" s="1045"/>
      <c r="L188" s="43"/>
      <c r="M188" s="1046"/>
      <c r="N188" s="2"/>
      <c r="O188" s="2"/>
      <c r="P188" s="2217">
        <v>2019</v>
      </c>
      <c r="Q188" s="2"/>
    </row>
    <row r="189" spans="1:17" ht="15.75">
      <c r="A189" s="990"/>
      <c r="B189" s="202"/>
      <c r="C189" s="1053" t="s">
        <v>1105</v>
      </c>
      <c r="D189" s="1048"/>
      <c r="E189" s="1053" t="s">
        <v>1106</v>
      </c>
      <c r="F189" s="1049"/>
      <c r="G189" s="1054">
        <v>33000</v>
      </c>
      <c r="H189" s="1055"/>
      <c r="I189" s="171">
        <f>G189</f>
        <v>33000</v>
      </c>
      <c r="J189" s="863"/>
      <c r="K189" s="1045"/>
      <c r="L189" s="43"/>
      <c r="M189" s="1046"/>
      <c r="N189" s="2"/>
      <c r="O189" s="2"/>
      <c r="P189" s="2217">
        <v>2019</v>
      </c>
      <c r="Q189" s="2"/>
    </row>
    <row r="190" spans="1:17" ht="15.75">
      <c r="A190" s="990"/>
      <c r="B190" s="202"/>
      <c r="C190" s="1053" t="s">
        <v>1107</v>
      </c>
      <c r="D190" s="1048"/>
      <c r="E190" s="1053" t="s">
        <v>1106</v>
      </c>
      <c r="F190" s="1049"/>
      <c r="G190" s="1054">
        <v>941983.39000000013</v>
      </c>
      <c r="H190" s="1055">
        <f>G190</f>
        <v>941983.39000000013</v>
      </c>
      <c r="I190" s="171"/>
      <c r="J190" s="863"/>
      <c r="K190" s="1045"/>
      <c r="L190" s="43"/>
      <c r="M190" s="1046"/>
      <c r="N190" s="2"/>
      <c r="O190" s="2"/>
      <c r="P190" s="2217">
        <v>2019</v>
      </c>
      <c r="Q190" s="2"/>
    </row>
    <row r="191" spans="1:17" ht="15.75">
      <c r="A191" s="990"/>
      <c r="B191" s="202"/>
      <c r="C191" s="1053" t="s">
        <v>1108</v>
      </c>
      <c r="D191" s="1048"/>
      <c r="E191" s="1053" t="s">
        <v>1106</v>
      </c>
      <c r="F191" s="1049"/>
      <c r="G191" s="1054">
        <v>2875</v>
      </c>
      <c r="H191" s="1055"/>
      <c r="I191" s="171">
        <f>G191</f>
        <v>2875</v>
      </c>
      <c r="J191" s="863"/>
      <c r="K191" s="1045"/>
      <c r="L191" s="43"/>
      <c r="M191" s="1046"/>
      <c r="N191" s="2"/>
      <c r="O191" s="2"/>
      <c r="P191" s="2217">
        <v>2019</v>
      </c>
      <c r="Q191" s="2"/>
    </row>
    <row r="192" spans="1:17" ht="15.75">
      <c r="A192" s="990"/>
      <c r="B192" s="202"/>
      <c r="C192" s="1053" t="s">
        <v>1109</v>
      </c>
      <c r="D192" s="1048"/>
      <c r="E192" s="1053" t="s">
        <v>1106</v>
      </c>
      <c r="F192" s="1049"/>
      <c r="G192" s="1054">
        <v>86000</v>
      </c>
      <c r="H192" s="1055"/>
      <c r="I192" s="171">
        <f>G192</f>
        <v>86000</v>
      </c>
      <c r="J192" s="863"/>
      <c r="K192" s="1045"/>
      <c r="L192" s="43"/>
      <c r="M192" s="1046"/>
      <c r="N192" s="2"/>
      <c r="O192" s="2"/>
      <c r="P192" s="2217">
        <v>2019</v>
      </c>
      <c r="Q192" s="2"/>
    </row>
    <row r="193" spans="1:17" ht="15.75">
      <c r="A193" s="990"/>
      <c r="B193" s="202"/>
      <c r="C193" s="1053" t="s">
        <v>1110</v>
      </c>
      <c r="D193" s="1048"/>
      <c r="E193" s="1053" t="s">
        <v>1106</v>
      </c>
      <c r="F193" s="1049"/>
      <c r="G193" s="1054">
        <v>11812.5</v>
      </c>
      <c r="H193" s="1055">
        <f>G193</f>
        <v>11812.5</v>
      </c>
      <c r="I193" s="171"/>
      <c r="J193" s="863"/>
      <c r="K193" s="1045"/>
      <c r="L193" s="43"/>
      <c r="M193" s="1046"/>
      <c r="N193" s="2"/>
      <c r="O193" s="2"/>
      <c r="P193" s="2217">
        <v>2019</v>
      </c>
      <c r="Q193" s="2"/>
    </row>
    <row r="194" spans="1:17" ht="15.75">
      <c r="A194" s="990"/>
      <c r="B194" s="202"/>
      <c r="C194" s="1053" t="s">
        <v>1111</v>
      </c>
      <c r="D194" s="1048"/>
      <c r="E194" s="1053" t="s">
        <v>1106</v>
      </c>
      <c r="F194" s="1049"/>
      <c r="G194" s="1054">
        <v>91230.550000000017</v>
      </c>
      <c r="H194" s="1055">
        <f>G194</f>
        <v>91230.550000000017</v>
      </c>
      <c r="I194" s="171"/>
      <c r="J194" s="863"/>
      <c r="K194" s="1045"/>
      <c r="L194" s="43"/>
      <c r="M194" s="1046"/>
      <c r="N194" s="2"/>
      <c r="O194" s="2"/>
      <c r="P194" s="2217">
        <v>2019</v>
      </c>
      <c r="Q194" s="2"/>
    </row>
    <row r="195" spans="1:17" ht="15.75">
      <c r="A195" s="990"/>
      <c r="B195" s="202"/>
      <c r="C195" s="1053" t="s">
        <v>1918</v>
      </c>
      <c r="D195" s="1048"/>
      <c r="E195" s="1053" t="s">
        <v>1106</v>
      </c>
      <c r="F195" s="1049"/>
      <c r="G195" s="1054">
        <v>1625</v>
      </c>
      <c r="H195" s="1055"/>
      <c r="I195" s="171">
        <f>G195</f>
        <v>1625</v>
      </c>
      <c r="J195" s="863"/>
      <c r="K195" s="1045"/>
      <c r="L195" s="43"/>
      <c r="M195" s="1046"/>
      <c r="N195" s="2"/>
      <c r="O195" s="2"/>
      <c r="P195" s="2217"/>
      <c r="Q195" s="2"/>
    </row>
    <row r="196" spans="1:17" ht="15.75">
      <c r="A196" s="990"/>
      <c r="B196" s="202"/>
      <c r="C196" s="1053" t="s">
        <v>1112</v>
      </c>
      <c r="D196" s="1048"/>
      <c r="E196" s="1053" t="s">
        <v>1106</v>
      </c>
      <c r="F196" s="1049"/>
      <c r="G196" s="1054">
        <v>1200</v>
      </c>
      <c r="H196" s="1055"/>
      <c r="I196" s="171">
        <f>G196</f>
        <v>1200</v>
      </c>
      <c r="J196" s="863"/>
      <c r="K196" s="1045"/>
      <c r="L196" s="43"/>
      <c r="M196" s="1046"/>
      <c r="N196" s="2"/>
      <c r="O196" s="2"/>
      <c r="P196" s="2217">
        <v>2019</v>
      </c>
      <c r="Q196" s="2"/>
    </row>
    <row r="197" spans="1:17" ht="15.75">
      <c r="A197" s="990"/>
      <c r="B197" s="202"/>
      <c r="C197" s="1053" t="s">
        <v>1849</v>
      </c>
      <c r="D197" s="1048"/>
      <c r="E197" s="1053" t="s">
        <v>1106</v>
      </c>
      <c r="F197" s="1049"/>
      <c r="G197" s="1054">
        <v>83449</v>
      </c>
      <c r="H197" s="1055"/>
      <c r="I197" s="171">
        <f>G197</f>
        <v>83449</v>
      </c>
      <c r="J197" s="863"/>
      <c r="K197" s="1045"/>
      <c r="L197" s="43"/>
      <c r="M197" s="1046"/>
      <c r="N197" s="2"/>
      <c r="O197" s="2"/>
      <c r="P197" s="2217">
        <v>2019</v>
      </c>
      <c r="Q197" s="2"/>
    </row>
    <row r="198" spans="1:17" ht="15.75">
      <c r="A198" s="990"/>
      <c r="B198" s="202"/>
      <c r="C198" s="1053" t="s">
        <v>1850</v>
      </c>
      <c r="D198" s="1048"/>
      <c r="E198" s="1053" t="s">
        <v>1106</v>
      </c>
      <c r="F198" s="1049"/>
      <c r="G198" s="1054">
        <v>18000</v>
      </c>
      <c r="H198" s="1055"/>
      <c r="I198" s="171">
        <f t="shared" ref="I198:I202" si="12">G198</f>
        <v>18000</v>
      </c>
      <c r="J198" s="863"/>
      <c r="K198" s="1045"/>
      <c r="L198" s="43"/>
      <c r="M198" s="1046"/>
      <c r="N198" s="2"/>
      <c r="O198" s="2"/>
      <c r="P198" s="2217">
        <v>2019</v>
      </c>
      <c r="Q198" s="2"/>
    </row>
    <row r="199" spans="1:17" ht="15.75">
      <c r="A199" s="990"/>
      <c r="B199" s="202"/>
      <c r="C199" s="1053" t="s">
        <v>1851</v>
      </c>
      <c r="D199" s="1048"/>
      <c r="E199" s="1053" t="s">
        <v>1106</v>
      </c>
      <c r="F199" s="1049"/>
      <c r="G199" s="1054">
        <v>10250</v>
      </c>
      <c r="H199" s="1055"/>
      <c r="I199" s="171">
        <f t="shared" si="12"/>
        <v>10250</v>
      </c>
      <c r="J199" s="863"/>
      <c r="K199" s="1045"/>
      <c r="L199" s="43"/>
      <c r="M199" s="1046"/>
      <c r="N199" s="2"/>
      <c r="O199" s="2"/>
      <c r="P199" s="2217">
        <v>2019</v>
      </c>
      <c r="Q199" s="2"/>
    </row>
    <row r="200" spans="1:17" ht="15.75">
      <c r="A200" s="990"/>
      <c r="B200" s="202"/>
      <c r="C200" s="1053" t="s">
        <v>1919</v>
      </c>
      <c r="D200" s="1048"/>
      <c r="E200" s="1053" t="s">
        <v>1106</v>
      </c>
      <c r="F200" s="1049"/>
      <c r="G200" s="1054">
        <v>10000</v>
      </c>
      <c r="H200" s="1055"/>
      <c r="I200" s="171">
        <f>G200</f>
        <v>10000</v>
      </c>
      <c r="J200" s="863"/>
      <c r="K200" s="1045"/>
      <c r="L200" s="43"/>
      <c r="M200" s="1046"/>
      <c r="N200" s="2"/>
      <c r="O200" s="2"/>
      <c r="P200" s="2217"/>
      <c r="Q200" s="2"/>
    </row>
    <row r="201" spans="1:17" ht="15.75">
      <c r="A201" s="990"/>
      <c r="B201" s="202"/>
      <c r="C201" s="1053" t="s">
        <v>1920</v>
      </c>
      <c r="D201" s="1048"/>
      <c r="E201" s="1053" t="s">
        <v>1106</v>
      </c>
      <c r="F201" s="1049"/>
      <c r="G201" s="1054">
        <v>34350.28</v>
      </c>
      <c r="H201" s="1055"/>
      <c r="I201" s="171">
        <f>G201</f>
        <v>34350.28</v>
      </c>
      <c r="J201" s="863"/>
      <c r="K201" s="1045"/>
      <c r="L201" s="43"/>
      <c r="M201" s="1046"/>
      <c r="N201" s="2"/>
      <c r="O201" s="2"/>
      <c r="P201" s="2217"/>
      <c r="Q201" s="2"/>
    </row>
    <row r="202" spans="1:17" ht="15.75">
      <c r="A202" s="990"/>
      <c r="B202" s="202"/>
      <c r="C202" s="1053" t="s">
        <v>1852</v>
      </c>
      <c r="D202" s="1048"/>
      <c r="E202" s="1053" t="s">
        <v>1106</v>
      </c>
      <c r="F202" s="1049"/>
      <c r="G202" s="1054">
        <v>25685.1</v>
      </c>
      <c r="H202" s="1055"/>
      <c r="I202" s="171">
        <f t="shared" si="12"/>
        <v>25685.1</v>
      </c>
      <c r="J202" s="863"/>
      <c r="K202" s="1045"/>
      <c r="L202" s="43"/>
      <c r="M202" s="1046"/>
      <c r="N202" s="2"/>
      <c r="O202" s="2"/>
      <c r="P202" s="2217">
        <v>2019</v>
      </c>
      <c r="Q202" s="2"/>
    </row>
    <row r="203" spans="1:17" ht="15.75">
      <c r="A203" s="990"/>
      <c r="B203" s="202"/>
      <c r="C203" s="1053"/>
      <c r="D203" s="1048"/>
      <c r="E203" s="1053" t="s">
        <v>1113</v>
      </c>
      <c r="F203" s="1049"/>
      <c r="G203" s="1054">
        <f>SUM(G188:G202)</f>
        <v>1376460.8200000003</v>
      </c>
      <c r="H203" s="1055"/>
      <c r="I203" s="171"/>
      <c r="J203" s="863"/>
      <c r="K203" s="1045"/>
      <c r="L203" s="43"/>
      <c r="M203" s="1046"/>
      <c r="N203" s="2"/>
      <c r="O203" s="2"/>
      <c r="P203" s="2217">
        <v>2019</v>
      </c>
      <c r="Q203" s="2"/>
    </row>
    <row r="204" spans="1:17" ht="15.75">
      <c r="A204" s="990"/>
      <c r="B204" s="202"/>
      <c r="C204" s="1053"/>
      <c r="D204" s="1048"/>
      <c r="E204" s="1048"/>
      <c r="F204" s="1049"/>
      <c r="G204" s="1050"/>
      <c r="H204" s="1055"/>
      <c r="I204" s="171"/>
      <c r="J204" s="863"/>
      <c r="K204" s="1045"/>
      <c r="L204" s="43"/>
      <c r="M204" s="1046"/>
      <c r="N204" s="2"/>
      <c r="O204" s="2"/>
      <c r="P204" s="2217"/>
      <c r="Q204" s="2"/>
    </row>
    <row r="205" spans="1:17" ht="15.75">
      <c r="A205" s="990"/>
      <c r="B205" s="202"/>
      <c r="C205" s="1053" t="s">
        <v>1857</v>
      </c>
      <c r="D205" s="1048"/>
      <c r="E205" s="1048"/>
      <c r="F205" s="1049"/>
      <c r="G205" s="1050"/>
      <c r="H205" s="1055"/>
      <c r="I205" s="171"/>
      <c r="J205" s="863"/>
      <c r="K205" s="1045"/>
      <c r="L205" s="43"/>
      <c r="M205" s="1046"/>
      <c r="N205" s="2"/>
      <c r="O205" s="2"/>
      <c r="P205" s="2217"/>
      <c r="Q205" s="2"/>
    </row>
    <row r="206" spans="1:17" ht="15.75">
      <c r="A206" s="990"/>
      <c r="B206" s="202"/>
      <c r="C206" s="1053" t="s">
        <v>1855</v>
      </c>
      <c r="D206" s="1048"/>
      <c r="E206" s="1053" t="s">
        <v>1853</v>
      </c>
      <c r="F206" s="1053"/>
      <c r="G206" s="1054">
        <v>229848</v>
      </c>
      <c r="H206" s="1055"/>
      <c r="I206" s="171">
        <f>G206</f>
        <v>229848</v>
      </c>
      <c r="J206" s="863"/>
      <c r="K206" s="1045"/>
      <c r="L206" s="43"/>
      <c r="M206" s="1046"/>
      <c r="N206" s="2"/>
      <c r="O206" s="2"/>
      <c r="P206" s="2217"/>
      <c r="Q206" s="2"/>
    </row>
    <row r="207" spans="1:17" ht="15.75">
      <c r="A207" s="990"/>
      <c r="B207" s="202"/>
      <c r="C207" s="1053" t="s">
        <v>1114</v>
      </c>
      <c r="D207" s="1048"/>
      <c r="E207" s="1053" t="s">
        <v>1854</v>
      </c>
      <c r="F207" s="1053"/>
      <c r="G207" s="1054">
        <v>137596.19</v>
      </c>
      <c r="H207" s="1055"/>
      <c r="I207" s="171">
        <f>G207</f>
        <v>137596.19</v>
      </c>
      <c r="J207" s="863"/>
      <c r="K207" s="1045"/>
      <c r="L207" s="43"/>
      <c r="M207" s="1046"/>
      <c r="N207" s="2"/>
      <c r="O207" s="2"/>
      <c r="P207" s="2217">
        <v>2019</v>
      </c>
      <c r="Q207" s="2"/>
    </row>
    <row r="208" spans="1:17" ht="15.75">
      <c r="A208" s="990"/>
      <c r="B208" s="202"/>
      <c r="C208" s="1053"/>
      <c r="D208" s="1048"/>
      <c r="E208" s="1053"/>
      <c r="F208" s="1053"/>
      <c r="G208" s="1054"/>
      <c r="H208" s="1055"/>
      <c r="I208" s="171"/>
      <c r="J208" s="863"/>
      <c r="K208" s="1045"/>
      <c r="L208" s="43"/>
      <c r="M208" s="1046"/>
      <c r="N208" s="2"/>
      <c r="O208" s="2"/>
      <c r="P208" s="2217"/>
      <c r="Q208" s="2"/>
    </row>
    <row r="209" spans="1:17" ht="15.75">
      <c r="A209" s="990"/>
      <c r="B209" s="202"/>
      <c r="C209" s="1052" t="s">
        <v>1921</v>
      </c>
      <c r="D209" s="1048"/>
      <c r="E209" s="1053" t="s">
        <v>2042</v>
      </c>
      <c r="F209" s="1053"/>
      <c r="G209" s="1054">
        <v>18872.14</v>
      </c>
      <c r="H209" s="1055"/>
      <c r="I209" s="171">
        <f>G209</f>
        <v>18872.14</v>
      </c>
      <c r="J209" s="863"/>
      <c r="K209" s="1045"/>
      <c r="L209" s="43"/>
      <c r="M209" s="1046"/>
      <c r="N209" s="2"/>
      <c r="O209" s="2"/>
      <c r="P209" s="2217"/>
      <c r="Q209" s="2"/>
    </row>
    <row r="210" spans="1:17" ht="15.75">
      <c r="A210" s="990"/>
      <c r="B210" s="202"/>
      <c r="C210" s="1053"/>
      <c r="D210" s="1048"/>
      <c r="E210" s="1053"/>
      <c r="F210" s="1053"/>
      <c r="G210" s="1050"/>
      <c r="H210" s="1055"/>
      <c r="I210" s="171"/>
      <c r="J210" s="863"/>
      <c r="K210" s="1045"/>
      <c r="L210" s="43"/>
      <c r="M210" s="1046"/>
      <c r="N210" s="2"/>
      <c r="O210" s="2"/>
      <c r="P210" s="2217">
        <v>2019</v>
      </c>
      <c r="Q210" s="2"/>
    </row>
    <row r="211" spans="1:17" ht="15.75">
      <c r="A211" s="990"/>
      <c r="B211" s="202"/>
      <c r="C211" s="1052" t="s">
        <v>1115</v>
      </c>
      <c r="D211" s="1048"/>
      <c r="E211" s="1053" t="s">
        <v>1856</v>
      </c>
      <c r="F211" s="1053"/>
      <c r="G211" s="1054">
        <v>481275.28</v>
      </c>
      <c r="H211" s="1055">
        <f>G211</f>
        <v>481275.28</v>
      </c>
      <c r="I211" s="171"/>
      <c r="J211" s="863"/>
      <c r="K211" s="1045"/>
      <c r="L211" s="43"/>
      <c r="M211" s="1046"/>
      <c r="N211" s="2"/>
      <c r="O211" s="2"/>
      <c r="P211" s="2217">
        <v>2019</v>
      </c>
      <c r="Q211" s="2"/>
    </row>
    <row r="212" spans="1:17" ht="15.75">
      <c r="A212" s="990"/>
      <c r="B212" s="202"/>
      <c r="C212" s="1053"/>
      <c r="D212" s="1048"/>
      <c r="E212" s="1053"/>
      <c r="F212" s="1053"/>
      <c r="G212" s="1050"/>
      <c r="H212" s="1055"/>
      <c r="I212" s="171"/>
      <c r="J212" s="863"/>
      <c r="K212" s="1045"/>
      <c r="L212" s="43"/>
      <c r="M212" s="1046"/>
      <c r="N212" s="2"/>
      <c r="O212" s="2"/>
      <c r="P212" s="2217"/>
      <c r="Q212" s="2"/>
    </row>
    <row r="213" spans="1:17" ht="15.75">
      <c r="A213" s="990"/>
      <c r="B213" s="202"/>
      <c r="C213" s="1052" t="s">
        <v>1116</v>
      </c>
      <c r="D213" s="1048"/>
      <c r="E213" s="1053" t="s">
        <v>2043</v>
      </c>
      <c r="F213" s="1053"/>
      <c r="G213" s="1054">
        <v>20</v>
      </c>
      <c r="H213" s="1055"/>
      <c r="I213" s="171">
        <f>G213</f>
        <v>20</v>
      </c>
      <c r="J213" s="863"/>
      <c r="K213" s="1045"/>
      <c r="L213" s="43"/>
      <c r="M213" s="1046"/>
      <c r="N213" s="2"/>
      <c r="O213" s="2"/>
      <c r="P213" s="2217">
        <v>2019</v>
      </c>
      <c r="Q213" s="2"/>
    </row>
    <row r="214" spans="1:17" ht="15.75">
      <c r="A214" s="990"/>
      <c r="B214" s="202"/>
      <c r="C214" s="1053"/>
      <c r="D214" s="1048"/>
      <c r="E214" s="1048"/>
      <c r="F214" s="1049"/>
      <c r="G214" s="1050"/>
      <c r="H214" s="1055"/>
      <c r="I214" s="171"/>
      <c r="J214" s="863"/>
      <c r="K214" s="1045"/>
      <c r="L214" s="43"/>
      <c r="M214" s="1046"/>
      <c r="N214" s="2"/>
      <c r="O214" s="2"/>
      <c r="P214" s="2217"/>
      <c r="Q214" s="2"/>
    </row>
    <row r="215" spans="1:17" ht="15.75">
      <c r="A215" s="990">
        <f>'Appendix A'!$A$124</f>
        <v>63</v>
      </c>
      <c r="B215" s="202"/>
      <c r="C215" s="1056" t="s">
        <v>115</v>
      </c>
      <c r="D215" s="111"/>
      <c r="E215" s="111" t="str">
        <f>'Appendix A'!E124</f>
        <v>(Note C)</v>
      </c>
      <c r="F215" s="116"/>
      <c r="G215" s="1057" t="s">
        <v>1117</v>
      </c>
      <c r="H215" s="1058"/>
      <c r="I215" s="187">
        <f>SUM(I186:I214)</f>
        <v>717770.71000000008</v>
      </c>
      <c r="J215" s="1044"/>
      <c r="K215" s="1045"/>
      <c r="L215" s="43"/>
      <c r="M215" s="1046"/>
      <c r="N215" s="1059"/>
      <c r="O215" s="1060"/>
      <c r="P215" s="2217"/>
      <c r="Q215" s="2"/>
    </row>
    <row r="216" spans="1:17" ht="15.75">
      <c r="A216" s="990"/>
      <c r="B216" s="202"/>
      <c r="C216" s="1061"/>
      <c r="D216" s="40"/>
      <c r="E216" s="40"/>
      <c r="F216" s="131"/>
      <c r="G216" s="1001"/>
      <c r="H216" s="1062"/>
      <c r="I216" s="146"/>
      <c r="J216" s="1044"/>
      <c r="K216" s="1045"/>
      <c r="L216" s="43"/>
      <c r="M216" s="1046"/>
      <c r="N216" s="2"/>
      <c r="O216" s="2"/>
      <c r="P216" s="2215"/>
      <c r="Q216" s="2"/>
    </row>
    <row r="217" spans="1:17" ht="15.75">
      <c r="A217" s="990"/>
      <c r="B217" s="158" t="s">
        <v>1118</v>
      </c>
      <c r="C217" s="145"/>
      <c r="D217" s="40"/>
      <c r="E217" s="40"/>
      <c r="F217" s="131"/>
      <c r="G217" s="1001"/>
      <c r="H217" s="1062"/>
      <c r="I217" s="146"/>
      <c r="J217" s="1044"/>
      <c r="K217" s="1045"/>
      <c r="L217" s="43"/>
      <c r="M217" s="1046"/>
      <c r="N217" s="2"/>
      <c r="O217" s="2"/>
      <c r="P217" s="2215"/>
      <c r="Q217" s="2"/>
    </row>
    <row r="218" spans="1:17" ht="15.75">
      <c r="A218" s="1063"/>
      <c r="B218" s="202"/>
      <c r="C218" s="158" t="str">
        <f>IF(Toggle=True_up,"Fixed PBOP expense",IF(Toggle=Projection,"Authorized filed PBOP expense"))</f>
        <v>Fixed PBOP expense</v>
      </c>
      <c r="D218" s="40"/>
      <c r="E218" s="40"/>
      <c r="F218" s="131"/>
      <c r="G218" s="1064" t="s">
        <v>1119</v>
      </c>
      <c r="H218" s="1065"/>
      <c r="I218" s="1066">
        <f>'Att 17 - PBOP'!D53</f>
        <v>1306656.4099999999</v>
      </c>
      <c r="J218" s="107"/>
      <c r="K218" s="1045"/>
      <c r="L218" s="43"/>
      <c r="M218" s="1046"/>
      <c r="N218" s="2"/>
      <c r="O218" s="2"/>
      <c r="P218" s="2216" t="s">
        <v>1079</v>
      </c>
      <c r="Q218" s="2"/>
    </row>
    <row r="219" spans="1:17" ht="15.75">
      <c r="A219" s="1063"/>
      <c r="B219" s="145"/>
      <c r="C219" s="100" t="s">
        <v>1120</v>
      </c>
      <c r="D219" s="1067"/>
      <c r="E219" s="1067"/>
      <c r="F219" s="1067"/>
      <c r="G219" s="1068" t="str">
        <f>IF(Toggle=True_up,"Attachement 17",IF(Toggle=Projection,"Attachment 17 total"))</f>
        <v>Attachement 17</v>
      </c>
      <c r="H219" s="1069"/>
      <c r="I219" s="1070">
        <f>'Att 17 - PBOP'!$D$53</f>
        <v>1306656.4099999999</v>
      </c>
      <c r="J219" s="37"/>
      <c r="K219" s="1045"/>
      <c r="L219" s="43"/>
      <c r="M219" s="1046"/>
      <c r="N219" s="2"/>
      <c r="O219" s="2"/>
      <c r="P219" s="2216" t="s">
        <v>1079</v>
      </c>
      <c r="Q219" s="2"/>
    </row>
    <row r="220" spans="1:17" ht="15.75">
      <c r="A220" s="1063">
        <f>+'Appendix A'!A119</f>
        <v>58</v>
      </c>
      <c r="B220" s="145"/>
      <c r="C220" s="1061" t="str">
        <f>IF(Toggle=True_up,"Adjusted total (Current year actual)",IF(Toggle=Projection,"Actual PBOP Expense Adjustment"))</f>
        <v>Adjusted total (Current year actual)</v>
      </c>
      <c r="D220" s="111"/>
      <c r="E220" s="144"/>
      <c r="F220" s="145"/>
      <c r="G220" s="1057" t="s">
        <v>1117</v>
      </c>
      <c r="H220" s="1071" t="str">
        <f>Toggle</f>
        <v>True-Up</v>
      </c>
      <c r="I220" s="178">
        <f>I218-I219</f>
        <v>0</v>
      </c>
      <c r="J220" s="1072" t="s">
        <v>1121</v>
      </c>
      <c r="K220" s="1045"/>
      <c r="L220" s="43"/>
      <c r="M220" s="1046"/>
      <c r="N220" s="2"/>
      <c r="O220" s="2"/>
      <c r="P220" s="2215"/>
      <c r="Q220" s="2"/>
    </row>
    <row r="221" spans="1:17" ht="15.75">
      <c r="A221" s="1063"/>
      <c r="B221" s="145"/>
      <c r="C221" s="1061"/>
      <c r="D221" s="145"/>
      <c r="E221" s="145"/>
      <c r="F221" s="145"/>
      <c r="G221" s="998"/>
      <c r="H221" s="1062"/>
      <c r="I221" s="349"/>
      <c r="J221" s="1073"/>
      <c r="K221" s="1045"/>
      <c r="L221" s="43"/>
      <c r="M221" s="1046"/>
      <c r="N221" s="2"/>
      <c r="O221" s="2"/>
      <c r="P221" s="2215"/>
      <c r="Q221" s="2"/>
    </row>
    <row r="222" spans="1:17" ht="15.75">
      <c r="A222" s="1063"/>
      <c r="B222" s="145" t="s">
        <v>1122</v>
      </c>
      <c r="C222" s="115"/>
      <c r="D222" s="145"/>
      <c r="E222" s="145"/>
      <c r="F222" s="145"/>
      <c r="G222" s="998"/>
      <c r="H222" s="1062"/>
      <c r="I222" s="349"/>
      <c r="J222" s="1073"/>
      <c r="K222" s="1045"/>
      <c r="L222" s="43"/>
      <c r="M222" s="1046"/>
      <c r="N222" s="2"/>
      <c r="O222" s="2"/>
      <c r="P222" s="2215"/>
      <c r="Q222" s="2"/>
    </row>
    <row r="223" spans="1:17" ht="15.75">
      <c r="A223" s="997"/>
      <c r="B223" s="145"/>
      <c r="C223" s="112" t="str">
        <f xml:space="preserve">    'Appendix A'!C134</f>
        <v>Property Insurance Account 924</v>
      </c>
      <c r="D223" s="1067"/>
      <c r="E223" s="1067"/>
      <c r="F223" s="1067"/>
      <c r="G223" s="1074" t="str">
        <f>'Appendix A'!F120</f>
        <v>323.185b</v>
      </c>
      <c r="H223" s="1075"/>
      <c r="I223" s="1076">
        <f>INDEX(Inputs_EndYrBal,MATCH(G223,Inputs_FF1_Map,0))</f>
        <v>4737084</v>
      </c>
      <c r="J223" s="37"/>
      <c r="K223" s="1045"/>
      <c r="L223" s="150"/>
      <c r="M223" s="1077"/>
      <c r="N223" s="2"/>
      <c r="O223" s="2"/>
      <c r="P223" s="2216" t="s">
        <v>1079</v>
      </c>
      <c r="Q223" s="2"/>
    </row>
    <row r="224" spans="1:17" ht="15.75">
      <c r="A224" s="1063">
        <f>'Appendix A'!A134</f>
        <v>70</v>
      </c>
      <c r="B224" s="145"/>
      <c r="C224" s="158"/>
      <c r="D224" s="145"/>
      <c r="E224" s="60" t="str">
        <f>'Appendix A'!$E$134</f>
        <v>(Note F)</v>
      </c>
      <c r="F224" s="145"/>
      <c r="G224" s="1057" t="s">
        <v>1117</v>
      </c>
      <c r="H224" s="1065"/>
      <c r="I224" s="1078">
        <f>I223</f>
        <v>4737084</v>
      </c>
      <c r="J224" s="2"/>
      <c r="K224" s="1079"/>
      <c r="L224" s="1079"/>
      <c r="M224" s="1036"/>
      <c r="N224" s="2"/>
      <c r="O224" s="2"/>
      <c r="P224" s="2215"/>
      <c r="Q224" s="2"/>
    </row>
    <row r="225" spans="1:17" ht="16.5" thickBot="1">
      <c r="A225" s="1015"/>
      <c r="B225" s="1080"/>
      <c r="C225" s="1017"/>
      <c r="D225" s="1081"/>
      <c r="E225" s="1081"/>
      <c r="F225" s="1019"/>
      <c r="G225" s="1037"/>
      <c r="H225" s="1082"/>
      <c r="I225" s="980"/>
      <c r="J225" s="1083"/>
      <c r="K225" s="1083"/>
      <c r="L225" s="980"/>
      <c r="M225" s="1084"/>
      <c r="N225" s="2"/>
      <c r="O225" s="2"/>
      <c r="P225" s="2215"/>
      <c r="Q225" s="2"/>
    </row>
    <row r="226" spans="1:17" ht="15.75">
      <c r="A226" s="37"/>
      <c r="B226" s="2"/>
      <c r="C226" s="2"/>
      <c r="D226" s="2"/>
      <c r="E226" s="2"/>
      <c r="F226" s="2"/>
      <c r="G226" s="2"/>
      <c r="H226" s="2"/>
      <c r="I226" s="2"/>
      <c r="J226" s="2"/>
      <c r="K226" s="2"/>
      <c r="L226" s="2"/>
      <c r="M226" s="2"/>
      <c r="N226" s="2"/>
      <c r="O226" s="2"/>
      <c r="P226" s="2215"/>
      <c r="Q226" s="2"/>
    </row>
    <row r="227" spans="1:17" ht="15.75">
      <c r="A227" s="37"/>
      <c r="B227" s="2"/>
      <c r="C227" s="2"/>
      <c r="D227" s="2"/>
      <c r="E227" s="2"/>
      <c r="F227" s="2"/>
      <c r="G227" s="2"/>
      <c r="H227" s="2"/>
      <c r="I227" s="1044"/>
      <c r="J227" s="2"/>
      <c r="K227" s="2"/>
      <c r="L227" s="2"/>
      <c r="M227" s="2"/>
      <c r="N227" s="2"/>
      <c r="O227" s="2"/>
      <c r="P227" s="2215"/>
      <c r="Q227" s="2"/>
    </row>
    <row r="228" spans="1:17" ht="16.5" thickBot="1">
      <c r="A228" s="963" t="s">
        <v>1123</v>
      </c>
      <c r="B228" s="2"/>
      <c r="C228" s="2"/>
      <c r="D228" s="2"/>
      <c r="E228" s="2"/>
      <c r="F228" s="2"/>
      <c r="G228" s="2"/>
      <c r="H228" s="2"/>
      <c r="I228" s="2"/>
      <c r="J228" s="2"/>
      <c r="K228" s="2"/>
      <c r="L228" s="2"/>
      <c r="M228" s="2"/>
      <c r="N228" s="2"/>
      <c r="O228" s="2"/>
      <c r="P228" s="2215"/>
      <c r="Q228" s="2"/>
    </row>
    <row r="229" spans="1:17" ht="61.5">
      <c r="A229" s="2438" t="s">
        <v>1075</v>
      </c>
      <c r="B229" s="2439"/>
      <c r="C229" s="2439"/>
      <c r="D229" s="2439"/>
      <c r="E229" s="2439"/>
      <c r="F229" s="2439"/>
      <c r="G229" s="2440"/>
      <c r="H229" s="936" t="s">
        <v>1076</v>
      </c>
      <c r="I229" s="965" t="s">
        <v>1124</v>
      </c>
      <c r="J229" s="965" t="s">
        <v>1096</v>
      </c>
      <c r="K229" s="1024" t="s">
        <v>1085</v>
      </c>
      <c r="L229" s="1024"/>
      <c r="M229" s="1025"/>
      <c r="N229" s="2"/>
      <c r="O229" s="2"/>
      <c r="P229" s="2215"/>
      <c r="Q229" s="2"/>
    </row>
    <row r="230" spans="1:17" ht="15.75">
      <c r="A230" s="997"/>
      <c r="B230" s="202" t="s">
        <v>101</v>
      </c>
      <c r="C230" s="39"/>
      <c r="D230" s="40"/>
      <c r="E230" s="40"/>
      <c r="F230" s="1085"/>
      <c r="G230" s="1086"/>
      <c r="H230" s="1087"/>
      <c r="I230" s="203"/>
      <c r="J230" s="189"/>
      <c r="K230" s="145"/>
      <c r="L230" s="145"/>
      <c r="M230" s="1088"/>
      <c r="N230" s="2"/>
      <c r="O230" s="2"/>
      <c r="P230" s="2215"/>
      <c r="Q230" s="2"/>
    </row>
    <row r="231" spans="1:17" ht="15.75">
      <c r="A231" s="990"/>
      <c r="B231" s="202"/>
      <c r="C231" s="39"/>
      <c r="D231" s="40"/>
      <c r="E231" s="40"/>
      <c r="F231" s="1085"/>
      <c r="G231" s="1086"/>
      <c r="H231" s="1087"/>
      <c r="I231" s="203"/>
      <c r="J231" s="189"/>
      <c r="K231" s="145"/>
      <c r="L231" s="145"/>
      <c r="M231" s="1088"/>
      <c r="N231" s="2"/>
      <c r="O231" s="2"/>
      <c r="P231" s="2215"/>
      <c r="Q231" s="2"/>
    </row>
    <row r="232" spans="1:17" ht="15.75">
      <c r="A232" s="1089" t="s">
        <v>1125</v>
      </c>
      <c r="B232" s="202"/>
      <c r="C232" s="42"/>
      <c r="D232" s="40"/>
      <c r="E232" s="40"/>
      <c r="F232" s="1090"/>
      <c r="G232" s="1091"/>
      <c r="H232" s="1092"/>
      <c r="I232" s="131"/>
      <c r="J232" s="1093"/>
      <c r="K232" s="42"/>
      <c r="L232" s="42"/>
      <c r="M232" s="1094"/>
      <c r="N232" s="2"/>
      <c r="O232" s="2"/>
      <c r="P232" s="2215"/>
      <c r="Q232" s="2"/>
    </row>
    <row r="233" spans="1:17" ht="15.75">
      <c r="A233" s="990"/>
      <c r="B233" s="202"/>
      <c r="C233" s="39"/>
      <c r="D233" s="40"/>
      <c r="E233" s="40"/>
      <c r="F233" s="1090"/>
      <c r="G233" s="1091"/>
      <c r="H233" s="1095"/>
      <c r="I233" s="1096"/>
      <c r="J233" s="1097"/>
      <c r="K233" s="1098"/>
      <c r="L233" s="42"/>
      <c r="M233" s="1094"/>
      <c r="N233" s="2"/>
      <c r="O233" s="37"/>
      <c r="P233" s="2215"/>
      <c r="Q233" s="2"/>
    </row>
    <row r="234" spans="1:17" ht="15.75">
      <c r="A234" s="990"/>
      <c r="B234" s="202"/>
      <c r="C234" s="42" t="s">
        <v>1126</v>
      </c>
      <c r="D234" s="42"/>
      <c r="E234" s="42"/>
      <c r="F234" s="42"/>
      <c r="G234" s="1094"/>
      <c r="H234" s="1095"/>
      <c r="I234" s="1096"/>
      <c r="J234" s="1097"/>
      <c r="K234" s="1098"/>
      <c r="L234" s="42"/>
      <c r="M234" s="1094"/>
      <c r="N234" s="2"/>
      <c r="O234" s="37"/>
      <c r="P234" s="2217">
        <v>2019</v>
      </c>
      <c r="Q234" s="2"/>
    </row>
    <row r="235" spans="1:17" ht="15.75">
      <c r="A235" s="990"/>
      <c r="B235" s="202"/>
      <c r="C235" s="1099" t="s">
        <v>1127</v>
      </c>
      <c r="D235" s="42"/>
      <c r="E235" s="42"/>
      <c r="F235" s="42"/>
      <c r="G235" s="1100" t="s">
        <v>1128</v>
      </c>
      <c r="H235" s="1101">
        <v>2468009.38</v>
      </c>
      <c r="I235" s="1102">
        <f>H235</f>
        <v>2468009.38</v>
      </c>
      <c r="J235" s="1103"/>
      <c r="K235" s="863"/>
      <c r="L235" s="42"/>
      <c r="M235" s="1094"/>
      <c r="N235" s="2"/>
      <c r="O235" s="37"/>
      <c r="P235" s="2217">
        <v>2019</v>
      </c>
      <c r="Q235" s="2"/>
    </row>
    <row r="236" spans="1:17" ht="15.75">
      <c r="A236" s="990"/>
      <c r="B236" s="202"/>
      <c r="C236" s="1099" t="s">
        <v>1129</v>
      </c>
      <c r="D236" s="42"/>
      <c r="E236" s="42"/>
      <c r="F236" s="42"/>
      <c r="G236" s="1100" t="s">
        <v>1130</v>
      </c>
      <c r="H236" s="1101">
        <v>2658529.16</v>
      </c>
      <c r="I236" s="1102"/>
      <c r="J236" s="1102">
        <f>+H236</f>
        <v>2658529.16</v>
      </c>
      <c r="K236" s="863"/>
      <c r="L236" s="42"/>
      <c r="M236" s="1094"/>
      <c r="N236" s="2"/>
      <c r="O236" s="37"/>
      <c r="P236" s="2217">
        <v>2019</v>
      </c>
      <c r="Q236" s="2"/>
    </row>
    <row r="237" spans="1:17" ht="15.75">
      <c r="A237" s="990"/>
      <c r="B237" s="202"/>
      <c r="C237" s="1099" t="s">
        <v>1131</v>
      </c>
      <c r="D237" s="42"/>
      <c r="E237" s="42"/>
      <c r="F237" s="42"/>
      <c r="G237" s="1100" t="s">
        <v>1132</v>
      </c>
      <c r="H237" s="1101">
        <v>245706.88999999926</v>
      </c>
      <c r="I237" s="1102">
        <f>H237</f>
        <v>245706.88999999926</v>
      </c>
      <c r="J237" s="1102"/>
      <c r="K237" s="863"/>
      <c r="L237" s="42"/>
      <c r="M237" s="1094"/>
      <c r="N237" s="2"/>
      <c r="O237" s="37"/>
      <c r="P237" s="2217">
        <v>2019</v>
      </c>
      <c r="Q237" s="2"/>
    </row>
    <row r="238" spans="1:17" ht="15.75">
      <c r="A238" s="990"/>
      <c r="B238" s="202"/>
      <c r="C238" s="1099" t="s">
        <v>1133</v>
      </c>
      <c r="D238" s="42"/>
      <c r="E238" s="42"/>
      <c r="F238" s="42"/>
      <c r="G238" s="1100" t="s">
        <v>1134</v>
      </c>
      <c r="H238" s="1101">
        <f>I238+J238</f>
        <v>3237297.4599999995</v>
      </c>
      <c r="I238" s="1102">
        <v>772370.55999999994</v>
      </c>
      <c r="J238" s="1102">
        <v>2464926.8999999994</v>
      </c>
      <c r="K238" s="863"/>
      <c r="L238" s="42"/>
      <c r="M238" s="1094"/>
      <c r="N238" s="2"/>
      <c r="O238" s="1032"/>
      <c r="P238" s="2217">
        <v>2019</v>
      </c>
      <c r="Q238" s="2"/>
    </row>
    <row r="239" spans="1:17" ht="15.75">
      <c r="A239" s="990">
        <f>+'Appendix A'!A130</f>
        <v>67</v>
      </c>
      <c r="B239" s="202"/>
      <c r="C239" s="1104" t="s">
        <v>115</v>
      </c>
      <c r="D239" s="85"/>
      <c r="E239" s="85"/>
      <c r="F239" s="85"/>
      <c r="G239" s="1105" t="s">
        <v>1135</v>
      </c>
      <c r="H239" s="1106">
        <f>SUM(H235:H238)</f>
        <v>8609542.8899999987</v>
      </c>
      <c r="I239" s="1107">
        <f>SUM(I235:I238)</f>
        <v>3486086.8299999991</v>
      </c>
      <c r="J239" s="1108">
        <f>SUM(J235:J238)</f>
        <v>5123456.0599999996</v>
      </c>
      <c r="K239" s="1098"/>
      <c r="L239" s="42"/>
      <c r="M239" s="1094"/>
      <c r="N239" s="2"/>
      <c r="O239" s="37"/>
      <c r="P239" s="2217">
        <v>2019</v>
      </c>
      <c r="Q239" s="2"/>
    </row>
    <row r="240" spans="1:17" ht="16.5" thickBot="1">
      <c r="A240" s="1109"/>
      <c r="B240" s="1016"/>
      <c r="C240" s="1017"/>
      <c r="D240" s="1110"/>
      <c r="E240" s="1110"/>
      <c r="F240" s="1019"/>
      <c r="G240" s="1037"/>
      <c r="H240" s="1111"/>
      <c r="I240" s="1022"/>
      <c r="J240" s="1022"/>
      <c r="K240" s="2443"/>
      <c r="L240" s="2443"/>
      <c r="M240" s="2444"/>
      <c r="N240" s="2"/>
      <c r="O240" s="37"/>
      <c r="P240" s="2215"/>
      <c r="Q240" s="2"/>
    </row>
    <row r="241" spans="1:17" ht="15.75">
      <c r="A241" s="37"/>
      <c r="B241" s="2"/>
      <c r="C241" s="2"/>
      <c r="D241" s="2"/>
      <c r="E241" s="2"/>
      <c r="F241" s="2"/>
      <c r="G241" s="2"/>
      <c r="H241" s="2"/>
      <c r="I241" s="2"/>
      <c r="J241" s="2"/>
      <c r="K241" s="2"/>
      <c r="L241" s="2"/>
      <c r="M241" s="2"/>
      <c r="N241" s="2"/>
      <c r="O241" s="37"/>
      <c r="P241" s="2215"/>
      <c r="Q241" s="2"/>
    </row>
    <row r="242" spans="1:17" ht="15.75">
      <c r="A242" s="37"/>
      <c r="B242" s="2"/>
      <c r="C242" s="2"/>
      <c r="D242" s="2"/>
      <c r="E242" s="2"/>
      <c r="F242" s="2"/>
      <c r="G242" s="2"/>
      <c r="H242" s="2"/>
      <c r="I242" s="2"/>
      <c r="J242" s="2"/>
      <c r="K242" s="2"/>
      <c r="L242" s="2"/>
      <c r="M242" s="2"/>
      <c r="N242" s="2"/>
      <c r="O242" s="37"/>
      <c r="P242" s="2215"/>
      <c r="Q242" s="2"/>
    </row>
    <row r="243" spans="1:17" ht="16.5" thickBot="1">
      <c r="A243" s="963" t="s">
        <v>1136</v>
      </c>
      <c r="B243" s="37"/>
      <c r="C243" s="37"/>
      <c r="D243" s="2"/>
      <c r="E243" s="2"/>
      <c r="F243" s="2"/>
      <c r="G243" s="2"/>
      <c r="H243" s="2"/>
      <c r="I243" s="2"/>
      <c r="J243" s="2"/>
      <c r="K243" s="2"/>
      <c r="L243" s="2"/>
      <c r="M243" s="2"/>
      <c r="N243" s="2"/>
      <c r="O243" s="37"/>
      <c r="P243" s="2215"/>
      <c r="Q243" s="2"/>
    </row>
    <row r="244" spans="1:17" ht="46.5">
      <c r="A244" s="2438" t="s">
        <v>1075</v>
      </c>
      <c r="B244" s="2439"/>
      <c r="C244" s="2439"/>
      <c r="D244" s="2439"/>
      <c r="E244" s="2439"/>
      <c r="F244" s="2439"/>
      <c r="G244" s="2440"/>
      <c r="H244" s="965" t="s">
        <v>1076</v>
      </c>
      <c r="I244" s="965" t="s">
        <v>1137</v>
      </c>
      <c r="J244" s="965" t="s">
        <v>1138</v>
      </c>
      <c r="K244" s="1024" t="s">
        <v>1085</v>
      </c>
      <c r="L244" s="1024"/>
      <c r="M244" s="1025"/>
      <c r="N244" s="2"/>
      <c r="O244" s="37"/>
      <c r="P244" s="2215"/>
      <c r="Q244" s="2"/>
    </row>
    <row r="245" spans="1:17" ht="15.75">
      <c r="A245" s="990"/>
      <c r="B245" s="202" t="s">
        <v>101</v>
      </c>
      <c r="C245" s="42"/>
      <c r="D245" s="40"/>
      <c r="E245" s="40"/>
      <c r="F245" s="203"/>
      <c r="G245" s="1077"/>
      <c r="H245" s="145"/>
      <c r="I245" s="189"/>
      <c r="J245" s="145"/>
      <c r="K245" s="145"/>
      <c r="L245" s="145"/>
      <c r="M245" s="1088"/>
      <c r="N245" s="2"/>
      <c r="O245" s="37"/>
      <c r="P245" s="2215"/>
      <c r="Q245" s="2"/>
    </row>
    <row r="246" spans="1:17" ht="15.75">
      <c r="A246" s="990">
        <f>+'Appendix A'!A131</f>
        <v>68</v>
      </c>
      <c r="B246" s="991"/>
      <c r="C246" s="158" t="str">
        <f>+'Appendix A'!C131</f>
        <v xml:space="preserve">General Advertising Exp Account 930.1 - Safety-related Advertising </v>
      </c>
      <c r="D246" s="40"/>
      <c r="E246" s="40"/>
      <c r="F246" s="992"/>
      <c r="G246" s="1112" t="s">
        <v>97</v>
      </c>
      <c r="H246" s="53">
        <f>INDEX(Inputs_EndYrBal,MATCH(G246,Inputs_FF1_Map,0))</f>
        <v>55028</v>
      </c>
      <c r="I246" s="1113">
        <v>0</v>
      </c>
      <c r="J246" s="1114">
        <f>H246-I246</f>
        <v>55028</v>
      </c>
      <c r="K246" s="1115" t="s">
        <v>1139</v>
      </c>
      <c r="L246" s="1115"/>
      <c r="M246" s="1094"/>
      <c r="N246" s="2"/>
      <c r="O246" s="1032"/>
      <c r="P246" s="2217">
        <v>2019</v>
      </c>
      <c r="Q246" s="2"/>
    </row>
    <row r="247" spans="1:17" ht="16.5" thickBot="1">
      <c r="A247" s="1015"/>
      <c r="B247" s="1016"/>
      <c r="C247" s="1116"/>
      <c r="D247" s="1018"/>
      <c r="E247" s="1018"/>
      <c r="F247" s="1117"/>
      <c r="G247" s="1037"/>
      <c r="H247" s="1118"/>
      <c r="I247" s="1118"/>
      <c r="J247" s="1118"/>
      <c r="K247" s="1119"/>
      <c r="L247" s="1119"/>
      <c r="M247" s="1120"/>
      <c r="N247" s="2"/>
      <c r="O247" s="37"/>
      <c r="P247" s="2215"/>
      <c r="Q247" s="2"/>
    </row>
    <row r="248" spans="1:17" ht="15.75">
      <c r="A248" s="217"/>
      <c r="B248" s="991"/>
      <c r="C248" s="158"/>
      <c r="D248" s="40"/>
      <c r="E248" s="40"/>
      <c r="F248" s="82"/>
      <c r="G248" s="158"/>
      <c r="H248" s="189"/>
      <c r="I248" s="189"/>
      <c r="J248" s="189"/>
      <c r="K248" s="1045"/>
      <c r="L248" s="43"/>
      <c r="M248" s="43"/>
      <c r="N248" s="2"/>
      <c r="O248" s="37"/>
      <c r="P248" s="2215"/>
      <c r="Q248" s="2"/>
    </row>
    <row r="249" spans="1:17" ht="15.75">
      <c r="A249" s="37"/>
      <c r="B249" s="2"/>
      <c r="C249" s="2"/>
      <c r="D249" s="2"/>
      <c r="E249" s="2"/>
      <c r="F249" s="2"/>
      <c r="G249" s="2"/>
      <c r="H249" s="2"/>
      <c r="I249" s="2"/>
      <c r="J249" s="2"/>
      <c r="K249" s="2"/>
      <c r="L249" s="2"/>
      <c r="M249" s="2"/>
      <c r="N249" s="2"/>
      <c r="O249" s="37"/>
      <c r="P249" s="2215"/>
      <c r="Q249" s="2"/>
    </row>
    <row r="250" spans="1:17" ht="16.5" thickBot="1">
      <c r="A250" s="963" t="s">
        <v>1140</v>
      </c>
      <c r="B250" s="37"/>
      <c r="C250" s="37"/>
      <c r="D250" s="2"/>
      <c r="E250" s="2"/>
      <c r="F250" s="2"/>
      <c r="G250" s="2"/>
      <c r="H250" s="2"/>
      <c r="I250" s="2"/>
      <c r="J250" s="2"/>
      <c r="K250" s="2"/>
      <c r="L250" s="2"/>
      <c r="M250" s="2"/>
      <c r="N250" s="2"/>
      <c r="O250" s="37"/>
      <c r="P250" s="2215"/>
      <c r="Q250" s="2"/>
    </row>
    <row r="251" spans="1:17" ht="61.5">
      <c r="A251" s="2438" t="s">
        <v>1075</v>
      </c>
      <c r="B251" s="2439"/>
      <c r="C251" s="2439"/>
      <c r="D251" s="2439"/>
      <c r="E251" s="2439"/>
      <c r="F251" s="2439"/>
      <c r="G251" s="2440"/>
      <c r="H251" s="965" t="s">
        <v>1076</v>
      </c>
      <c r="I251" s="965" t="s">
        <v>1141</v>
      </c>
      <c r="J251" s="965" t="s">
        <v>1142</v>
      </c>
      <c r="K251" s="2441" t="s">
        <v>1085</v>
      </c>
      <c r="L251" s="2441"/>
      <c r="M251" s="2442"/>
      <c r="N251" s="2"/>
      <c r="O251" s="37"/>
      <c r="P251" s="2215"/>
      <c r="Q251" s="2"/>
    </row>
    <row r="252" spans="1:17" ht="15.75">
      <c r="A252" s="990"/>
      <c r="B252" s="202" t="s">
        <v>101</v>
      </c>
      <c r="C252" s="42"/>
      <c r="D252" s="40"/>
      <c r="E252" s="40"/>
      <c r="F252" s="203"/>
      <c r="G252" s="1077"/>
      <c r="H252" s="145"/>
      <c r="I252" s="189"/>
      <c r="J252" s="145"/>
      <c r="K252" s="145"/>
      <c r="L252" s="145"/>
      <c r="M252" s="1088"/>
      <c r="N252" s="2"/>
      <c r="O252" s="37"/>
      <c r="P252" s="2215"/>
      <c r="Q252" s="2"/>
    </row>
    <row r="253" spans="1:17" ht="15.75">
      <c r="A253" s="990">
        <f>+'Appendix A'!A135</f>
        <v>71</v>
      </c>
      <c r="B253" s="991"/>
      <c r="C253" s="158" t="str">
        <f>+'Appendix A'!C135</f>
        <v xml:space="preserve">General Advertising Exp Account 930.1 - Education and Outreach </v>
      </c>
      <c r="D253" s="1121"/>
      <c r="E253" s="1121"/>
      <c r="F253" s="992"/>
      <c r="G253" s="1112" t="s">
        <v>97</v>
      </c>
      <c r="H253" s="53">
        <f>INDEX(Inputs_EndYrBal,MATCH(G253,Inputs_FF1_Map,0))</f>
        <v>55028</v>
      </c>
      <c r="I253" s="1113">
        <v>0</v>
      </c>
      <c r="J253" s="1122">
        <f>H253-I253</f>
        <v>55028</v>
      </c>
      <c r="K253" s="1123" t="str">
        <f>+K246</f>
        <v>Based on FERC 930.1 download</v>
      </c>
      <c r="L253" s="1123"/>
      <c r="M253" s="1088"/>
      <c r="N253" s="2"/>
      <c r="O253" s="1032"/>
      <c r="P253" s="2217">
        <v>2019</v>
      </c>
      <c r="Q253" s="2"/>
    </row>
    <row r="254" spans="1:17" ht="16.5" thickBot="1">
      <c r="A254" s="1015"/>
      <c r="B254" s="1016"/>
      <c r="C254" s="1116"/>
      <c r="D254" s="1124"/>
      <c r="E254" s="1124"/>
      <c r="F254" s="1117"/>
      <c r="G254" s="1037"/>
      <c r="H254" s="1125"/>
      <c r="I254" s="1118"/>
      <c r="J254" s="1125"/>
      <c r="K254" s="1126"/>
      <c r="L254" s="1126"/>
      <c r="M254" s="1127"/>
      <c r="N254" s="2"/>
      <c r="O254" s="37"/>
      <c r="P254" s="2215"/>
      <c r="Q254" s="2"/>
    </row>
    <row r="255" spans="1:17" ht="15.75">
      <c r="A255" s="37"/>
      <c r="B255" s="2"/>
      <c r="C255" s="2"/>
      <c r="D255" s="2"/>
      <c r="E255" s="2"/>
      <c r="F255" s="2"/>
      <c r="G255" s="2"/>
      <c r="H255" s="2"/>
      <c r="I255" s="2"/>
      <c r="J255" s="2"/>
      <c r="K255" s="2"/>
      <c r="L255" s="2"/>
      <c r="M255" s="2"/>
      <c r="N255" s="2"/>
      <c r="O255" s="37"/>
      <c r="P255" s="2215"/>
      <c r="Q255" s="2"/>
    </row>
    <row r="256" spans="1:17" ht="15.75">
      <c r="A256" s="37"/>
      <c r="B256" s="37"/>
      <c r="C256" s="37"/>
      <c r="D256" s="37"/>
      <c r="E256" s="37"/>
      <c r="F256" s="37"/>
      <c r="G256" s="37"/>
      <c r="H256" s="37"/>
      <c r="I256" s="37"/>
      <c r="J256" s="37"/>
      <c r="K256" s="37"/>
      <c r="L256" s="37"/>
      <c r="M256" s="37"/>
      <c r="N256" s="2"/>
      <c r="O256" s="2"/>
      <c r="P256" s="2215"/>
      <c r="Q256" s="2"/>
    </row>
    <row r="257" spans="1:17" ht="16.5" thickBot="1">
      <c r="A257" s="963" t="s">
        <v>1143</v>
      </c>
      <c r="B257" s="37"/>
      <c r="C257" s="37"/>
      <c r="D257" s="37"/>
      <c r="E257" s="37"/>
      <c r="F257" s="37"/>
      <c r="G257" s="37"/>
      <c r="H257" s="37"/>
      <c r="I257" s="37"/>
      <c r="J257" s="37"/>
      <c r="K257" s="37"/>
      <c r="L257" s="37"/>
      <c r="M257" s="37"/>
      <c r="N257" s="2"/>
      <c r="O257" s="2"/>
      <c r="P257" s="2215"/>
      <c r="Q257" s="2"/>
    </row>
    <row r="258" spans="1:17" ht="15.75">
      <c r="A258" s="2438" t="s">
        <v>1075</v>
      </c>
      <c r="B258" s="2439"/>
      <c r="C258" s="2439"/>
      <c r="D258" s="2439"/>
      <c r="E258" s="2439"/>
      <c r="F258" s="2439"/>
      <c r="G258" s="2440"/>
      <c r="H258" s="965"/>
      <c r="I258" s="1024" t="s">
        <v>1085</v>
      </c>
      <c r="J258" s="965"/>
      <c r="K258" s="965"/>
      <c r="L258" s="965"/>
      <c r="M258" s="1025"/>
      <c r="N258" s="2"/>
      <c r="O258" s="2"/>
      <c r="P258" s="2215"/>
      <c r="Q258" s="2"/>
    </row>
    <row r="259" spans="1:17" ht="15.75">
      <c r="A259" s="990" t="s">
        <v>179</v>
      </c>
      <c r="B259" s="1128" t="s">
        <v>180</v>
      </c>
      <c r="C259" s="40"/>
      <c r="D259" s="40"/>
      <c r="E259" s="40"/>
      <c r="F259" s="131"/>
      <c r="G259" s="976"/>
      <c r="H259" s="145"/>
      <c r="I259" s="145"/>
      <c r="J259" s="145"/>
      <c r="K259" s="145"/>
      <c r="L259" s="145"/>
      <c r="M259" s="1088"/>
      <c r="N259" s="2"/>
      <c r="O259" s="2"/>
      <c r="P259" s="2215"/>
      <c r="Q259" s="2"/>
    </row>
    <row r="260" spans="1:17" ht="15.75">
      <c r="A260" s="990">
        <f>+'Appendix A'!A228</f>
        <v>129</v>
      </c>
      <c r="B260" s="217"/>
      <c r="C260" s="158" t="str">
        <f>+'Appendix A'!C228</f>
        <v>SIT = State Income Tax Rate or Composite</v>
      </c>
      <c r="D260" s="37"/>
      <c r="E260" s="217" t="str">
        <f>'Appendix A'!E228</f>
        <v>(Note G)</v>
      </c>
      <c r="F260" s="37"/>
      <c r="G260" s="969"/>
      <c r="H260" s="1129">
        <f>Inputs!E92</f>
        <v>4.5400000000000003E-2</v>
      </c>
      <c r="I260" s="1130" t="s">
        <v>1144</v>
      </c>
      <c r="J260" s="144"/>
      <c r="K260" s="145"/>
      <c r="L260" s="60"/>
      <c r="M260" s="1001"/>
      <c r="N260" s="2"/>
      <c r="O260" s="2"/>
      <c r="P260" s="2216" t="s">
        <v>1079</v>
      </c>
      <c r="Q260" s="2"/>
    </row>
    <row r="261" spans="1:17" ht="16.5" thickBot="1">
      <c r="A261" s="1109"/>
      <c r="B261" s="1081"/>
      <c r="C261" s="1081"/>
      <c r="D261" s="1081"/>
      <c r="E261" s="1081"/>
      <c r="F261" s="1081"/>
      <c r="G261" s="1131"/>
      <c r="H261" s="1038"/>
      <c r="I261" s="1038"/>
      <c r="J261" s="1038"/>
      <c r="K261" s="1038"/>
      <c r="L261" s="1038"/>
      <c r="M261" s="1040"/>
      <c r="N261" s="2"/>
      <c r="O261" s="2"/>
      <c r="P261" s="2215"/>
      <c r="Q261" s="2"/>
    </row>
    <row r="262" spans="1:17" ht="15.75">
      <c r="A262" s="37"/>
      <c r="B262" s="37"/>
      <c r="C262" s="37"/>
      <c r="D262" s="37"/>
      <c r="E262" s="37"/>
      <c r="F262" s="37"/>
      <c r="G262" s="37"/>
      <c r="H262" s="37"/>
      <c r="I262" s="37"/>
      <c r="J262" s="37"/>
      <c r="K262" s="37"/>
      <c r="L262" s="37"/>
      <c r="M262" s="37"/>
      <c r="N262" s="2"/>
      <c r="O262" s="2"/>
      <c r="P262" s="2215"/>
      <c r="Q262" s="2"/>
    </row>
    <row r="263" spans="1:17" ht="15.75">
      <c r="A263" s="37"/>
      <c r="B263" s="2"/>
      <c r="C263" s="2"/>
      <c r="D263" s="2"/>
      <c r="E263" s="2"/>
      <c r="F263" s="2"/>
      <c r="G263" s="2"/>
      <c r="H263" s="2"/>
      <c r="I263" s="2"/>
      <c r="J263" s="2"/>
      <c r="K263" s="2"/>
      <c r="L263" s="2"/>
      <c r="M263" s="2"/>
      <c r="N263" s="2"/>
      <c r="O263" s="2"/>
      <c r="P263" s="2215"/>
      <c r="Q263" s="2"/>
    </row>
    <row r="264" spans="1:17" ht="16.5" thickBot="1">
      <c r="A264" s="1132" t="s">
        <v>1145</v>
      </c>
      <c r="B264" s="217"/>
      <c r="C264" s="217"/>
      <c r="D264" s="217"/>
      <c r="E264" s="217"/>
      <c r="F264" s="1133"/>
      <c r="G264" s="217"/>
      <c r="H264" s="145"/>
      <c r="I264" s="145"/>
      <c r="J264" s="145"/>
      <c r="K264" s="145"/>
      <c r="L264" s="1134"/>
      <c r="M264" s="145"/>
      <c r="N264" s="2"/>
      <c r="O264" s="217"/>
      <c r="P264" s="1135"/>
      <c r="Q264" s="158"/>
    </row>
    <row r="265" spans="1:17" ht="61.5">
      <c r="A265" s="2438" t="s">
        <v>1075</v>
      </c>
      <c r="B265" s="2439"/>
      <c r="C265" s="2439"/>
      <c r="D265" s="2439"/>
      <c r="E265" s="2439"/>
      <c r="F265" s="2439"/>
      <c r="G265" s="2440"/>
      <c r="H265" s="965" t="s">
        <v>115</v>
      </c>
      <c r="I265" s="965" t="s">
        <v>1146</v>
      </c>
      <c r="J265" s="965" t="s">
        <v>1124</v>
      </c>
      <c r="K265" s="2441" t="s">
        <v>1085</v>
      </c>
      <c r="L265" s="2441"/>
      <c r="M265" s="2442"/>
      <c r="N265" s="2"/>
      <c r="O265" s="217"/>
      <c r="P265" s="1135"/>
      <c r="Q265" s="158"/>
    </row>
    <row r="266" spans="1:17" ht="15.75">
      <c r="A266" s="990"/>
      <c r="B266" s="217"/>
      <c r="C266" s="158"/>
      <c r="D266" s="217"/>
      <c r="E266" s="217"/>
      <c r="F266" s="217"/>
      <c r="G266" s="998"/>
      <c r="H266" s="217"/>
      <c r="I266" s="217"/>
      <c r="J266" s="158"/>
      <c r="K266" s="217"/>
      <c r="L266" s="217"/>
      <c r="M266" s="1088"/>
      <c r="N266" s="217"/>
      <c r="O266" s="217"/>
      <c r="P266" s="1135"/>
      <c r="Q266" s="158"/>
    </row>
    <row r="267" spans="1:17" ht="15.75">
      <c r="A267" s="990">
        <f>'Appendix A'!A112</f>
        <v>53</v>
      </c>
      <c r="B267" s="217"/>
      <c r="C267" s="140" t="str">
        <f>'Appendix A'!C112</f>
        <v>Transmission O&amp;M</v>
      </c>
      <c r="D267" s="217"/>
      <c r="E267" s="217"/>
      <c r="F267" s="1133"/>
      <c r="G267" s="1136" t="s">
        <v>1147</v>
      </c>
      <c r="H267" s="53">
        <f>INDEX(Inputs_EndYrBal,MATCH(G267,Inputs_FF1_Map,0))</f>
        <v>218366626</v>
      </c>
      <c r="I267" s="129">
        <f>Inputs!E98+Inputs!E99+Inputs!E100</f>
        <v>-330740.33999999997</v>
      </c>
      <c r="J267" s="1137">
        <f>H267+I267</f>
        <v>218035885.66</v>
      </c>
      <c r="K267" s="115"/>
      <c r="L267" s="217"/>
      <c r="M267" s="1138"/>
      <c r="N267" s="217"/>
      <c r="O267" s="1139"/>
      <c r="P267" s="2216" t="s">
        <v>1079</v>
      </c>
      <c r="Q267" s="158"/>
    </row>
    <row r="268" spans="1:17" ht="15.75">
      <c r="A268" s="990"/>
      <c r="B268" s="217"/>
      <c r="C268" s="158"/>
      <c r="D268" s="217"/>
      <c r="E268" s="217"/>
      <c r="F268" s="1133"/>
      <c r="G268" s="1140"/>
      <c r="H268" s="83"/>
      <c r="I268" s="1007"/>
      <c r="J268" s="146"/>
      <c r="K268" s="115"/>
      <c r="L268" s="217"/>
      <c r="M268" s="1138"/>
      <c r="N268" s="217"/>
      <c r="O268" s="1139"/>
      <c r="P268" s="2216" t="s">
        <v>1079</v>
      </c>
      <c r="Q268" s="158"/>
    </row>
    <row r="269" spans="1:17" ht="15.75">
      <c r="A269" s="990"/>
      <c r="B269" s="217"/>
      <c r="C269" s="202" t="s">
        <v>1148</v>
      </c>
      <c r="D269" s="217"/>
      <c r="E269" s="217"/>
      <c r="F269" s="1133"/>
      <c r="G269" s="1140"/>
      <c r="H269" s="83"/>
      <c r="I269" s="1007"/>
      <c r="J269" s="146"/>
      <c r="K269" s="115"/>
      <c r="L269" s="217"/>
      <c r="M269" s="1138"/>
      <c r="N269" s="217"/>
      <c r="O269" s="1139"/>
      <c r="P269" s="2216" t="s">
        <v>1079</v>
      </c>
      <c r="Q269" s="158"/>
    </row>
    <row r="270" spans="1:17" ht="15.75">
      <c r="A270" s="990"/>
      <c r="B270" s="217"/>
      <c r="C270" s="1061" t="s">
        <v>1149</v>
      </c>
      <c r="D270" s="217"/>
      <c r="E270" s="217"/>
      <c r="F270" s="1133"/>
      <c r="G270" s="1136" t="s">
        <v>1150</v>
      </c>
      <c r="H270" s="53">
        <f t="shared" ref="H270:H275" si="13">INDEX(Inputs_EndYrBal,MATCH(G270,Inputs_FF1_Map,0))</f>
        <v>0</v>
      </c>
      <c r="I270" s="1007"/>
      <c r="J270" s="146"/>
      <c r="K270" s="115"/>
      <c r="L270" s="217"/>
      <c r="M270" s="1138"/>
      <c r="N270" s="217"/>
      <c r="O270" s="1139"/>
      <c r="P270" s="2216" t="s">
        <v>1079</v>
      </c>
      <c r="Q270" s="158"/>
    </row>
    <row r="271" spans="1:17" ht="15.75">
      <c r="A271" s="990"/>
      <c r="B271" s="217"/>
      <c r="C271" s="1061" t="s">
        <v>291</v>
      </c>
      <c r="D271" s="217"/>
      <c r="E271" s="217"/>
      <c r="F271" s="1133"/>
      <c r="G271" s="1136" t="s">
        <v>292</v>
      </c>
      <c r="H271" s="53">
        <f t="shared" si="13"/>
        <v>0</v>
      </c>
      <c r="I271" s="1007"/>
      <c r="J271" s="146"/>
      <c r="K271" s="115"/>
      <c r="L271" s="217"/>
      <c r="M271" s="1138"/>
      <c r="N271" s="217"/>
      <c r="O271" s="1139"/>
      <c r="P271" s="2216" t="s">
        <v>1079</v>
      </c>
      <c r="Q271" s="158"/>
    </row>
    <row r="272" spans="1:17" ht="15.75">
      <c r="A272" s="990"/>
      <c r="B272" s="217"/>
      <c r="C272" s="1061" t="s">
        <v>293</v>
      </c>
      <c r="D272" s="217"/>
      <c r="E272" s="217"/>
      <c r="F272" s="1133"/>
      <c r="G272" s="1136" t="s">
        <v>294</v>
      </c>
      <c r="H272" s="53">
        <f>INDEX(Inputs_EndYrBal,MATCH(G272,Inputs_FF1_Map,0))</f>
        <v>7813567</v>
      </c>
      <c r="I272" s="1007"/>
      <c r="J272" s="146"/>
      <c r="K272" s="115"/>
      <c r="L272" s="217"/>
      <c r="M272" s="1138"/>
      <c r="N272" s="217"/>
      <c r="O272" s="1139"/>
      <c r="P272" s="2216" t="s">
        <v>1079</v>
      </c>
      <c r="Q272" s="158"/>
    </row>
    <row r="273" spans="1:17" ht="15.75">
      <c r="A273" s="990"/>
      <c r="B273" s="217"/>
      <c r="C273" s="1061" t="s">
        <v>295</v>
      </c>
      <c r="D273" s="217"/>
      <c r="E273" s="217"/>
      <c r="F273" s="1133"/>
      <c r="G273" s="1136" t="s">
        <v>296</v>
      </c>
      <c r="H273" s="53">
        <f t="shared" si="13"/>
        <v>0</v>
      </c>
      <c r="I273" s="1007"/>
      <c r="J273" s="146"/>
      <c r="K273" s="115"/>
      <c r="L273" s="217"/>
      <c r="M273" s="1138"/>
      <c r="N273" s="217"/>
      <c r="O273" s="1139"/>
      <c r="P273" s="2216" t="s">
        <v>1079</v>
      </c>
      <c r="Q273" s="158"/>
    </row>
    <row r="274" spans="1:17" ht="15.75">
      <c r="A274" s="990"/>
      <c r="B274" s="217"/>
      <c r="C274" s="1061" t="s">
        <v>297</v>
      </c>
      <c r="D274" s="217"/>
      <c r="E274" s="217"/>
      <c r="F274" s="1133"/>
      <c r="G274" s="1136" t="s">
        <v>298</v>
      </c>
      <c r="H274" s="53">
        <f t="shared" si="13"/>
        <v>1250888</v>
      </c>
      <c r="I274" s="1007"/>
      <c r="J274" s="146"/>
      <c r="K274" s="115"/>
      <c r="L274" s="217"/>
      <c r="M274" s="1138"/>
      <c r="N274" s="217"/>
      <c r="O274" s="1139"/>
      <c r="P274" s="2216" t="s">
        <v>1079</v>
      </c>
      <c r="Q274" s="158"/>
    </row>
    <row r="275" spans="1:17" ht="15.75">
      <c r="A275" s="990"/>
      <c r="B275" s="217"/>
      <c r="C275" s="1061" t="s">
        <v>299</v>
      </c>
      <c r="D275" s="217"/>
      <c r="E275" s="217"/>
      <c r="F275" s="1133"/>
      <c r="G275" s="1136" t="s">
        <v>300</v>
      </c>
      <c r="H275" s="53">
        <f t="shared" si="13"/>
        <v>1962101</v>
      </c>
      <c r="I275" s="1007"/>
      <c r="J275" s="146"/>
      <c r="K275" s="115"/>
      <c r="L275" s="217"/>
      <c r="M275" s="1138"/>
      <c r="N275" s="217"/>
      <c r="O275" s="1139"/>
      <c r="P275" s="2216" t="s">
        <v>1079</v>
      </c>
      <c r="Q275" s="158"/>
    </row>
    <row r="276" spans="1:17" ht="15.75">
      <c r="A276" s="990">
        <f>'Appendix A'!A113</f>
        <v>54</v>
      </c>
      <c r="B276" s="217"/>
      <c r="C276" s="140" t="str">
        <f>'Appendix A'!C113</f>
        <v xml:space="preserve">     Less: Cost of Providing Ancillary Services Accounts 561.0-5</v>
      </c>
      <c r="D276" s="217"/>
      <c r="E276" s="217"/>
      <c r="F276" s="1133"/>
      <c r="G276" s="1141" t="s">
        <v>1135</v>
      </c>
      <c r="H276" s="66">
        <f>SUM(H270:H275)</f>
        <v>11026556</v>
      </c>
      <c r="I276" s="1142">
        <v>0</v>
      </c>
      <c r="J276" s="1137">
        <f>H276-I276</f>
        <v>11026556</v>
      </c>
      <c r="K276" s="115" t="s">
        <v>1148</v>
      </c>
      <c r="L276" s="217"/>
      <c r="M276" s="1138"/>
      <c r="N276" s="217"/>
      <c r="O276" s="1139"/>
      <c r="P276" s="2216" t="s">
        <v>1079</v>
      </c>
      <c r="Q276" s="158"/>
    </row>
    <row r="277" spans="1:17" ht="15.75">
      <c r="A277" s="990"/>
      <c r="B277" s="217"/>
      <c r="C277" s="158"/>
      <c r="D277" s="217"/>
      <c r="E277" s="217"/>
      <c r="F277" s="1133"/>
      <c r="G277" s="1140"/>
      <c r="H277" s="83"/>
      <c r="I277" s="1007"/>
      <c r="J277" s="146"/>
      <c r="K277" s="115"/>
      <c r="L277" s="217"/>
      <c r="M277" s="1138"/>
      <c r="N277" s="217"/>
      <c r="O277" s="1139"/>
      <c r="P277" s="2216" t="s">
        <v>1079</v>
      </c>
      <c r="Q277" s="158"/>
    </row>
    <row r="278" spans="1:17" ht="15.75">
      <c r="A278" s="990">
        <f>'Appendix A'!A114</f>
        <v>55</v>
      </c>
      <c r="B278" s="217"/>
      <c r="C278" s="140" t="str">
        <f>'Appendix A'!C114</f>
        <v xml:space="preserve">     Less: Account 565</v>
      </c>
      <c r="D278" s="217"/>
      <c r="E278" s="217"/>
      <c r="F278" s="1133"/>
      <c r="G278" s="1112" t="s">
        <v>1151</v>
      </c>
      <c r="H278" s="53">
        <f>INDEX(Inputs_EndYrBal,MATCH(G278,Inputs_FF1_Map,0))</f>
        <v>145825268</v>
      </c>
      <c r="I278" s="129">
        <v>0</v>
      </c>
      <c r="J278" s="1137">
        <f>H278+I278</f>
        <v>145825268</v>
      </c>
      <c r="K278" s="115"/>
      <c r="L278" s="217"/>
      <c r="M278" s="1138"/>
      <c r="N278" s="217"/>
      <c r="O278" s="217"/>
      <c r="P278" s="2216" t="s">
        <v>1079</v>
      </c>
      <c r="Q278" s="158"/>
    </row>
    <row r="279" spans="1:17" ht="16.5" thickBot="1">
      <c r="A279" s="1015"/>
      <c r="B279" s="1080"/>
      <c r="C279" s="1080"/>
      <c r="D279" s="1080"/>
      <c r="E279" s="1080"/>
      <c r="F279" s="1019"/>
      <c r="G279" s="1143"/>
      <c r="H279" s="1081"/>
      <c r="I279" s="1081"/>
      <c r="J279" s="1081"/>
      <c r="K279" s="1081"/>
      <c r="L279" s="1144"/>
      <c r="M279" s="1131"/>
      <c r="N279" s="217"/>
      <c r="O279" s="217"/>
      <c r="P279" s="1135"/>
      <c r="Q279" s="158"/>
    </row>
    <row r="280" spans="1:17" ht="15.75">
      <c r="A280" s="217"/>
      <c r="B280" s="217"/>
      <c r="C280" s="217"/>
      <c r="D280" s="217"/>
      <c r="E280" s="217"/>
      <c r="F280" s="1133"/>
      <c r="G280" s="217"/>
      <c r="H280" s="145"/>
      <c r="I280" s="145"/>
      <c r="J280" s="145"/>
      <c r="K280" s="145"/>
      <c r="L280" s="1134"/>
      <c r="M280" s="145"/>
      <c r="N280" s="217"/>
      <c r="O280" s="217"/>
      <c r="P280" s="1135"/>
      <c r="Q280" s="158"/>
    </row>
    <row r="281" spans="1:17" ht="15.75">
      <c r="A281" s="217"/>
      <c r="B281" s="217"/>
      <c r="C281" s="217"/>
      <c r="D281" s="217"/>
      <c r="E281" s="217"/>
      <c r="F281" s="1133"/>
      <c r="G281" s="217"/>
      <c r="H281" s="145"/>
      <c r="I281" s="145"/>
      <c r="J281" s="145"/>
      <c r="K281" s="145"/>
      <c r="L281" s="1134"/>
      <c r="M281" s="145"/>
      <c r="N281" s="217"/>
      <c r="O281" s="217"/>
      <c r="P281" s="1135"/>
      <c r="Q281" s="158"/>
    </row>
    <row r="282" spans="1:17" ht="16.5" thickBot="1">
      <c r="A282" s="963" t="str">
        <f>'Appendix A'!C287</f>
        <v xml:space="preserve">Facility Credits under Section 30.9 of the OATT </v>
      </c>
      <c r="B282" s="2"/>
      <c r="C282" s="2"/>
      <c r="D282" s="2"/>
      <c r="E282" s="2"/>
      <c r="F282" s="2"/>
      <c r="G282" s="2"/>
      <c r="H282" s="2"/>
      <c r="I282" s="2"/>
      <c r="J282" s="2"/>
      <c r="K282" s="2"/>
      <c r="L282" s="2"/>
      <c r="M282" s="2"/>
      <c r="N282" s="2"/>
      <c r="O282" s="2"/>
      <c r="P282" s="2215"/>
      <c r="Q282" s="2"/>
    </row>
    <row r="283" spans="1:17" ht="15.75">
      <c r="A283" s="2438" t="s">
        <v>1152</v>
      </c>
      <c r="B283" s="2439"/>
      <c r="C283" s="2439"/>
      <c r="D283" s="2439"/>
      <c r="E283" s="2439"/>
      <c r="F283" s="2439"/>
      <c r="G283" s="2440"/>
      <c r="H283" s="965" t="s">
        <v>290</v>
      </c>
      <c r="I283" s="937" t="s">
        <v>1153</v>
      </c>
      <c r="J283" s="1024"/>
      <c r="K283" s="1024"/>
      <c r="L283" s="1024"/>
      <c r="M283" s="1025"/>
      <c r="N283" s="2"/>
      <c r="O283" s="2"/>
      <c r="P283" s="2215"/>
      <c r="Q283" s="2"/>
    </row>
    <row r="284" spans="1:17" ht="15.75">
      <c r="A284" s="990"/>
      <c r="B284" s="310" t="str">
        <f>'Appendix A'!C286</f>
        <v>Net Revenue Requirement</v>
      </c>
      <c r="C284" s="42"/>
      <c r="D284" s="42"/>
      <c r="E284" s="42"/>
      <c r="F284" s="60"/>
      <c r="G284" s="1077"/>
      <c r="H284" s="145"/>
      <c r="I284" s="145"/>
      <c r="J284" s="145"/>
      <c r="K284" s="145"/>
      <c r="L284" s="145"/>
      <c r="M284" s="1088"/>
      <c r="N284" s="2"/>
      <c r="O284" s="2"/>
      <c r="P284" s="2215"/>
      <c r="Q284" s="2"/>
    </row>
    <row r="285" spans="1:17" ht="15.75">
      <c r="A285" s="990">
        <f>'Appendix A'!A287</f>
        <v>166</v>
      </c>
      <c r="B285" s="263"/>
      <c r="C285" s="40" t="str">
        <f>+'Appendix A'!C287</f>
        <v xml:space="preserve">Facility Credits under Section 30.9 of the OATT </v>
      </c>
      <c r="D285" s="40"/>
      <c r="E285" s="40"/>
      <c r="F285" s="217"/>
      <c r="G285" s="998"/>
      <c r="H285" s="1145">
        <f>Inputs!E88</f>
        <v>0</v>
      </c>
      <c r="I285" s="2" t="s">
        <v>1117</v>
      </c>
      <c r="J285" s="1146"/>
      <c r="K285" s="1146"/>
      <c r="L285" s="1146"/>
      <c r="M285" s="1147"/>
      <c r="N285" s="2"/>
      <c r="O285" s="2"/>
      <c r="P285" s="2216" t="s">
        <v>1079</v>
      </c>
      <c r="Q285" s="2"/>
    </row>
    <row r="286" spans="1:17" ht="15.75">
      <c r="A286" s="990">
        <f>'Appendix A'!A289</f>
        <v>168</v>
      </c>
      <c r="B286" s="263"/>
      <c r="C286" s="40" t="str">
        <f>'Appendix A'!C289</f>
        <v>Interest on Network Upgrade Facilities</v>
      </c>
      <c r="D286" s="40"/>
      <c r="E286" s="40"/>
      <c r="F286" s="217"/>
      <c r="G286" s="998"/>
      <c r="H286" s="1145">
        <f>Inputs!$E$89</f>
        <v>2410364.63</v>
      </c>
      <c r="I286" s="2" t="s">
        <v>1117</v>
      </c>
      <c r="J286" s="1146"/>
      <c r="K286" s="1146"/>
      <c r="L286" s="1146"/>
      <c r="M286" s="1147"/>
      <c r="N286" s="2"/>
      <c r="O286" s="2"/>
      <c r="P286" s="2216" t="s">
        <v>1079</v>
      </c>
      <c r="Q286" s="2"/>
    </row>
    <row r="287" spans="1:17" ht="16.5" thickBot="1">
      <c r="A287" s="1015"/>
      <c r="B287" s="1148"/>
      <c r="C287" s="1018"/>
      <c r="D287" s="1018"/>
      <c r="E287" s="1018"/>
      <c r="F287" s="1080"/>
      <c r="G287" s="1143"/>
      <c r="H287" s="1149"/>
      <c r="I287" s="1150"/>
      <c r="J287" s="1150"/>
      <c r="K287" s="1150"/>
      <c r="L287" s="1150"/>
      <c r="M287" s="1151"/>
      <c r="N287" s="2"/>
      <c r="O287" s="2"/>
      <c r="P287" s="2215"/>
      <c r="Q287" s="2"/>
    </row>
    <row r="288" spans="1:17" ht="15.75">
      <c r="A288" s="217"/>
      <c r="B288" s="217"/>
      <c r="C288" s="217"/>
      <c r="D288" s="217"/>
      <c r="E288" s="217"/>
      <c r="F288" s="1133"/>
      <c r="G288" s="217"/>
      <c r="H288" s="145"/>
      <c r="I288" s="145"/>
      <c r="J288" s="145"/>
      <c r="K288" s="145"/>
      <c r="L288" s="1134"/>
      <c r="M288" s="145"/>
      <c r="N288" s="217"/>
      <c r="O288" s="217"/>
      <c r="P288" s="1135"/>
      <c r="Q288" s="158"/>
    </row>
    <row r="289" spans="1:17" ht="15.75">
      <c r="A289" s="217"/>
      <c r="B289" s="217"/>
      <c r="C289" s="217"/>
      <c r="D289" s="217"/>
      <c r="E289" s="217"/>
      <c r="F289" s="1133"/>
      <c r="G289" s="217"/>
      <c r="H289" s="145"/>
      <c r="I289" s="145"/>
      <c r="J289" s="145"/>
      <c r="K289" s="145"/>
      <c r="L289" s="1134"/>
      <c r="M289" s="145"/>
      <c r="N289" s="217"/>
      <c r="O289" s="217"/>
      <c r="P289" s="1135"/>
      <c r="Q289" s="158"/>
    </row>
    <row r="290" spans="1:17" ht="16.5" thickBot="1">
      <c r="A290" s="963" t="s">
        <v>1154</v>
      </c>
      <c r="B290" s="2"/>
      <c r="C290" s="2"/>
      <c r="D290" s="2"/>
      <c r="E290" s="2"/>
      <c r="F290" s="2"/>
      <c r="G290" s="2"/>
      <c r="H290" s="2"/>
      <c r="I290" s="2"/>
      <c r="J290" s="2"/>
      <c r="K290" s="2"/>
      <c r="L290" s="2"/>
      <c r="M290" s="2"/>
      <c r="N290" s="2"/>
      <c r="O290" s="2"/>
      <c r="P290" s="2215"/>
      <c r="Q290" s="2"/>
    </row>
    <row r="291" spans="1:17" ht="15.75">
      <c r="A291" s="1152" t="s">
        <v>1075</v>
      </c>
      <c r="B291" s="937"/>
      <c r="C291" s="937"/>
      <c r="D291" s="937"/>
      <c r="E291" s="937"/>
      <c r="F291" s="937"/>
      <c r="G291" s="966"/>
      <c r="H291" s="965" t="s">
        <v>290</v>
      </c>
      <c r="I291" s="937"/>
      <c r="J291" s="937"/>
      <c r="K291" s="937"/>
      <c r="L291" s="937"/>
      <c r="M291" s="966"/>
      <c r="N291" s="2"/>
      <c r="O291" s="2"/>
      <c r="P291" s="2215"/>
      <c r="Q291" s="2"/>
    </row>
    <row r="292" spans="1:17" ht="15.75">
      <c r="A292" s="990"/>
      <c r="B292" s="202" t="str">
        <f>'Appendix A'!B102</f>
        <v>Network Upgrade Balance</v>
      </c>
      <c r="C292" s="42"/>
      <c r="D292" s="40"/>
      <c r="E292" s="40"/>
      <c r="F292" s="203"/>
      <c r="G292" s="1077"/>
      <c r="H292" s="145"/>
      <c r="I292" s="145"/>
      <c r="J292" s="145"/>
      <c r="K292" s="145"/>
      <c r="L292" s="145"/>
      <c r="M292" s="1088"/>
      <c r="N292" s="2"/>
      <c r="O292" s="2"/>
      <c r="P292" s="2215"/>
      <c r="Q292" s="2"/>
    </row>
    <row r="293" spans="1:17" ht="15.75">
      <c r="A293" s="990"/>
      <c r="B293" s="991"/>
      <c r="C293" s="260"/>
      <c r="D293" s="40"/>
      <c r="E293" s="40"/>
      <c r="F293" s="308" t="s">
        <v>1077</v>
      </c>
      <c r="G293" s="969" t="s">
        <v>1155</v>
      </c>
      <c r="H293" s="1153">
        <f>-Inputs!D90</f>
        <v>-19216247.690000001</v>
      </c>
      <c r="I293" s="40"/>
      <c r="J293" s="40"/>
      <c r="K293" s="40"/>
      <c r="L293" s="145"/>
      <c r="M293" s="1001"/>
      <c r="N293" s="2"/>
      <c r="O293" s="2"/>
      <c r="P293" s="2216" t="s">
        <v>1079</v>
      </c>
      <c r="Q293" s="2"/>
    </row>
    <row r="294" spans="1:17" ht="15.75">
      <c r="A294" s="990"/>
      <c r="B294" s="991"/>
      <c r="C294" s="260"/>
      <c r="D294" s="40"/>
      <c r="E294" s="40"/>
      <c r="F294" s="308" t="s">
        <v>1080</v>
      </c>
      <c r="G294" s="969" t="s">
        <v>1155</v>
      </c>
      <c r="H294" s="1153">
        <f>-Inputs!E90</f>
        <v>-88187062.270000011</v>
      </c>
      <c r="I294" s="40"/>
      <c r="J294" s="40"/>
      <c r="K294" s="40"/>
      <c r="L294" s="145"/>
      <c r="M294" s="1001"/>
      <c r="N294" s="2"/>
      <c r="O294" s="2"/>
      <c r="P294" s="2216" t="s">
        <v>1079</v>
      </c>
      <c r="Q294" s="2"/>
    </row>
    <row r="295" spans="1:17" ht="15.75">
      <c r="A295" s="990">
        <f>'Appendix A'!A103</f>
        <v>50</v>
      </c>
      <c r="B295" s="991"/>
      <c r="C295" s="260" t="str">
        <f>'Appendix A'!C103</f>
        <v>Network Upgrade Balance</v>
      </c>
      <c r="D295" s="2"/>
      <c r="E295" s="144" t="str">
        <f>'Appendix A'!E103</f>
        <v>(Note N)</v>
      </c>
      <c r="F295" s="1154" t="s">
        <v>1034</v>
      </c>
      <c r="G295" s="1034" t="str">
        <f>Toggle</f>
        <v>True-Up</v>
      </c>
      <c r="H295" s="974">
        <f>IF(Toggle=Projection,H294,IF(Toggle=True_up,AVERAGE(H293:H294),"Set Toggle!"))</f>
        <v>-53701654.980000004</v>
      </c>
      <c r="I295" s="880" t="str">
        <f>IF(Toggle=Projection,"current end-of-year balance",IF(Toggle=True_up,"beg-of-year and end-of-year average ","Set Toggle!"))</f>
        <v xml:space="preserve">beg-of-year and end-of-year average </v>
      </c>
      <c r="J295" s="1048"/>
      <c r="K295" s="1048"/>
      <c r="L295" s="40"/>
      <c r="M295" s="1001"/>
      <c r="N295" s="2"/>
      <c r="O295" s="2"/>
      <c r="P295" s="2215"/>
      <c r="Q295" s="2"/>
    </row>
    <row r="296" spans="1:17" ht="16.5" thickBot="1">
      <c r="A296" s="1015"/>
      <c r="B296" s="1016"/>
      <c r="C296" s="1116"/>
      <c r="D296" s="1018"/>
      <c r="E296" s="1018"/>
      <c r="F296" s="1117"/>
      <c r="G296" s="1037"/>
      <c r="H296" s="1155"/>
      <c r="I296" s="1150"/>
      <c r="J296" s="1150"/>
      <c r="K296" s="1150"/>
      <c r="L296" s="1150"/>
      <c r="M296" s="1151"/>
      <c r="N296" s="2"/>
      <c r="O296" s="2"/>
      <c r="P296" s="2215"/>
      <c r="Q296" s="2"/>
    </row>
    <row r="297" spans="1:17" ht="15.75">
      <c r="A297" s="217"/>
      <c r="B297" s="991"/>
      <c r="C297" s="158"/>
      <c r="D297" s="40"/>
      <c r="E297" s="40"/>
      <c r="F297" s="82"/>
      <c r="G297" s="158"/>
      <c r="H297" s="189"/>
      <c r="I297" s="189"/>
      <c r="J297" s="189"/>
      <c r="K297" s="1045"/>
      <c r="L297" s="43"/>
      <c r="M297" s="43"/>
      <c r="N297" s="2"/>
      <c r="O297" s="2"/>
      <c r="P297" s="2215"/>
      <c r="Q297" s="2"/>
    </row>
    <row r="298" spans="1:17" ht="15.75">
      <c r="A298" s="37"/>
      <c r="B298" s="2"/>
      <c r="C298" s="2"/>
      <c r="D298" s="2"/>
      <c r="E298" s="2"/>
      <c r="F298" s="2"/>
      <c r="G298" s="2"/>
      <c r="H298" s="2"/>
      <c r="I298" s="2"/>
      <c r="J298" s="2"/>
      <c r="K298" s="2"/>
      <c r="L298" s="2"/>
      <c r="M298" s="2"/>
      <c r="N298" s="2"/>
      <c r="O298" s="2"/>
      <c r="P298" s="2215"/>
      <c r="Q298" s="2"/>
    </row>
    <row r="299" spans="1:17" ht="16.5" thickBot="1">
      <c r="A299" s="963" t="s">
        <v>111</v>
      </c>
      <c r="B299" s="2"/>
      <c r="C299" s="2"/>
      <c r="D299" s="2"/>
      <c r="E299" s="2"/>
      <c r="F299" s="2"/>
      <c r="G299" s="2"/>
      <c r="H299" s="2"/>
      <c r="I299" s="1038"/>
      <c r="J299" s="1038"/>
      <c r="K299" s="1038"/>
      <c r="L299" s="1038"/>
      <c r="M299" s="2"/>
      <c r="N299" s="2"/>
      <c r="O299" s="2"/>
      <c r="P299" s="2215"/>
      <c r="Q299" s="2"/>
    </row>
    <row r="300" spans="1:17" ht="15.75">
      <c r="A300" s="1156" t="s">
        <v>1075</v>
      </c>
      <c r="B300" s="937"/>
      <c r="C300" s="937"/>
      <c r="D300" s="937"/>
      <c r="E300" s="937"/>
      <c r="F300" s="937"/>
      <c r="G300" s="966"/>
      <c r="H300" s="965" t="s">
        <v>115</v>
      </c>
      <c r="I300" s="937"/>
      <c r="J300" s="937"/>
      <c r="K300" s="937"/>
      <c r="L300" s="937"/>
      <c r="M300" s="966"/>
      <c r="N300" s="2"/>
      <c r="O300" s="2"/>
      <c r="P300" s="2215"/>
      <c r="Q300" s="2"/>
    </row>
    <row r="301" spans="1:17" ht="15.75">
      <c r="A301" s="997"/>
      <c r="B301" s="145"/>
      <c r="C301" s="145"/>
      <c r="D301" s="145"/>
      <c r="E301" s="145"/>
      <c r="F301" s="145"/>
      <c r="G301" s="145"/>
      <c r="H301" s="1041"/>
      <c r="I301" s="145"/>
      <c r="J301" s="145"/>
      <c r="K301" s="145"/>
      <c r="L301" s="145"/>
      <c r="M301" s="1088"/>
      <c r="N301" s="2"/>
      <c r="O301" s="2"/>
      <c r="P301" s="2215"/>
      <c r="Q301" s="2"/>
    </row>
    <row r="302" spans="1:17" ht="15.75">
      <c r="A302" s="997"/>
      <c r="B302" s="190" t="s">
        <v>1156</v>
      </c>
      <c r="C302" s="145"/>
      <c r="D302" s="145"/>
      <c r="E302" s="145"/>
      <c r="F302" s="145"/>
      <c r="G302" s="145"/>
      <c r="H302" s="1041"/>
      <c r="I302" s="145"/>
      <c r="J302" s="145"/>
      <c r="K302" s="145"/>
      <c r="L302" s="145"/>
      <c r="M302" s="1088"/>
      <c r="N302" s="2"/>
      <c r="O302" s="2"/>
      <c r="P302" s="2216" t="s">
        <v>1079</v>
      </c>
      <c r="Q302" s="2"/>
    </row>
    <row r="303" spans="1:17" ht="15.75">
      <c r="A303" s="997"/>
      <c r="B303" s="145"/>
      <c r="C303" s="145" t="s">
        <v>1157</v>
      </c>
      <c r="D303" s="145"/>
      <c r="E303" s="60" t="str">
        <f>'Appendix A'!$E$214</f>
        <v>(Note H)</v>
      </c>
      <c r="F303" s="145"/>
      <c r="G303" s="1157" t="s">
        <v>1158</v>
      </c>
      <c r="H303" s="1158">
        <f>INDEX(Inputs!$E$48:$E$82,MATCH(G303,Inputs!$F$48:$F$82,0))</f>
        <v>112507659</v>
      </c>
      <c r="I303" s="145"/>
      <c r="J303" s="145"/>
      <c r="K303" s="145"/>
      <c r="L303" s="145"/>
      <c r="M303" s="1088"/>
      <c r="N303" s="2"/>
      <c r="O303" s="2"/>
      <c r="P303" s="2216" t="s">
        <v>1079</v>
      </c>
      <c r="Q303" s="2"/>
    </row>
    <row r="304" spans="1:17" ht="15.75">
      <c r="A304" s="997"/>
      <c r="B304" s="145"/>
      <c r="C304" s="145" t="s">
        <v>1159</v>
      </c>
      <c r="D304" s="145"/>
      <c r="E304" s="60" t="str">
        <f>'Appendix A'!$E$214</f>
        <v>(Note H)</v>
      </c>
      <c r="F304" s="145"/>
      <c r="G304" s="1157" t="s">
        <v>1160</v>
      </c>
      <c r="H304" s="1158">
        <f>INDEX(Inputs!$E$48:$E$82,MATCH(G304,Inputs!$F$48:$F$82,0))</f>
        <v>0</v>
      </c>
      <c r="I304" s="145"/>
      <c r="J304" s="145"/>
      <c r="K304" s="145"/>
      <c r="L304" s="145"/>
      <c r="M304" s="1088"/>
      <c r="N304" s="2"/>
      <c r="O304" s="2"/>
      <c r="P304" s="2216" t="s">
        <v>1079</v>
      </c>
      <c r="Q304" s="2"/>
    </row>
    <row r="305" spans="1:17" ht="15.75">
      <c r="A305" s="997">
        <f>'Appendix A'!A145</f>
        <v>76</v>
      </c>
      <c r="B305" s="145"/>
      <c r="C305" s="1159" t="str">
        <f>'Appendix A'!C145</f>
        <v>Transmission Depreciation Expense Including Amortization of Limited Term Plant</v>
      </c>
      <c r="D305" s="111"/>
      <c r="E305" s="111" t="str">
        <f>'Appendix A'!$E$214</f>
        <v>(Note H)</v>
      </c>
      <c r="F305" s="87"/>
      <c r="G305" s="1160" t="s">
        <v>1135</v>
      </c>
      <c r="H305" s="1161">
        <f>SUM(H303:H304)</f>
        <v>112507659</v>
      </c>
      <c r="I305" s="2" t="s">
        <v>1117</v>
      </c>
      <c r="J305" s="145"/>
      <c r="K305" s="145"/>
      <c r="L305" s="145"/>
      <c r="M305" s="1088"/>
      <c r="N305" s="2"/>
      <c r="O305" s="2"/>
      <c r="P305" s="2216" t="s">
        <v>1079</v>
      </c>
      <c r="Q305" s="2"/>
    </row>
    <row r="306" spans="1:17" ht="15.75">
      <c r="A306" s="997"/>
      <c r="B306" s="145"/>
      <c r="C306" s="145"/>
      <c r="D306" s="144"/>
      <c r="E306" s="144"/>
      <c r="F306" s="2"/>
      <c r="G306" s="115"/>
      <c r="H306" s="1043"/>
      <c r="I306" s="145"/>
      <c r="J306" s="145"/>
      <c r="K306" s="145"/>
      <c r="L306" s="145"/>
      <c r="M306" s="1088"/>
      <c r="N306" s="2"/>
      <c r="O306" s="2"/>
      <c r="P306" s="2216" t="s">
        <v>1079</v>
      </c>
      <c r="Q306" s="2"/>
    </row>
    <row r="307" spans="1:17" ht="15.75">
      <c r="A307" s="997"/>
      <c r="B307" s="190" t="s">
        <v>40</v>
      </c>
      <c r="C307" s="145"/>
      <c r="D307" s="144"/>
      <c r="E307" s="144"/>
      <c r="F307" s="2"/>
      <c r="G307" s="115"/>
      <c r="H307" s="1043"/>
      <c r="I307" s="145"/>
      <c r="J307" s="145"/>
      <c r="K307" s="145"/>
      <c r="L307" s="145"/>
      <c r="M307" s="1088"/>
      <c r="N307" s="2"/>
      <c r="O307" s="2"/>
      <c r="P307" s="2216" t="s">
        <v>1079</v>
      </c>
      <c r="Q307" s="2"/>
    </row>
    <row r="308" spans="1:17" ht="15.75">
      <c r="A308" s="997"/>
      <c r="B308" s="145"/>
      <c r="C308" s="145" t="s">
        <v>1157</v>
      </c>
      <c r="D308" s="144"/>
      <c r="E308" s="60" t="str">
        <f>'Appendix A'!$E$214</f>
        <v>(Note H)</v>
      </c>
      <c r="F308" s="2"/>
      <c r="G308" s="1157" t="s">
        <v>1161</v>
      </c>
      <c r="H308" s="1158">
        <f>INDEX(Inputs!$E$48:$E$82,MATCH(G308,Inputs!$F$48:$F$82,0))</f>
        <v>42404362</v>
      </c>
      <c r="I308" s="145"/>
      <c r="J308" s="145"/>
      <c r="K308" s="145"/>
      <c r="L308" s="145"/>
      <c r="M308" s="1088"/>
      <c r="N308" s="2"/>
      <c r="O308" s="2"/>
      <c r="P308" s="2216" t="s">
        <v>1079</v>
      </c>
      <c r="Q308" s="2"/>
    </row>
    <row r="309" spans="1:17" ht="15.75">
      <c r="A309" s="997"/>
      <c r="B309" s="145"/>
      <c r="C309" s="145" t="s">
        <v>1159</v>
      </c>
      <c r="D309" s="144"/>
      <c r="E309" s="60" t="str">
        <f>'Appendix A'!$E$214</f>
        <v>(Note H)</v>
      </c>
      <c r="F309" s="2"/>
      <c r="G309" s="1157" t="s">
        <v>1162</v>
      </c>
      <c r="H309" s="1158">
        <f>INDEX(Inputs!$E$48:$E$82,MATCH(G309,Inputs!$F$48:$F$82,0))</f>
        <v>706273</v>
      </c>
      <c r="I309" s="145"/>
      <c r="J309" s="145"/>
      <c r="K309" s="145"/>
      <c r="L309" s="145"/>
      <c r="M309" s="1088"/>
      <c r="N309" s="2"/>
      <c r="O309" s="2"/>
      <c r="P309" s="2216" t="s">
        <v>1079</v>
      </c>
      <c r="Q309" s="2"/>
    </row>
    <row r="310" spans="1:17" ht="15.75">
      <c r="A310" s="997">
        <f>'Appendix A'!A147</f>
        <v>77</v>
      </c>
      <c r="B310" s="145"/>
      <c r="C310" s="325" t="str">
        <f>'Appendix A'!C147</f>
        <v>General Depreciation Expense Including Amortization of Limited Term Plant</v>
      </c>
      <c r="D310" s="111"/>
      <c r="E310" s="111" t="str">
        <f>'Appendix A'!$E$214</f>
        <v>(Note H)</v>
      </c>
      <c r="F310" s="87"/>
      <c r="G310" s="1160" t="s">
        <v>1135</v>
      </c>
      <c r="H310" s="1161">
        <f>SUM(H308:H309)</f>
        <v>43110635</v>
      </c>
      <c r="I310" s="2" t="s">
        <v>1117</v>
      </c>
      <c r="J310" s="145"/>
      <c r="K310" s="145"/>
      <c r="L310" s="145"/>
      <c r="M310" s="1088"/>
      <c r="N310" s="2"/>
      <c r="O310" s="2"/>
      <c r="P310" s="2216" t="s">
        <v>1079</v>
      </c>
      <c r="Q310" s="2"/>
    </row>
    <row r="311" spans="1:17" ht="15.75">
      <c r="A311" s="997"/>
      <c r="B311" s="145"/>
      <c r="C311" s="1079"/>
      <c r="D311" s="144"/>
      <c r="E311" s="144"/>
      <c r="F311" s="2"/>
      <c r="G311" s="115"/>
      <c r="H311" s="1162"/>
      <c r="I311" s="2"/>
      <c r="J311" s="145"/>
      <c r="K311" s="145"/>
      <c r="L311" s="145"/>
      <c r="M311" s="1088"/>
      <c r="N311" s="2"/>
      <c r="O311" s="2"/>
      <c r="P311" s="2216" t="s">
        <v>1079</v>
      </c>
      <c r="Q311" s="2"/>
    </row>
    <row r="312" spans="1:17" ht="15.75">
      <c r="A312" s="997"/>
      <c r="B312" s="190" t="s">
        <v>1163</v>
      </c>
      <c r="C312" s="145"/>
      <c r="D312" s="144"/>
      <c r="E312" s="144"/>
      <c r="F312" s="2"/>
      <c r="G312" s="115"/>
      <c r="H312" s="1162"/>
      <c r="I312" s="145"/>
      <c r="J312" s="145"/>
      <c r="K312" s="145"/>
      <c r="L312" s="145"/>
      <c r="M312" s="1088"/>
      <c r="N312" s="2"/>
      <c r="O312" s="2"/>
      <c r="P312" s="2216" t="s">
        <v>1079</v>
      </c>
      <c r="Q312" s="2"/>
    </row>
    <row r="313" spans="1:17" ht="15.75">
      <c r="A313" s="997"/>
      <c r="B313" s="145"/>
      <c r="C313" s="145" t="s">
        <v>1159</v>
      </c>
      <c r="D313" s="144"/>
      <c r="E313" s="60" t="str">
        <f>'Appendix A'!$E$214</f>
        <v>(Note H)</v>
      </c>
      <c r="F313" s="2"/>
      <c r="G313" s="1163" t="s">
        <v>1164</v>
      </c>
      <c r="H313" s="1158">
        <f>INDEX(Inputs!$E$48:$E$82,MATCH(G313,Inputs!$F$48:$F$82,0))</f>
        <v>48671914</v>
      </c>
      <c r="I313" s="145"/>
      <c r="J313" s="145"/>
      <c r="K313" s="145"/>
      <c r="L313" s="145"/>
      <c r="M313" s="1088"/>
      <c r="N313" s="2"/>
      <c r="O313" s="2"/>
      <c r="P313" s="2216" t="s">
        <v>1079</v>
      </c>
      <c r="Q313" s="2"/>
    </row>
    <row r="314" spans="1:17" ht="15.75">
      <c r="A314" s="997"/>
      <c r="B314" s="145"/>
      <c r="C314" s="145" t="s">
        <v>1165</v>
      </c>
      <c r="D314" s="144"/>
      <c r="E314" s="60" t="str">
        <f>'Appendix A'!$E$214</f>
        <v>(Note H)</v>
      </c>
      <c r="F314" s="2"/>
      <c r="G314" s="1163" t="s">
        <v>1166</v>
      </c>
      <c r="H314" s="1158">
        <f>INDEX(Inputs!$E$48:$E$82,MATCH(G314,Inputs!$F$48:$F$82,0))</f>
        <v>0</v>
      </c>
      <c r="I314" s="145"/>
      <c r="J314" s="145"/>
      <c r="K314" s="145"/>
      <c r="L314" s="145"/>
      <c r="M314" s="1088"/>
      <c r="N314" s="2"/>
      <c r="O314" s="2"/>
      <c r="P314" s="2216" t="s">
        <v>1079</v>
      </c>
      <c r="Q314" s="2"/>
    </row>
    <row r="315" spans="1:17" ht="15.75">
      <c r="A315" s="997">
        <f>'Appendix A'!A148</f>
        <v>78</v>
      </c>
      <c r="B315" s="145"/>
      <c r="C315" s="1159" t="s">
        <v>1167</v>
      </c>
      <c r="D315" s="86"/>
      <c r="E315" s="111" t="str">
        <f>'Appendix A'!$E$214</f>
        <v>(Note H)</v>
      </c>
      <c r="F315" s="1164"/>
      <c r="G315" s="1160" t="s">
        <v>1135</v>
      </c>
      <c r="H315" s="1161">
        <f>SUM(H313:H314)</f>
        <v>48671914</v>
      </c>
      <c r="I315" s="2" t="s">
        <v>1117</v>
      </c>
      <c r="J315" s="145"/>
      <c r="K315" s="145"/>
      <c r="L315" s="145"/>
      <c r="M315" s="1088"/>
      <c r="N315" s="2"/>
      <c r="O315" s="2"/>
      <c r="P315" s="2216" t="s">
        <v>1079</v>
      </c>
      <c r="Q315" s="2"/>
    </row>
    <row r="316" spans="1:17" ht="16.5" thickBot="1">
      <c r="A316" s="1109"/>
      <c r="B316" s="1038"/>
      <c r="C316" s="1038"/>
      <c r="D316" s="1038"/>
      <c r="E316" s="1038"/>
      <c r="F316" s="1038"/>
      <c r="G316" s="1038"/>
      <c r="H316" s="1165" t="s">
        <v>179</v>
      </c>
      <c r="I316" s="1038"/>
      <c r="J316" s="1038"/>
      <c r="K316" s="1038"/>
      <c r="L316" s="1038"/>
      <c r="M316" s="1040"/>
      <c r="N316" s="2"/>
      <c r="O316" s="2"/>
      <c r="P316" s="2215"/>
      <c r="Q316" s="2"/>
    </row>
    <row r="317" spans="1:17" ht="15.75">
      <c r="A317" s="42"/>
      <c r="B317" s="145"/>
      <c r="C317" s="145"/>
      <c r="D317" s="145"/>
      <c r="E317" s="145"/>
      <c r="F317" s="145"/>
      <c r="G317" s="145"/>
      <c r="H317" s="145"/>
      <c r="I317" s="145"/>
      <c r="J317" s="145"/>
      <c r="K317" s="145"/>
      <c r="L317" s="145"/>
      <c r="M317" s="145"/>
      <c r="N317" s="2"/>
      <c r="O317" s="2"/>
      <c r="P317" s="2215"/>
      <c r="Q317" s="2"/>
    </row>
    <row r="318" spans="1:17" ht="15.75">
      <c r="A318" s="37"/>
      <c r="B318" s="2"/>
      <c r="C318" s="2"/>
      <c r="D318" s="2"/>
      <c r="E318" s="2"/>
      <c r="F318" s="2"/>
      <c r="G318" s="2"/>
      <c r="H318" s="2"/>
      <c r="I318" s="2"/>
      <c r="J318" s="2"/>
      <c r="K318" s="2"/>
      <c r="L318" s="2"/>
      <c r="M318" s="2"/>
      <c r="N318" s="2"/>
      <c r="O318" s="2"/>
      <c r="P318" s="2215"/>
      <c r="Q318" s="2"/>
    </row>
    <row r="319" spans="1:17" ht="16.5" thickBot="1">
      <c r="A319" s="963" t="s">
        <v>1168</v>
      </c>
      <c r="B319" s="2"/>
      <c r="C319" s="2"/>
      <c r="D319" s="2"/>
      <c r="E319" s="2"/>
      <c r="F319" s="2"/>
      <c r="G319" s="2"/>
      <c r="H319" s="2"/>
      <c r="I319" s="2"/>
      <c r="J319" s="2"/>
      <c r="K319" s="2"/>
      <c r="L319" s="2"/>
      <c r="M319" s="2"/>
      <c r="N319" s="2"/>
      <c r="O319" s="2"/>
      <c r="P319" s="2215"/>
      <c r="Q319" s="2"/>
    </row>
    <row r="320" spans="1:17" ht="15.75">
      <c r="A320" s="1156" t="s">
        <v>1075</v>
      </c>
      <c r="B320" s="937"/>
      <c r="C320" s="937"/>
      <c r="D320" s="937"/>
      <c r="E320" s="937"/>
      <c r="F320" s="937"/>
      <c r="G320" s="966"/>
      <c r="H320" s="965" t="s">
        <v>290</v>
      </c>
      <c r="I320" s="937"/>
      <c r="J320" s="937"/>
      <c r="K320" s="937"/>
      <c r="L320" s="937"/>
      <c r="M320" s="966"/>
      <c r="N320" s="2"/>
      <c r="O320" s="2"/>
      <c r="P320" s="2215"/>
      <c r="Q320" s="2"/>
    </row>
    <row r="321" spans="1:17" ht="15.75">
      <c r="A321" s="990"/>
      <c r="B321" s="310"/>
      <c r="C321" s="42"/>
      <c r="D321" s="42"/>
      <c r="E321" s="42"/>
      <c r="F321" s="60"/>
      <c r="G321" s="1077"/>
      <c r="H321" s="145"/>
      <c r="I321" s="145"/>
      <c r="J321" s="145"/>
      <c r="K321" s="145"/>
      <c r="L321" s="145"/>
      <c r="M321" s="1088"/>
      <c r="N321" s="2"/>
      <c r="O321" s="2"/>
      <c r="Q321" s="2"/>
    </row>
    <row r="322" spans="1:17" ht="15.75">
      <c r="A322" s="990"/>
      <c r="B322" s="310"/>
      <c r="C322" s="1166"/>
      <c r="D322" s="1167"/>
      <c r="E322" s="1167"/>
      <c r="F322" s="60"/>
      <c r="G322" s="1002"/>
      <c r="H322" s="1102"/>
      <c r="I322" s="145"/>
      <c r="J322" s="863"/>
      <c r="K322" s="42"/>
      <c r="L322" s="145"/>
      <c r="M322" s="1088"/>
      <c r="N322" s="2"/>
      <c r="O322" s="2"/>
      <c r="Q322" s="2"/>
    </row>
    <row r="323" spans="1:17" ht="15.75">
      <c r="A323" s="990"/>
      <c r="B323" s="310"/>
      <c r="C323" s="1166" t="s">
        <v>1859</v>
      </c>
      <c r="D323" s="1167"/>
      <c r="E323" s="1167"/>
      <c r="F323" s="60"/>
      <c r="G323" s="1002"/>
      <c r="H323" s="1102"/>
      <c r="I323" s="145"/>
      <c r="J323" s="863"/>
      <c r="K323" s="42"/>
      <c r="L323" s="145"/>
      <c r="M323" s="1088"/>
      <c r="N323" s="2"/>
      <c r="O323" s="2"/>
      <c r="Q323" s="2"/>
    </row>
    <row r="324" spans="1:17" ht="15.75">
      <c r="A324" s="990"/>
      <c r="B324" s="310"/>
      <c r="C324" s="1166" t="s">
        <v>1169</v>
      </c>
      <c r="D324" s="1167"/>
      <c r="E324" s="1167"/>
      <c r="F324" s="60"/>
      <c r="G324" s="1002"/>
      <c r="H324" s="1102"/>
      <c r="I324" s="145"/>
      <c r="J324" s="863"/>
      <c r="K324" s="42"/>
      <c r="L324" s="145"/>
      <c r="M324" s="1088"/>
      <c r="N324" s="2"/>
      <c r="O324" s="2"/>
      <c r="Q324" s="2"/>
    </row>
    <row r="325" spans="1:17" ht="15.75">
      <c r="A325" s="990"/>
      <c r="B325" s="310"/>
      <c r="C325" s="1168"/>
      <c r="D325" s="1167"/>
      <c r="E325" s="1167"/>
      <c r="F325" s="60"/>
      <c r="G325" s="1002"/>
      <c r="H325" s="1102"/>
      <c r="I325" s="145"/>
      <c r="J325" s="863"/>
      <c r="K325" s="42"/>
      <c r="L325" s="145"/>
      <c r="M325" s="1088"/>
      <c r="N325" s="2"/>
      <c r="O325" s="2"/>
      <c r="Q325" s="2"/>
    </row>
    <row r="326" spans="1:17" ht="15.75">
      <c r="A326" s="990">
        <f>'Appendix A'!$A$122</f>
        <v>61</v>
      </c>
      <c r="B326" s="263"/>
      <c r="C326" s="1169" t="s">
        <v>115</v>
      </c>
      <c r="D326" s="110"/>
      <c r="E326" s="110"/>
      <c r="F326" s="1164"/>
      <c r="G326" s="1170" t="s">
        <v>1135</v>
      </c>
      <c r="H326" s="1171">
        <f>SUM(H322:H325)</f>
        <v>0</v>
      </c>
      <c r="I326" s="115" t="s">
        <v>1117</v>
      </c>
      <c r="J326" s="42"/>
      <c r="K326" s="40"/>
      <c r="L326" s="40"/>
      <c r="M326" s="1001"/>
      <c r="N326" s="2"/>
      <c r="O326" s="2"/>
      <c r="Q326" s="2"/>
    </row>
    <row r="327" spans="1:17" ht="16.5" thickBot="1">
      <c r="A327" s="1015"/>
      <c r="B327" s="1148"/>
      <c r="C327" s="1018"/>
      <c r="D327" s="1018"/>
      <c r="E327" s="1018"/>
      <c r="F327" s="1080"/>
      <c r="G327" s="1143"/>
      <c r="H327" s="1149"/>
      <c r="I327" s="1150"/>
      <c r="J327" s="1150"/>
      <c r="K327" s="1150"/>
      <c r="L327" s="1150"/>
      <c r="M327" s="1151"/>
      <c r="N327" s="2"/>
      <c r="O327" s="2"/>
      <c r="Q327" s="2"/>
    </row>
    <row r="328" spans="1:17" ht="15.75">
      <c r="A328" s="37"/>
      <c r="B328" s="2"/>
      <c r="C328" s="2"/>
      <c r="D328" s="2"/>
      <c r="E328" s="2"/>
      <c r="F328" s="2"/>
      <c r="G328" s="2"/>
      <c r="H328" s="2"/>
      <c r="I328" s="2"/>
      <c r="J328" s="2"/>
      <c r="K328" s="2"/>
      <c r="L328" s="2"/>
      <c r="M328" s="2"/>
      <c r="N328" s="2"/>
      <c r="O328" s="2"/>
      <c r="P328" s="2215"/>
      <c r="Q328" s="2"/>
    </row>
    <row r="329" spans="1:17" ht="15.75">
      <c r="A329" s="37"/>
      <c r="B329" s="2"/>
      <c r="C329" s="2"/>
      <c r="D329" s="2"/>
      <c r="E329" s="2"/>
      <c r="F329" s="2"/>
      <c r="G329" s="2"/>
      <c r="H329" s="2"/>
      <c r="I329" s="2"/>
      <c r="J329" s="2"/>
      <c r="K329" s="2"/>
      <c r="L329" s="2"/>
      <c r="M329" s="2"/>
      <c r="N329" s="2"/>
      <c r="O329" s="2"/>
      <c r="P329" s="2215"/>
      <c r="Q329" s="2"/>
    </row>
    <row r="330" spans="1:17" ht="15.75">
      <c r="A330" s="37"/>
      <c r="B330" s="2"/>
      <c r="C330" s="2"/>
      <c r="D330" s="2"/>
      <c r="E330" s="2"/>
      <c r="F330" s="2"/>
      <c r="G330" s="2"/>
      <c r="H330" s="2"/>
      <c r="I330" s="2"/>
      <c r="J330" s="2"/>
      <c r="K330" s="2"/>
      <c r="L330" s="2"/>
      <c r="M330" s="2"/>
      <c r="N330" s="2"/>
      <c r="O330" s="2"/>
      <c r="P330" s="2215"/>
      <c r="Q330" s="2"/>
    </row>
    <row r="331" spans="1:17" ht="15.75">
      <c r="A331" s="37"/>
      <c r="B331" s="2"/>
      <c r="C331" s="2"/>
      <c r="D331" s="2"/>
      <c r="E331" s="2"/>
      <c r="F331" s="2"/>
      <c r="G331" s="2"/>
      <c r="H331" s="2"/>
      <c r="I331" s="2"/>
      <c r="J331" s="2"/>
      <c r="K331" s="2"/>
      <c r="L331" s="2"/>
      <c r="M331" s="2"/>
      <c r="N331" s="2"/>
      <c r="O331" s="2"/>
      <c r="P331" s="2215"/>
      <c r="Q331" s="2"/>
    </row>
    <row r="332" spans="1:17" ht="15.75">
      <c r="A332" s="37"/>
      <c r="B332" s="2"/>
      <c r="C332" s="2"/>
      <c r="D332" s="2"/>
      <c r="E332" s="2"/>
      <c r="F332" s="2"/>
      <c r="G332" s="2"/>
      <c r="H332" s="2"/>
      <c r="I332" s="2"/>
      <c r="J332" s="2"/>
      <c r="K332" s="2"/>
      <c r="L332" s="2"/>
      <c r="M332" s="2"/>
      <c r="N332" s="2"/>
      <c r="O332" s="2"/>
      <c r="P332" s="2215"/>
      <c r="Q332" s="2"/>
    </row>
    <row r="333" spans="1:17" ht="15.75">
      <c r="A333" s="37"/>
      <c r="B333" s="2"/>
      <c r="C333" s="2"/>
      <c r="D333" s="2"/>
      <c r="E333" s="2"/>
      <c r="F333" s="2"/>
      <c r="G333" s="2"/>
      <c r="H333" s="2"/>
      <c r="I333" s="2"/>
      <c r="J333" s="2"/>
      <c r="K333" s="2"/>
      <c r="L333" s="2"/>
      <c r="M333" s="2"/>
      <c r="N333" s="2"/>
      <c r="O333" s="2"/>
      <c r="P333" s="2215"/>
      <c r="Q333" s="2"/>
    </row>
    <row r="334" spans="1:17" ht="15.75">
      <c r="A334" s="37"/>
      <c r="B334" s="2"/>
      <c r="C334" s="2"/>
      <c r="D334" s="2"/>
      <c r="E334" s="2"/>
      <c r="F334" s="2"/>
      <c r="G334" s="2"/>
      <c r="H334" s="2"/>
      <c r="I334" s="2"/>
      <c r="J334" s="2"/>
      <c r="K334" s="2"/>
      <c r="L334" s="2"/>
      <c r="M334" s="2"/>
      <c r="N334" s="2"/>
      <c r="O334" s="2"/>
      <c r="P334" s="2215"/>
      <c r="Q334" s="2"/>
    </row>
    <row r="335" spans="1:17" ht="15.75">
      <c r="A335" s="37"/>
      <c r="B335" s="2"/>
      <c r="C335" s="2"/>
      <c r="D335" s="2"/>
      <c r="E335" s="2"/>
      <c r="F335" s="2"/>
      <c r="G335" s="2"/>
      <c r="H335" s="2"/>
      <c r="I335" s="2"/>
      <c r="J335" s="2"/>
      <c r="K335" s="2"/>
      <c r="L335" s="2"/>
      <c r="M335" s="2"/>
      <c r="N335" s="2"/>
      <c r="O335" s="2"/>
      <c r="P335" s="2215"/>
      <c r="Q335" s="2"/>
    </row>
    <row r="336" spans="1:17" ht="15.75">
      <c r="A336" s="37"/>
      <c r="B336" s="2"/>
      <c r="C336" s="2"/>
      <c r="D336" s="2"/>
      <c r="E336" s="2"/>
      <c r="F336" s="2"/>
      <c r="G336" s="2"/>
      <c r="H336" s="2"/>
      <c r="I336" s="2"/>
      <c r="J336" s="2"/>
      <c r="K336" s="2"/>
      <c r="L336" s="2"/>
      <c r="M336" s="2"/>
      <c r="N336" s="2"/>
      <c r="O336" s="2"/>
      <c r="P336" s="2215"/>
      <c r="Q336" s="2"/>
    </row>
    <row r="337" spans="1:17" ht="15.75">
      <c r="A337" s="37"/>
      <c r="B337" s="2"/>
      <c r="C337" s="2"/>
      <c r="D337" s="2"/>
      <c r="E337" s="2"/>
      <c r="F337" s="2"/>
      <c r="G337" s="2"/>
      <c r="H337" s="2"/>
      <c r="I337" s="2"/>
      <c r="J337" s="2"/>
      <c r="K337" s="2"/>
      <c r="L337" s="2"/>
      <c r="M337" s="2"/>
      <c r="N337" s="2"/>
      <c r="O337" s="2"/>
      <c r="P337" s="2215"/>
      <c r="Q337" s="2"/>
    </row>
    <row r="338" spans="1:17" ht="15.75">
      <c r="A338" s="37"/>
      <c r="B338" s="2"/>
      <c r="C338" s="2"/>
      <c r="D338" s="2"/>
      <c r="E338" s="2"/>
      <c r="F338" s="2"/>
      <c r="G338" s="2"/>
      <c r="H338" s="2"/>
      <c r="I338" s="2"/>
      <c r="J338" s="2"/>
      <c r="K338" s="2"/>
      <c r="L338" s="2"/>
      <c r="M338" s="2"/>
      <c r="N338" s="2"/>
      <c r="O338" s="2"/>
      <c r="P338" s="2215"/>
      <c r="Q338" s="2"/>
    </row>
    <row r="339" spans="1:17" ht="15.75">
      <c r="A339" s="37"/>
      <c r="B339" s="2"/>
      <c r="C339" s="2"/>
      <c r="D339" s="2"/>
      <c r="E339" s="2"/>
      <c r="F339" s="2"/>
      <c r="G339" s="2"/>
      <c r="H339" s="2"/>
      <c r="I339" s="2"/>
      <c r="J339" s="2"/>
      <c r="K339" s="2"/>
      <c r="L339" s="2"/>
      <c r="M339" s="2"/>
      <c r="N339" s="2"/>
      <c r="O339" s="2"/>
      <c r="P339" s="2215"/>
      <c r="Q339" s="2"/>
    </row>
    <row r="340" spans="1:17" ht="15.75">
      <c r="A340" s="37"/>
      <c r="B340" s="2"/>
      <c r="C340" s="2"/>
      <c r="D340" s="2"/>
      <c r="E340" s="2"/>
      <c r="F340" s="2"/>
      <c r="G340" s="2"/>
      <c r="H340" s="2"/>
      <c r="I340" s="2"/>
      <c r="J340" s="2"/>
      <c r="K340" s="2"/>
      <c r="L340" s="2"/>
      <c r="M340" s="2"/>
      <c r="N340" s="2"/>
      <c r="O340" s="2"/>
      <c r="P340" s="2215"/>
      <c r="Q340" s="2"/>
    </row>
    <row r="341" spans="1:17" ht="15.75">
      <c r="A341" s="37"/>
      <c r="B341" s="2"/>
      <c r="C341" s="2"/>
      <c r="D341" s="2"/>
      <c r="E341" s="2"/>
      <c r="F341" s="2"/>
      <c r="G341" s="2"/>
      <c r="H341" s="2"/>
      <c r="I341" s="2"/>
      <c r="J341" s="2"/>
      <c r="K341" s="2"/>
      <c r="L341" s="2"/>
      <c r="M341" s="2"/>
      <c r="N341" s="2"/>
      <c r="O341" s="2"/>
      <c r="P341" s="2215"/>
      <c r="Q341" s="2"/>
    </row>
    <row r="342" spans="1:17" ht="15.75">
      <c r="A342" s="37"/>
      <c r="B342" s="2"/>
      <c r="C342" s="2"/>
      <c r="D342" s="2"/>
      <c r="E342" s="2"/>
      <c r="F342" s="2"/>
      <c r="G342" s="2"/>
      <c r="H342" s="2"/>
      <c r="I342" s="2"/>
      <c r="J342" s="2"/>
      <c r="K342" s="2"/>
      <c r="L342" s="2"/>
      <c r="M342" s="2"/>
      <c r="N342" s="2"/>
      <c r="O342" s="2"/>
      <c r="P342" s="2215"/>
      <c r="Q342" s="2"/>
    </row>
    <row r="343" spans="1:17" ht="15.75">
      <c r="A343" s="37"/>
      <c r="B343" s="2"/>
      <c r="C343" s="2"/>
      <c r="D343" s="2"/>
      <c r="E343" s="2"/>
      <c r="F343" s="2"/>
      <c r="G343" s="2"/>
      <c r="H343" s="2"/>
      <c r="I343" s="2"/>
      <c r="J343" s="2"/>
      <c r="K343" s="2"/>
      <c r="L343" s="2"/>
      <c r="M343" s="2"/>
      <c r="N343" s="2"/>
      <c r="O343" s="2"/>
      <c r="P343" s="2215"/>
      <c r="Q343" s="2"/>
    </row>
    <row r="344" spans="1:17" ht="15.75">
      <c r="A344" s="37"/>
      <c r="B344" s="2"/>
      <c r="C344" s="2"/>
      <c r="D344" s="2"/>
      <c r="E344" s="2"/>
      <c r="F344" s="2"/>
      <c r="G344" s="2"/>
      <c r="H344" s="2"/>
      <c r="I344" s="2"/>
      <c r="J344" s="2"/>
      <c r="K344" s="2"/>
      <c r="L344" s="2"/>
      <c r="M344" s="2"/>
      <c r="N344" s="2"/>
      <c r="O344" s="2"/>
      <c r="P344" s="2215"/>
      <c r="Q344" s="2"/>
    </row>
    <row r="345" spans="1:17" ht="15.75">
      <c r="A345" s="37"/>
      <c r="B345" s="2"/>
      <c r="C345" s="2"/>
      <c r="D345" s="2"/>
      <c r="E345" s="2"/>
      <c r="F345" s="2"/>
      <c r="G345" s="2"/>
      <c r="H345" s="2"/>
      <c r="I345" s="2"/>
      <c r="J345" s="2"/>
      <c r="K345" s="2"/>
      <c r="L345" s="2"/>
      <c r="M345" s="2"/>
      <c r="N345" s="2"/>
      <c r="O345" s="2"/>
      <c r="P345" s="2215"/>
      <c r="Q345" s="2"/>
    </row>
    <row r="346" spans="1:17" ht="15.75">
      <c r="A346" s="37"/>
      <c r="B346" s="2"/>
      <c r="C346" s="2"/>
      <c r="D346" s="2"/>
      <c r="E346" s="2"/>
      <c r="F346" s="2"/>
      <c r="G346" s="2"/>
      <c r="H346" s="2"/>
      <c r="I346" s="2"/>
      <c r="J346" s="2"/>
      <c r="K346" s="2"/>
      <c r="L346" s="2"/>
      <c r="M346" s="2"/>
      <c r="N346" s="2"/>
      <c r="O346" s="2"/>
      <c r="P346" s="2215"/>
      <c r="Q346" s="2"/>
    </row>
    <row r="347" spans="1:17" ht="15.75">
      <c r="A347" s="37"/>
      <c r="B347" s="2"/>
      <c r="C347" s="2"/>
      <c r="D347" s="2"/>
      <c r="E347" s="2"/>
      <c r="F347" s="2"/>
      <c r="G347" s="2"/>
      <c r="H347" s="2"/>
      <c r="I347" s="2"/>
      <c r="J347" s="2"/>
      <c r="K347" s="2"/>
      <c r="L347" s="2"/>
      <c r="M347" s="2"/>
      <c r="N347" s="2"/>
      <c r="O347" s="2"/>
      <c r="P347" s="2215"/>
      <c r="Q347" s="2"/>
    </row>
    <row r="348" spans="1:17" ht="15.75">
      <c r="A348" s="37"/>
      <c r="B348" s="2"/>
      <c r="C348" s="2"/>
      <c r="D348" s="2"/>
      <c r="E348" s="2"/>
      <c r="F348" s="2"/>
      <c r="G348" s="2"/>
      <c r="H348" s="2"/>
      <c r="I348" s="2"/>
      <c r="J348" s="2"/>
      <c r="K348" s="2"/>
      <c r="L348" s="2"/>
      <c r="M348" s="2"/>
      <c r="N348" s="2"/>
      <c r="O348" s="2"/>
      <c r="P348" s="2215"/>
      <c r="Q348" s="2"/>
    </row>
    <row r="349" spans="1:17" ht="15.75">
      <c r="A349" s="37"/>
      <c r="B349" s="2"/>
      <c r="C349" s="2"/>
      <c r="D349" s="2"/>
      <c r="E349" s="2"/>
      <c r="F349" s="2"/>
      <c r="G349" s="2"/>
      <c r="H349" s="2"/>
      <c r="I349" s="2"/>
      <c r="J349" s="2"/>
      <c r="K349" s="2"/>
      <c r="L349" s="2"/>
      <c r="M349" s="2"/>
      <c r="N349" s="2"/>
      <c r="O349" s="2"/>
      <c r="P349" s="2215"/>
      <c r="Q349" s="2"/>
    </row>
    <row r="350" spans="1:17" ht="15.75">
      <c r="A350" s="37"/>
      <c r="B350" s="2"/>
      <c r="C350" s="2"/>
      <c r="D350" s="2"/>
      <c r="E350" s="2"/>
      <c r="F350" s="2"/>
      <c r="G350" s="2"/>
      <c r="H350" s="2"/>
      <c r="I350" s="2"/>
      <c r="J350" s="2"/>
      <c r="K350" s="2"/>
      <c r="L350" s="2"/>
      <c r="M350" s="2"/>
      <c r="N350" s="2"/>
      <c r="O350" s="2"/>
      <c r="P350" s="2215"/>
      <c r="Q350" s="2"/>
    </row>
    <row r="351" spans="1:17" ht="15.75">
      <c r="A351" s="37"/>
      <c r="B351" s="2"/>
      <c r="C351" s="2"/>
      <c r="D351" s="2"/>
      <c r="E351" s="2"/>
      <c r="F351" s="2"/>
      <c r="G351" s="2"/>
      <c r="H351" s="2"/>
      <c r="I351" s="2"/>
      <c r="J351" s="2"/>
      <c r="K351" s="2"/>
      <c r="L351" s="2"/>
      <c r="M351" s="2"/>
      <c r="N351" s="2"/>
      <c r="O351" s="2"/>
      <c r="P351" s="2215"/>
      <c r="Q351" s="2"/>
    </row>
    <row r="352" spans="1:17" ht="15.75">
      <c r="A352" s="37"/>
      <c r="B352" s="2"/>
      <c r="C352" s="2"/>
      <c r="D352" s="2"/>
      <c r="E352" s="2"/>
      <c r="F352" s="2"/>
      <c r="G352" s="2"/>
      <c r="H352" s="2"/>
      <c r="I352" s="2"/>
      <c r="J352" s="2"/>
      <c r="K352" s="2"/>
      <c r="L352" s="2"/>
      <c r="M352" s="2"/>
      <c r="N352" s="2"/>
      <c r="O352" s="2"/>
      <c r="P352" s="2215"/>
      <c r="Q352" s="2"/>
    </row>
    <row r="353" spans="1:17" ht="15.75">
      <c r="A353" s="37"/>
      <c r="B353" s="2"/>
      <c r="C353" s="2"/>
      <c r="D353" s="2"/>
      <c r="E353" s="2"/>
      <c r="F353" s="2"/>
      <c r="G353" s="2"/>
      <c r="H353" s="2"/>
      <c r="I353" s="2"/>
      <c r="J353" s="2"/>
      <c r="K353" s="2"/>
      <c r="L353" s="2"/>
      <c r="M353" s="2"/>
      <c r="N353" s="2"/>
      <c r="O353" s="2"/>
      <c r="P353" s="2215"/>
      <c r="Q353" s="2"/>
    </row>
    <row r="354" spans="1:17" ht="15.75">
      <c r="A354" s="37"/>
      <c r="B354" s="2"/>
      <c r="C354" s="2"/>
      <c r="D354" s="2"/>
      <c r="E354" s="2"/>
      <c r="F354" s="2"/>
      <c r="G354" s="2"/>
      <c r="H354" s="2"/>
      <c r="I354" s="2"/>
      <c r="J354" s="2"/>
      <c r="K354" s="2"/>
      <c r="L354" s="2"/>
      <c r="M354" s="2"/>
      <c r="N354" s="2"/>
      <c r="O354" s="2"/>
      <c r="P354" s="2215"/>
      <c r="Q354" s="2"/>
    </row>
    <row r="355" spans="1:17" ht="15.75">
      <c r="A355" s="37"/>
      <c r="B355" s="2"/>
      <c r="C355" s="2"/>
      <c r="D355" s="2"/>
      <c r="E355" s="2"/>
      <c r="F355" s="2"/>
      <c r="G355" s="2"/>
      <c r="H355" s="2"/>
      <c r="I355" s="2"/>
      <c r="J355" s="2"/>
      <c r="K355" s="2"/>
      <c r="L355" s="2"/>
      <c r="M355" s="2"/>
      <c r="N355" s="2"/>
      <c r="O355" s="2"/>
      <c r="P355" s="2215"/>
      <c r="Q355" s="2"/>
    </row>
    <row r="356" spans="1:17" ht="15.75">
      <c r="A356" s="37"/>
      <c r="B356" s="2"/>
      <c r="C356" s="2"/>
      <c r="D356" s="2"/>
      <c r="E356" s="2"/>
      <c r="F356" s="2"/>
      <c r="G356" s="2"/>
      <c r="H356" s="2"/>
      <c r="I356" s="2"/>
      <c r="J356" s="2"/>
      <c r="K356" s="2"/>
      <c r="L356" s="2"/>
      <c r="M356" s="2"/>
      <c r="N356" s="2"/>
      <c r="O356" s="2"/>
      <c r="P356" s="2215"/>
      <c r="Q356" s="2"/>
    </row>
    <row r="357" spans="1:17" ht="15.75">
      <c r="A357" s="37"/>
      <c r="B357" s="2"/>
      <c r="C357" s="2"/>
      <c r="D357" s="2"/>
      <c r="E357" s="2"/>
      <c r="F357" s="2"/>
      <c r="G357" s="2"/>
      <c r="H357" s="2"/>
      <c r="I357" s="2"/>
      <c r="J357" s="2"/>
      <c r="K357" s="2"/>
      <c r="L357" s="2"/>
      <c r="M357" s="2"/>
      <c r="N357" s="2"/>
      <c r="O357" s="2"/>
      <c r="P357" s="2215"/>
      <c r="Q357" s="2"/>
    </row>
    <row r="358" spans="1:17" ht="15.75">
      <c r="A358" s="37"/>
      <c r="B358" s="2"/>
      <c r="C358" s="2"/>
      <c r="D358" s="2"/>
      <c r="E358" s="2"/>
      <c r="F358" s="2"/>
      <c r="G358" s="2"/>
      <c r="H358" s="2"/>
      <c r="I358" s="2"/>
      <c r="J358" s="2"/>
      <c r="K358" s="2"/>
      <c r="L358" s="2"/>
      <c r="M358" s="2"/>
      <c r="N358" s="2"/>
      <c r="O358" s="2"/>
      <c r="P358" s="2215"/>
      <c r="Q358" s="2"/>
    </row>
    <row r="359" spans="1:17" ht="15.75">
      <c r="A359" s="37"/>
      <c r="B359" s="2"/>
      <c r="C359" s="2"/>
      <c r="D359" s="2"/>
      <c r="E359" s="2"/>
      <c r="F359" s="2"/>
      <c r="G359" s="2"/>
      <c r="H359" s="2"/>
      <c r="I359" s="2"/>
      <c r="J359" s="2"/>
      <c r="K359" s="2"/>
      <c r="L359" s="2"/>
      <c r="M359" s="2"/>
      <c r="N359" s="2"/>
      <c r="O359" s="2"/>
      <c r="P359" s="2215"/>
      <c r="Q359" s="2"/>
    </row>
    <row r="360" spans="1:17" ht="15.75">
      <c r="A360" s="37"/>
      <c r="B360" s="2"/>
      <c r="C360" s="2"/>
      <c r="D360" s="2"/>
      <c r="E360" s="2"/>
      <c r="F360" s="2"/>
      <c r="G360" s="2"/>
      <c r="H360" s="2"/>
      <c r="I360" s="2"/>
      <c r="J360" s="2"/>
      <c r="K360" s="2"/>
      <c r="L360" s="2"/>
      <c r="M360" s="2"/>
      <c r="N360" s="2"/>
      <c r="O360" s="2"/>
      <c r="P360" s="2215"/>
      <c r="Q360" s="2"/>
    </row>
    <row r="361" spans="1:17" ht="15.75">
      <c r="A361" s="37"/>
      <c r="B361" s="2"/>
      <c r="C361" s="2"/>
      <c r="D361" s="2"/>
      <c r="E361" s="2"/>
      <c r="F361" s="2"/>
      <c r="G361" s="2"/>
      <c r="H361" s="2"/>
      <c r="I361" s="2"/>
      <c r="J361" s="2"/>
      <c r="K361" s="2"/>
      <c r="L361" s="2"/>
      <c r="M361" s="2"/>
      <c r="N361" s="2"/>
      <c r="O361" s="2"/>
      <c r="P361" s="2215"/>
      <c r="Q361" s="2"/>
    </row>
    <row r="362" spans="1:17" ht="15.75">
      <c r="A362" s="37"/>
      <c r="B362" s="2"/>
      <c r="C362" s="2"/>
      <c r="D362" s="2"/>
      <c r="E362" s="2"/>
      <c r="F362" s="2"/>
      <c r="G362" s="2"/>
      <c r="H362" s="2"/>
      <c r="I362" s="2"/>
      <c r="J362" s="2"/>
      <c r="K362" s="2"/>
      <c r="L362" s="2"/>
      <c r="M362" s="2"/>
      <c r="N362" s="2"/>
      <c r="O362" s="2"/>
      <c r="P362" s="2215"/>
      <c r="Q362" s="2"/>
    </row>
    <row r="363" spans="1:17" ht="15.75">
      <c r="A363" s="37"/>
      <c r="B363" s="2"/>
      <c r="C363" s="2"/>
      <c r="D363" s="2"/>
      <c r="E363" s="2"/>
      <c r="F363" s="2"/>
      <c r="G363" s="2"/>
      <c r="H363" s="2"/>
      <c r="I363" s="2"/>
      <c r="J363" s="2"/>
      <c r="K363" s="2"/>
      <c r="L363" s="2"/>
      <c r="M363" s="2"/>
      <c r="N363" s="2"/>
      <c r="O363" s="2"/>
      <c r="P363" s="2215"/>
      <c r="Q363" s="2"/>
    </row>
    <row r="364" spans="1:17" ht="15.75">
      <c r="A364" s="37"/>
      <c r="B364" s="2"/>
      <c r="C364" s="2"/>
      <c r="D364" s="2"/>
      <c r="E364" s="2"/>
      <c r="F364" s="2"/>
      <c r="G364" s="2"/>
      <c r="H364" s="2"/>
      <c r="I364" s="2"/>
      <c r="J364" s="2"/>
      <c r="K364" s="2"/>
      <c r="L364" s="2"/>
      <c r="M364" s="2"/>
      <c r="N364" s="2"/>
      <c r="O364" s="2"/>
      <c r="P364" s="2215"/>
      <c r="Q364" s="2"/>
    </row>
    <row r="365" spans="1:17" ht="15.75">
      <c r="A365" s="37"/>
      <c r="B365" s="2"/>
      <c r="C365" s="2"/>
      <c r="D365" s="2"/>
      <c r="E365" s="2"/>
      <c r="F365" s="2"/>
      <c r="G365" s="2"/>
      <c r="H365" s="2"/>
      <c r="I365" s="2"/>
      <c r="J365" s="2"/>
      <c r="K365" s="2"/>
      <c r="L365" s="2"/>
      <c r="M365" s="2"/>
      <c r="N365" s="2"/>
      <c r="O365" s="2"/>
      <c r="P365" s="2215"/>
      <c r="Q365" s="2"/>
    </row>
    <row r="366" spans="1:17" ht="15.75">
      <c r="A366" s="37"/>
      <c r="B366" s="2"/>
      <c r="C366" s="2"/>
      <c r="D366" s="2"/>
      <c r="E366" s="2"/>
      <c r="F366" s="2"/>
      <c r="G366" s="2"/>
      <c r="H366" s="2"/>
      <c r="I366" s="2"/>
      <c r="J366" s="2"/>
      <c r="K366" s="2"/>
      <c r="L366" s="2"/>
      <c r="M366" s="2"/>
      <c r="N366" s="2"/>
      <c r="O366" s="2"/>
      <c r="P366" s="2215"/>
      <c r="Q366" s="2"/>
    </row>
    <row r="367" spans="1:17" ht="15.75">
      <c r="A367" s="37"/>
      <c r="B367" s="2"/>
      <c r="C367" s="2"/>
      <c r="D367" s="2"/>
      <c r="E367" s="2"/>
      <c r="F367" s="2"/>
      <c r="G367" s="2"/>
      <c r="H367" s="2"/>
      <c r="I367" s="2"/>
      <c r="J367" s="2"/>
      <c r="K367" s="2"/>
      <c r="L367" s="2"/>
      <c r="M367" s="2"/>
      <c r="N367" s="2"/>
      <c r="O367" s="2"/>
      <c r="P367" s="2215"/>
      <c r="Q367" s="2"/>
    </row>
    <row r="368" spans="1:17" ht="15.75">
      <c r="A368" s="37"/>
      <c r="B368" s="2"/>
      <c r="C368" s="2"/>
      <c r="D368" s="2"/>
      <c r="E368" s="2"/>
      <c r="F368" s="2"/>
      <c r="G368" s="2"/>
      <c r="H368" s="2"/>
      <c r="I368" s="2"/>
      <c r="J368" s="2"/>
      <c r="K368" s="2"/>
      <c r="L368" s="2"/>
      <c r="M368" s="2"/>
      <c r="N368" s="2"/>
      <c r="O368" s="2"/>
      <c r="P368" s="2215"/>
      <c r="Q368" s="2"/>
    </row>
    <row r="369" spans="1:17" ht="15.75">
      <c r="A369" s="37"/>
      <c r="B369" s="2"/>
      <c r="C369" s="2"/>
      <c r="D369" s="2"/>
      <c r="E369" s="2"/>
      <c r="F369" s="2"/>
      <c r="G369" s="2"/>
      <c r="H369" s="2"/>
      <c r="I369" s="2"/>
      <c r="J369" s="2"/>
      <c r="K369" s="2"/>
      <c r="L369" s="2"/>
      <c r="M369" s="2"/>
      <c r="N369" s="2"/>
      <c r="O369" s="2"/>
      <c r="P369" s="2215"/>
      <c r="Q369" s="2"/>
    </row>
    <row r="370" spans="1:17" ht="15.75">
      <c r="A370" s="37"/>
      <c r="B370" s="2"/>
      <c r="C370" s="2"/>
      <c r="D370" s="2"/>
      <c r="E370" s="2"/>
      <c r="F370" s="2"/>
      <c r="G370" s="2"/>
      <c r="H370" s="2"/>
      <c r="I370" s="2"/>
      <c r="J370" s="2"/>
      <c r="K370" s="2"/>
      <c r="L370" s="2"/>
      <c r="M370" s="2"/>
      <c r="N370" s="2"/>
      <c r="O370" s="2"/>
      <c r="P370" s="2215"/>
      <c r="Q370" s="2"/>
    </row>
    <row r="371" spans="1:17" ht="15.75">
      <c r="A371" s="37"/>
      <c r="B371" s="2"/>
      <c r="C371" s="2"/>
      <c r="D371" s="2"/>
      <c r="E371" s="2"/>
      <c r="F371" s="2"/>
      <c r="G371" s="2"/>
      <c r="H371" s="2"/>
      <c r="I371" s="2"/>
      <c r="J371" s="2"/>
      <c r="K371" s="2"/>
      <c r="L371" s="2"/>
      <c r="M371" s="2"/>
      <c r="N371" s="2"/>
      <c r="O371" s="2"/>
      <c r="P371" s="2215"/>
      <c r="Q371" s="2"/>
    </row>
    <row r="372" spans="1:17" ht="15.75">
      <c r="A372" s="37"/>
      <c r="B372" s="2"/>
      <c r="C372" s="2"/>
      <c r="D372" s="2"/>
      <c r="E372" s="2"/>
      <c r="F372" s="2"/>
      <c r="G372" s="2"/>
      <c r="H372" s="2"/>
      <c r="I372" s="2"/>
      <c r="J372" s="2"/>
      <c r="K372" s="2"/>
      <c r="L372" s="2"/>
      <c r="M372" s="2"/>
      <c r="N372" s="2"/>
      <c r="O372" s="2"/>
      <c r="P372" s="2215"/>
      <c r="Q372" s="2"/>
    </row>
    <row r="373" spans="1:17" ht="15.75">
      <c r="A373" s="37"/>
      <c r="B373" s="2"/>
      <c r="C373" s="2"/>
      <c r="D373" s="2"/>
      <c r="E373" s="2"/>
      <c r="F373" s="2"/>
      <c r="G373" s="2"/>
      <c r="H373" s="2"/>
      <c r="I373" s="2"/>
      <c r="J373" s="2"/>
      <c r="K373" s="2"/>
      <c r="L373" s="2"/>
      <c r="M373" s="2"/>
      <c r="N373" s="2"/>
      <c r="O373" s="2"/>
      <c r="P373" s="2215"/>
      <c r="Q373" s="2"/>
    </row>
    <row r="374" spans="1:17" ht="15.75">
      <c r="A374" s="37"/>
      <c r="B374" s="2"/>
      <c r="C374" s="2"/>
      <c r="D374" s="2"/>
      <c r="E374" s="2"/>
      <c r="F374" s="2"/>
      <c r="G374" s="2"/>
      <c r="H374" s="2"/>
      <c r="I374" s="2"/>
      <c r="J374" s="2"/>
      <c r="K374" s="2"/>
      <c r="L374" s="2"/>
      <c r="M374" s="2"/>
      <c r="N374" s="2"/>
      <c r="O374" s="2"/>
      <c r="P374" s="2215"/>
      <c r="Q374" s="2"/>
    </row>
    <row r="375" spans="1:17" ht="15.75">
      <c r="A375" s="37"/>
      <c r="B375" s="2"/>
      <c r="C375" s="2"/>
      <c r="D375" s="2"/>
      <c r="E375" s="2"/>
      <c r="F375" s="2"/>
      <c r="G375" s="2"/>
      <c r="H375" s="2"/>
      <c r="I375" s="2"/>
      <c r="J375" s="2"/>
      <c r="K375" s="2"/>
      <c r="L375" s="2"/>
      <c r="M375" s="2"/>
      <c r="N375" s="2"/>
      <c r="O375" s="2"/>
      <c r="P375" s="2215"/>
      <c r="Q375" s="2"/>
    </row>
    <row r="376" spans="1:17" ht="15.75">
      <c r="A376" s="37"/>
      <c r="B376" s="2"/>
      <c r="C376" s="2"/>
      <c r="D376" s="2"/>
      <c r="E376" s="2"/>
      <c r="F376" s="2"/>
      <c r="G376" s="2"/>
      <c r="H376" s="2"/>
      <c r="I376" s="2"/>
      <c r="J376" s="2"/>
      <c r="K376" s="2"/>
      <c r="L376" s="2"/>
      <c r="M376" s="2"/>
      <c r="N376" s="2"/>
      <c r="O376" s="2"/>
      <c r="P376" s="2215"/>
      <c r="Q376" s="2"/>
    </row>
    <row r="377" spans="1:17" ht="15.75">
      <c r="A377" s="37"/>
      <c r="B377" s="2"/>
      <c r="C377" s="2"/>
      <c r="D377" s="2"/>
      <c r="E377" s="2"/>
      <c r="F377" s="2"/>
      <c r="G377" s="2"/>
      <c r="H377" s="2"/>
      <c r="I377" s="2"/>
      <c r="J377" s="2"/>
      <c r="K377" s="2"/>
      <c r="L377" s="2"/>
      <c r="M377" s="2"/>
      <c r="N377" s="2"/>
      <c r="O377" s="2"/>
      <c r="P377" s="2215"/>
      <c r="Q377" s="2"/>
    </row>
    <row r="378" spans="1:17" ht="15.75">
      <c r="A378" s="37"/>
      <c r="B378" s="2"/>
      <c r="C378" s="2"/>
      <c r="D378" s="2"/>
      <c r="E378" s="2"/>
      <c r="F378" s="2"/>
      <c r="G378" s="2"/>
      <c r="H378" s="2"/>
      <c r="I378" s="2"/>
      <c r="J378" s="2"/>
      <c r="K378" s="2"/>
      <c r="L378" s="2"/>
      <c r="M378" s="2"/>
      <c r="N378" s="2"/>
      <c r="O378" s="2"/>
      <c r="P378" s="2215"/>
      <c r="Q378" s="2"/>
    </row>
    <row r="379" spans="1:17" ht="15.75">
      <c r="A379" s="37"/>
      <c r="B379" s="2"/>
      <c r="C379" s="2"/>
      <c r="D379" s="2"/>
      <c r="E379" s="2"/>
      <c r="F379" s="2"/>
      <c r="G379" s="2"/>
      <c r="H379" s="2"/>
      <c r="I379" s="2"/>
      <c r="J379" s="2"/>
      <c r="K379" s="2"/>
      <c r="L379" s="2"/>
      <c r="M379" s="2"/>
      <c r="N379" s="2"/>
      <c r="O379" s="2"/>
      <c r="P379" s="2215"/>
      <c r="Q379" s="2"/>
    </row>
    <row r="380" spans="1:17" ht="15.75">
      <c r="A380" s="37"/>
      <c r="B380" s="2"/>
      <c r="C380" s="2"/>
      <c r="D380" s="2"/>
      <c r="E380" s="2"/>
      <c r="F380" s="2"/>
      <c r="G380" s="2"/>
      <c r="H380" s="2"/>
      <c r="I380" s="2"/>
      <c r="J380" s="2"/>
      <c r="K380" s="2"/>
      <c r="L380" s="2"/>
      <c r="M380" s="2"/>
      <c r="N380" s="2"/>
      <c r="O380" s="2"/>
      <c r="P380" s="2215"/>
      <c r="Q380" s="2"/>
    </row>
    <row r="381" spans="1:17" ht="15.75">
      <c r="A381" s="37"/>
      <c r="B381" s="2"/>
      <c r="C381" s="2"/>
      <c r="D381" s="2"/>
      <c r="E381" s="2"/>
      <c r="F381" s="2"/>
      <c r="G381" s="2"/>
      <c r="H381" s="2"/>
      <c r="I381" s="2"/>
      <c r="J381" s="2"/>
      <c r="K381" s="2"/>
      <c r="L381" s="2"/>
      <c r="M381" s="2"/>
      <c r="N381" s="2"/>
      <c r="O381" s="2"/>
      <c r="P381" s="2215"/>
      <c r="Q381" s="2"/>
    </row>
    <row r="382" spans="1:17" ht="15.75">
      <c r="A382" s="37"/>
      <c r="B382" s="2"/>
      <c r="C382" s="2"/>
      <c r="D382" s="2"/>
      <c r="E382" s="2"/>
      <c r="F382" s="2"/>
      <c r="G382" s="2"/>
      <c r="H382" s="2"/>
      <c r="I382" s="2"/>
      <c r="J382" s="2"/>
      <c r="K382" s="2"/>
      <c r="L382" s="2"/>
      <c r="M382" s="2"/>
      <c r="N382" s="2"/>
      <c r="O382" s="2"/>
      <c r="P382" s="2215"/>
      <c r="Q382" s="2"/>
    </row>
    <row r="383" spans="1:17" ht="15.75">
      <c r="A383" s="37"/>
      <c r="B383" s="2"/>
      <c r="C383" s="2"/>
      <c r="D383" s="2"/>
      <c r="E383" s="2"/>
      <c r="F383" s="2"/>
      <c r="G383" s="2"/>
      <c r="H383" s="2"/>
      <c r="I383" s="2"/>
      <c r="J383" s="2"/>
      <c r="K383" s="2"/>
      <c r="L383" s="2"/>
      <c r="M383" s="2"/>
      <c r="N383" s="2"/>
      <c r="O383" s="2"/>
      <c r="P383" s="2215"/>
      <c r="Q383" s="2"/>
    </row>
    <row r="384" spans="1:17" ht="15.75">
      <c r="A384" s="37"/>
      <c r="B384" s="2"/>
      <c r="C384" s="2"/>
      <c r="D384" s="2"/>
      <c r="E384" s="2"/>
      <c r="F384" s="2"/>
      <c r="G384" s="2"/>
      <c r="H384" s="2"/>
      <c r="I384" s="2"/>
      <c r="J384" s="2"/>
      <c r="K384" s="2"/>
      <c r="L384" s="2"/>
      <c r="M384" s="2"/>
      <c r="N384" s="2"/>
      <c r="O384" s="2"/>
      <c r="P384" s="2215"/>
      <c r="Q384" s="2"/>
    </row>
    <row r="385" spans="1:17" ht="15.75">
      <c r="A385" s="37"/>
      <c r="B385" s="2"/>
      <c r="C385" s="2"/>
      <c r="D385" s="2"/>
      <c r="E385" s="2"/>
      <c r="F385" s="2"/>
      <c r="G385" s="2"/>
      <c r="H385" s="2"/>
      <c r="I385" s="2"/>
      <c r="J385" s="2"/>
      <c r="K385" s="2"/>
      <c r="L385" s="2"/>
      <c r="M385" s="2"/>
      <c r="N385" s="2"/>
      <c r="O385" s="2"/>
      <c r="P385" s="2215"/>
      <c r="Q385" s="2"/>
    </row>
    <row r="386" spans="1:17" ht="15.75">
      <c r="A386" s="37"/>
      <c r="B386" s="2"/>
      <c r="C386" s="2"/>
      <c r="D386" s="2"/>
      <c r="E386" s="2"/>
      <c r="F386" s="2"/>
      <c r="G386" s="2"/>
      <c r="H386" s="2"/>
      <c r="I386" s="2"/>
      <c r="J386" s="2"/>
      <c r="K386" s="2"/>
      <c r="L386" s="2"/>
      <c r="M386" s="2"/>
      <c r="N386" s="2"/>
      <c r="O386" s="2"/>
      <c r="P386" s="2215"/>
      <c r="Q386" s="2"/>
    </row>
    <row r="387" spans="1:17" ht="15.75">
      <c r="A387" s="37"/>
      <c r="B387" s="2"/>
      <c r="C387" s="2"/>
      <c r="D387" s="2"/>
      <c r="E387" s="2"/>
      <c r="F387" s="2"/>
      <c r="G387" s="2"/>
      <c r="H387" s="2"/>
      <c r="I387" s="2"/>
      <c r="J387" s="2"/>
      <c r="K387" s="2"/>
      <c r="L387" s="2"/>
      <c r="M387" s="2"/>
      <c r="N387" s="2"/>
      <c r="O387" s="2"/>
      <c r="P387" s="2215"/>
      <c r="Q387" s="2"/>
    </row>
    <row r="388" spans="1:17" ht="15.75">
      <c r="A388" s="37"/>
      <c r="B388" s="2"/>
      <c r="C388" s="2"/>
      <c r="D388" s="2"/>
      <c r="E388" s="2"/>
      <c r="F388" s="2"/>
      <c r="G388" s="2"/>
      <c r="H388" s="2"/>
      <c r="I388" s="2"/>
      <c r="J388" s="2"/>
      <c r="K388" s="2"/>
      <c r="L388" s="2"/>
      <c r="M388" s="2"/>
      <c r="N388" s="2"/>
      <c r="O388" s="2"/>
      <c r="P388" s="2215"/>
      <c r="Q388" s="2"/>
    </row>
    <row r="389" spans="1:17" ht="15.75">
      <c r="A389" s="37"/>
      <c r="B389" s="2"/>
      <c r="C389" s="2"/>
      <c r="D389" s="2"/>
      <c r="E389" s="2"/>
      <c r="F389" s="2"/>
      <c r="G389" s="2"/>
      <c r="H389" s="2"/>
      <c r="I389" s="2"/>
      <c r="J389" s="2"/>
      <c r="K389" s="2"/>
      <c r="L389" s="2"/>
      <c r="M389" s="2"/>
      <c r="N389" s="2"/>
      <c r="O389" s="2"/>
      <c r="P389" s="2215"/>
      <c r="Q389" s="2"/>
    </row>
    <row r="390" spans="1:17" ht="15.75">
      <c r="A390" s="37"/>
      <c r="B390" s="2"/>
      <c r="C390" s="2"/>
      <c r="D390" s="2"/>
      <c r="E390" s="2"/>
      <c r="F390" s="2"/>
      <c r="G390" s="2"/>
      <c r="H390" s="2"/>
      <c r="I390" s="2"/>
      <c r="J390" s="2"/>
      <c r="K390" s="2"/>
      <c r="L390" s="2"/>
      <c r="M390" s="2"/>
      <c r="N390" s="2"/>
      <c r="O390" s="2"/>
      <c r="P390" s="2215"/>
      <c r="Q390" s="2"/>
    </row>
    <row r="391" spans="1:17" ht="15.75">
      <c r="A391" s="37"/>
      <c r="B391" s="2"/>
      <c r="C391" s="2"/>
      <c r="D391" s="2"/>
      <c r="E391" s="2"/>
      <c r="F391" s="2"/>
      <c r="G391" s="2"/>
      <c r="H391" s="2"/>
      <c r="I391" s="2"/>
      <c r="J391" s="2"/>
      <c r="K391" s="2"/>
      <c r="L391" s="2"/>
      <c r="M391" s="2"/>
      <c r="N391" s="2"/>
      <c r="O391" s="2"/>
      <c r="P391" s="2215"/>
      <c r="Q391" s="2"/>
    </row>
    <row r="392" spans="1:17" ht="15.75">
      <c r="A392" s="37"/>
      <c r="B392" s="2"/>
      <c r="C392" s="2"/>
      <c r="D392" s="2"/>
      <c r="E392" s="2"/>
      <c r="F392" s="2"/>
      <c r="G392" s="2"/>
      <c r="H392" s="2"/>
      <c r="I392" s="2"/>
      <c r="J392" s="2"/>
      <c r="K392" s="2"/>
      <c r="L392" s="2"/>
      <c r="M392" s="2"/>
      <c r="N392" s="2"/>
      <c r="O392" s="2"/>
      <c r="P392" s="2215"/>
      <c r="Q392" s="2"/>
    </row>
    <row r="393" spans="1:17" ht="15.75">
      <c r="A393" s="37"/>
      <c r="B393" s="2"/>
      <c r="C393" s="2"/>
      <c r="D393" s="2"/>
      <c r="E393" s="2"/>
      <c r="F393" s="2"/>
      <c r="G393" s="2"/>
      <c r="H393" s="2"/>
      <c r="I393" s="2"/>
      <c r="J393" s="2"/>
      <c r="K393" s="2"/>
      <c r="L393" s="2"/>
      <c r="M393" s="2"/>
      <c r="N393" s="2"/>
      <c r="O393" s="2"/>
      <c r="P393" s="2215"/>
      <c r="Q393" s="2"/>
    </row>
    <row r="394" spans="1:17" ht="15.75">
      <c r="A394" s="37"/>
      <c r="B394" s="2"/>
      <c r="C394" s="2"/>
      <c r="D394" s="2"/>
      <c r="E394" s="2"/>
      <c r="F394" s="2"/>
      <c r="G394" s="2"/>
      <c r="H394" s="2"/>
      <c r="I394" s="2"/>
      <c r="J394" s="2"/>
      <c r="K394" s="2"/>
      <c r="L394" s="2"/>
      <c r="M394" s="2"/>
      <c r="N394" s="2"/>
      <c r="O394" s="2"/>
      <c r="P394" s="2215"/>
      <c r="Q394" s="2"/>
    </row>
    <row r="395" spans="1:17" ht="15.75">
      <c r="A395" s="37"/>
      <c r="B395" s="2"/>
      <c r="C395" s="2"/>
      <c r="D395" s="2"/>
      <c r="E395" s="2"/>
      <c r="F395" s="2"/>
      <c r="G395" s="2"/>
      <c r="H395" s="2"/>
      <c r="I395" s="2"/>
      <c r="J395" s="2"/>
      <c r="K395" s="2"/>
      <c r="L395" s="2"/>
      <c r="M395" s="2"/>
      <c r="N395" s="2"/>
      <c r="O395" s="2"/>
      <c r="P395" s="2215"/>
      <c r="Q395" s="2"/>
    </row>
    <row r="396" spans="1:17" ht="15.75">
      <c r="A396" s="37"/>
      <c r="B396" s="2"/>
      <c r="C396" s="2"/>
      <c r="D396" s="2"/>
      <c r="E396" s="2"/>
      <c r="F396" s="2"/>
      <c r="G396" s="2"/>
      <c r="H396" s="2"/>
      <c r="I396" s="2"/>
      <c r="J396" s="2"/>
      <c r="K396" s="2"/>
      <c r="L396" s="2"/>
      <c r="M396" s="2"/>
      <c r="N396" s="2"/>
      <c r="O396" s="2"/>
      <c r="P396" s="2215"/>
      <c r="Q396" s="2"/>
    </row>
    <row r="397" spans="1:17" ht="15.75">
      <c r="A397" s="37"/>
      <c r="B397" s="2"/>
      <c r="C397" s="2"/>
      <c r="D397" s="2"/>
      <c r="E397" s="2"/>
      <c r="F397" s="2"/>
      <c r="G397" s="2"/>
      <c r="H397" s="2"/>
      <c r="I397" s="2"/>
      <c r="J397" s="2"/>
      <c r="K397" s="2"/>
      <c r="L397" s="2"/>
      <c r="M397" s="2"/>
      <c r="N397" s="2"/>
      <c r="O397" s="2"/>
      <c r="P397" s="2215"/>
      <c r="Q397" s="2"/>
    </row>
    <row r="398" spans="1:17" ht="15.75">
      <c r="A398" s="37"/>
      <c r="B398" s="2"/>
      <c r="C398" s="2"/>
      <c r="D398" s="2"/>
      <c r="E398" s="2"/>
      <c r="F398" s="2"/>
      <c r="G398" s="2"/>
      <c r="H398" s="2"/>
      <c r="I398" s="2"/>
      <c r="J398" s="2"/>
      <c r="K398" s="2"/>
      <c r="L398" s="2"/>
      <c r="M398" s="2"/>
      <c r="N398" s="2"/>
      <c r="O398" s="2"/>
      <c r="P398" s="2215"/>
      <c r="Q398" s="2"/>
    </row>
    <row r="399" spans="1:17" ht="15.75">
      <c r="A399" s="37"/>
      <c r="B399" s="2"/>
      <c r="C399" s="2"/>
      <c r="D399" s="2"/>
      <c r="E399" s="2"/>
      <c r="F399" s="2"/>
      <c r="G399" s="2"/>
      <c r="H399" s="2"/>
      <c r="I399" s="2"/>
      <c r="J399" s="2"/>
      <c r="K399" s="2"/>
      <c r="L399" s="2"/>
      <c r="M399" s="2"/>
      <c r="N399" s="2"/>
      <c r="O399" s="2"/>
      <c r="P399" s="2215"/>
      <c r="Q399" s="2"/>
    </row>
    <row r="400" spans="1:17" ht="15.75">
      <c r="A400" s="37"/>
      <c r="B400" s="2"/>
      <c r="C400" s="2"/>
      <c r="D400" s="2"/>
      <c r="E400" s="2"/>
      <c r="F400" s="2"/>
      <c r="G400" s="2"/>
      <c r="H400" s="2"/>
      <c r="I400" s="2"/>
      <c r="J400" s="2"/>
      <c r="K400" s="2"/>
      <c r="L400" s="2"/>
      <c r="M400" s="2"/>
      <c r="N400" s="2"/>
      <c r="O400" s="2"/>
      <c r="P400" s="2215"/>
      <c r="Q400" s="2"/>
    </row>
    <row r="401" spans="1:17" ht="15.75">
      <c r="A401" s="37"/>
      <c r="B401" s="2"/>
      <c r="C401" s="2"/>
      <c r="D401" s="2"/>
      <c r="E401" s="2"/>
      <c r="F401" s="2"/>
      <c r="G401" s="2"/>
      <c r="H401" s="2"/>
      <c r="I401" s="2"/>
      <c r="J401" s="2"/>
      <c r="K401" s="2"/>
      <c r="L401" s="2"/>
      <c r="M401" s="2"/>
      <c r="N401" s="2"/>
      <c r="O401" s="2"/>
      <c r="P401" s="2215"/>
      <c r="Q401" s="2"/>
    </row>
    <row r="402" spans="1:17" ht="15.75">
      <c r="A402" s="37"/>
      <c r="B402" s="2"/>
      <c r="C402" s="2"/>
      <c r="D402" s="2"/>
      <c r="E402" s="2"/>
      <c r="F402" s="2"/>
      <c r="G402" s="2"/>
      <c r="H402" s="2"/>
      <c r="I402" s="2"/>
      <c r="J402" s="2"/>
      <c r="K402" s="2"/>
      <c r="L402" s="2"/>
      <c r="M402" s="2"/>
      <c r="N402" s="2"/>
      <c r="O402" s="2"/>
      <c r="P402" s="2215"/>
      <c r="Q402" s="2"/>
    </row>
    <row r="403" spans="1:17" ht="15.75">
      <c r="A403" s="37"/>
      <c r="B403" s="2"/>
      <c r="C403" s="2"/>
      <c r="D403" s="2"/>
      <c r="E403" s="2"/>
      <c r="F403" s="2"/>
      <c r="G403" s="2"/>
      <c r="H403" s="2"/>
      <c r="I403" s="2"/>
      <c r="J403" s="2"/>
      <c r="K403" s="2"/>
      <c r="L403" s="2"/>
      <c r="M403" s="2"/>
      <c r="N403" s="2"/>
      <c r="O403" s="2"/>
      <c r="P403" s="2215"/>
      <c r="Q403" s="2"/>
    </row>
    <row r="404" spans="1:17" ht="15.75">
      <c r="A404" s="37"/>
      <c r="B404" s="2"/>
      <c r="C404" s="2"/>
      <c r="D404" s="2"/>
      <c r="E404" s="2"/>
      <c r="F404" s="2"/>
      <c r="G404" s="2"/>
      <c r="H404" s="2"/>
      <c r="I404" s="2"/>
      <c r="J404" s="2"/>
      <c r="K404" s="2"/>
      <c r="L404" s="2"/>
      <c r="M404" s="2"/>
      <c r="N404" s="2"/>
      <c r="O404" s="2"/>
      <c r="P404" s="2215"/>
      <c r="Q404" s="2"/>
    </row>
    <row r="405" spans="1:17" ht="15.75">
      <c r="A405" s="37"/>
      <c r="B405" s="2"/>
      <c r="C405" s="2"/>
      <c r="D405" s="2"/>
      <c r="E405" s="2"/>
      <c r="F405" s="2"/>
      <c r="G405" s="2"/>
      <c r="H405" s="2"/>
      <c r="I405" s="2"/>
      <c r="J405" s="2"/>
      <c r="K405" s="2"/>
      <c r="L405" s="2"/>
      <c r="M405" s="2"/>
      <c r="N405" s="2"/>
      <c r="O405" s="2"/>
      <c r="P405" s="2215"/>
      <c r="Q405" s="2"/>
    </row>
    <row r="406" spans="1:17" ht="15.75">
      <c r="A406" s="37"/>
      <c r="B406" s="2"/>
      <c r="C406" s="2"/>
      <c r="D406" s="2"/>
      <c r="E406" s="2"/>
      <c r="F406" s="2"/>
      <c r="G406" s="2"/>
      <c r="H406" s="2"/>
      <c r="I406" s="2"/>
      <c r="J406" s="2"/>
      <c r="K406" s="2"/>
      <c r="L406" s="2"/>
      <c r="M406" s="2"/>
      <c r="N406" s="2"/>
      <c r="O406" s="2"/>
      <c r="P406" s="2215"/>
      <c r="Q406" s="2"/>
    </row>
    <row r="407" spans="1:17" ht="15.75">
      <c r="A407" s="37"/>
      <c r="B407" s="2"/>
      <c r="C407" s="2"/>
      <c r="D407" s="2"/>
      <c r="E407" s="2"/>
      <c r="F407" s="2"/>
      <c r="G407" s="2"/>
      <c r="H407" s="2"/>
      <c r="I407" s="2"/>
      <c r="J407" s="2"/>
      <c r="K407" s="2"/>
      <c r="L407" s="2"/>
      <c r="M407" s="2"/>
      <c r="N407" s="2"/>
      <c r="O407" s="2"/>
      <c r="P407" s="2215"/>
      <c r="Q407" s="2"/>
    </row>
    <row r="408" spans="1:17" ht="15.75">
      <c r="A408" s="37"/>
      <c r="B408" s="2"/>
      <c r="C408" s="2"/>
      <c r="D408" s="2"/>
      <c r="E408" s="2"/>
      <c r="F408" s="2"/>
      <c r="G408" s="2"/>
      <c r="H408" s="2"/>
      <c r="I408" s="2"/>
      <c r="J408" s="2"/>
      <c r="K408" s="2"/>
      <c r="L408" s="2"/>
      <c r="M408" s="2"/>
      <c r="N408" s="2"/>
      <c r="O408" s="2"/>
      <c r="P408" s="2215"/>
      <c r="Q408" s="2"/>
    </row>
    <row r="409" spans="1:17" ht="15.75">
      <c r="A409" s="37"/>
      <c r="B409" s="2"/>
      <c r="C409" s="2"/>
      <c r="D409" s="2"/>
      <c r="E409" s="2"/>
      <c r="F409" s="2"/>
      <c r="G409" s="2"/>
      <c r="H409" s="2"/>
      <c r="I409" s="2"/>
      <c r="J409" s="2"/>
      <c r="K409" s="2"/>
      <c r="L409" s="2"/>
      <c r="M409" s="2"/>
      <c r="N409" s="2"/>
      <c r="O409" s="2"/>
      <c r="P409" s="2215"/>
      <c r="Q409" s="2"/>
    </row>
    <row r="410" spans="1:17" ht="15.75">
      <c r="A410" s="37"/>
      <c r="B410" s="2"/>
      <c r="C410" s="2"/>
      <c r="D410" s="2"/>
      <c r="E410" s="2"/>
      <c r="F410" s="2"/>
      <c r="G410" s="2"/>
      <c r="H410" s="2"/>
      <c r="I410" s="2"/>
      <c r="J410" s="2"/>
      <c r="K410" s="2"/>
      <c r="L410" s="2"/>
      <c r="M410" s="2"/>
      <c r="N410" s="2"/>
      <c r="O410" s="2"/>
      <c r="P410" s="2215"/>
      <c r="Q410" s="2"/>
    </row>
    <row r="411" spans="1:17" ht="15.75">
      <c r="A411" s="37"/>
      <c r="B411" s="2"/>
      <c r="C411" s="2"/>
      <c r="D411" s="2"/>
      <c r="E411" s="2"/>
      <c r="F411" s="2"/>
      <c r="G411" s="2"/>
      <c r="H411" s="2"/>
      <c r="I411" s="2"/>
      <c r="J411" s="2"/>
      <c r="K411" s="2"/>
      <c r="L411" s="2"/>
      <c r="M411" s="2"/>
      <c r="N411" s="2"/>
      <c r="O411" s="2"/>
      <c r="P411" s="2215"/>
      <c r="Q411" s="2"/>
    </row>
    <row r="412" spans="1:17" ht="15.75">
      <c r="A412" s="37"/>
      <c r="B412" s="2"/>
      <c r="C412" s="2"/>
      <c r="D412" s="2"/>
      <c r="E412" s="2"/>
      <c r="F412" s="2"/>
      <c r="G412" s="2"/>
      <c r="H412" s="2"/>
      <c r="I412" s="2"/>
      <c r="J412" s="2"/>
      <c r="K412" s="2"/>
      <c r="L412" s="2"/>
      <c r="M412" s="2"/>
      <c r="N412" s="2"/>
      <c r="O412" s="2"/>
      <c r="P412" s="2215"/>
      <c r="Q412" s="2"/>
    </row>
    <row r="413" spans="1:17" ht="15.75">
      <c r="A413" s="37"/>
      <c r="B413" s="2"/>
      <c r="C413" s="2"/>
      <c r="D413" s="2"/>
      <c r="E413" s="2"/>
      <c r="F413" s="2"/>
      <c r="G413" s="2"/>
      <c r="H413" s="2"/>
      <c r="I413" s="2"/>
      <c r="J413" s="2"/>
      <c r="K413" s="2"/>
      <c r="L413" s="2"/>
      <c r="M413" s="2"/>
      <c r="N413" s="2"/>
      <c r="O413" s="2"/>
      <c r="P413" s="2215"/>
      <c r="Q413" s="2"/>
    </row>
    <row r="414" spans="1:17" ht="15.75">
      <c r="A414" s="37"/>
      <c r="B414" s="2"/>
      <c r="C414" s="2"/>
      <c r="D414" s="2"/>
      <c r="E414" s="2"/>
      <c r="F414" s="2"/>
      <c r="G414" s="2"/>
      <c r="H414" s="2"/>
      <c r="I414" s="2"/>
      <c r="J414" s="2"/>
      <c r="K414" s="2"/>
      <c r="L414" s="2"/>
      <c r="M414" s="2"/>
      <c r="N414" s="2"/>
      <c r="O414" s="2"/>
      <c r="P414" s="2215"/>
      <c r="Q414" s="2"/>
    </row>
    <row r="415" spans="1:17" ht="15.75">
      <c r="A415" s="37"/>
      <c r="B415" s="2"/>
      <c r="C415" s="2"/>
      <c r="D415" s="2"/>
      <c r="E415" s="2"/>
      <c r="F415" s="2"/>
      <c r="G415" s="2"/>
      <c r="H415" s="2"/>
      <c r="I415" s="2"/>
      <c r="J415" s="2"/>
      <c r="K415" s="2"/>
      <c r="L415" s="2"/>
      <c r="M415" s="2"/>
      <c r="N415" s="2"/>
      <c r="O415" s="2"/>
      <c r="P415" s="2215"/>
      <c r="Q415" s="2"/>
    </row>
    <row r="416" spans="1:17" ht="15.75">
      <c r="A416" s="37"/>
      <c r="B416" s="2"/>
      <c r="C416" s="2"/>
      <c r="D416" s="2"/>
      <c r="E416" s="2"/>
      <c r="F416" s="2"/>
      <c r="G416" s="2"/>
      <c r="H416" s="2"/>
      <c r="I416" s="2"/>
      <c r="J416" s="2"/>
      <c r="K416" s="2"/>
      <c r="L416" s="2"/>
      <c r="M416" s="2"/>
      <c r="N416" s="2"/>
      <c r="O416" s="2"/>
      <c r="P416" s="2215"/>
      <c r="Q416" s="2"/>
    </row>
    <row r="417" spans="1:17" ht="15.75">
      <c r="A417" s="37"/>
      <c r="B417" s="2"/>
      <c r="C417" s="2"/>
      <c r="D417" s="2"/>
      <c r="E417" s="2"/>
      <c r="F417" s="2"/>
      <c r="G417" s="2"/>
      <c r="H417" s="2"/>
      <c r="I417" s="2"/>
      <c r="J417" s="2"/>
      <c r="K417" s="2"/>
      <c r="L417" s="2"/>
      <c r="M417" s="2"/>
      <c r="N417" s="2"/>
      <c r="O417" s="2"/>
      <c r="P417" s="2215"/>
      <c r="Q417" s="2"/>
    </row>
    <row r="418" spans="1:17" ht="15.75">
      <c r="A418" s="37"/>
      <c r="B418" s="2"/>
      <c r="C418" s="2"/>
      <c r="D418" s="2"/>
      <c r="E418" s="2"/>
      <c r="F418" s="2"/>
      <c r="G418" s="2"/>
      <c r="H418" s="2"/>
      <c r="I418" s="2"/>
      <c r="J418" s="2"/>
      <c r="K418" s="2"/>
      <c r="L418" s="2"/>
      <c r="M418" s="2"/>
      <c r="N418" s="2"/>
      <c r="O418" s="2"/>
      <c r="P418" s="2215"/>
      <c r="Q418" s="2"/>
    </row>
    <row r="419" spans="1:17" ht="15.75">
      <c r="A419" s="37"/>
      <c r="B419" s="2"/>
      <c r="C419" s="2"/>
      <c r="D419" s="2"/>
      <c r="E419" s="2"/>
      <c r="F419" s="2"/>
      <c r="G419" s="2"/>
      <c r="H419" s="2"/>
      <c r="I419" s="2"/>
      <c r="J419" s="2"/>
      <c r="K419" s="2"/>
      <c r="L419" s="2"/>
      <c r="M419" s="2"/>
      <c r="N419" s="2"/>
      <c r="O419" s="2"/>
      <c r="P419" s="2215"/>
      <c r="Q419" s="2"/>
    </row>
    <row r="420" spans="1:17" ht="15.75">
      <c r="A420" s="37"/>
      <c r="B420" s="2"/>
      <c r="C420" s="2"/>
      <c r="D420" s="2"/>
      <c r="E420" s="2"/>
      <c r="F420" s="2"/>
      <c r="G420" s="2"/>
      <c r="H420" s="2"/>
      <c r="I420" s="2"/>
      <c r="J420" s="2"/>
      <c r="K420" s="2"/>
      <c r="L420" s="2"/>
      <c r="M420" s="2"/>
      <c r="N420" s="2"/>
      <c r="O420" s="2"/>
      <c r="P420" s="2215"/>
      <c r="Q420" s="2"/>
    </row>
    <row r="421" spans="1:17" ht="15.75">
      <c r="A421" s="37"/>
      <c r="B421" s="2"/>
      <c r="C421" s="2"/>
      <c r="D421" s="2"/>
      <c r="E421" s="2"/>
      <c r="F421" s="2"/>
      <c r="G421" s="2"/>
      <c r="H421" s="2"/>
      <c r="I421" s="2"/>
      <c r="J421" s="2"/>
      <c r="K421" s="2"/>
      <c r="L421" s="2"/>
      <c r="M421" s="2"/>
      <c r="N421" s="2"/>
      <c r="O421" s="2"/>
      <c r="P421" s="2215"/>
      <c r="Q421" s="2"/>
    </row>
    <row r="422" spans="1:17" ht="15.75">
      <c r="A422" s="37"/>
      <c r="B422" s="2"/>
      <c r="C422" s="2"/>
      <c r="D422" s="2"/>
      <c r="E422" s="2"/>
      <c r="F422" s="2"/>
      <c r="G422" s="2"/>
      <c r="H422" s="2"/>
      <c r="I422" s="2"/>
      <c r="J422" s="2"/>
      <c r="K422" s="2"/>
      <c r="L422" s="2"/>
      <c r="M422" s="2"/>
      <c r="N422" s="2"/>
      <c r="O422" s="2"/>
      <c r="P422" s="2215"/>
      <c r="Q422" s="2"/>
    </row>
    <row r="423" spans="1:17" ht="15.75">
      <c r="A423" s="37"/>
      <c r="B423" s="2"/>
      <c r="C423" s="2"/>
      <c r="D423" s="2"/>
      <c r="E423" s="2"/>
      <c r="F423" s="2"/>
      <c r="G423" s="2"/>
      <c r="H423" s="2"/>
      <c r="I423" s="2"/>
      <c r="J423" s="2"/>
      <c r="K423" s="2"/>
      <c r="L423" s="2"/>
      <c r="M423" s="2"/>
      <c r="N423" s="2"/>
      <c r="O423" s="2"/>
      <c r="P423" s="2215"/>
      <c r="Q423" s="2"/>
    </row>
    <row r="424" spans="1:17" ht="15.75">
      <c r="A424" s="37"/>
      <c r="B424" s="2"/>
      <c r="C424" s="2"/>
      <c r="D424" s="2"/>
      <c r="E424" s="2"/>
      <c r="F424" s="2"/>
      <c r="G424" s="2"/>
      <c r="H424" s="2"/>
      <c r="I424" s="2"/>
      <c r="J424" s="2"/>
      <c r="K424" s="2"/>
      <c r="L424" s="2"/>
      <c r="M424" s="2"/>
      <c r="N424" s="2"/>
      <c r="O424" s="2"/>
      <c r="P424" s="2215"/>
      <c r="Q424" s="2"/>
    </row>
    <row r="425" spans="1:17" ht="15.75">
      <c r="A425" s="37"/>
      <c r="B425" s="2"/>
      <c r="C425" s="2"/>
      <c r="D425" s="2"/>
      <c r="E425" s="2"/>
      <c r="F425" s="2"/>
      <c r="G425" s="2"/>
      <c r="H425" s="2"/>
      <c r="I425" s="2"/>
      <c r="J425" s="2"/>
      <c r="K425" s="2"/>
      <c r="L425" s="2"/>
      <c r="M425" s="2"/>
      <c r="N425" s="2"/>
      <c r="O425" s="2"/>
      <c r="P425" s="2215"/>
      <c r="Q425" s="2"/>
    </row>
    <row r="426" spans="1:17" ht="15.75">
      <c r="A426" s="37"/>
      <c r="B426" s="2"/>
      <c r="C426" s="2"/>
      <c r="D426" s="2"/>
      <c r="E426" s="2"/>
      <c r="F426" s="2"/>
      <c r="G426" s="2"/>
      <c r="H426" s="2"/>
      <c r="I426" s="2"/>
      <c r="J426" s="2"/>
      <c r="K426" s="2"/>
      <c r="L426" s="2"/>
      <c r="M426" s="2"/>
      <c r="N426" s="2"/>
      <c r="O426" s="2"/>
      <c r="P426" s="2215"/>
      <c r="Q426" s="2"/>
    </row>
    <row r="427" spans="1:17" ht="15.75">
      <c r="A427" s="37"/>
      <c r="B427" s="2"/>
      <c r="C427" s="2"/>
      <c r="D427" s="2"/>
      <c r="E427" s="2"/>
      <c r="F427" s="2"/>
      <c r="G427" s="2"/>
      <c r="H427" s="2"/>
      <c r="I427" s="2"/>
      <c r="J427" s="2"/>
      <c r="K427" s="2"/>
      <c r="L427" s="2"/>
      <c r="M427" s="2"/>
      <c r="N427" s="2"/>
      <c r="O427" s="2"/>
      <c r="P427" s="2215"/>
      <c r="Q427" s="2"/>
    </row>
    <row r="428" spans="1:17" ht="15.75">
      <c r="A428" s="37"/>
      <c r="B428" s="2"/>
      <c r="C428" s="2"/>
      <c r="D428" s="2"/>
      <c r="E428" s="2"/>
      <c r="F428" s="2"/>
      <c r="G428" s="2"/>
      <c r="H428" s="2"/>
      <c r="I428" s="2"/>
      <c r="J428" s="2"/>
      <c r="K428" s="2"/>
      <c r="L428" s="2"/>
      <c r="M428" s="2"/>
      <c r="N428" s="2"/>
      <c r="O428" s="2"/>
      <c r="P428" s="2215"/>
      <c r="Q428" s="2"/>
    </row>
    <row r="429" spans="1:17" ht="15.75">
      <c r="A429" s="37"/>
      <c r="B429" s="2"/>
      <c r="C429" s="2"/>
      <c r="D429" s="2"/>
      <c r="E429" s="2"/>
      <c r="F429" s="2"/>
      <c r="G429" s="2"/>
      <c r="H429" s="2"/>
      <c r="I429" s="2"/>
      <c r="J429" s="2"/>
      <c r="K429" s="2"/>
      <c r="L429" s="2"/>
      <c r="M429" s="2"/>
      <c r="N429" s="2"/>
      <c r="O429" s="2"/>
      <c r="P429" s="2215"/>
      <c r="Q429" s="2"/>
    </row>
    <row r="430" spans="1:17" ht="15.75">
      <c r="A430" s="37"/>
      <c r="B430" s="2"/>
      <c r="C430" s="2"/>
      <c r="D430" s="2"/>
      <c r="E430" s="2"/>
      <c r="F430" s="2"/>
      <c r="G430" s="2"/>
      <c r="H430" s="2"/>
      <c r="I430" s="2"/>
      <c r="J430" s="2"/>
      <c r="K430" s="2"/>
      <c r="L430" s="2"/>
      <c r="M430" s="2"/>
      <c r="N430" s="2"/>
      <c r="O430" s="2"/>
      <c r="P430" s="2215"/>
      <c r="Q430" s="2"/>
    </row>
    <row r="431" spans="1:17" ht="15.75">
      <c r="A431" s="37"/>
      <c r="B431" s="2"/>
      <c r="C431" s="2"/>
      <c r="D431" s="2"/>
      <c r="E431" s="2"/>
      <c r="F431" s="2"/>
      <c r="G431" s="2"/>
      <c r="H431" s="2"/>
      <c r="I431" s="2"/>
      <c r="J431" s="2"/>
      <c r="K431" s="2"/>
      <c r="L431" s="2"/>
      <c r="M431" s="2"/>
      <c r="N431" s="2"/>
      <c r="O431" s="2"/>
      <c r="P431" s="2215"/>
      <c r="Q431" s="2"/>
    </row>
    <row r="432" spans="1:17" ht="15.75">
      <c r="A432" s="37"/>
      <c r="B432" s="2"/>
      <c r="C432" s="2"/>
      <c r="D432" s="2"/>
      <c r="E432" s="2"/>
      <c r="F432" s="2"/>
      <c r="G432" s="2"/>
      <c r="H432" s="2"/>
      <c r="I432" s="2"/>
      <c r="J432" s="2"/>
      <c r="K432" s="2"/>
      <c r="L432" s="2"/>
      <c r="M432" s="2"/>
      <c r="N432" s="2"/>
      <c r="O432" s="2"/>
      <c r="P432" s="2215"/>
      <c r="Q432" s="2"/>
    </row>
    <row r="433" spans="1:17" ht="15.75">
      <c r="A433" s="37"/>
      <c r="B433" s="2"/>
      <c r="C433" s="2"/>
      <c r="D433" s="2"/>
      <c r="E433" s="2"/>
      <c r="F433" s="2"/>
      <c r="G433" s="2"/>
      <c r="H433" s="2"/>
      <c r="I433" s="2"/>
      <c r="J433" s="2"/>
      <c r="K433" s="2"/>
      <c r="L433" s="2"/>
      <c r="M433" s="2"/>
      <c r="N433" s="2"/>
      <c r="O433" s="2"/>
      <c r="P433" s="2215"/>
      <c r="Q433" s="2"/>
    </row>
    <row r="434" spans="1:17" ht="15.75">
      <c r="A434" s="37"/>
      <c r="B434" s="2"/>
      <c r="C434" s="2"/>
      <c r="D434" s="2"/>
      <c r="E434" s="2"/>
      <c r="F434" s="2"/>
      <c r="G434" s="2"/>
      <c r="H434" s="2"/>
      <c r="I434" s="2"/>
      <c r="J434" s="2"/>
      <c r="K434" s="2"/>
      <c r="L434" s="2"/>
      <c r="M434" s="2"/>
      <c r="N434" s="2"/>
      <c r="O434" s="2"/>
      <c r="P434" s="2215"/>
      <c r="Q434" s="2"/>
    </row>
    <row r="435" spans="1:17" ht="15.75">
      <c r="A435" s="37"/>
      <c r="B435" s="2"/>
      <c r="C435" s="2"/>
      <c r="D435" s="2"/>
      <c r="E435" s="2"/>
      <c r="F435" s="2"/>
      <c r="G435" s="2"/>
      <c r="H435" s="2"/>
      <c r="I435" s="2"/>
      <c r="J435" s="2"/>
      <c r="K435" s="2"/>
      <c r="L435" s="2"/>
      <c r="M435" s="2"/>
      <c r="N435" s="2"/>
      <c r="O435" s="2"/>
      <c r="P435" s="2215"/>
      <c r="Q435" s="2"/>
    </row>
    <row r="436" spans="1:17" ht="15.75">
      <c r="A436" s="37"/>
      <c r="B436" s="2"/>
      <c r="C436" s="2"/>
      <c r="D436" s="2"/>
      <c r="E436" s="2"/>
      <c r="F436" s="2"/>
      <c r="G436" s="2"/>
      <c r="H436" s="2"/>
      <c r="I436" s="2"/>
      <c r="J436" s="2"/>
      <c r="K436" s="2"/>
      <c r="L436" s="2"/>
      <c r="M436" s="2"/>
      <c r="N436" s="2"/>
      <c r="O436" s="2"/>
      <c r="P436" s="2215"/>
      <c r="Q436" s="2"/>
    </row>
    <row r="437" spans="1:17" ht="15.75">
      <c r="A437" s="37"/>
      <c r="B437" s="2"/>
      <c r="C437" s="2"/>
      <c r="D437" s="2"/>
      <c r="E437" s="2"/>
      <c r="F437" s="2"/>
      <c r="G437" s="2"/>
      <c r="H437" s="2"/>
      <c r="I437" s="2"/>
      <c r="J437" s="2"/>
      <c r="K437" s="2"/>
      <c r="L437" s="2"/>
      <c r="M437" s="2"/>
      <c r="N437" s="2"/>
      <c r="O437" s="2"/>
      <c r="P437" s="2215"/>
      <c r="Q437" s="2"/>
    </row>
    <row r="438" spans="1:17" ht="15.75">
      <c r="A438" s="37"/>
      <c r="B438" s="2"/>
      <c r="C438" s="2"/>
      <c r="D438" s="2"/>
      <c r="E438" s="2"/>
      <c r="F438" s="2"/>
      <c r="G438" s="2"/>
      <c r="H438" s="2"/>
      <c r="I438" s="2"/>
      <c r="J438" s="2"/>
      <c r="K438" s="2"/>
      <c r="L438" s="2"/>
      <c r="M438" s="2"/>
      <c r="N438" s="2"/>
      <c r="O438" s="2"/>
      <c r="P438" s="2215"/>
      <c r="Q438" s="2"/>
    </row>
    <row r="439" spans="1:17" ht="15.75">
      <c r="A439" s="37"/>
      <c r="B439" s="2"/>
      <c r="C439" s="2"/>
      <c r="D439" s="2"/>
      <c r="E439" s="2"/>
      <c r="F439" s="2"/>
      <c r="G439" s="2"/>
      <c r="H439" s="2"/>
      <c r="I439" s="2"/>
      <c r="J439" s="2"/>
      <c r="K439" s="2"/>
      <c r="L439" s="2"/>
      <c r="M439" s="2"/>
      <c r="N439" s="2"/>
      <c r="O439" s="2"/>
      <c r="P439" s="2215"/>
      <c r="Q439" s="2"/>
    </row>
    <row r="440" spans="1:17" ht="15.75">
      <c r="A440" s="37"/>
      <c r="B440" s="2"/>
      <c r="C440" s="2"/>
      <c r="D440" s="2"/>
      <c r="E440" s="2"/>
      <c r="F440" s="2"/>
      <c r="G440" s="2"/>
      <c r="H440" s="2"/>
      <c r="I440" s="2"/>
      <c r="J440" s="2"/>
      <c r="K440" s="2"/>
      <c r="L440" s="2"/>
      <c r="M440" s="2"/>
      <c r="N440" s="2"/>
      <c r="O440" s="2"/>
      <c r="P440" s="2215"/>
      <c r="Q440" s="2"/>
    </row>
  </sheetData>
  <mergeCells count="18">
    <mergeCell ref="K166:M166"/>
    <mergeCell ref="A5:G5"/>
    <mergeCell ref="A73:G73"/>
    <mergeCell ref="A139:G139"/>
    <mergeCell ref="A156:G156"/>
    <mergeCell ref="K156:M156"/>
    <mergeCell ref="A283:G283"/>
    <mergeCell ref="A170:G170"/>
    <mergeCell ref="A179:G179"/>
    <mergeCell ref="K179:M179"/>
    <mergeCell ref="A229:G229"/>
    <mergeCell ref="K240:M240"/>
    <mergeCell ref="A244:G244"/>
    <mergeCell ref="A251:G251"/>
    <mergeCell ref="K251:M251"/>
    <mergeCell ref="A258:G258"/>
    <mergeCell ref="A265:G265"/>
    <mergeCell ref="K265:M265"/>
  </mergeCells>
  <pageMargins left="0.7" right="0.7" top="0.75" bottom="0.75" header="0.3" footer="0.3"/>
  <pageSetup scale="37" fitToHeight="0" orientation="landscape" r:id="rId1"/>
  <rowBreaks count="2" manualBreakCount="2">
    <brk id="168" max="16383" man="1"/>
    <brk id="24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64"/>
  <sheetViews>
    <sheetView topLeftCell="A16" workbookViewId="0">
      <selection activeCell="S29" sqref="S29"/>
    </sheetView>
  </sheetViews>
  <sheetFormatPr defaultRowHeight="15"/>
  <cols>
    <col min="1" max="1" width="4.140625" customWidth="1"/>
    <col min="2" max="2" width="11.28515625" customWidth="1"/>
    <col min="3" max="3" width="19.28515625" customWidth="1"/>
    <col min="4" max="4" width="16.28515625" customWidth="1"/>
    <col min="5" max="5" width="19.140625" customWidth="1"/>
    <col min="6" max="6" width="18.5703125" customWidth="1"/>
    <col min="7" max="7" width="15.28515625" customWidth="1"/>
    <col min="8" max="8" width="13.28515625" customWidth="1"/>
    <col min="9" max="9" width="15.7109375" customWidth="1"/>
    <col min="10" max="10" width="17.140625" customWidth="1"/>
    <col min="11" max="11" width="14.140625" customWidth="1"/>
    <col min="12" max="12" width="16.140625" customWidth="1"/>
    <col min="13" max="13" width="3.28515625" customWidth="1"/>
    <col min="14" max="14" width="16.85546875" bestFit="1" customWidth="1"/>
    <col min="15" max="15" width="14.140625" customWidth="1"/>
    <col min="16" max="16" width="18.7109375" customWidth="1"/>
    <col min="17" max="17" width="15.5703125" customWidth="1"/>
    <col min="18" max="18" width="18.85546875" customWidth="1"/>
    <col min="19" max="19" width="17.140625" bestFit="1" customWidth="1"/>
    <col min="20" max="20" width="3.28515625" customWidth="1"/>
    <col min="21" max="21" width="15.5703125" customWidth="1"/>
    <col min="22" max="22" width="16.5703125" customWidth="1"/>
    <col min="23" max="23" width="15.85546875" bestFit="1" customWidth="1"/>
    <col min="24" max="24" width="13.28515625" customWidth="1"/>
    <col min="25" max="25" width="14.7109375" customWidth="1"/>
    <col min="26" max="26" width="14.140625" customWidth="1"/>
  </cols>
  <sheetData>
    <row r="1" spans="1:26" ht="18">
      <c r="A1" s="1172" t="s">
        <v>2</v>
      </c>
      <c r="B1" s="1173"/>
      <c r="C1" s="1173"/>
      <c r="D1" s="1173"/>
      <c r="E1" s="1173"/>
      <c r="F1" s="1173"/>
      <c r="G1" s="1173"/>
      <c r="H1" s="1173"/>
      <c r="I1" s="1173"/>
      <c r="J1" s="1173"/>
      <c r="K1" s="1174"/>
      <c r="L1" s="1174"/>
      <c r="M1" s="1174"/>
      <c r="N1" s="1174"/>
      <c r="O1" s="1174"/>
      <c r="P1" s="1174"/>
      <c r="Q1" s="1174"/>
      <c r="R1" s="1174"/>
      <c r="S1" s="1174"/>
      <c r="T1" s="1174"/>
      <c r="U1" s="1174"/>
      <c r="V1" s="1174"/>
      <c r="W1" s="1174"/>
      <c r="X1" s="1175"/>
      <c r="Y1" s="1175"/>
      <c r="Z1" s="1175"/>
    </row>
    <row r="2" spans="1:26" ht="18">
      <c r="A2" s="1176" t="s">
        <v>1170</v>
      </c>
      <c r="B2" s="1177"/>
      <c r="C2" s="1177"/>
      <c r="D2" s="1177"/>
      <c r="E2" s="1177"/>
      <c r="F2" s="1177"/>
      <c r="G2" s="1177"/>
      <c r="H2" s="1177"/>
      <c r="I2" s="1178"/>
      <c r="J2" s="1178"/>
      <c r="K2" s="1174"/>
      <c r="L2" s="1174"/>
      <c r="M2" s="1174"/>
      <c r="N2" s="1174"/>
      <c r="O2" s="1174"/>
      <c r="P2" s="1174"/>
      <c r="Q2" s="1174"/>
      <c r="R2" s="1174"/>
      <c r="S2" s="1174"/>
      <c r="T2" s="1174"/>
      <c r="U2" s="1174"/>
      <c r="V2" s="1174"/>
      <c r="W2" s="1174"/>
      <c r="X2" s="1175"/>
      <c r="Y2" s="1175"/>
      <c r="Z2" s="1175"/>
    </row>
    <row r="3" spans="1:26">
      <c r="A3" s="1174"/>
      <c r="B3" s="1174"/>
      <c r="C3" s="1174"/>
      <c r="D3" s="1174"/>
      <c r="E3" s="1174"/>
      <c r="F3" s="1174"/>
      <c r="G3" s="1174"/>
      <c r="H3" s="1174"/>
      <c r="I3" s="1174"/>
      <c r="J3" s="1174"/>
      <c r="K3" s="1174"/>
      <c r="L3" s="1174"/>
      <c r="M3" s="1174"/>
      <c r="N3" s="1174"/>
      <c r="O3" s="1174"/>
      <c r="P3" s="1174"/>
      <c r="Q3" s="1174"/>
      <c r="R3" s="1174"/>
      <c r="S3" s="1174"/>
      <c r="T3" s="1174"/>
      <c r="U3" s="1174"/>
      <c r="V3" s="1174"/>
      <c r="W3" s="1174"/>
      <c r="X3" s="1175"/>
      <c r="Y3" s="1175"/>
      <c r="Z3" s="1175"/>
    </row>
    <row r="4" spans="1:26" ht="16.5">
      <c r="A4" s="1179"/>
      <c r="B4" s="1179"/>
      <c r="C4" s="1179"/>
      <c r="D4" s="1175"/>
      <c r="E4" s="1175"/>
      <c r="F4" s="1175"/>
      <c r="G4" s="1175"/>
      <c r="H4" s="1175"/>
      <c r="I4" s="1175"/>
      <c r="J4" s="1180"/>
      <c r="K4" s="1175"/>
      <c r="L4" s="1175"/>
      <c r="M4" s="1175"/>
      <c r="N4" s="1175"/>
      <c r="O4" s="1175"/>
      <c r="P4" s="1175"/>
      <c r="Q4" s="1175"/>
      <c r="R4" s="1175"/>
      <c r="S4" s="1175"/>
      <c r="T4" s="1175"/>
      <c r="U4" s="1175"/>
      <c r="V4" s="1175"/>
      <c r="W4" s="1175"/>
      <c r="X4" s="1175"/>
      <c r="Y4" s="1175"/>
      <c r="Z4" s="1175"/>
    </row>
    <row r="5" spans="1:26">
      <c r="A5" s="1179"/>
      <c r="B5" s="1179"/>
      <c r="C5" s="1179"/>
      <c r="D5" s="1175"/>
      <c r="E5" s="1181"/>
      <c r="F5" s="1181"/>
      <c r="G5" s="1181"/>
      <c r="H5" s="1181"/>
      <c r="I5" s="1181"/>
      <c r="J5" s="1181"/>
      <c r="K5" s="1181"/>
      <c r="L5" s="1181"/>
      <c r="M5" s="1181"/>
      <c r="N5" s="1181"/>
      <c r="O5" s="1181"/>
      <c r="P5" s="1181"/>
      <c r="Q5" s="1181"/>
      <c r="R5" s="1181"/>
      <c r="S5" s="1181"/>
      <c r="T5" s="1181"/>
      <c r="U5" s="1181"/>
      <c r="V5" s="1181"/>
      <c r="W5" s="1181"/>
      <c r="X5" s="1181"/>
      <c r="Y5" s="1181"/>
      <c r="Z5" s="1181"/>
    </row>
    <row r="6" spans="1:26">
      <c r="A6" s="1182" t="s">
        <v>1171</v>
      </c>
      <c r="B6" s="1183"/>
      <c r="C6" s="1183"/>
      <c r="D6" s="1181"/>
      <c r="E6" s="1181"/>
      <c r="F6" s="1181"/>
      <c r="G6" s="1181"/>
      <c r="H6" s="1181"/>
      <c r="I6" s="1181"/>
      <c r="J6" s="1181"/>
      <c r="K6" s="1181"/>
      <c r="L6" s="1181"/>
      <c r="M6" s="1181"/>
      <c r="N6" s="1181"/>
      <c r="O6" s="1181"/>
      <c r="P6" s="1181"/>
      <c r="Q6" s="1181"/>
      <c r="R6" s="1181"/>
      <c r="S6" s="1181"/>
      <c r="T6" s="1181"/>
      <c r="U6" s="1181"/>
      <c r="V6" s="1181"/>
      <c r="W6" s="1181"/>
      <c r="X6" s="1181"/>
      <c r="Y6" s="1181"/>
      <c r="Z6" s="1181"/>
    </row>
    <row r="7" spans="1:26">
      <c r="A7" s="1184" t="s">
        <v>1172</v>
      </c>
      <c r="B7" s="1184" t="s">
        <v>1173</v>
      </c>
      <c r="C7" s="1184" t="s">
        <v>1017</v>
      </c>
      <c r="D7" s="1185" t="s">
        <v>1174</v>
      </c>
      <c r="E7" s="1181"/>
      <c r="F7" s="1181"/>
      <c r="G7" s="1181"/>
      <c r="H7" s="1181"/>
      <c r="I7" s="1181"/>
      <c r="J7" s="1181"/>
      <c r="K7" s="1181"/>
      <c r="L7" s="1181"/>
      <c r="M7" s="1181"/>
      <c r="N7" s="1181"/>
      <c r="O7" s="1181"/>
      <c r="P7" s="1181"/>
      <c r="Q7" s="1181"/>
      <c r="R7" s="1181"/>
      <c r="S7" s="1181"/>
      <c r="T7" s="1181"/>
      <c r="U7" s="1181"/>
      <c r="V7" s="1181"/>
      <c r="W7" s="1181"/>
      <c r="X7" s="1181"/>
      <c r="Y7" s="1181"/>
      <c r="Z7" s="1181"/>
    </row>
    <row r="8" spans="1:26">
      <c r="A8" s="1186">
        <v>1</v>
      </c>
      <c r="B8" s="1186" t="s">
        <v>1025</v>
      </c>
      <c r="C8" s="1186" t="s">
        <v>1175</v>
      </c>
      <c r="D8" s="1187" t="s">
        <v>1176</v>
      </c>
      <c r="E8" s="1188"/>
      <c r="F8" s="1188"/>
      <c r="G8" s="1188"/>
      <c r="H8" s="1188"/>
      <c r="I8" s="1188"/>
      <c r="J8" s="1188"/>
      <c r="K8" s="1188"/>
      <c r="L8" s="1188"/>
      <c r="M8" s="1188"/>
      <c r="N8" s="1188"/>
      <c r="O8" s="1188"/>
      <c r="P8" s="1188"/>
      <c r="Q8" s="1188"/>
      <c r="R8" s="1188"/>
      <c r="S8" s="1188"/>
      <c r="T8" s="1188"/>
      <c r="U8" s="1188"/>
      <c r="V8" s="1188"/>
      <c r="W8" s="1188"/>
      <c r="X8" s="1188"/>
      <c r="Y8" s="1188"/>
      <c r="Z8" s="1188"/>
    </row>
    <row r="9" spans="1:26">
      <c r="A9" s="1186">
        <v>2</v>
      </c>
      <c r="B9" s="1186" t="str">
        <f>+B8</f>
        <v>April</v>
      </c>
      <c r="C9" s="1186" t="str">
        <f>+C8</f>
        <v>Year 2</v>
      </c>
      <c r="D9" s="1187" t="s">
        <v>1177</v>
      </c>
      <c r="E9" s="1188"/>
      <c r="F9" s="1188"/>
      <c r="G9" s="1188"/>
      <c r="H9" s="1188"/>
      <c r="I9" s="1188"/>
      <c r="J9" s="1188"/>
      <c r="K9" s="1188"/>
      <c r="L9" s="1188"/>
      <c r="M9" s="1188"/>
      <c r="N9" s="1188"/>
      <c r="O9" s="1188"/>
      <c r="P9" s="1188"/>
      <c r="Q9" s="1188"/>
      <c r="R9" s="1188"/>
      <c r="S9" s="1188"/>
      <c r="T9" s="1188"/>
      <c r="U9" s="1188"/>
      <c r="V9" s="1188"/>
      <c r="W9" s="1188"/>
      <c r="X9" s="1188"/>
      <c r="Y9" s="1188"/>
      <c r="Z9" s="1188"/>
    </row>
    <row r="10" spans="1:26">
      <c r="A10" s="1186">
        <v>3</v>
      </c>
      <c r="B10" s="1186" t="s">
        <v>1025</v>
      </c>
      <c r="C10" s="1186" t="str">
        <f>+C9</f>
        <v>Year 2</v>
      </c>
      <c r="D10" s="1187" t="s">
        <v>1178</v>
      </c>
      <c r="E10" s="1188"/>
      <c r="F10" s="1188"/>
      <c r="G10" s="1188"/>
      <c r="H10" s="1188"/>
      <c r="I10" s="1188"/>
      <c r="J10" s="1188"/>
      <c r="K10" s="1188"/>
      <c r="L10" s="1188"/>
      <c r="M10" s="1188"/>
      <c r="N10" s="1188"/>
      <c r="O10" s="1188"/>
      <c r="P10" s="1188"/>
      <c r="Q10" s="1188"/>
      <c r="R10" s="1188"/>
      <c r="S10" s="1188"/>
      <c r="T10" s="1188"/>
      <c r="U10" s="1188"/>
      <c r="V10" s="1188"/>
      <c r="W10" s="1188"/>
      <c r="X10" s="1188"/>
      <c r="Y10" s="1188"/>
      <c r="Z10" s="1188"/>
    </row>
    <row r="11" spans="1:26">
      <c r="A11" s="1186">
        <v>4</v>
      </c>
      <c r="B11" s="1186" t="s">
        <v>1026</v>
      </c>
      <c r="C11" s="1186" t="str">
        <f>+C10</f>
        <v>Year 2</v>
      </c>
      <c r="D11" s="1187" t="s">
        <v>1179</v>
      </c>
      <c r="E11" s="1188"/>
      <c r="F11" s="1188"/>
      <c r="G11" s="1188"/>
      <c r="H11" s="1188"/>
      <c r="I11" s="1188"/>
      <c r="J11" s="1188"/>
      <c r="K11" s="1188"/>
      <c r="L11" s="1188"/>
      <c r="M11" s="1188"/>
      <c r="N11" s="1188"/>
      <c r="O11" s="1188"/>
      <c r="P11" s="1188"/>
      <c r="Q11" s="1188"/>
      <c r="R11" s="1188"/>
      <c r="S11" s="1188"/>
      <c r="T11" s="1188"/>
      <c r="U11" s="1188"/>
      <c r="V11" s="1188"/>
      <c r="W11" s="1188"/>
      <c r="X11" s="1188"/>
      <c r="Y11" s="1188"/>
      <c r="Z11" s="1188"/>
    </row>
    <row r="12" spans="1:26">
      <c r="A12" s="1186">
        <v>5</v>
      </c>
      <c r="B12" s="1189" t="s">
        <v>1180</v>
      </c>
      <c r="C12" s="1186" t="str">
        <f>+C11</f>
        <v>Year 2</v>
      </c>
      <c r="D12" s="1187" t="s">
        <v>1181</v>
      </c>
      <c r="E12" s="1188"/>
      <c r="F12" s="1188"/>
      <c r="G12" s="1188"/>
      <c r="H12" s="1188"/>
      <c r="I12" s="1188"/>
      <c r="J12" s="1188"/>
      <c r="K12" s="1188"/>
      <c r="L12" s="1188"/>
      <c r="M12" s="1188"/>
      <c r="N12" s="1188"/>
      <c r="O12" s="1188"/>
      <c r="P12" s="1188"/>
      <c r="Q12" s="1188"/>
      <c r="R12" s="1188"/>
      <c r="S12" s="1188"/>
      <c r="T12" s="1188"/>
      <c r="U12" s="1188"/>
      <c r="V12" s="1188"/>
      <c r="W12" s="1188"/>
      <c r="X12" s="1188"/>
      <c r="Y12" s="1188"/>
      <c r="Z12" s="1188"/>
    </row>
    <row r="13" spans="1:26">
      <c r="A13" s="1183"/>
      <c r="B13" s="1183"/>
      <c r="C13" s="1186"/>
      <c r="D13" s="1190"/>
      <c r="E13" s="1181"/>
      <c r="F13" s="1181"/>
      <c r="G13" s="1181"/>
      <c r="H13" s="1181"/>
      <c r="I13" s="1181"/>
      <c r="J13" s="1181"/>
      <c r="K13" s="1181"/>
      <c r="L13" s="1181"/>
      <c r="M13" s="1181"/>
      <c r="N13" s="1181"/>
      <c r="O13" s="1181"/>
      <c r="P13" s="1181"/>
      <c r="Q13" s="1181"/>
      <c r="R13" s="1181"/>
      <c r="S13" s="1181"/>
      <c r="T13" s="1181"/>
      <c r="U13" s="1181"/>
      <c r="V13" s="1181"/>
      <c r="W13" s="1181"/>
      <c r="X13" s="1181"/>
      <c r="Y13" s="1181"/>
      <c r="Z13" s="1181"/>
    </row>
    <row r="14" spans="1:26">
      <c r="A14" s="1183">
        <v>6</v>
      </c>
      <c r="B14" s="1183" t="str">
        <f>+B8</f>
        <v>April</v>
      </c>
      <c r="C14" s="1186" t="s">
        <v>1182</v>
      </c>
      <c r="D14" s="1190" t="s">
        <v>1183</v>
      </c>
      <c r="E14" s="1181"/>
      <c r="F14" s="1181"/>
      <c r="G14" s="1181"/>
      <c r="H14" s="1181"/>
      <c r="I14" s="1181"/>
      <c r="J14" s="1181"/>
      <c r="K14" s="1181"/>
      <c r="L14" s="1181"/>
      <c r="M14" s="1181"/>
      <c r="N14" s="1181"/>
      <c r="O14" s="1181"/>
      <c r="P14" s="1181"/>
      <c r="Q14" s="1181"/>
      <c r="R14" s="1181"/>
      <c r="S14" s="1181"/>
      <c r="T14" s="1181"/>
      <c r="U14" s="1181"/>
      <c r="V14" s="1181"/>
      <c r="W14" s="1181"/>
      <c r="X14" s="1181"/>
      <c r="Y14" s="1181"/>
      <c r="Z14" s="1181"/>
    </row>
    <row r="15" spans="1:26">
      <c r="A15" s="1183">
        <v>7</v>
      </c>
      <c r="B15" s="1183" t="str">
        <f>+B17</f>
        <v>April</v>
      </c>
      <c r="C15" s="1186" t="str">
        <f>+C17</f>
        <v>Year 3</v>
      </c>
      <c r="D15" s="1190" t="s">
        <v>1184</v>
      </c>
      <c r="E15" s="1191"/>
      <c r="F15" s="1191"/>
      <c r="G15" s="1191"/>
      <c r="H15" s="1191"/>
      <c r="I15" s="1191"/>
      <c r="J15" s="1191"/>
      <c r="K15" s="1181"/>
      <c r="L15" s="1181"/>
      <c r="M15" s="1181"/>
      <c r="N15" s="1181"/>
      <c r="O15" s="1181"/>
      <c r="P15" s="1181"/>
      <c r="Q15" s="1181"/>
      <c r="R15" s="1181"/>
      <c r="S15" s="1181"/>
      <c r="T15" s="1181"/>
      <c r="U15" s="1181"/>
      <c r="V15" s="1181"/>
      <c r="W15" s="1181"/>
      <c r="X15" s="1181"/>
      <c r="Y15" s="1181"/>
      <c r="Z15" s="1181"/>
    </row>
    <row r="16" spans="1:26">
      <c r="A16" s="1183"/>
      <c r="B16" s="1183"/>
      <c r="C16" s="1186"/>
      <c r="D16" s="1190"/>
      <c r="E16" s="1191"/>
      <c r="F16" s="1191"/>
      <c r="G16" s="1191"/>
      <c r="H16" s="1191"/>
      <c r="I16" s="1191"/>
      <c r="J16" s="1191"/>
      <c r="K16" s="1181"/>
      <c r="L16" s="1181"/>
      <c r="M16" s="1181"/>
      <c r="N16" s="1181"/>
      <c r="O16" s="1181"/>
      <c r="P16" s="1181"/>
      <c r="Q16" s="1181"/>
      <c r="R16" s="1181"/>
      <c r="S16" s="1181"/>
      <c r="T16" s="1181"/>
      <c r="U16" s="1181"/>
      <c r="V16" s="1181"/>
      <c r="W16" s="1181"/>
      <c r="X16" s="1181"/>
      <c r="Y16" s="1181"/>
      <c r="Z16" s="1181"/>
    </row>
    <row r="17" spans="1:26">
      <c r="A17" s="1183">
        <v>8</v>
      </c>
      <c r="B17" s="1183" t="str">
        <f>+B14</f>
        <v>April</v>
      </c>
      <c r="C17" s="1186" t="str">
        <f>+C14</f>
        <v>Year 3</v>
      </c>
      <c r="D17" s="1190" t="s">
        <v>1185</v>
      </c>
      <c r="E17" s="1181"/>
      <c r="F17" s="1181"/>
      <c r="G17" s="1181"/>
      <c r="H17" s="1181"/>
      <c r="I17" s="1181"/>
      <c r="J17" s="1181"/>
      <c r="K17" s="1181"/>
      <c r="L17" s="1181"/>
      <c r="M17" s="1181"/>
      <c r="N17" s="1181"/>
      <c r="O17" s="1181"/>
      <c r="P17" s="1181"/>
      <c r="Q17" s="1181"/>
      <c r="R17" s="1181"/>
      <c r="S17" s="1181"/>
      <c r="T17" s="1181"/>
      <c r="U17" s="1181"/>
      <c r="V17" s="1181"/>
      <c r="W17" s="1181"/>
      <c r="X17" s="1181"/>
      <c r="Y17" s="1181"/>
      <c r="Z17" s="1181"/>
    </row>
    <row r="18" spans="1:26">
      <c r="A18" s="1183"/>
      <c r="B18" s="1192"/>
      <c r="C18" s="1183"/>
      <c r="D18" s="1190"/>
      <c r="E18" s="1181"/>
      <c r="F18" s="1181"/>
      <c r="G18" s="1181"/>
      <c r="H18" s="1181"/>
      <c r="I18" s="1181"/>
      <c r="J18" s="1181"/>
      <c r="K18" s="1181"/>
      <c r="L18" s="1181"/>
      <c r="M18" s="1181"/>
      <c r="N18" s="1181"/>
      <c r="O18" s="1181"/>
      <c r="P18" s="1181"/>
      <c r="Q18" s="1181"/>
      <c r="R18" s="1181"/>
      <c r="S18" s="1181"/>
      <c r="T18" s="1181"/>
      <c r="U18" s="1181"/>
      <c r="V18" s="1181"/>
      <c r="W18" s="1181"/>
      <c r="X18" s="1181"/>
      <c r="Y18" s="1181"/>
      <c r="Z18" s="1181"/>
    </row>
    <row r="19" spans="1:26">
      <c r="A19" s="1183"/>
      <c r="B19" s="1192"/>
      <c r="C19" s="1183"/>
      <c r="D19" s="1190"/>
      <c r="E19" s="1181"/>
      <c r="F19" s="1181"/>
      <c r="G19" s="1181"/>
      <c r="H19" s="1181"/>
      <c r="I19" s="1181"/>
      <c r="J19" s="1181"/>
      <c r="K19" s="1181"/>
      <c r="L19" s="1181"/>
      <c r="M19" s="1181"/>
      <c r="N19" s="1181"/>
      <c r="O19" s="1181"/>
      <c r="P19" s="1181"/>
      <c r="Q19" s="1181"/>
      <c r="R19" s="1181"/>
      <c r="S19" s="1181"/>
      <c r="T19" s="1181"/>
      <c r="U19" s="1181"/>
      <c r="V19" s="1181"/>
      <c r="W19" s="1181"/>
      <c r="X19" s="1181"/>
      <c r="Y19" s="1181"/>
      <c r="Z19" s="1181"/>
    </row>
    <row r="20" spans="1:26">
      <c r="A20" s="1182" t="s">
        <v>1186</v>
      </c>
      <c r="B20" s="1186"/>
      <c r="C20" s="1183"/>
      <c r="D20" s="1193"/>
      <c r="E20" s="1181"/>
      <c r="F20" s="1181"/>
      <c r="G20" s="1181"/>
      <c r="H20" s="1181"/>
      <c r="I20" s="1181"/>
      <c r="J20" s="1181"/>
      <c r="K20" s="1181"/>
      <c r="L20" s="1181"/>
      <c r="M20" s="1181"/>
      <c r="N20" s="1181"/>
      <c r="O20" s="1181"/>
      <c r="P20" s="1181"/>
      <c r="Q20" s="1181"/>
      <c r="R20" s="1181"/>
      <c r="S20" s="1181"/>
      <c r="T20" s="1181"/>
      <c r="U20" s="1181"/>
      <c r="V20" s="1181"/>
      <c r="W20" s="1181"/>
      <c r="X20" s="1181"/>
      <c r="Y20" s="1181"/>
      <c r="Z20" s="1181"/>
    </row>
    <row r="21" spans="1:26">
      <c r="A21" s="1184" t="s">
        <v>1172</v>
      </c>
      <c r="B21" s="1184" t="s">
        <v>1173</v>
      </c>
      <c r="C21" s="1184" t="s">
        <v>1017</v>
      </c>
      <c r="D21" s="1185" t="s">
        <v>1174</v>
      </c>
      <c r="E21" s="1181"/>
      <c r="F21" s="1181"/>
      <c r="G21" s="1181"/>
      <c r="H21" s="1181"/>
      <c r="I21" s="1181"/>
      <c r="J21" s="1181"/>
      <c r="K21" s="1181"/>
      <c r="L21" s="1181"/>
      <c r="M21" s="1181"/>
      <c r="N21" s="1181"/>
      <c r="O21" s="1181"/>
      <c r="P21" s="1181"/>
      <c r="Q21" s="1181"/>
      <c r="R21" s="1181"/>
      <c r="S21" s="1181"/>
      <c r="T21" s="1181"/>
      <c r="U21" s="1181"/>
      <c r="V21" s="1181"/>
      <c r="W21" s="1181"/>
      <c r="X21" s="1181"/>
      <c r="Y21" s="1181"/>
      <c r="Z21" s="1181"/>
    </row>
    <row r="22" spans="1:26">
      <c r="A22" s="1183">
        <f>+A8</f>
        <v>1</v>
      </c>
      <c r="B22" s="1183" t="str">
        <f>+B8</f>
        <v>April</v>
      </c>
      <c r="C22" s="1183" t="str">
        <f>+C8</f>
        <v>Year 2</v>
      </c>
      <c r="D22" s="1181" t="str">
        <f>+D8</f>
        <v>TO populates the formula with Year 1 data from FERC Form No. 1 data for Year 1 (e.g., 2010)</v>
      </c>
      <c r="E22" s="1181"/>
      <c r="F22" s="1181"/>
      <c r="G22" s="1181"/>
      <c r="H22" s="1181"/>
      <c r="I22" s="1181"/>
      <c r="J22" s="1175"/>
      <c r="K22" s="1181"/>
      <c r="L22" s="1181"/>
      <c r="M22" s="1181"/>
      <c r="N22" s="1181"/>
      <c r="O22" s="1181"/>
      <c r="P22" s="1181"/>
      <c r="Q22" s="1181"/>
      <c r="R22" s="1181"/>
      <c r="S22" s="1181"/>
      <c r="T22" s="1181"/>
      <c r="U22" s="1181"/>
      <c r="V22" s="1181"/>
      <c r="W22" s="1181"/>
      <c r="X22" s="1181"/>
      <c r="Y22" s="1181"/>
      <c r="Z22" s="1181"/>
    </row>
    <row r="23" spans="1:26">
      <c r="A23" s="1183"/>
      <c r="B23" s="1183"/>
      <c r="C23" s="1183"/>
      <c r="D23" s="1194">
        <v>0</v>
      </c>
      <c r="E23" s="1181" t="s">
        <v>1187</v>
      </c>
      <c r="F23" s="1181"/>
      <c r="G23" s="1195" t="str">
        <f>"Must run Appendix A to get this number (without inputs in lines "&amp;'Appendix A'!A39&amp;" or "&amp;'Appendix A'!A73&amp;" of Appendix A)"</f>
        <v>Must run Appendix A to get this number (without inputs in lines 16 or 34 of Appendix A)</v>
      </c>
      <c r="H23" s="1181"/>
      <c r="I23" s="1181"/>
      <c r="J23" s="1181"/>
      <c r="K23" s="1181"/>
      <c r="L23" s="1181"/>
      <c r="M23" s="1181"/>
      <c r="N23" s="1181"/>
      <c r="O23" s="1181"/>
      <c r="P23" s="1181"/>
      <c r="Q23" s="1181"/>
      <c r="R23" s="1181"/>
      <c r="S23" s="1181"/>
      <c r="T23" s="1181"/>
      <c r="U23" s="1181"/>
      <c r="V23" s="1181"/>
      <c r="W23" s="1181"/>
      <c r="X23" s="1181"/>
      <c r="Y23" s="1181"/>
      <c r="Z23" s="1181"/>
    </row>
    <row r="24" spans="1:26">
      <c r="A24" s="1183"/>
      <c r="B24" s="1183"/>
      <c r="C24" s="1183"/>
      <c r="D24" s="1196"/>
      <c r="E24" s="1181"/>
      <c r="F24" s="1181"/>
      <c r="G24" s="1181"/>
      <c r="H24" s="1181"/>
      <c r="I24" s="1181"/>
      <c r="J24" s="1181"/>
      <c r="K24" s="1181"/>
      <c r="L24" s="1181"/>
      <c r="M24" s="1181"/>
      <c r="N24" s="1181"/>
      <c r="O24" s="1181"/>
      <c r="P24" s="1181"/>
      <c r="Q24" s="1181"/>
      <c r="R24" s="1181"/>
      <c r="S24" s="1181"/>
      <c r="T24" s="1181"/>
      <c r="U24" s="1181"/>
      <c r="V24" s="1181"/>
      <c r="W24" s="1181"/>
      <c r="X24" s="1181"/>
      <c r="Y24" s="1181"/>
      <c r="Z24" s="1181"/>
    </row>
    <row r="25" spans="1:26">
      <c r="A25" s="1183">
        <v>2</v>
      </c>
      <c r="B25" s="1183" t="str">
        <f>+B22</f>
        <v>April</v>
      </c>
      <c r="C25" s="1183" t="str">
        <f>+C22</f>
        <v>Year 2</v>
      </c>
      <c r="D25" s="1187" t="s">
        <v>1188</v>
      </c>
      <c r="E25" s="1181"/>
      <c r="F25" s="1181"/>
      <c r="G25" s="1181"/>
      <c r="H25" s="1181"/>
      <c r="I25" s="1181"/>
      <c r="J25" s="1175"/>
      <c r="K25" s="1181"/>
      <c r="L25" s="1181"/>
      <c r="M25" s="1181"/>
      <c r="N25" s="1181"/>
      <c r="O25" s="1181"/>
      <c r="P25" s="1181"/>
      <c r="Q25" s="1181"/>
      <c r="R25" s="1175"/>
      <c r="S25" s="1175"/>
      <c r="T25" s="1175"/>
      <c r="U25" s="1175"/>
      <c r="V25" s="1175"/>
      <c r="W25" s="1181"/>
      <c r="X25" s="1181"/>
      <c r="Y25" s="1181"/>
      <c r="Z25" s="1181"/>
    </row>
    <row r="26" spans="1:26">
      <c r="A26" s="1183"/>
      <c r="B26" s="1183"/>
      <c r="C26" s="1186" t="s">
        <v>35</v>
      </c>
      <c r="D26" s="1197"/>
      <c r="E26" s="1181"/>
      <c r="F26" s="1181"/>
      <c r="G26" s="1181"/>
      <c r="H26" s="1181"/>
      <c r="I26" s="1181"/>
      <c r="J26" s="1181"/>
      <c r="K26" s="1181"/>
      <c r="L26" s="1181"/>
      <c r="M26" s="1181"/>
      <c r="N26" s="1188" t="s">
        <v>1189</v>
      </c>
      <c r="O26" s="1181"/>
      <c r="P26" s="1188" t="str">
        <f>+C26</f>
        <v>Plant In Service</v>
      </c>
      <c r="Q26" s="1181"/>
      <c r="R26" s="1181"/>
      <c r="S26" s="1181"/>
      <c r="T26" s="1181"/>
      <c r="U26" s="1188" t="str">
        <f>+N26</f>
        <v>CWIP</v>
      </c>
      <c r="V26" s="1181"/>
      <c r="W26" s="1181"/>
      <c r="X26" s="1181"/>
      <c r="Y26" s="1181"/>
      <c r="Z26" s="1181"/>
    </row>
    <row r="27" spans="1:26">
      <c r="A27" s="1186"/>
      <c r="B27" s="1175"/>
      <c r="C27" s="1198" t="s">
        <v>343</v>
      </c>
      <c r="D27" s="1199" t="s">
        <v>344</v>
      </c>
      <c r="E27" s="1199" t="s">
        <v>345</v>
      </c>
      <c r="F27" s="1199" t="s">
        <v>346</v>
      </c>
      <c r="G27" s="1199" t="s">
        <v>347</v>
      </c>
      <c r="H27" s="1199" t="s">
        <v>348</v>
      </c>
      <c r="I27" s="1199" t="s">
        <v>1190</v>
      </c>
      <c r="J27" s="1199" t="s">
        <v>1191</v>
      </c>
      <c r="K27" s="1199" t="s">
        <v>1192</v>
      </c>
      <c r="L27" s="1200" t="s">
        <v>1193</v>
      </c>
      <c r="M27" s="1175"/>
      <c r="N27" s="1201" t="s">
        <v>1194</v>
      </c>
      <c r="O27" s="1183" t="s">
        <v>1195</v>
      </c>
      <c r="P27" s="1202" t="s">
        <v>1196</v>
      </c>
      <c r="Q27" s="1203" t="s">
        <v>1197</v>
      </c>
      <c r="R27" s="1202" t="s">
        <v>1198</v>
      </c>
      <c r="S27" s="1204" t="s">
        <v>1199</v>
      </c>
      <c r="T27" s="1183"/>
      <c r="U27" s="1202" t="s">
        <v>1200</v>
      </c>
      <c r="V27" s="1204" t="s">
        <v>1201</v>
      </c>
      <c r="W27" s="1183" t="s">
        <v>1202</v>
      </c>
      <c r="X27" s="1175"/>
      <c r="Y27" s="1181"/>
      <c r="Z27" s="1181"/>
    </row>
    <row r="28" spans="1:26">
      <c r="A28" s="1186"/>
      <c r="B28" s="1175"/>
      <c r="C28" s="1205" t="s">
        <v>1203</v>
      </c>
      <c r="D28" s="1206" t="s">
        <v>1203</v>
      </c>
      <c r="E28" s="1206" t="s">
        <v>1203</v>
      </c>
      <c r="F28" s="1206" t="s">
        <v>1203</v>
      </c>
      <c r="G28" s="1206" t="s">
        <v>1203</v>
      </c>
      <c r="H28" s="1206" t="s">
        <v>1203</v>
      </c>
      <c r="I28" s="1206" t="s">
        <v>1203</v>
      </c>
      <c r="J28" s="1206" t="s">
        <v>1203</v>
      </c>
      <c r="K28" s="1206" t="s">
        <v>1203</v>
      </c>
      <c r="L28" s="1207" t="s">
        <v>1203</v>
      </c>
      <c r="M28" s="1175"/>
      <c r="N28" s="1207" t="s">
        <v>1203</v>
      </c>
      <c r="O28" s="1175"/>
      <c r="P28" s="1208" t="str">
        <f>+C29</f>
        <v>Other Transmission PIS</v>
      </c>
      <c r="Q28" s="1209" t="str">
        <f>L29</f>
        <v>Energy Gateway</v>
      </c>
      <c r="R28" s="1208" t="str">
        <f>+C29</f>
        <v>Other Transmission PIS</v>
      </c>
      <c r="S28" s="1210" t="str">
        <f>L29</f>
        <v>Energy Gateway</v>
      </c>
      <c r="T28" s="1183"/>
      <c r="U28" s="1205" t="str">
        <f>+N29</f>
        <v>Transmission CWIP</v>
      </c>
      <c r="V28" s="1211" t="str">
        <f>+N29</f>
        <v>Transmission CWIP</v>
      </c>
      <c r="W28" s="1183" t="s">
        <v>1204</v>
      </c>
      <c r="X28" s="1175"/>
      <c r="Y28" s="1181"/>
      <c r="Z28" s="1181"/>
    </row>
    <row r="29" spans="1:26">
      <c r="A29" s="1186"/>
      <c r="B29" s="1181"/>
      <c r="C29" s="1208" t="s">
        <v>1205</v>
      </c>
      <c r="D29" s="1209"/>
      <c r="E29" s="1209" t="s">
        <v>1206</v>
      </c>
      <c r="F29" s="1209" t="s">
        <v>1206</v>
      </c>
      <c r="G29" s="1209" t="s">
        <v>1206</v>
      </c>
      <c r="H29" s="1209" t="s">
        <v>1206</v>
      </c>
      <c r="I29" s="1209" t="s">
        <v>1206</v>
      </c>
      <c r="J29" s="1209" t="s">
        <v>1206</v>
      </c>
      <c r="K29" s="1209" t="s">
        <v>1206</v>
      </c>
      <c r="L29" s="1212" t="s">
        <v>1206</v>
      </c>
      <c r="M29" s="1175"/>
      <c r="N29" s="1212" t="s">
        <v>1207</v>
      </c>
      <c r="O29" s="1183" t="s">
        <v>1208</v>
      </c>
      <c r="P29" s="1205" t="s">
        <v>1209</v>
      </c>
      <c r="Q29" s="1206" t="s">
        <v>1210</v>
      </c>
      <c r="R29" s="1213" t="s">
        <v>1211</v>
      </c>
      <c r="S29" s="1214" t="s">
        <v>1212</v>
      </c>
      <c r="T29" s="1183"/>
      <c r="U29" s="1205" t="s">
        <v>1213</v>
      </c>
      <c r="V29" s="1214" t="s">
        <v>1214</v>
      </c>
      <c r="W29" s="1175"/>
      <c r="X29" s="1175"/>
      <c r="Y29" s="1181"/>
      <c r="Z29" s="1181"/>
    </row>
    <row r="30" spans="1:26">
      <c r="A30" s="1186"/>
      <c r="B30" s="1181"/>
      <c r="C30" s="1208" t="s">
        <v>1215</v>
      </c>
      <c r="D30" s="1209"/>
      <c r="E30" s="1209" t="s">
        <v>1216</v>
      </c>
      <c r="F30" s="1209" t="s">
        <v>1217</v>
      </c>
      <c r="G30" s="1209" t="s">
        <v>1218</v>
      </c>
      <c r="H30" s="1209" t="s">
        <v>1219</v>
      </c>
      <c r="I30" s="1209" t="s">
        <v>1220</v>
      </c>
      <c r="J30" s="1209" t="s">
        <v>1221</v>
      </c>
      <c r="K30" s="1209" t="s">
        <v>1222</v>
      </c>
      <c r="L30" s="1212" t="s">
        <v>1223</v>
      </c>
      <c r="M30" s="1175"/>
      <c r="N30" s="1212" t="s">
        <v>1224</v>
      </c>
      <c r="O30" s="1183"/>
      <c r="P30" s="1208"/>
      <c r="Q30" s="1209"/>
      <c r="R30" s="1208"/>
      <c r="S30" s="1210"/>
      <c r="T30" s="1181"/>
      <c r="U30" s="1208"/>
      <c r="V30" s="1210"/>
      <c r="W30" s="1175"/>
      <c r="X30" s="1175"/>
      <c r="Y30" s="1181"/>
      <c r="Z30" s="1181"/>
    </row>
    <row r="31" spans="1:26" ht="27">
      <c r="A31" s="1186"/>
      <c r="B31" s="1215" t="s">
        <v>1225</v>
      </c>
      <c r="C31" s="1216">
        <v>0</v>
      </c>
      <c r="D31" s="1217">
        <v>0</v>
      </c>
      <c r="E31" s="1217">
        <v>0</v>
      </c>
      <c r="F31" s="1217">
        <v>0</v>
      </c>
      <c r="G31" s="1217">
        <v>0</v>
      </c>
      <c r="H31" s="1217">
        <v>0</v>
      </c>
      <c r="I31" s="1217">
        <v>0</v>
      </c>
      <c r="J31" s="1217">
        <v>0</v>
      </c>
      <c r="K31" s="1217">
        <v>0</v>
      </c>
      <c r="L31" s="1218">
        <f t="shared" ref="L31:L43" si="0">SUM(D31:K31)</f>
        <v>0</v>
      </c>
      <c r="M31" s="1175"/>
      <c r="N31" s="1219">
        <v>0</v>
      </c>
      <c r="O31" s="1220">
        <v>13</v>
      </c>
      <c r="P31" s="1221">
        <f>+O31*C31</f>
        <v>0</v>
      </c>
      <c r="Q31" s="1222">
        <f>+O31*L31</f>
        <v>0</v>
      </c>
      <c r="R31" s="1223">
        <f>P31/13</f>
        <v>0</v>
      </c>
      <c r="S31" s="1224">
        <f>Q31/13</f>
        <v>0</v>
      </c>
      <c r="T31" s="1181"/>
      <c r="U31" s="1221">
        <f>+O31*N31</f>
        <v>0</v>
      </c>
      <c r="V31" s="1224">
        <f>U31/13</f>
        <v>0</v>
      </c>
      <c r="W31" s="1175"/>
      <c r="X31" s="1175"/>
      <c r="Y31" s="1181"/>
      <c r="Z31" s="1181"/>
    </row>
    <row r="32" spans="1:26">
      <c r="A32" s="1186"/>
      <c r="B32" s="1181" t="s">
        <v>1226</v>
      </c>
      <c r="C32" s="1225">
        <f>IF(Toggle=Projection,'PIS projection'!C5-SUM(D32:K32),IF(Toggle=True_up,0,"Set Toggle!"))</f>
        <v>0</v>
      </c>
      <c r="D32" s="1226">
        <f>IF(Toggle=Projection,'PIS projection'!D25,IF(Toggle=True_up,0,"Set Toggle!"))</f>
        <v>0</v>
      </c>
      <c r="E32" s="1226">
        <f>IF(Toggle=Projection,'PIS projection'!E25,IF(Toggle=True_up,0,"Set Toggle!"))</f>
        <v>0</v>
      </c>
      <c r="F32" s="1226">
        <f>IF(Toggle=Projection,'PIS projection'!F25,IF(Toggle=True_up,0,"Set Toggle!"))</f>
        <v>0</v>
      </c>
      <c r="G32" s="1226">
        <f>IF(Toggle=Projection,'PIS projection'!G25,IF(Toggle=True_up,0,"Set Toggle!"))</f>
        <v>0</v>
      </c>
      <c r="H32" s="1226">
        <f>IF(Toggle=Projection,'PIS projection'!H25,IF(Toggle=True_up,0,"Set Toggle!"))</f>
        <v>0</v>
      </c>
      <c r="I32" s="1226">
        <f>IF(Toggle=Projection,'PIS projection'!I25,IF(Toggle=True_up,0,"Set Toggle!"))</f>
        <v>0</v>
      </c>
      <c r="J32" s="1226">
        <f>IF(Toggle=Projection,'PIS projection'!J25,IF(Toggle=True_up,0,"Set Toggle!"))</f>
        <v>0</v>
      </c>
      <c r="K32" s="1226">
        <f>IF(Toggle=Projection,'PIS projection'!K25,IF(Toggle=True_up,0,"Set Toggle!"))</f>
        <v>0</v>
      </c>
      <c r="L32" s="1227">
        <f t="shared" si="0"/>
        <v>0</v>
      </c>
      <c r="M32" s="1175"/>
      <c r="N32" s="1218">
        <v>0</v>
      </c>
      <c r="O32" s="1220">
        <v>12</v>
      </c>
      <c r="P32" s="1221">
        <f>+O32*C32</f>
        <v>0</v>
      </c>
      <c r="Q32" s="1222">
        <f t="shared" ref="Q32:Q43" si="1">+O32*L32</f>
        <v>0</v>
      </c>
      <c r="R32" s="1223">
        <f>P32/13</f>
        <v>0</v>
      </c>
      <c r="S32" s="1224">
        <f>Q32/13</f>
        <v>0</v>
      </c>
      <c r="T32" s="1181"/>
      <c r="U32" s="1221">
        <f t="shared" ref="U32:U43" si="2">+O32*N32</f>
        <v>0</v>
      </c>
      <c r="V32" s="1224">
        <f t="shared" ref="V32:V43" si="3">U32/13</f>
        <v>0</v>
      </c>
      <c r="W32" s="1175"/>
      <c r="X32" s="1175"/>
      <c r="Y32" s="1181"/>
      <c r="Z32" s="1181"/>
    </row>
    <row r="33" spans="1:26">
      <c r="A33" s="1186"/>
      <c r="B33" s="1181" t="s">
        <v>1227</v>
      </c>
      <c r="C33" s="1228">
        <f>IF(Toggle=Projection,'PIS projection'!C6-SUM(D33:K33),IF(Toggle=True_up,0,"Set Toggle!"))</f>
        <v>0</v>
      </c>
      <c r="D33" s="1226">
        <f>IF(Toggle=Projection,'PIS projection'!D26,IF(Toggle=True_up,0,"Set Toggle!"))</f>
        <v>0</v>
      </c>
      <c r="E33" s="1226">
        <f>IF(Toggle=Projection,'PIS projection'!E26,IF(Toggle=True_up,0,"Set Toggle!"))</f>
        <v>0</v>
      </c>
      <c r="F33" s="1226">
        <f>IF(Toggle=Projection,'PIS projection'!F26,IF(Toggle=True_up,0,"Set Toggle!"))</f>
        <v>0</v>
      </c>
      <c r="G33" s="1226">
        <f>IF(Toggle=Projection,'PIS projection'!G26,IF(Toggle=True_up,0,"Set Toggle!"))</f>
        <v>0</v>
      </c>
      <c r="H33" s="1226">
        <f>IF(Toggle=Projection,'PIS projection'!H26,IF(Toggle=True_up,0,"Set Toggle!"))</f>
        <v>0</v>
      </c>
      <c r="I33" s="1226">
        <f>IF(Toggle=Projection,'PIS projection'!I26,IF(Toggle=True_up,0,"Set Toggle!"))</f>
        <v>0</v>
      </c>
      <c r="J33" s="1226">
        <f>IF(Toggle=Projection,'PIS projection'!J26,IF(Toggle=True_up,0,"Set Toggle!"))</f>
        <v>0</v>
      </c>
      <c r="K33" s="1226">
        <f>IF(Toggle=Projection,'PIS projection'!K26,IF(Toggle=True_up,0,"Set Toggle!"))</f>
        <v>0</v>
      </c>
      <c r="L33" s="1227">
        <f t="shared" si="0"/>
        <v>0</v>
      </c>
      <c r="M33" s="1175"/>
      <c r="N33" s="1218">
        <v>0</v>
      </c>
      <c r="O33" s="1229">
        <f t="shared" ref="O33:O43" si="4">+O32-1</f>
        <v>11</v>
      </c>
      <c r="P33" s="1221">
        <f t="shared" ref="P33:P43" si="5">+O33*C33</f>
        <v>0</v>
      </c>
      <c r="Q33" s="1222">
        <f t="shared" si="1"/>
        <v>0</v>
      </c>
      <c r="R33" s="1230">
        <f t="shared" ref="R33:S43" si="6">P33/13</f>
        <v>0</v>
      </c>
      <c r="S33" s="1224">
        <f t="shared" si="6"/>
        <v>0</v>
      </c>
      <c r="T33" s="1181"/>
      <c r="U33" s="1221">
        <f t="shared" si="2"/>
        <v>0</v>
      </c>
      <c r="V33" s="1224">
        <f t="shared" si="3"/>
        <v>0</v>
      </c>
      <c r="W33" s="1175"/>
      <c r="X33" s="1175"/>
      <c r="Y33" s="1181"/>
      <c r="Z33" s="1181"/>
    </row>
    <row r="34" spans="1:26">
      <c r="A34" s="1186"/>
      <c r="B34" s="1181" t="s">
        <v>1228</v>
      </c>
      <c r="C34" s="1228">
        <f>IF(Toggle=Projection,'PIS projection'!C7-SUM(D34:K34),IF(Toggle=True_up,0,"Set Toggle!"))</f>
        <v>0</v>
      </c>
      <c r="D34" s="1226">
        <f>IF(Toggle=Projection,'PIS projection'!D27,IF(Toggle=True_up,0,"Set Toggle!"))</f>
        <v>0</v>
      </c>
      <c r="E34" s="1226">
        <f>IF(Toggle=Projection,'PIS projection'!E27,IF(Toggle=True_up,0,"Set Toggle!"))</f>
        <v>0</v>
      </c>
      <c r="F34" s="1226">
        <f>IF(Toggle=Projection,'PIS projection'!F27,IF(Toggle=True_up,0,"Set Toggle!"))</f>
        <v>0</v>
      </c>
      <c r="G34" s="1226">
        <f>IF(Toggle=Projection,'PIS projection'!G27,IF(Toggle=True_up,0,"Set Toggle!"))</f>
        <v>0</v>
      </c>
      <c r="H34" s="1226">
        <f>IF(Toggle=Projection,'PIS projection'!H27,IF(Toggle=True_up,0,"Set Toggle!"))</f>
        <v>0</v>
      </c>
      <c r="I34" s="1226">
        <f>IF(Toggle=Projection,'PIS projection'!I27,IF(Toggle=True_up,0,"Set Toggle!"))</f>
        <v>0</v>
      </c>
      <c r="J34" s="1226">
        <f>IF(Toggle=Projection,'PIS projection'!J27,IF(Toggle=True_up,0,"Set Toggle!"))</f>
        <v>0</v>
      </c>
      <c r="K34" s="1226">
        <f>IF(Toggle=Projection,'PIS projection'!K27,IF(Toggle=True_up,0,"Set Toggle!"))</f>
        <v>0</v>
      </c>
      <c r="L34" s="1227">
        <f t="shared" si="0"/>
        <v>0</v>
      </c>
      <c r="M34" s="1175"/>
      <c r="N34" s="1218">
        <v>0</v>
      </c>
      <c r="O34" s="1229">
        <f t="shared" si="4"/>
        <v>10</v>
      </c>
      <c r="P34" s="1221">
        <f t="shared" si="5"/>
        <v>0</v>
      </c>
      <c r="Q34" s="1222">
        <f t="shared" si="1"/>
        <v>0</v>
      </c>
      <c r="R34" s="1230">
        <f t="shared" si="6"/>
        <v>0</v>
      </c>
      <c r="S34" s="1224">
        <f t="shared" si="6"/>
        <v>0</v>
      </c>
      <c r="T34" s="1181"/>
      <c r="U34" s="1221">
        <f t="shared" si="2"/>
        <v>0</v>
      </c>
      <c r="V34" s="1224">
        <f t="shared" si="3"/>
        <v>0</v>
      </c>
      <c r="W34" s="1175"/>
      <c r="X34" s="1175"/>
      <c r="Y34" s="1181"/>
      <c r="Z34" s="1181"/>
    </row>
    <row r="35" spans="1:26">
      <c r="A35" s="1186"/>
      <c r="B35" s="1181" t="s">
        <v>1229</v>
      </c>
      <c r="C35" s="1228">
        <f>IF(Toggle=Projection,'PIS projection'!C8-SUM(D35:K35),IF(Toggle=True_up,0,"Set Toggle!"))</f>
        <v>0</v>
      </c>
      <c r="D35" s="1226">
        <f>IF(Toggle=Projection,'PIS projection'!D28,IF(Toggle=True_up,0,"Set Toggle!"))</f>
        <v>0</v>
      </c>
      <c r="E35" s="1226">
        <f>IF(Toggle=Projection,'PIS projection'!E28,IF(Toggle=True_up,0,"Set Toggle!"))</f>
        <v>0</v>
      </c>
      <c r="F35" s="1226">
        <f>IF(Toggle=Projection,'PIS projection'!F28,IF(Toggle=True_up,0,"Set Toggle!"))</f>
        <v>0</v>
      </c>
      <c r="G35" s="1226">
        <f>IF(Toggle=Projection,'PIS projection'!G28,IF(Toggle=True_up,0,"Set Toggle!"))</f>
        <v>0</v>
      </c>
      <c r="H35" s="1226">
        <f>IF(Toggle=Projection,'PIS projection'!H28,IF(Toggle=True_up,0,"Set Toggle!"))</f>
        <v>0</v>
      </c>
      <c r="I35" s="1226">
        <f>IF(Toggle=Projection,'PIS projection'!I28,IF(Toggle=True_up,0,"Set Toggle!"))</f>
        <v>0</v>
      </c>
      <c r="J35" s="1226">
        <f>IF(Toggle=Projection,'PIS projection'!J28,IF(Toggle=True_up,0,"Set Toggle!"))</f>
        <v>0</v>
      </c>
      <c r="K35" s="1226">
        <f>IF(Toggle=Projection,'PIS projection'!K28,IF(Toggle=True_up,0,"Set Toggle!"))</f>
        <v>0</v>
      </c>
      <c r="L35" s="1227">
        <f t="shared" si="0"/>
        <v>0</v>
      </c>
      <c r="M35" s="1175"/>
      <c r="N35" s="1218">
        <v>0</v>
      </c>
      <c r="O35" s="1229">
        <f t="shared" si="4"/>
        <v>9</v>
      </c>
      <c r="P35" s="1221">
        <f t="shared" si="5"/>
        <v>0</v>
      </c>
      <c r="Q35" s="1222">
        <f t="shared" si="1"/>
        <v>0</v>
      </c>
      <c r="R35" s="1230">
        <f t="shared" si="6"/>
        <v>0</v>
      </c>
      <c r="S35" s="1224">
        <f t="shared" si="6"/>
        <v>0</v>
      </c>
      <c r="T35" s="1181"/>
      <c r="U35" s="1221">
        <f t="shared" si="2"/>
        <v>0</v>
      </c>
      <c r="V35" s="1224">
        <f t="shared" si="3"/>
        <v>0</v>
      </c>
      <c r="W35" s="1175"/>
      <c r="X35" s="1175"/>
      <c r="Y35" s="1181"/>
      <c r="Z35" s="1181"/>
    </row>
    <row r="36" spans="1:26">
      <c r="A36" s="1186"/>
      <c r="B36" s="1181" t="s">
        <v>1026</v>
      </c>
      <c r="C36" s="1228">
        <f>IF(Toggle=Projection,'PIS projection'!C9-SUM(D36:K36),IF(Toggle=True_up,0,"Set Toggle!"))</f>
        <v>0</v>
      </c>
      <c r="D36" s="1226">
        <f>IF(Toggle=Projection,'PIS projection'!D29,IF(Toggle=True_up,0,"Set Toggle!"))</f>
        <v>0</v>
      </c>
      <c r="E36" s="1226">
        <f>IF(Toggle=Projection,'PIS projection'!E29,IF(Toggle=True_up,0,"Set Toggle!"))</f>
        <v>0</v>
      </c>
      <c r="F36" s="1226">
        <f>IF(Toggle=Projection,'PIS projection'!F29,IF(Toggle=True_up,0,"Set Toggle!"))</f>
        <v>0</v>
      </c>
      <c r="G36" s="1226">
        <f>IF(Toggle=Projection,'PIS projection'!G29,IF(Toggle=True_up,0,"Set Toggle!"))</f>
        <v>0</v>
      </c>
      <c r="H36" s="1226">
        <f>IF(Toggle=Projection,'PIS projection'!H29,IF(Toggle=True_up,0,"Set Toggle!"))</f>
        <v>0</v>
      </c>
      <c r="I36" s="1226">
        <f>IF(Toggle=Projection,'PIS projection'!I29,IF(Toggle=True_up,0,"Set Toggle!"))</f>
        <v>0</v>
      </c>
      <c r="J36" s="1226">
        <f>IF(Toggle=Projection,'PIS projection'!J29,IF(Toggle=True_up,0,"Set Toggle!"))</f>
        <v>0</v>
      </c>
      <c r="K36" s="1226">
        <f>IF(Toggle=Projection,'PIS projection'!K29,IF(Toggle=True_up,0,"Set Toggle!"))</f>
        <v>0</v>
      </c>
      <c r="L36" s="1227">
        <f t="shared" si="0"/>
        <v>0</v>
      </c>
      <c r="M36" s="1175"/>
      <c r="N36" s="1218">
        <v>0</v>
      </c>
      <c r="O36" s="1229">
        <f t="shared" si="4"/>
        <v>8</v>
      </c>
      <c r="P36" s="1221">
        <f t="shared" si="5"/>
        <v>0</v>
      </c>
      <c r="Q36" s="1222">
        <f t="shared" si="1"/>
        <v>0</v>
      </c>
      <c r="R36" s="1230">
        <f t="shared" si="6"/>
        <v>0</v>
      </c>
      <c r="S36" s="1224">
        <f t="shared" si="6"/>
        <v>0</v>
      </c>
      <c r="T36" s="1181"/>
      <c r="U36" s="1221">
        <f t="shared" si="2"/>
        <v>0</v>
      </c>
      <c r="V36" s="1224">
        <f t="shared" si="3"/>
        <v>0</v>
      </c>
      <c r="W36" s="1175"/>
      <c r="X36" s="1175"/>
      <c r="Y36" s="1181"/>
      <c r="Z36" s="1181"/>
    </row>
    <row r="37" spans="1:26">
      <c r="A37" s="1186"/>
      <c r="B37" s="1181" t="s">
        <v>1230</v>
      </c>
      <c r="C37" s="1228">
        <f>IF(Toggle=Projection,'PIS projection'!C10-SUM(D37:K37),IF(Toggle=True_up,0,"Set Toggle!"))</f>
        <v>0</v>
      </c>
      <c r="D37" s="1226">
        <f>IF(Toggle=Projection,'PIS projection'!D30,IF(Toggle=True_up,0,"Set Toggle!"))</f>
        <v>0</v>
      </c>
      <c r="E37" s="1226">
        <f>IF(Toggle=Projection,'PIS projection'!E30,IF(Toggle=True_up,0,"Set Toggle!"))</f>
        <v>0</v>
      </c>
      <c r="F37" s="1226">
        <f>IF(Toggle=Projection,'PIS projection'!F30,IF(Toggle=True_up,0,"Set Toggle!"))</f>
        <v>0</v>
      </c>
      <c r="G37" s="1226">
        <f>IF(Toggle=Projection,'PIS projection'!G30,IF(Toggle=True_up,0,"Set Toggle!"))</f>
        <v>0</v>
      </c>
      <c r="H37" s="1226">
        <f>IF(Toggle=Projection,'PIS projection'!H30,IF(Toggle=True_up,0,"Set Toggle!"))</f>
        <v>0</v>
      </c>
      <c r="I37" s="1226">
        <f>IF(Toggle=Projection,'PIS projection'!I30,IF(Toggle=True_up,0,"Set Toggle!"))</f>
        <v>0</v>
      </c>
      <c r="J37" s="1226">
        <f>IF(Toggle=Projection,'PIS projection'!J30,IF(Toggle=True_up,0,"Set Toggle!"))</f>
        <v>0</v>
      </c>
      <c r="K37" s="1226">
        <f>IF(Toggle=Projection,'PIS projection'!K30,IF(Toggle=True_up,0,"Set Toggle!"))</f>
        <v>0</v>
      </c>
      <c r="L37" s="1227">
        <f t="shared" si="0"/>
        <v>0</v>
      </c>
      <c r="M37" s="1175"/>
      <c r="N37" s="1218">
        <v>0</v>
      </c>
      <c r="O37" s="1229">
        <f t="shared" si="4"/>
        <v>7</v>
      </c>
      <c r="P37" s="1221">
        <f t="shared" si="5"/>
        <v>0</v>
      </c>
      <c r="Q37" s="1222">
        <f t="shared" si="1"/>
        <v>0</v>
      </c>
      <c r="R37" s="1230">
        <f t="shared" si="6"/>
        <v>0</v>
      </c>
      <c r="S37" s="1224">
        <f t="shared" si="6"/>
        <v>0</v>
      </c>
      <c r="T37" s="1181"/>
      <c r="U37" s="1221">
        <f t="shared" si="2"/>
        <v>0</v>
      </c>
      <c r="V37" s="1224">
        <f t="shared" si="3"/>
        <v>0</v>
      </c>
      <c r="W37" s="1175"/>
      <c r="X37" s="1175"/>
      <c r="Y37" s="1181"/>
      <c r="Z37" s="1181"/>
    </row>
    <row r="38" spans="1:26">
      <c r="A38" s="1186"/>
      <c r="B38" s="1181" t="s">
        <v>1231</v>
      </c>
      <c r="C38" s="1228">
        <f>IF(Toggle=Projection,'PIS projection'!C11-SUM(D38:K38),IF(Toggle=True_up,0,"Set Toggle!"))</f>
        <v>0</v>
      </c>
      <c r="D38" s="1226">
        <f>IF(Toggle=Projection,'PIS projection'!D31,IF(Toggle=True_up,0,"Set Toggle!"))</f>
        <v>0</v>
      </c>
      <c r="E38" s="1226">
        <f>IF(Toggle=Projection,'PIS projection'!E31,IF(Toggle=True_up,0,"Set Toggle!"))</f>
        <v>0</v>
      </c>
      <c r="F38" s="1226">
        <f>IF(Toggle=Projection,'PIS projection'!F31,IF(Toggle=True_up,0,"Set Toggle!"))</f>
        <v>0</v>
      </c>
      <c r="G38" s="1226">
        <f>IF(Toggle=Projection,'PIS projection'!G31,IF(Toggle=True_up,0,"Set Toggle!"))</f>
        <v>0</v>
      </c>
      <c r="H38" s="1226">
        <f>IF(Toggle=Projection,'PIS projection'!H31,IF(Toggle=True_up,0,"Set Toggle!"))</f>
        <v>0</v>
      </c>
      <c r="I38" s="1226">
        <f>IF(Toggle=Projection,'PIS projection'!I31,IF(Toggle=True_up,0,"Set Toggle!"))</f>
        <v>0</v>
      </c>
      <c r="J38" s="1226">
        <f>IF(Toggle=Projection,'PIS projection'!J31,IF(Toggle=True_up,0,"Set Toggle!"))</f>
        <v>0</v>
      </c>
      <c r="K38" s="1226">
        <f>IF(Toggle=Projection,'PIS projection'!K31,IF(Toggle=True_up,0,"Set Toggle!"))</f>
        <v>0</v>
      </c>
      <c r="L38" s="1227">
        <f t="shared" si="0"/>
        <v>0</v>
      </c>
      <c r="M38" s="1175"/>
      <c r="N38" s="1218">
        <v>0</v>
      </c>
      <c r="O38" s="1229">
        <f t="shared" si="4"/>
        <v>6</v>
      </c>
      <c r="P38" s="1221">
        <f t="shared" si="5"/>
        <v>0</v>
      </c>
      <c r="Q38" s="1222">
        <f t="shared" si="1"/>
        <v>0</v>
      </c>
      <c r="R38" s="1230">
        <f t="shared" si="6"/>
        <v>0</v>
      </c>
      <c r="S38" s="1224">
        <f t="shared" si="6"/>
        <v>0</v>
      </c>
      <c r="T38" s="1181"/>
      <c r="U38" s="1221">
        <f t="shared" si="2"/>
        <v>0</v>
      </c>
      <c r="V38" s="1224">
        <f t="shared" si="3"/>
        <v>0</v>
      </c>
      <c r="W38" s="1175"/>
      <c r="X38" s="1175"/>
      <c r="Y38" s="1181"/>
      <c r="Z38" s="1181"/>
    </row>
    <row r="39" spans="1:26">
      <c r="A39" s="1186"/>
      <c r="B39" s="1181" t="s">
        <v>1232</v>
      </c>
      <c r="C39" s="1228">
        <f>IF(Toggle=Projection,'PIS projection'!C12-SUM(D39:K39),IF(Toggle=True_up,0,"Set Toggle!"))</f>
        <v>0</v>
      </c>
      <c r="D39" s="1226">
        <f>IF(Toggle=Projection,'PIS projection'!D32,IF(Toggle=True_up,0,"Set Toggle!"))</f>
        <v>0</v>
      </c>
      <c r="E39" s="1226">
        <f>IF(Toggle=Projection,'PIS projection'!E32,IF(Toggle=True_up,0,"Set Toggle!"))</f>
        <v>0</v>
      </c>
      <c r="F39" s="1226">
        <f>IF(Toggle=Projection,'PIS projection'!F32,IF(Toggle=True_up,0,"Set Toggle!"))</f>
        <v>0</v>
      </c>
      <c r="G39" s="1226">
        <f>IF(Toggle=Projection,'PIS projection'!G32,IF(Toggle=True_up,0,"Set Toggle!"))</f>
        <v>0</v>
      </c>
      <c r="H39" s="1226">
        <f>IF(Toggle=Projection,'PIS projection'!H32,IF(Toggle=True_up,0,"Set Toggle!"))</f>
        <v>0</v>
      </c>
      <c r="I39" s="1226">
        <f>IF(Toggle=Projection,'PIS projection'!I32,IF(Toggle=True_up,0,"Set Toggle!"))</f>
        <v>0</v>
      </c>
      <c r="J39" s="1226">
        <f>IF(Toggle=Projection,'PIS projection'!J32,IF(Toggle=True_up,0,"Set Toggle!"))</f>
        <v>0</v>
      </c>
      <c r="K39" s="1226">
        <f>IF(Toggle=Projection,'PIS projection'!K32,IF(Toggle=True_up,0,"Set Toggle!"))</f>
        <v>0</v>
      </c>
      <c r="L39" s="1227">
        <f t="shared" si="0"/>
        <v>0</v>
      </c>
      <c r="M39" s="1175"/>
      <c r="N39" s="1218">
        <v>0</v>
      </c>
      <c r="O39" s="1229">
        <f t="shared" si="4"/>
        <v>5</v>
      </c>
      <c r="P39" s="1221">
        <f t="shared" si="5"/>
        <v>0</v>
      </c>
      <c r="Q39" s="1222">
        <f t="shared" si="1"/>
        <v>0</v>
      </c>
      <c r="R39" s="1230">
        <f t="shared" si="6"/>
        <v>0</v>
      </c>
      <c r="S39" s="1224">
        <f t="shared" si="6"/>
        <v>0</v>
      </c>
      <c r="T39" s="1181"/>
      <c r="U39" s="1221">
        <f t="shared" si="2"/>
        <v>0</v>
      </c>
      <c r="V39" s="1224">
        <f t="shared" si="3"/>
        <v>0</v>
      </c>
      <c r="W39" s="1175"/>
      <c r="X39" s="1175"/>
      <c r="Y39" s="1181"/>
      <c r="Z39" s="1181"/>
    </row>
    <row r="40" spans="1:26">
      <c r="A40" s="1186"/>
      <c r="B40" s="1181" t="s">
        <v>1233</v>
      </c>
      <c r="C40" s="1228">
        <f>IF(Toggle=Projection,'PIS projection'!C13-SUM(D40:K40),IF(Toggle=True_up,0,"Set Toggle!"))</f>
        <v>0</v>
      </c>
      <c r="D40" s="1226">
        <f>IF(Toggle=Projection,'PIS projection'!D33,IF(Toggle=True_up,0,"Set Toggle!"))</f>
        <v>0</v>
      </c>
      <c r="E40" s="1226">
        <f>IF(Toggle=Projection,'PIS projection'!E33,IF(Toggle=True_up,0,"Set Toggle!"))</f>
        <v>0</v>
      </c>
      <c r="F40" s="1226">
        <f>IF(Toggle=Projection,'PIS projection'!F33,IF(Toggle=True_up,0,"Set Toggle!"))</f>
        <v>0</v>
      </c>
      <c r="G40" s="1226">
        <f>IF(Toggle=Projection,'PIS projection'!G33,IF(Toggle=True_up,0,"Set Toggle!"))</f>
        <v>0</v>
      </c>
      <c r="H40" s="1226">
        <f>IF(Toggle=Projection,'PIS projection'!H33,IF(Toggle=True_up,0,"Set Toggle!"))</f>
        <v>0</v>
      </c>
      <c r="I40" s="1226">
        <f>IF(Toggle=Projection,'PIS projection'!I33,IF(Toggle=True_up,0,"Set Toggle!"))</f>
        <v>0</v>
      </c>
      <c r="J40" s="1226">
        <f>IF(Toggle=Projection,'PIS projection'!J33,IF(Toggle=True_up,0,"Set Toggle!"))</f>
        <v>0</v>
      </c>
      <c r="K40" s="1226">
        <f>IF(Toggle=Projection,'PIS projection'!K33,IF(Toggle=True_up,0,"Set Toggle!"))</f>
        <v>0</v>
      </c>
      <c r="L40" s="1227">
        <f t="shared" si="0"/>
        <v>0</v>
      </c>
      <c r="M40" s="1175"/>
      <c r="N40" s="1218">
        <v>0</v>
      </c>
      <c r="O40" s="1229">
        <f t="shared" si="4"/>
        <v>4</v>
      </c>
      <c r="P40" s="1221">
        <f t="shared" si="5"/>
        <v>0</v>
      </c>
      <c r="Q40" s="1222">
        <f t="shared" si="1"/>
        <v>0</v>
      </c>
      <c r="R40" s="1230">
        <f t="shared" si="6"/>
        <v>0</v>
      </c>
      <c r="S40" s="1224">
        <f t="shared" si="6"/>
        <v>0</v>
      </c>
      <c r="T40" s="1181"/>
      <c r="U40" s="1221">
        <f t="shared" si="2"/>
        <v>0</v>
      </c>
      <c r="V40" s="1224">
        <f t="shared" si="3"/>
        <v>0</v>
      </c>
      <c r="W40" s="1175"/>
      <c r="X40" s="1175"/>
      <c r="Y40" s="1181"/>
      <c r="Z40" s="1181"/>
    </row>
    <row r="41" spans="1:26">
      <c r="A41" s="1186"/>
      <c r="B41" s="1181" t="s">
        <v>1234</v>
      </c>
      <c r="C41" s="1228">
        <f>IF(Toggle=Projection,'PIS projection'!C14-SUM(D41:K41),IF(Toggle=True_up,0,"Set Toggle!"))</f>
        <v>0</v>
      </c>
      <c r="D41" s="1226">
        <f>IF(Toggle=Projection,'PIS projection'!D34,IF(Toggle=True_up,0,"Set Toggle!"))</f>
        <v>0</v>
      </c>
      <c r="E41" s="1226">
        <f>IF(Toggle=Projection,'PIS projection'!E34,IF(Toggle=True_up,0,"Set Toggle!"))</f>
        <v>0</v>
      </c>
      <c r="F41" s="1226">
        <f>IF(Toggle=Projection,'PIS projection'!F34,IF(Toggle=True_up,0,"Set Toggle!"))</f>
        <v>0</v>
      </c>
      <c r="G41" s="1226">
        <f>IF(Toggle=Projection,'PIS projection'!G34,IF(Toggle=True_up,0,"Set Toggle!"))</f>
        <v>0</v>
      </c>
      <c r="H41" s="1226">
        <f>IF(Toggle=Projection,'PIS projection'!H34,IF(Toggle=True_up,0,"Set Toggle!"))</f>
        <v>0</v>
      </c>
      <c r="I41" s="1226">
        <f>IF(Toggle=Projection,'PIS projection'!I34,IF(Toggle=True_up,0,"Set Toggle!"))</f>
        <v>0</v>
      </c>
      <c r="J41" s="1226">
        <f>IF(Toggle=Projection,'PIS projection'!J34,IF(Toggle=True_up,0,"Set Toggle!"))</f>
        <v>0</v>
      </c>
      <c r="K41" s="1226">
        <f>IF(Toggle=Projection,'PIS projection'!K34,IF(Toggle=True_up,0,"Set Toggle!"))</f>
        <v>0</v>
      </c>
      <c r="L41" s="1227">
        <f t="shared" si="0"/>
        <v>0</v>
      </c>
      <c r="M41" s="1175"/>
      <c r="N41" s="1218">
        <v>0</v>
      </c>
      <c r="O41" s="1229">
        <f t="shared" si="4"/>
        <v>3</v>
      </c>
      <c r="P41" s="1221">
        <f t="shared" si="5"/>
        <v>0</v>
      </c>
      <c r="Q41" s="1222">
        <f t="shared" si="1"/>
        <v>0</v>
      </c>
      <c r="R41" s="1230">
        <f t="shared" si="6"/>
        <v>0</v>
      </c>
      <c r="S41" s="1224">
        <f t="shared" si="6"/>
        <v>0</v>
      </c>
      <c r="T41" s="1181"/>
      <c r="U41" s="1221">
        <f t="shared" si="2"/>
        <v>0</v>
      </c>
      <c r="V41" s="1224">
        <f t="shared" si="3"/>
        <v>0</v>
      </c>
      <c r="W41" s="1175"/>
      <c r="X41" s="1175"/>
      <c r="Y41" s="1181"/>
      <c r="Z41" s="1181"/>
    </row>
    <row r="42" spans="1:26">
      <c r="A42" s="1186"/>
      <c r="B42" s="1181" t="s">
        <v>1235</v>
      </c>
      <c r="C42" s="1228">
        <f>IF(Toggle=Projection,'PIS projection'!C15-SUM(D42:K42),IF(Toggle=True_up,0,"Set Toggle!"))</f>
        <v>0</v>
      </c>
      <c r="D42" s="1226">
        <f>IF(Toggle=Projection,'PIS projection'!D35,IF(Toggle=True_up,0,"Set Toggle!"))</f>
        <v>0</v>
      </c>
      <c r="E42" s="1226">
        <f>IF(Toggle=Projection,'PIS projection'!E35,IF(Toggle=True_up,0,"Set Toggle!"))</f>
        <v>0</v>
      </c>
      <c r="F42" s="1226">
        <f>IF(Toggle=Projection,'PIS projection'!F35,IF(Toggle=True_up,0,"Set Toggle!"))</f>
        <v>0</v>
      </c>
      <c r="G42" s="1226">
        <f>IF(Toggle=Projection,'PIS projection'!G35,IF(Toggle=True_up,0,"Set Toggle!"))</f>
        <v>0</v>
      </c>
      <c r="H42" s="1226">
        <f>IF(Toggle=Projection,'PIS projection'!H35,IF(Toggle=True_up,0,"Set Toggle!"))</f>
        <v>0</v>
      </c>
      <c r="I42" s="1226">
        <f>IF(Toggle=Projection,'PIS projection'!I35,IF(Toggle=True_up,0,"Set Toggle!"))</f>
        <v>0</v>
      </c>
      <c r="J42" s="1226">
        <f>IF(Toggle=Projection,'PIS projection'!J35,IF(Toggle=True_up,0,"Set Toggle!"))</f>
        <v>0</v>
      </c>
      <c r="K42" s="1226">
        <f>IF(Toggle=Projection,'PIS projection'!K35,IF(Toggle=True_up,0,"Set Toggle!"))</f>
        <v>0</v>
      </c>
      <c r="L42" s="1227">
        <f t="shared" si="0"/>
        <v>0</v>
      </c>
      <c r="M42" s="1175"/>
      <c r="N42" s="1218">
        <v>0</v>
      </c>
      <c r="O42" s="1229">
        <f t="shared" si="4"/>
        <v>2</v>
      </c>
      <c r="P42" s="1221">
        <f t="shared" si="5"/>
        <v>0</v>
      </c>
      <c r="Q42" s="1222">
        <f t="shared" si="1"/>
        <v>0</v>
      </c>
      <c r="R42" s="1230">
        <f t="shared" si="6"/>
        <v>0</v>
      </c>
      <c r="S42" s="1224">
        <f t="shared" si="6"/>
        <v>0</v>
      </c>
      <c r="T42" s="1181"/>
      <c r="U42" s="1221">
        <f t="shared" si="2"/>
        <v>0</v>
      </c>
      <c r="V42" s="1224">
        <f t="shared" si="3"/>
        <v>0</v>
      </c>
      <c r="W42" s="1175"/>
      <c r="X42" s="1175"/>
      <c r="Y42" s="1181"/>
      <c r="Z42" s="1181"/>
    </row>
    <row r="43" spans="1:26">
      <c r="A43" s="1186"/>
      <c r="B43" s="1181" t="s">
        <v>1236</v>
      </c>
      <c r="C43" s="1231">
        <f>IF(Toggle=Projection,'PIS projection'!C16-SUM(D43:K43),IF(Toggle=True_up,0,"Set Toggle!"))</f>
        <v>0</v>
      </c>
      <c r="D43" s="1232">
        <f>IF(Toggle=Projection,'PIS projection'!D36,IF(Toggle=True_up,0,"Set Toggle!"))</f>
        <v>0</v>
      </c>
      <c r="E43" s="1232">
        <f>IF(Toggle=Projection,'PIS projection'!E36,IF(Toggle=True_up,0,"Set Toggle!"))</f>
        <v>0</v>
      </c>
      <c r="F43" s="1232">
        <f>IF(Toggle=Projection,'PIS projection'!F36,IF(Toggle=True_up,0,"Set Toggle!"))</f>
        <v>0</v>
      </c>
      <c r="G43" s="1232">
        <f>IF(Toggle=Projection,'PIS projection'!G36,IF(Toggle=True_up,0,"Set Toggle!"))</f>
        <v>0</v>
      </c>
      <c r="H43" s="1232">
        <f>IF(Toggle=Projection,'PIS projection'!H36,IF(Toggle=True_up,0,"Set Toggle!"))</f>
        <v>0</v>
      </c>
      <c r="I43" s="1232">
        <f>IF(Toggle=Projection,'PIS projection'!I36,IF(Toggle=True_up,0,"Set Toggle!"))</f>
        <v>0</v>
      </c>
      <c r="J43" s="1232">
        <f>IF(Toggle=Projection,'PIS projection'!J36,IF(Toggle=True_up,0,"Set Toggle!"))</f>
        <v>0</v>
      </c>
      <c r="K43" s="1232">
        <f>IF(Toggle=Projection,'PIS projection'!K36,IF(Toggle=True_up,0,"Set Toggle!"))</f>
        <v>0</v>
      </c>
      <c r="L43" s="1233">
        <f t="shared" si="0"/>
        <v>0</v>
      </c>
      <c r="M43" s="1175"/>
      <c r="N43" s="1218">
        <v>0</v>
      </c>
      <c r="O43" s="1229">
        <f t="shared" si="4"/>
        <v>1</v>
      </c>
      <c r="P43" s="1234">
        <f t="shared" si="5"/>
        <v>0</v>
      </c>
      <c r="Q43" s="1235">
        <f t="shared" si="1"/>
        <v>0</v>
      </c>
      <c r="R43" s="1236">
        <f t="shared" si="6"/>
        <v>0</v>
      </c>
      <c r="S43" s="1237">
        <f t="shared" si="6"/>
        <v>0</v>
      </c>
      <c r="T43" s="1181"/>
      <c r="U43" s="1221">
        <f t="shared" si="2"/>
        <v>0</v>
      </c>
      <c r="V43" s="1224">
        <f t="shared" si="3"/>
        <v>0</v>
      </c>
      <c r="W43" s="1175"/>
      <c r="X43" s="1175"/>
      <c r="Y43" s="1181"/>
      <c r="Z43" s="1181"/>
    </row>
    <row r="44" spans="1:26">
      <c r="A44" s="1183"/>
      <c r="B44" s="1181" t="s">
        <v>115</v>
      </c>
      <c r="C44" s="1238">
        <f>SUM(C31:C43)</f>
        <v>0</v>
      </c>
      <c r="D44" s="1238">
        <f t="shared" ref="D44:K44" si="7">SUM(D31:D43)</f>
        <v>0</v>
      </c>
      <c r="E44" s="1238">
        <f>SUM(E31:E43)</f>
        <v>0</v>
      </c>
      <c r="F44" s="1238">
        <f>SUM(F31:F43)</f>
        <v>0</v>
      </c>
      <c r="G44" s="1238">
        <f t="shared" si="7"/>
        <v>0</v>
      </c>
      <c r="H44" s="1238">
        <f t="shared" si="7"/>
        <v>0</v>
      </c>
      <c r="I44" s="1238">
        <f t="shared" si="7"/>
        <v>0</v>
      </c>
      <c r="J44" s="1238">
        <f t="shared" si="7"/>
        <v>0</v>
      </c>
      <c r="K44" s="1238">
        <f t="shared" si="7"/>
        <v>0</v>
      </c>
      <c r="L44" s="1238">
        <f>SUM(L31:L43)</f>
        <v>0</v>
      </c>
      <c r="M44" s="1175"/>
      <c r="N44" s="1239">
        <f>SUM(N31:N43)</f>
        <v>0</v>
      </c>
      <c r="O44" s="1181"/>
      <c r="P44" s="1239">
        <f>SUM(P31:P43)</f>
        <v>0</v>
      </c>
      <c r="Q44" s="1239">
        <f>SUM(Q31:Q43)</f>
        <v>0</v>
      </c>
      <c r="R44" s="1240">
        <f>SUM(R31:R43)</f>
        <v>0</v>
      </c>
      <c r="S44" s="1241">
        <f>SUM(S32:S43)</f>
        <v>0</v>
      </c>
      <c r="U44" s="1239">
        <f>SUM(U31:U43)</f>
        <v>0</v>
      </c>
      <c r="V44" s="1241">
        <f>U44/13</f>
        <v>0</v>
      </c>
      <c r="W44" s="1175"/>
      <c r="X44" s="1175"/>
      <c r="Y44" s="1181"/>
      <c r="Z44" s="1181"/>
    </row>
    <row r="45" spans="1:26">
      <c r="A45" s="1183"/>
      <c r="B45" s="1181" t="s">
        <v>1237</v>
      </c>
      <c r="C45" s="1181"/>
      <c r="D45" s="1175"/>
      <c r="E45" s="1175"/>
      <c r="F45" s="1175"/>
      <c r="G45" s="1175"/>
      <c r="H45" s="1175"/>
      <c r="I45" s="1175"/>
      <c r="J45" s="1181"/>
      <c r="K45" s="1181"/>
      <c r="L45" s="1181"/>
      <c r="M45" s="1181"/>
      <c r="N45" s="1181"/>
      <c r="O45" s="1175"/>
      <c r="P45" s="1175"/>
      <c r="Q45" s="1175"/>
      <c r="R45" s="1181"/>
      <c r="S45" s="1181"/>
      <c r="T45" s="1181"/>
      <c r="U45" s="1181"/>
      <c r="V45" s="1175"/>
      <c r="W45" s="1175"/>
      <c r="X45" s="1181"/>
      <c r="Y45" s="1181"/>
      <c r="Z45" s="1181"/>
    </row>
    <row r="46" spans="1:26">
      <c r="A46" s="1183"/>
      <c r="B46" s="1181"/>
      <c r="C46" s="1181"/>
      <c r="D46" s="1175"/>
      <c r="E46" s="1175"/>
      <c r="F46" s="1175"/>
      <c r="G46" s="1175"/>
      <c r="H46" s="1175"/>
      <c r="I46" s="1175"/>
      <c r="J46" s="1175"/>
      <c r="K46" s="1175"/>
      <c r="L46" s="1181"/>
      <c r="M46" s="1181"/>
      <c r="N46" s="1181"/>
      <c r="O46" s="1181"/>
      <c r="P46" s="1242" t="str">
        <f>"Input to Line "&amp;'Appendix A'!A39&amp;" of Appendix A"</f>
        <v>Input to Line 16 of Appendix A</v>
      </c>
      <c r="Q46" s="1243"/>
      <c r="R46" s="1244"/>
      <c r="S46" s="1244"/>
      <c r="T46" s="1243"/>
      <c r="U46" s="1244"/>
      <c r="V46" s="1243"/>
      <c r="W46" s="1245" t="str">
        <f>IF(Toggle=True_up,"Not for true-up",SUM(R44:S44))</f>
        <v>Not for true-up</v>
      </c>
      <c r="X46" s="1181"/>
      <c r="Y46" s="1181"/>
      <c r="Z46" s="1181"/>
    </row>
    <row r="47" spans="1:26">
      <c r="A47" s="1183"/>
      <c r="B47" s="1181"/>
      <c r="C47" s="1181"/>
      <c r="D47" s="1175"/>
      <c r="E47" s="1175"/>
      <c r="F47" s="1175"/>
      <c r="G47" s="1175"/>
      <c r="H47" s="1175"/>
      <c r="I47" s="1175"/>
      <c r="J47" s="1181"/>
      <c r="K47" s="1181"/>
      <c r="L47" s="1238"/>
      <c r="M47" s="1238"/>
      <c r="N47" s="1181"/>
      <c r="O47" s="1181"/>
      <c r="P47" s="1246" t="str">
        <f>"Input to Line "&amp;'Appendix A'!$A$73&amp;" of Appendix A"</f>
        <v>Input to Line 34 of Appendix A</v>
      </c>
      <c r="Q47" s="1243"/>
      <c r="R47" s="1188"/>
      <c r="S47" s="1188"/>
      <c r="T47" s="1243"/>
      <c r="U47" s="1243"/>
      <c r="V47" s="21"/>
      <c r="W47" s="1245" t="str">
        <f>IF(Toggle=True_up,"Not for true-up",SUM(V31:V43))</f>
        <v>Not for true-up</v>
      </c>
      <c r="X47" s="1181"/>
      <c r="Y47" s="1181"/>
      <c r="Z47" s="1181"/>
    </row>
    <row r="48" spans="1:26">
      <c r="A48" s="1184" t="s">
        <v>1172</v>
      </c>
      <c r="B48" s="1184" t="s">
        <v>1173</v>
      </c>
      <c r="C48" s="1184" t="s">
        <v>1017</v>
      </c>
      <c r="D48" s="1185" t="s">
        <v>1174</v>
      </c>
      <c r="E48" s="1181"/>
      <c r="F48" s="1175"/>
      <c r="G48" s="1175"/>
      <c r="H48" s="1175"/>
      <c r="I48" s="1175"/>
      <c r="J48" s="1175"/>
      <c r="K48" s="1175"/>
      <c r="L48" s="1181"/>
      <c r="M48" s="1181"/>
      <c r="N48" s="1181"/>
      <c r="O48" s="1238"/>
      <c r="T48" s="1247"/>
      <c r="U48" s="1243"/>
      <c r="V48" s="1243"/>
      <c r="W48" s="1247"/>
      <c r="X48" s="1181"/>
      <c r="Y48" s="1181"/>
      <c r="Z48" s="1181"/>
    </row>
    <row r="49" spans="1:26">
      <c r="A49" s="1183">
        <v>3</v>
      </c>
      <c r="B49" s="1183" t="str">
        <f>+B25</f>
        <v>April</v>
      </c>
      <c r="C49" s="1183" t="str">
        <f>+C25</f>
        <v>Year 2</v>
      </c>
      <c r="D49" s="1190" t="str">
        <f>+D10</f>
        <v>TO adds weighted Cap Adds to plant in service in Formula</v>
      </c>
      <c r="E49" s="1181"/>
      <c r="F49" s="1181"/>
      <c r="G49" s="1181"/>
      <c r="H49" s="1181"/>
      <c r="I49" s="1181"/>
      <c r="J49" s="1181"/>
      <c r="K49" s="1181"/>
      <c r="L49" s="1238"/>
      <c r="M49" s="1238"/>
      <c r="N49" s="1181"/>
      <c r="O49" s="1181"/>
      <c r="P49" s="1248" t="s">
        <v>1238</v>
      </c>
      <c r="Q49" s="1249"/>
      <c r="R49" s="1250"/>
      <c r="S49" s="1251">
        <v>58</v>
      </c>
      <c r="X49" s="1181"/>
      <c r="Y49" s="1181"/>
      <c r="Z49" s="1181"/>
    </row>
    <row r="50" spans="1:26">
      <c r="A50" s="1183"/>
      <c r="B50" s="1183"/>
      <c r="C50" s="1183"/>
      <c r="D50" s="1252">
        <v>0</v>
      </c>
      <c r="E50" s="1196"/>
      <c r="F50" s="1238"/>
      <c r="G50" s="1195" t="str">
        <f>"Must run Appendix A to get this number (with inputs in lines "&amp;'Appendix A'!A39&amp;" and "&amp;'Appendix A'!A73&amp;" of Appendix A)"</f>
        <v>Must run Appendix A to get this number (with inputs in lines 16 and 34 of Appendix A)</v>
      </c>
      <c r="H50" s="1238"/>
      <c r="I50" s="1181"/>
      <c r="J50" s="1181"/>
      <c r="K50" s="1181"/>
      <c r="L50" s="1238"/>
      <c r="M50" s="1238"/>
      <c r="N50" s="1181"/>
      <c r="O50" s="1181"/>
      <c r="P50" s="1253" t="s">
        <v>1239</v>
      </c>
      <c r="Q50" s="1250"/>
      <c r="R50" s="1250"/>
      <c r="S50" s="1254"/>
      <c r="T50" s="1181"/>
      <c r="U50" s="1181"/>
      <c r="V50" s="1181"/>
      <c r="W50" s="1181"/>
      <c r="X50" s="1181"/>
      <c r="Y50" s="1181"/>
      <c r="Z50" s="1181"/>
    </row>
    <row r="51" spans="1:26">
      <c r="A51" s="1183"/>
      <c r="B51" s="1183"/>
      <c r="C51" s="1183"/>
      <c r="D51" s="1255"/>
      <c r="E51" s="1183"/>
      <c r="F51" s="1238"/>
      <c r="G51" s="1183"/>
      <c r="H51" s="1238"/>
      <c r="I51" s="1181"/>
      <c r="J51" s="1181"/>
      <c r="K51" s="1181"/>
      <c r="L51" s="1181"/>
      <c r="M51" s="1181"/>
      <c r="N51" s="1181"/>
      <c r="O51" s="1181"/>
      <c r="P51" s="1256" t="s">
        <v>1226</v>
      </c>
      <c r="Q51" s="1257">
        <v>11.5</v>
      </c>
      <c r="R51" s="1258"/>
      <c r="S51" s="1259">
        <f t="shared" ref="S51:S62" si="8">+$L32/S$49/12*$Q51</f>
        <v>0</v>
      </c>
      <c r="T51" s="1181"/>
      <c r="U51" s="1181"/>
      <c r="V51" s="1181"/>
      <c r="W51" s="1181"/>
      <c r="X51" s="1181"/>
      <c r="Y51" s="1181"/>
      <c r="Z51" s="1181"/>
    </row>
    <row r="52" spans="1:26">
      <c r="A52" s="1183">
        <v>4</v>
      </c>
      <c r="B52" s="1183" t="str">
        <f>+B11</f>
        <v>May</v>
      </c>
      <c r="C52" s="1183" t="str">
        <f>+C49</f>
        <v>Year 2</v>
      </c>
      <c r="D52" s="1181" t="str">
        <f>+D11</f>
        <v>Post results of Step 3</v>
      </c>
      <c r="E52" s="1181"/>
      <c r="F52" s="1181"/>
      <c r="G52" s="1181"/>
      <c r="H52" s="1181"/>
      <c r="I52" s="1181"/>
      <c r="J52" s="1181"/>
      <c r="K52" s="1181"/>
      <c r="L52" s="1181"/>
      <c r="M52" s="1181"/>
      <c r="N52" s="1181"/>
      <c r="O52" s="1181"/>
      <c r="P52" s="1256" t="s">
        <v>1227</v>
      </c>
      <c r="Q52" s="1257">
        <f>+Q51-1</f>
        <v>10.5</v>
      </c>
      <c r="R52" s="1258"/>
      <c r="S52" s="1259">
        <f t="shared" si="8"/>
        <v>0</v>
      </c>
      <c r="T52" s="1181"/>
      <c r="U52" s="1181"/>
      <c r="V52" s="1181"/>
      <c r="W52" s="1181"/>
      <c r="X52" s="1181"/>
      <c r="Y52" s="1181"/>
      <c r="Z52" s="1181"/>
    </row>
    <row r="53" spans="1:26">
      <c r="A53" s="1183"/>
      <c r="B53" s="1183"/>
      <c r="C53" s="1183"/>
      <c r="D53" s="1194">
        <f>+D50</f>
        <v>0</v>
      </c>
      <c r="E53" s="1175"/>
      <c r="F53" s="1255"/>
      <c r="G53" s="1195" t="str">
        <f>"Must run Appendix A to get this number (with inputs in lines "&amp;'Appendix A'!A39&amp;" and "&amp;'Appendix A'!A73&amp;" of Appendix A)"</f>
        <v>Must run Appendix A to get this number (with inputs in lines 16 and 34 of Appendix A)</v>
      </c>
      <c r="H53" s="1181"/>
      <c r="I53" s="1181"/>
      <c r="J53" s="1181"/>
      <c r="K53" s="1181"/>
      <c r="L53" s="1181"/>
      <c r="M53" s="1181"/>
      <c r="N53" s="1181"/>
      <c r="O53" s="1181"/>
      <c r="P53" s="1256" t="s">
        <v>1228</v>
      </c>
      <c r="Q53" s="1257">
        <f t="shared" ref="Q53:Q62" si="9">+Q52-1</f>
        <v>9.5</v>
      </c>
      <c r="R53" s="1258"/>
      <c r="S53" s="1259">
        <f t="shared" si="8"/>
        <v>0</v>
      </c>
      <c r="T53" s="1181"/>
      <c r="U53" s="1181"/>
      <c r="V53" s="1181"/>
      <c r="W53" s="1181"/>
      <c r="X53" s="1181"/>
      <c r="Y53" s="1181"/>
      <c r="Z53" s="1181"/>
    </row>
    <row r="54" spans="1:26">
      <c r="A54" s="1183"/>
      <c r="B54" s="1183"/>
      <c r="C54" s="1183"/>
      <c r="D54" s="1260"/>
      <c r="E54" s="1181"/>
      <c r="F54" s="1181"/>
      <c r="G54" s="1181"/>
      <c r="H54" s="1181"/>
      <c r="I54" s="1181"/>
      <c r="J54" s="1181"/>
      <c r="K54" s="1181"/>
      <c r="L54" s="1181"/>
      <c r="M54" s="1181"/>
      <c r="N54" s="1181"/>
      <c r="O54" s="1181"/>
      <c r="P54" s="1256" t="s">
        <v>1229</v>
      </c>
      <c r="Q54" s="1257">
        <f t="shared" si="9"/>
        <v>8.5</v>
      </c>
      <c r="R54" s="1258"/>
      <c r="S54" s="1259">
        <f t="shared" si="8"/>
        <v>0</v>
      </c>
      <c r="T54" s="1181"/>
      <c r="U54" s="1181"/>
      <c r="V54" s="1181"/>
      <c r="W54" s="1181"/>
      <c r="X54" s="1181"/>
      <c r="Y54" s="1181"/>
      <c r="Z54" s="1181"/>
    </row>
    <row r="55" spans="1:26">
      <c r="A55" s="1183">
        <f>+A12</f>
        <v>5</v>
      </c>
      <c r="B55" s="1183" t="str">
        <f>+B12</f>
        <v>June</v>
      </c>
      <c r="C55" s="1183" t="str">
        <f>+C12</f>
        <v>Year 2</v>
      </c>
      <c r="D55" s="1190" t="str">
        <f>+D12</f>
        <v>Results of Step 3 go into effect for the Rate Year 1 (e.g., June 1, 2011 - May 31, 2012)</v>
      </c>
      <c r="E55" s="1181"/>
      <c r="F55" s="1181"/>
      <c r="G55" s="1181"/>
      <c r="H55" s="1181"/>
      <c r="I55" s="1181"/>
      <c r="J55" s="1181"/>
      <c r="K55" s="1181"/>
      <c r="L55" s="1181"/>
      <c r="M55" s="1181"/>
      <c r="N55" s="1181"/>
      <c r="O55" s="1181"/>
      <c r="P55" s="1256" t="s">
        <v>1026</v>
      </c>
      <c r="Q55" s="1257">
        <f t="shared" si="9"/>
        <v>7.5</v>
      </c>
      <c r="R55" s="1258"/>
      <c r="S55" s="1259">
        <f t="shared" si="8"/>
        <v>0</v>
      </c>
      <c r="T55" s="1181"/>
      <c r="U55" s="1181"/>
      <c r="V55" s="1181"/>
      <c r="W55" s="1181"/>
      <c r="X55" s="1181"/>
      <c r="Y55" s="1181"/>
      <c r="Z55" s="1181"/>
    </row>
    <row r="56" spans="1:26">
      <c r="A56" s="1183"/>
      <c r="B56" s="1183"/>
      <c r="C56" s="1183"/>
      <c r="D56" s="1252">
        <f>+D53</f>
        <v>0</v>
      </c>
      <c r="E56" s="1181"/>
      <c r="F56" s="1181"/>
      <c r="G56" s="1181"/>
      <c r="H56" s="1181"/>
      <c r="I56" s="1181"/>
      <c r="J56" s="1181"/>
      <c r="K56" s="1181"/>
      <c r="L56" s="1181"/>
      <c r="M56" s="1181"/>
      <c r="N56" s="1181"/>
      <c r="O56" s="1181"/>
      <c r="P56" s="1256" t="s">
        <v>1230</v>
      </c>
      <c r="Q56" s="1257">
        <f t="shared" si="9"/>
        <v>6.5</v>
      </c>
      <c r="R56" s="1258"/>
      <c r="S56" s="1259">
        <f t="shared" si="8"/>
        <v>0</v>
      </c>
      <c r="T56" s="1181"/>
      <c r="U56" s="1181"/>
      <c r="V56" s="1181"/>
      <c r="W56" s="1181"/>
      <c r="X56" s="1181"/>
      <c r="Y56" s="1181"/>
      <c r="Z56" s="1181"/>
    </row>
    <row r="57" spans="1:26">
      <c r="A57" s="1206"/>
      <c r="B57" s="1206"/>
      <c r="C57" s="1206"/>
      <c r="D57" s="1261"/>
      <c r="E57" s="1261"/>
      <c r="F57" s="1261"/>
      <c r="G57" s="1261"/>
      <c r="H57" s="1261"/>
      <c r="I57" s="1261"/>
      <c r="J57" s="1261"/>
      <c r="K57" s="1261"/>
      <c r="L57" s="1181"/>
      <c r="M57" s="1181"/>
      <c r="N57" s="1181"/>
      <c r="O57" s="1181"/>
      <c r="P57" s="1256" t="s">
        <v>1231</v>
      </c>
      <c r="Q57" s="1257">
        <f t="shared" si="9"/>
        <v>5.5</v>
      </c>
      <c r="R57" s="1258"/>
      <c r="S57" s="1259">
        <f t="shared" si="8"/>
        <v>0</v>
      </c>
      <c r="T57" s="1181"/>
      <c r="U57" s="1181"/>
      <c r="V57" s="1181"/>
      <c r="W57" s="1181"/>
      <c r="X57" s="1181"/>
      <c r="Y57" s="1181"/>
      <c r="Z57" s="1181"/>
    </row>
    <row r="58" spans="1:26" ht="15.75">
      <c r="A58" s="1206"/>
      <c r="B58" s="1206"/>
      <c r="C58" s="1206"/>
      <c r="D58" s="1261"/>
      <c r="E58" s="1261"/>
      <c r="F58" s="1261"/>
      <c r="G58" s="1261"/>
      <c r="H58" s="1261"/>
      <c r="I58" s="1261"/>
      <c r="J58" s="1262"/>
      <c r="K58" s="1261"/>
      <c r="L58" s="1181"/>
      <c r="M58" s="1181"/>
      <c r="N58" s="1181"/>
      <c r="O58" s="1181"/>
      <c r="P58" s="1256" t="s">
        <v>1232</v>
      </c>
      <c r="Q58" s="1257">
        <f t="shared" si="9"/>
        <v>4.5</v>
      </c>
      <c r="R58" s="1258"/>
      <c r="S58" s="1259">
        <f t="shared" si="8"/>
        <v>0</v>
      </c>
      <c r="T58" s="1181"/>
      <c r="U58" s="1181"/>
      <c r="V58" s="1181"/>
      <c r="W58" s="1181"/>
      <c r="X58" s="1181"/>
      <c r="Y58" s="1181"/>
      <c r="Z58" s="1181"/>
    </row>
    <row r="59" spans="1:26" ht="15.75">
      <c r="A59" s="1206"/>
      <c r="B59" s="1206"/>
      <c r="C59" s="1206"/>
      <c r="D59" s="1261"/>
      <c r="E59" s="1261"/>
      <c r="F59" s="1261"/>
      <c r="G59" s="1261"/>
      <c r="H59" s="1261"/>
      <c r="I59" s="1261"/>
      <c r="J59" s="1262"/>
      <c r="K59" s="1261"/>
      <c r="L59" s="1181"/>
      <c r="M59" s="1181"/>
      <c r="N59" s="1181"/>
      <c r="O59" s="1181"/>
      <c r="P59" s="1256" t="s">
        <v>1233</v>
      </c>
      <c r="Q59" s="1257">
        <f t="shared" si="9"/>
        <v>3.5</v>
      </c>
      <c r="R59" s="1258"/>
      <c r="S59" s="1259">
        <f t="shared" si="8"/>
        <v>0</v>
      </c>
      <c r="T59" s="1181"/>
      <c r="U59" s="1181"/>
      <c r="V59" s="1181"/>
      <c r="W59" s="1181"/>
      <c r="X59" s="1181"/>
      <c r="Y59" s="1181"/>
      <c r="Z59" s="1181"/>
    </row>
    <row r="60" spans="1:26">
      <c r="A60" s="1183">
        <f>+A14</f>
        <v>6</v>
      </c>
      <c r="B60" s="1183" t="str">
        <f>+B14</f>
        <v>April</v>
      </c>
      <c r="C60" s="1183" t="str">
        <f>+C14</f>
        <v>Year 3</v>
      </c>
      <c r="D60" s="1190" t="str">
        <f>+D14</f>
        <v>TO populates the formula with Year 2 data from FERC Form No. 1 for Year 2 (e.g., 2011)</v>
      </c>
      <c r="E60" s="1181"/>
      <c r="F60" s="1181"/>
      <c r="G60" s="1181"/>
      <c r="H60" s="1181"/>
      <c r="I60" s="1181"/>
      <c r="J60" s="1181"/>
      <c r="K60" s="1181"/>
      <c r="L60" s="1181"/>
      <c r="M60" s="1181"/>
      <c r="N60" s="1181"/>
      <c r="O60" s="1181"/>
      <c r="P60" s="1256" t="s">
        <v>1234</v>
      </c>
      <c r="Q60" s="1257">
        <f t="shared" si="9"/>
        <v>2.5</v>
      </c>
      <c r="R60" s="1258"/>
      <c r="S60" s="1259">
        <f t="shared" si="8"/>
        <v>0</v>
      </c>
      <c r="T60" s="1181"/>
      <c r="U60" s="1181"/>
      <c r="V60" s="1181"/>
      <c r="W60" s="1181"/>
      <c r="X60" s="1181"/>
      <c r="Y60" s="1181"/>
      <c r="Z60" s="1181"/>
    </row>
    <row r="61" spans="1:26">
      <c r="A61" s="1183"/>
      <c r="B61" s="1183"/>
      <c r="C61" s="1183"/>
      <c r="D61" s="1263">
        <f>D56</f>
        <v>0</v>
      </c>
      <c r="E61" s="1181" t="s">
        <v>1240</v>
      </c>
      <c r="F61" s="1181"/>
      <c r="G61" s="1195" t="str">
        <f>"Must run Appendix A to get this number (without inputs in lines "&amp;'Appendix A'!A39&amp;" or "&amp;'Appendix A'!A73&amp;" of Appendix A)"</f>
        <v>Must run Appendix A to get this number (without inputs in lines 16 or 34 of Appendix A)</v>
      </c>
      <c r="H61" s="1181"/>
      <c r="I61" s="1181"/>
      <c r="J61" s="1175"/>
      <c r="K61" s="1181"/>
      <c r="L61" s="1181"/>
      <c r="M61" s="1181"/>
      <c r="N61" s="1181"/>
      <c r="O61" s="1181"/>
      <c r="P61" s="1256" t="s">
        <v>1235</v>
      </c>
      <c r="Q61" s="1257">
        <f t="shared" si="9"/>
        <v>1.5</v>
      </c>
      <c r="R61" s="1258"/>
      <c r="S61" s="1259">
        <f t="shared" si="8"/>
        <v>0</v>
      </c>
      <c r="T61" s="1181"/>
      <c r="U61" s="1181"/>
      <c r="V61" s="1181"/>
      <c r="W61" s="1181"/>
      <c r="X61" s="1181"/>
      <c r="Y61" s="1181"/>
      <c r="Z61" s="1181"/>
    </row>
    <row r="62" spans="1:26">
      <c r="A62" s="1183"/>
      <c r="B62" s="1183"/>
      <c r="C62" s="1183"/>
      <c r="D62" s="1264"/>
      <c r="E62" s="1181"/>
      <c r="F62" s="1181"/>
      <c r="G62" s="1264"/>
      <c r="H62" s="1181"/>
      <c r="I62" s="1181"/>
      <c r="J62" s="1181"/>
      <c r="K62" s="1181"/>
      <c r="L62" s="1181"/>
      <c r="M62" s="1181"/>
      <c r="N62" s="1181"/>
      <c r="O62" s="1181"/>
      <c r="P62" s="1265" t="s">
        <v>1236</v>
      </c>
      <c r="Q62" s="1266">
        <f t="shared" si="9"/>
        <v>0.5</v>
      </c>
      <c r="R62" s="1267"/>
      <c r="S62" s="1268">
        <f t="shared" si="8"/>
        <v>0</v>
      </c>
      <c r="T62" s="1181"/>
      <c r="U62" s="1181"/>
      <c r="V62" s="1181"/>
      <c r="W62" s="1181"/>
      <c r="X62" s="1181"/>
      <c r="Y62" s="1181"/>
      <c r="Z62" s="1181"/>
    </row>
    <row r="63" spans="1:26">
      <c r="A63" s="1183"/>
      <c r="B63" s="1183"/>
      <c r="C63" s="1183"/>
      <c r="D63" s="1269"/>
      <c r="E63" s="1181"/>
      <c r="F63" s="1181"/>
      <c r="G63" s="1181"/>
      <c r="H63" s="1181"/>
      <c r="I63" s="1181"/>
      <c r="J63" s="1181"/>
      <c r="K63" s="1181"/>
      <c r="L63" s="1181"/>
      <c r="M63" s="1181"/>
      <c r="N63" s="1181"/>
      <c r="O63" s="1181"/>
      <c r="P63" s="1270" t="s">
        <v>1241</v>
      </c>
      <c r="Q63" s="1271"/>
      <c r="R63" s="1271"/>
      <c r="S63" s="1272">
        <f>SUM(S51:S62)</f>
        <v>0</v>
      </c>
      <c r="T63" s="1181"/>
      <c r="U63" s="1181"/>
      <c r="V63" s="1181"/>
      <c r="W63" s="1181"/>
      <c r="X63" s="1273"/>
      <c r="Y63" s="1181"/>
      <c r="Z63" s="1181"/>
    </row>
    <row r="64" spans="1:26">
      <c r="A64" s="1183"/>
      <c r="B64" s="1183"/>
      <c r="C64" s="1183"/>
      <c r="D64" s="1181"/>
      <c r="E64" s="1181"/>
      <c r="F64" s="1181"/>
      <c r="G64" s="1181"/>
      <c r="H64" s="1238"/>
      <c r="I64" s="1181"/>
      <c r="J64" s="1181"/>
      <c r="K64" s="1181"/>
      <c r="L64" s="1181"/>
      <c r="M64" s="1181"/>
      <c r="N64" s="1181"/>
      <c r="O64" s="1181"/>
      <c r="P64" s="1175"/>
      <c r="Q64" s="1175"/>
      <c r="R64" s="1175"/>
      <c r="S64" s="1175"/>
      <c r="T64" s="1181"/>
      <c r="U64" s="1181"/>
      <c r="V64" s="1181"/>
      <c r="W64" s="1181"/>
      <c r="X64" s="1181"/>
      <c r="Y64" s="1181"/>
      <c r="Z64" s="1181"/>
    </row>
    <row r="65" spans="1:26">
      <c r="A65" s="1183">
        <v>7</v>
      </c>
      <c r="B65" s="1183" t="str">
        <f>+B15</f>
        <v>April</v>
      </c>
      <c r="C65" s="1183" t="str">
        <f>+C15</f>
        <v>Year 3</v>
      </c>
      <c r="D65" s="1190" t="str">
        <f>+D15</f>
        <v>Reconciliation - actual data</v>
      </c>
      <c r="E65" s="1191"/>
      <c r="F65" s="1191"/>
      <c r="G65" s="1191"/>
      <c r="H65" s="1191"/>
      <c r="I65" s="1191"/>
      <c r="J65" s="1191"/>
      <c r="K65" s="1181"/>
      <c r="L65" s="1181"/>
      <c r="M65" s="1181"/>
      <c r="N65" s="1181"/>
      <c r="O65" s="1181"/>
      <c r="P65" s="1181"/>
      <c r="Q65" s="1181"/>
      <c r="R65" s="1181"/>
      <c r="S65" s="1181"/>
      <c r="T65" s="1181"/>
      <c r="U65" s="1181"/>
      <c r="V65" s="1181"/>
      <c r="W65" s="1181"/>
      <c r="X65" s="1181"/>
      <c r="Y65" s="1181"/>
      <c r="Z65" s="1181"/>
    </row>
    <row r="66" spans="1:26">
      <c r="A66" s="1183"/>
      <c r="B66" s="1183"/>
      <c r="C66" s="1183"/>
      <c r="D66" s="1263">
        <f>D61</f>
        <v>0</v>
      </c>
      <c r="E66" s="1274" t="s">
        <v>1242</v>
      </c>
      <c r="F66" s="1181"/>
      <c r="G66" s="1195" t="str">
        <f>"Must run Appendix A to get this number (with inputs in lines "&amp;'Appendix A'!A39&amp;" and "&amp;'Appendix A'!A73&amp;" of Appendix A)"</f>
        <v>Must run Appendix A to get this number (with inputs in lines 16 and 34 of Appendix A)</v>
      </c>
      <c r="H66" s="1181"/>
      <c r="I66" s="1181"/>
      <c r="J66" s="1181"/>
      <c r="K66" s="1181"/>
      <c r="L66" s="1238"/>
      <c r="M66" s="1238"/>
      <c r="N66" s="1181"/>
      <c r="O66" s="1175"/>
      <c r="X66" s="1181"/>
      <c r="Y66" s="1181"/>
      <c r="Z66" s="1181"/>
    </row>
    <row r="67" spans="1:26">
      <c r="A67" s="1179"/>
      <c r="B67" s="1183"/>
      <c r="C67" s="1183"/>
      <c r="D67" s="1175"/>
      <c r="E67" s="1181"/>
      <c r="F67" s="1181"/>
      <c r="G67" s="1188"/>
      <c r="H67" s="1244"/>
      <c r="I67" s="1188"/>
      <c r="J67" s="1181"/>
      <c r="K67" s="1181"/>
      <c r="L67" s="1181"/>
      <c r="M67" s="1181"/>
      <c r="N67" s="1181"/>
      <c r="O67" s="1181"/>
      <c r="P67" s="1181"/>
      <c r="Q67" s="1181"/>
      <c r="R67" s="1181"/>
      <c r="S67" s="1181"/>
      <c r="T67" s="1181"/>
      <c r="U67" s="1181"/>
      <c r="V67" s="1181"/>
      <c r="W67" s="1181"/>
      <c r="X67" s="1181"/>
      <c r="Y67" s="1181"/>
      <c r="Z67" s="1181"/>
    </row>
    <row r="68" spans="1:26">
      <c r="A68" s="1183"/>
      <c r="B68" s="1183"/>
      <c r="C68" s="1183"/>
      <c r="D68" s="1274"/>
      <c r="E68" s="1181"/>
      <c r="F68" s="1181"/>
      <c r="G68" s="1188"/>
      <c r="H68" s="1244"/>
      <c r="I68" s="1188"/>
      <c r="J68" s="1181"/>
      <c r="K68" s="1181"/>
      <c r="L68" s="1181"/>
      <c r="M68" s="1181"/>
      <c r="N68" s="1181"/>
      <c r="O68" s="1181"/>
      <c r="P68" s="1181"/>
      <c r="Q68" s="1181"/>
      <c r="R68" s="1181"/>
      <c r="S68" s="1238"/>
      <c r="T68" s="1181"/>
      <c r="U68" s="1181"/>
      <c r="V68" s="1181"/>
      <c r="W68" s="1181"/>
      <c r="X68" s="1181"/>
      <c r="Y68" s="1181"/>
      <c r="Z68" s="1181"/>
    </row>
    <row r="69" spans="1:26">
      <c r="A69" s="1179"/>
      <c r="B69" s="1183"/>
      <c r="C69" s="1183"/>
      <c r="D69" s="1275">
        <v>0</v>
      </c>
      <c r="E69" s="1181" t="s">
        <v>1243</v>
      </c>
      <c r="F69" s="1181"/>
      <c r="G69" s="1188"/>
      <c r="H69" s="1244"/>
      <c r="I69" s="1188"/>
      <c r="J69" s="1181"/>
      <c r="K69" s="1181"/>
      <c r="L69" s="1181"/>
      <c r="M69" s="1181"/>
      <c r="N69" s="1181"/>
      <c r="O69" s="1181"/>
      <c r="P69" s="1181"/>
      <c r="Q69" s="1181"/>
      <c r="R69" s="1181"/>
      <c r="S69" s="1181"/>
      <c r="T69" s="1181"/>
      <c r="U69" s="1181"/>
      <c r="V69" s="1181"/>
      <c r="W69" s="1181"/>
      <c r="X69" s="1181"/>
      <c r="Y69" s="1181"/>
      <c r="Z69" s="1181"/>
    </row>
    <row r="70" spans="1:26">
      <c r="A70" s="1179"/>
      <c r="B70" s="1183"/>
      <c r="C70" s="1183"/>
      <c r="D70" s="1175"/>
      <c r="E70" s="1181"/>
      <c r="F70" s="1181"/>
      <c r="G70" s="1188"/>
      <c r="H70" s="1244"/>
      <c r="I70" s="1188"/>
      <c r="J70" s="1181"/>
      <c r="K70" s="1181"/>
      <c r="L70" s="1181"/>
      <c r="M70" s="1181"/>
      <c r="N70" s="1181"/>
      <c r="O70" s="1181"/>
      <c r="P70" s="1181"/>
      <c r="Q70" s="1181"/>
      <c r="R70" s="1181"/>
      <c r="S70" s="1181"/>
      <c r="T70" s="1181"/>
      <c r="U70" s="1181"/>
      <c r="V70" s="1181"/>
      <c r="W70" s="1181"/>
      <c r="X70" s="1181"/>
      <c r="Y70" s="1181"/>
      <c r="Z70" s="1181"/>
    </row>
    <row r="71" spans="1:26" ht="15.75">
      <c r="A71" s="1276"/>
      <c r="B71" s="1276"/>
      <c r="C71" s="1276"/>
      <c r="D71" s="1277"/>
      <c r="E71" s="1277"/>
      <c r="F71" s="1277"/>
      <c r="G71" s="1277"/>
      <c r="H71" s="1277"/>
      <c r="I71" s="1277"/>
      <c r="J71" s="1277"/>
      <c r="K71" s="1277"/>
      <c r="L71" s="1277"/>
      <c r="M71" s="1277"/>
      <c r="N71" s="1277"/>
      <c r="O71" s="1277"/>
      <c r="P71" s="1277"/>
      <c r="Q71" s="1277"/>
      <c r="R71" s="1277"/>
      <c r="S71" s="1277"/>
      <c r="T71" s="1277"/>
      <c r="U71" s="1277"/>
      <c r="V71" s="1277"/>
      <c r="W71" s="1277"/>
      <c r="X71" s="1277"/>
      <c r="Y71" s="1277"/>
      <c r="Z71" s="1277"/>
    </row>
    <row r="72" spans="1:26" ht="15.75">
      <c r="A72" s="1276"/>
      <c r="B72" s="1276"/>
      <c r="C72" s="1276"/>
      <c r="D72" s="1277"/>
      <c r="E72" s="1277"/>
      <c r="F72" s="1277"/>
      <c r="G72" s="1277"/>
      <c r="H72" s="1277"/>
      <c r="I72" s="1277"/>
      <c r="J72" s="1277"/>
      <c r="K72" s="1277"/>
      <c r="L72" s="1277"/>
      <c r="M72" s="1277"/>
      <c r="N72" s="1277"/>
      <c r="O72" s="1277"/>
      <c r="P72" s="1277"/>
      <c r="Q72" s="1277"/>
      <c r="R72" s="1277"/>
      <c r="S72" s="1277"/>
      <c r="T72" s="1277"/>
      <c r="U72" s="1277"/>
      <c r="V72" s="1277"/>
      <c r="W72" s="1277"/>
      <c r="X72" s="1277"/>
      <c r="Y72" s="1277"/>
      <c r="Z72" s="1277"/>
    </row>
    <row r="73" spans="1:26" ht="15.75">
      <c r="A73" s="1276"/>
      <c r="B73" s="1276"/>
      <c r="C73" s="1276"/>
      <c r="D73" s="1277"/>
      <c r="E73" s="1277"/>
      <c r="F73" s="1277"/>
      <c r="G73" s="1277"/>
      <c r="H73" s="1277"/>
      <c r="I73" s="1277"/>
      <c r="J73" s="1277"/>
      <c r="K73" s="1277"/>
      <c r="L73" s="1277"/>
      <c r="M73" s="1277"/>
      <c r="N73" s="1277"/>
      <c r="O73" s="1277"/>
      <c r="P73" s="1277"/>
      <c r="Q73" s="1277"/>
      <c r="R73" s="1277"/>
      <c r="S73" s="1277"/>
      <c r="T73" s="1277"/>
      <c r="U73" s="1277"/>
      <c r="V73" s="1277"/>
      <c r="W73" s="1277"/>
      <c r="X73" s="1277"/>
      <c r="Y73" s="1277"/>
      <c r="Z73" s="1277"/>
    </row>
    <row r="74" spans="1:26" ht="15.75">
      <c r="A74" s="1276"/>
      <c r="B74" s="1276"/>
      <c r="C74" s="1276"/>
      <c r="D74" s="1277"/>
      <c r="E74" s="1277"/>
      <c r="F74" s="1277"/>
      <c r="G74" s="1277"/>
      <c r="H74" s="1277"/>
      <c r="I74" s="1277"/>
      <c r="J74" s="1277"/>
      <c r="K74" s="1277"/>
      <c r="L74" s="1277"/>
      <c r="M74" s="1277"/>
      <c r="N74" s="1277"/>
      <c r="O74" s="1277"/>
      <c r="P74" s="1277"/>
      <c r="Q74" s="1277"/>
      <c r="R74" s="1277"/>
      <c r="S74" s="1277"/>
      <c r="T74" s="1277"/>
      <c r="U74" s="1277"/>
      <c r="V74" s="1277"/>
      <c r="W74" s="1277"/>
      <c r="X74" s="1277"/>
      <c r="Y74" s="1277"/>
      <c r="Z74" s="1277"/>
    </row>
    <row r="75" spans="1:26" ht="15.75">
      <c r="A75" s="1276"/>
      <c r="B75" s="1276"/>
      <c r="C75" s="1276"/>
      <c r="D75" s="1277"/>
      <c r="E75" s="1277"/>
      <c r="F75" s="1277"/>
      <c r="G75" s="1277"/>
      <c r="H75" s="1277"/>
      <c r="I75" s="1277"/>
      <c r="J75" s="1277"/>
      <c r="K75" s="1277"/>
      <c r="L75" s="1277"/>
      <c r="M75" s="1277"/>
      <c r="N75" s="1277"/>
      <c r="O75" s="1277"/>
      <c r="P75" s="1277"/>
      <c r="Q75" s="1277"/>
      <c r="R75" s="1277"/>
      <c r="S75" s="1277"/>
      <c r="T75" s="1277"/>
      <c r="U75" s="1277"/>
      <c r="V75" s="1277"/>
      <c r="W75" s="1277"/>
      <c r="X75" s="1277"/>
      <c r="Y75" s="1277"/>
      <c r="Z75" s="1277"/>
    </row>
    <row r="76" spans="1:26" ht="15.75">
      <c r="A76" s="1276"/>
      <c r="B76" s="1276"/>
      <c r="C76" s="1276"/>
      <c r="D76" s="1277"/>
      <c r="E76" s="1277"/>
      <c r="F76" s="1277"/>
      <c r="G76" s="1277"/>
      <c r="H76" s="1277"/>
      <c r="I76" s="1277"/>
      <c r="J76" s="1277"/>
      <c r="K76" s="1277"/>
      <c r="L76" s="1277"/>
      <c r="M76" s="1277"/>
      <c r="N76" s="1277"/>
      <c r="O76" s="1277"/>
      <c r="P76" s="1277"/>
      <c r="Q76" s="1277"/>
      <c r="R76" s="1277"/>
      <c r="S76" s="1277"/>
      <c r="T76" s="1277"/>
      <c r="U76" s="1277"/>
      <c r="V76" s="1277"/>
      <c r="W76" s="1277"/>
      <c r="X76" s="1277"/>
      <c r="Y76" s="1277"/>
      <c r="Z76" s="1277"/>
    </row>
    <row r="77" spans="1:26" ht="15.75">
      <c r="A77" s="1276"/>
      <c r="B77" s="1276"/>
      <c r="C77" s="1276"/>
      <c r="D77" s="1277"/>
      <c r="E77" s="1277"/>
      <c r="F77" s="1277"/>
      <c r="G77" s="1277"/>
      <c r="H77" s="1277"/>
      <c r="I77" s="1277"/>
      <c r="J77" s="1277"/>
      <c r="K77" s="1277"/>
      <c r="L77" s="1277"/>
      <c r="M77" s="1277"/>
      <c r="N77" s="1277"/>
      <c r="O77" s="1277"/>
      <c r="P77" s="1277"/>
      <c r="Q77" s="1277"/>
      <c r="R77" s="1277"/>
      <c r="S77" s="1277"/>
      <c r="T77" s="1277"/>
      <c r="U77" s="1277"/>
      <c r="V77" s="1277"/>
      <c r="W77" s="1277"/>
      <c r="X77" s="1277"/>
      <c r="Y77" s="1277"/>
      <c r="Z77" s="1277"/>
    </row>
    <row r="78" spans="1:26" ht="15.75">
      <c r="A78" s="1276"/>
      <c r="B78" s="1276"/>
      <c r="C78" s="1276"/>
      <c r="D78" s="1277"/>
      <c r="E78" s="1277"/>
      <c r="F78" s="1277"/>
      <c r="G78" s="1277"/>
      <c r="H78" s="1277"/>
      <c r="I78" s="1277"/>
      <c r="J78" s="1277"/>
      <c r="K78" s="1277"/>
      <c r="L78" s="1277"/>
      <c r="M78" s="1277"/>
      <c r="N78" s="1277"/>
      <c r="O78" s="1277"/>
      <c r="P78" s="1277"/>
      <c r="Q78" s="1277"/>
      <c r="R78" s="1277"/>
      <c r="S78" s="1277"/>
      <c r="T78" s="1277"/>
      <c r="U78" s="1277"/>
      <c r="V78" s="1277"/>
      <c r="W78" s="1277"/>
      <c r="X78" s="1277"/>
      <c r="Y78" s="1277"/>
      <c r="Z78" s="1277"/>
    </row>
    <row r="79" spans="1:26" ht="15.75">
      <c r="A79" s="1276"/>
      <c r="B79" s="1276"/>
      <c r="C79" s="1276"/>
      <c r="D79" s="1277"/>
      <c r="E79" s="1277"/>
      <c r="F79" s="1277"/>
      <c r="G79" s="1277"/>
      <c r="H79" s="1277"/>
      <c r="I79" s="1277"/>
      <c r="J79" s="1277"/>
      <c r="K79" s="1277"/>
      <c r="L79" s="1277"/>
      <c r="M79" s="1277"/>
      <c r="N79" s="1277"/>
      <c r="O79" s="1277"/>
      <c r="P79" s="1277"/>
      <c r="Q79" s="1277"/>
      <c r="R79" s="1277"/>
      <c r="S79" s="1277"/>
      <c r="T79" s="1277"/>
      <c r="U79" s="1277"/>
      <c r="V79" s="1277"/>
      <c r="W79" s="1277"/>
      <c r="X79" s="1277"/>
      <c r="Y79" s="1277"/>
      <c r="Z79" s="1277"/>
    </row>
    <row r="80" spans="1:26" ht="15.75">
      <c r="A80" s="1276"/>
      <c r="B80" s="1276"/>
      <c r="C80" s="1276"/>
      <c r="D80" s="1277"/>
      <c r="E80" s="1277"/>
      <c r="F80" s="1277"/>
      <c r="G80" s="1277"/>
      <c r="H80" s="1277"/>
      <c r="I80" s="1277"/>
      <c r="J80" s="1277"/>
      <c r="K80" s="1277"/>
      <c r="L80" s="1277"/>
      <c r="M80" s="1277"/>
      <c r="N80" s="1277"/>
      <c r="O80" s="1277"/>
      <c r="P80" s="1277"/>
      <c r="Q80" s="1277"/>
      <c r="R80" s="1277"/>
      <c r="S80" s="1277"/>
      <c r="T80" s="1277"/>
      <c r="U80" s="1277"/>
      <c r="V80" s="1277"/>
      <c r="W80" s="1277"/>
      <c r="X80" s="1277"/>
      <c r="Y80" s="1277"/>
      <c r="Z80" s="1277"/>
    </row>
    <row r="81" spans="1:26" ht="15.75">
      <c r="A81" s="1276"/>
      <c r="B81" s="1276"/>
      <c r="C81" s="1276"/>
      <c r="D81" s="1277"/>
      <c r="E81" s="1277"/>
      <c r="F81" s="1277"/>
      <c r="G81" s="1277"/>
      <c r="H81" s="1277"/>
      <c r="I81" s="1277"/>
      <c r="J81" s="1277"/>
      <c r="K81" s="1277"/>
      <c r="L81" s="1277"/>
      <c r="M81" s="1277"/>
      <c r="N81" s="1277"/>
      <c r="O81" s="1277"/>
      <c r="P81" s="1277"/>
      <c r="Q81" s="1277"/>
      <c r="R81" s="1277"/>
      <c r="S81" s="1277"/>
      <c r="T81" s="1277"/>
      <c r="U81" s="1277"/>
      <c r="V81" s="1277"/>
      <c r="W81" s="1277"/>
      <c r="X81" s="1277"/>
      <c r="Y81" s="1277"/>
      <c r="Z81" s="1277"/>
    </row>
    <row r="82" spans="1:26" ht="15.75">
      <c r="A82" s="1276"/>
      <c r="B82" s="1276"/>
      <c r="C82" s="1276"/>
      <c r="D82" s="1277"/>
      <c r="E82" s="1277"/>
      <c r="F82" s="1277"/>
      <c r="G82" s="1277"/>
      <c r="H82" s="1277"/>
      <c r="I82" s="1277"/>
      <c r="J82" s="1277"/>
      <c r="K82" s="1277"/>
      <c r="L82" s="1277"/>
      <c r="M82" s="1277"/>
      <c r="N82" s="1277"/>
      <c r="O82" s="1277"/>
      <c r="P82" s="1277"/>
      <c r="Q82" s="1277"/>
      <c r="R82" s="1277"/>
      <c r="S82" s="1277"/>
      <c r="T82" s="1277"/>
      <c r="U82" s="1277"/>
      <c r="V82" s="1277"/>
      <c r="W82" s="1277"/>
      <c r="X82" s="1277"/>
      <c r="Y82" s="1277"/>
      <c r="Z82" s="1277"/>
    </row>
    <row r="83" spans="1:26" ht="15.75">
      <c r="A83" s="1276"/>
      <c r="B83" s="1276"/>
      <c r="C83" s="1276"/>
      <c r="D83" s="1277"/>
      <c r="E83" s="1277"/>
      <c r="F83" s="1277"/>
      <c r="G83" s="1277"/>
      <c r="H83" s="1277"/>
      <c r="I83" s="1277"/>
      <c r="J83" s="1277"/>
      <c r="K83" s="1277"/>
      <c r="L83" s="1277"/>
      <c r="M83" s="1277"/>
      <c r="N83" s="1277"/>
      <c r="O83" s="1277"/>
      <c r="P83" s="1277"/>
      <c r="Q83" s="1277"/>
      <c r="R83" s="1277"/>
      <c r="S83" s="1277"/>
      <c r="T83" s="1277"/>
      <c r="U83" s="1277"/>
      <c r="V83" s="1277"/>
      <c r="W83" s="1277"/>
      <c r="X83" s="1277"/>
      <c r="Y83" s="1277"/>
      <c r="Z83" s="1277"/>
    </row>
    <row r="84" spans="1:26" ht="15.75">
      <c r="A84" s="1276"/>
      <c r="B84" s="1276"/>
      <c r="C84" s="1276"/>
      <c r="D84" s="1277"/>
      <c r="E84" s="1277"/>
      <c r="F84" s="1277"/>
      <c r="G84" s="1277"/>
      <c r="H84" s="1277"/>
      <c r="I84" s="1277"/>
      <c r="J84" s="1277"/>
      <c r="K84" s="1277"/>
      <c r="L84" s="1277"/>
      <c r="M84" s="1277"/>
      <c r="N84" s="1277"/>
      <c r="O84" s="1277"/>
      <c r="P84" s="1277"/>
      <c r="Q84" s="1277"/>
      <c r="R84" s="1277"/>
      <c r="S84" s="1277"/>
      <c r="T84" s="1277"/>
      <c r="U84" s="1277"/>
      <c r="V84" s="1277"/>
      <c r="W84" s="1277"/>
      <c r="X84" s="1277"/>
      <c r="Y84" s="1277"/>
      <c r="Z84" s="1277"/>
    </row>
    <row r="85" spans="1:26" ht="15.75">
      <c r="A85" s="1276"/>
      <c r="B85" s="1276"/>
      <c r="C85" s="1276"/>
      <c r="D85" s="1277"/>
      <c r="E85" s="1277"/>
      <c r="F85" s="1277"/>
      <c r="G85" s="1277"/>
      <c r="H85" s="1277"/>
      <c r="I85" s="1277"/>
      <c r="J85" s="1277"/>
      <c r="K85" s="1277"/>
      <c r="L85" s="1277"/>
      <c r="M85" s="1277"/>
      <c r="N85" s="1277"/>
      <c r="O85" s="1277"/>
      <c r="P85" s="1277"/>
      <c r="Q85" s="1277"/>
      <c r="R85" s="1277"/>
      <c r="S85" s="1277"/>
      <c r="T85" s="1277"/>
      <c r="U85" s="1277"/>
      <c r="V85" s="1277"/>
      <c r="W85" s="1277"/>
      <c r="X85" s="1277"/>
      <c r="Y85" s="1277"/>
      <c r="Z85" s="1277"/>
    </row>
    <row r="86" spans="1:26" ht="15.75">
      <c r="A86" s="1276"/>
      <c r="B86" s="1276"/>
      <c r="C86" s="1276"/>
      <c r="D86" s="1277"/>
      <c r="E86" s="1277"/>
      <c r="F86" s="1277"/>
      <c r="G86" s="1277"/>
      <c r="H86" s="1277"/>
      <c r="I86" s="1277"/>
      <c r="J86" s="1277"/>
      <c r="K86" s="1277"/>
      <c r="L86" s="1277"/>
      <c r="M86" s="1277"/>
      <c r="N86" s="1277"/>
      <c r="O86" s="1277"/>
      <c r="P86" s="1277"/>
      <c r="Q86" s="1277"/>
      <c r="R86" s="1277"/>
      <c r="S86" s="1277"/>
      <c r="T86" s="1277"/>
      <c r="U86" s="1277"/>
      <c r="V86" s="1277"/>
      <c r="W86" s="1277"/>
      <c r="X86" s="1277"/>
      <c r="Y86" s="1277"/>
      <c r="Z86" s="1277"/>
    </row>
    <row r="87" spans="1:26" ht="15.75">
      <c r="A87" s="1276"/>
      <c r="B87" s="1276"/>
      <c r="C87" s="1276"/>
      <c r="D87" s="1277"/>
      <c r="E87" s="1277"/>
      <c r="F87" s="1277"/>
      <c r="G87" s="1277"/>
      <c r="H87" s="1277"/>
      <c r="I87" s="1277"/>
      <c r="J87" s="1277"/>
      <c r="K87" s="1277"/>
      <c r="L87" s="1277"/>
      <c r="M87" s="1277"/>
      <c r="N87" s="1277"/>
      <c r="O87" s="1277"/>
      <c r="P87" s="1277"/>
      <c r="Q87" s="1277"/>
      <c r="R87" s="1277"/>
      <c r="S87" s="1277"/>
      <c r="T87" s="1277"/>
      <c r="U87" s="1277"/>
      <c r="V87" s="1277"/>
      <c r="W87" s="1277"/>
      <c r="X87" s="1277"/>
      <c r="Y87" s="1277"/>
      <c r="Z87" s="1277"/>
    </row>
    <row r="88" spans="1:26" ht="15.75">
      <c r="A88" s="1276"/>
      <c r="B88" s="1276"/>
      <c r="C88" s="1276"/>
      <c r="D88" s="1277"/>
      <c r="E88" s="1277"/>
      <c r="F88" s="1277"/>
      <c r="G88" s="1277"/>
      <c r="H88" s="1277"/>
      <c r="I88" s="1277"/>
      <c r="J88" s="1277"/>
      <c r="K88" s="1277"/>
      <c r="L88" s="1277"/>
      <c r="M88" s="1277"/>
      <c r="N88" s="1277"/>
      <c r="O88" s="1277"/>
      <c r="P88" s="1277"/>
      <c r="Q88" s="1277"/>
      <c r="R88" s="1277"/>
      <c r="S88" s="1277"/>
      <c r="T88" s="1277"/>
      <c r="U88" s="1277"/>
      <c r="V88" s="1277"/>
      <c r="W88" s="1277"/>
      <c r="X88" s="1277"/>
      <c r="Y88" s="1277"/>
      <c r="Z88" s="1277"/>
    </row>
    <row r="89" spans="1:26" ht="15.75">
      <c r="A89" s="1276"/>
      <c r="B89" s="1276"/>
      <c r="C89" s="1276"/>
      <c r="D89" s="1277"/>
      <c r="E89" s="1277"/>
      <c r="F89" s="1277"/>
      <c r="G89" s="1277"/>
      <c r="H89" s="1277"/>
      <c r="I89" s="1277"/>
      <c r="J89" s="1277"/>
      <c r="K89" s="1277"/>
      <c r="L89" s="1277"/>
      <c r="M89" s="1277"/>
      <c r="N89" s="1277"/>
      <c r="O89" s="1277"/>
      <c r="P89" s="1277"/>
      <c r="Q89" s="1277"/>
      <c r="R89" s="1277"/>
      <c r="S89" s="1277"/>
      <c r="T89" s="1277"/>
      <c r="U89" s="1277"/>
      <c r="V89" s="1277"/>
      <c r="W89" s="1277"/>
      <c r="X89" s="1277"/>
      <c r="Y89" s="1277"/>
      <c r="Z89" s="1277"/>
    </row>
    <row r="90" spans="1:26" ht="15.75">
      <c r="A90" s="1276"/>
      <c r="B90" s="1276"/>
      <c r="C90" s="1276"/>
      <c r="D90" s="1277"/>
      <c r="E90" s="1277"/>
      <c r="F90" s="1277"/>
      <c r="G90" s="1277"/>
      <c r="H90" s="1277"/>
      <c r="I90" s="1277"/>
      <c r="J90" s="1277"/>
      <c r="K90" s="1277"/>
      <c r="L90" s="1277"/>
      <c r="M90" s="1277"/>
      <c r="N90" s="1277"/>
      <c r="O90" s="1277"/>
      <c r="P90" s="1277"/>
      <c r="Q90" s="1277"/>
      <c r="R90" s="1277"/>
      <c r="S90" s="1277"/>
      <c r="T90" s="1277"/>
      <c r="U90" s="1277"/>
      <c r="V90" s="1277"/>
      <c r="W90" s="1277"/>
      <c r="X90" s="1277"/>
      <c r="Y90" s="1277"/>
      <c r="Z90" s="1277"/>
    </row>
    <row r="91" spans="1:26" ht="15.75">
      <c r="A91" s="1276"/>
      <c r="B91" s="1276"/>
      <c r="C91" s="1276"/>
      <c r="D91" s="1277"/>
      <c r="E91" s="1277"/>
      <c r="F91" s="1277"/>
      <c r="G91" s="1277"/>
      <c r="H91" s="1277"/>
      <c r="I91" s="1277"/>
      <c r="J91" s="1277"/>
      <c r="K91" s="1277"/>
      <c r="L91" s="1277"/>
      <c r="M91" s="1277"/>
      <c r="N91" s="1277"/>
      <c r="O91" s="1277"/>
      <c r="P91" s="1277"/>
      <c r="Q91" s="1277"/>
      <c r="R91" s="1277"/>
      <c r="S91" s="1277"/>
      <c r="T91" s="1277"/>
      <c r="U91" s="1277"/>
      <c r="V91" s="1277"/>
      <c r="W91" s="1277"/>
      <c r="X91" s="1277"/>
      <c r="Y91" s="1277"/>
      <c r="Z91" s="1277"/>
    </row>
    <row r="92" spans="1:26" ht="15.75">
      <c r="A92" s="1276"/>
      <c r="B92" s="1276"/>
      <c r="C92" s="1276"/>
      <c r="D92" s="1277"/>
      <c r="E92" s="1277"/>
      <c r="F92" s="1277"/>
      <c r="G92" s="1277"/>
      <c r="H92" s="1277"/>
      <c r="I92" s="1277"/>
      <c r="J92" s="1277"/>
      <c r="K92" s="1277"/>
      <c r="L92" s="1277"/>
      <c r="M92" s="1277"/>
      <c r="N92" s="1277"/>
      <c r="O92" s="1277"/>
      <c r="P92" s="1277"/>
      <c r="Q92" s="1277"/>
      <c r="R92" s="1277"/>
      <c r="S92" s="1277"/>
      <c r="T92" s="1277"/>
      <c r="U92" s="1277"/>
      <c r="V92" s="1277"/>
      <c r="W92" s="1277"/>
      <c r="X92" s="1277"/>
      <c r="Y92" s="1277"/>
      <c r="Z92" s="1277"/>
    </row>
    <row r="93" spans="1:26" ht="15.75">
      <c r="A93" s="1276"/>
      <c r="B93" s="1276"/>
      <c r="C93" s="1276"/>
      <c r="D93" s="1277"/>
      <c r="E93" s="1277"/>
      <c r="F93" s="1277"/>
      <c r="G93" s="1277"/>
      <c r="H93" s="1277"/>
      <c r="I93" s="1277"/>
      <c r="J93" s="1277"/>
      <c r="K93" s="1277"/>
      <c r="L93" s="1277"/>
      <c r="M93" s="1277"/>
      <c r="N93" s="1277"/>
      <c r="O93" s="1277"/>
      <c r="P93" s="1277"/>
      <c r="Q93" s="1277"/>
      <c r="R93" s="1277"/>
      <c r="S93" s="1277"/>
      <c r="T93" s="1277"/>
      <c r="U93" s="1277"/>
      <c r="V93" s="1277"/>
      <c r="W93" s="1277"/>
      <c r="X93" s="1277"/>
      <c r="Y93" s="1277"/>
      <c r="Z93" s="1277"/>
    </row>
    <row r="94" spans="1:26" ht="15.75">
      <c r="A94" s="1276"/>
      <c r="B94" s="1276"/>
      <c r="C94" s="1276"/>
      <c r="D94" s="1277"/>
      <c r="E94" s="1277"/>
      <c r="F94" s="1277"/>
      <c r="G94" s="1277"/>
      <c r="H94" s="1277"/>
      <c r="I94" s="1277"/>
      <c r="J94" s="1277"/>
      <c r="K94" s="1277"/>
      <c r="L94" s="1277"/>
      <c r="M94" s="1277"/>
      <c r="N94" s="1277"/>
      <c r="O94" s="1277"/>
      <c r="P94" s="1277"/>
      <c r="Q94" s="1277"/>
      <c r="R94" s="1277"/>
      <c r="S94" s="1277"/>
      <c r="T94" s="1277"/>
      <c r="U94" s="1277"/>
      <c r="V94" s="1277"/>
      <c r="W94" s="1277"/>
      <c r="X94" s="1277"/>
      <c r="Y94" s="1277"/>
      <c r="Z94" s="1277"/>
    </row>
    <row r="95" spans="1:26" ht="15.75">
      <c r="A95" s="1276"/>
      <c r="B95" s="1276"/>
      <c r="C95" s="1276"/>
      <c r="D95" s="1277"/>
      <c r="E95" s="1277"/>
      <c r="F95" s="1277"/>
      <c r="G95" s="1277"/>
      <c r="H95" s="1277"/>
      <c r="I95" s="1277"/>
      <c r="J95" s="1277"/>
      <c r="K95" s="1277"/>
      <c r="L95" s="1277"/>
      <c r="M95" s="1277"/>
      <c r="N95" s="1277"/>
      <c r="O95" s="1277"/>
      <c r="P95" s="1277"/>
      <c r="Q95" s="1277"/>
      <c r="R95" s="1277"/>
      <c r="S95" s="1277"/>
      <c r="T95" s="1277"/>
      <c r="U95" s="1277"/>
      <c r="V95" s="1277"/>
      <c r="W95" s="1277"/>
      <c r="X95" s="1277"/>
      <c r="Y95" s="1277"/>
      <c r="Z95" s="1277"/>
    </row>
    <row r="96" spans="1:26" ht="15.75">
      <c r="A96" s="1276"/>
      <c r="B96" s="1276"/>
      <c r="C96" s="1276"/>
      <c r="D96" s="1277"/>
      <c r="E96" s="1277"/>
      <c r="F96" s="1277"/>
      <c r="G96" s="1277"/>
      <c r="H96" s="1277"/>
      <c r="I96" s="1277"/>
      <c r="J96" s="1277"/>
      <c r="K96" s="1277"/>
      <c r="L96" s="1277"/>
      <c r="M96" s="1277"/>
      <c r="N96" s="1277"/>
      <c r="O96" s="1277"/>
      <c r="P96" s="1277"/>
      <c r="Q96" s="1277"/>
      <c r="R96" s="1277"/>
      <c r="S96" s="1277"/>
      <c r="T96" s="1277"/>
      <c r="U96" s="1277"/>
      <c r="V96" s="1277"/>
      <c r="W96" s="1277"/>
      <c r="X96" s="1277"/>
      <c r="Y96" s="1277"/>
      <c r="Z96" s="1277"/>
    </row>
    <row r="97" spans="1:26" ht="15.75">
      <c r="A97" s="1276"/>
      <c r="B97" s="1276"/>
      <c r="C97" s="1276"/>
      <c r="D97" s="1277"/>
      <c r="E97" s="1277"/>
      <c r="F97" s="1277"/>
      <c r="G97" s="1277"/>
      <c r="H97" s="1277"/>
      <c r="I97" s="1277"/>
      <c r="J97" s="1277"/>
      <c r="K97" s="1277"/>
      <c r="L97" s="1277"/>
      <c r="M97" s="1277"/>
      <c r="N97" s="1277"/>
      <c r="O97" s="1277"/>
      <c r="P97" s="1277"/>
      <c r="Q97" s="1277"/>
      <c r="R97" s="1277"/>
      <c r="S97" s="1277"/>
      <c r="T97" s="1277"/>
      <c r="U97" s="1277"/>
      <c r="V97" s="1277"/>
      <c r="W97" s="1277"/>
      <c r="X97" s="1277"/>
      <c r="Y97" s="1277"/>
      <c r="Z97" s="1277"/>
    </row>
    <row r="98" spans="1:26" ht="15.75">
      <c r="A98" s="1276"/>
      <c r="B98" s="1276"/>
      <c r="C98" s="1276"/>
      <c r="D98" s="1277"/>
      <c r="E98" s="1277"/>
      <c r="F98" s="1277"/>
      <c r="G98" s="1277"/>
      <c r="H98" s="1277"/>
      <c r="I98" s="1277"/>
      <c r="J98" s="1277"/>
      <c r="K98" s="1277"/>
      <c r="L98" s="1277"/>
      <c r="M98" s="1277"/>
      <c r="N98" s="1277"/>
      <c r="O98" s="1277"/>
      <c r="P98" s="1277"/>
      <c r="Q98" s="1277"/>
      <c r="R98" s="1277"/>
      <c r="S98" s="1277"/>
      <c r="T98" s="1277"/>
      <c r="U98" s="1277"/>
      <c r="V98" s="1277"/>
      <c r="W98" s="1277"/>
      <c r="X98" s="1277"/>
      <c r="Y98" s="1277"/>
      <c r="Z98" s="1277"/>
    </row>
    <row r="99" spans="1:26" ht="15.75">
      <c r="A99" s="1276"/>
      <c r="B99" s="1276"/>
      <c r="C99" s="1276"/>
      <c r="D99" s="1277"/>
      <c r="E99" s="1277"/>
      <c r="F99" s="1277"/>
      <c r="G99" s="1277"/>
      <c r="H99" s="1277"/>
      <c r="I99" s="1277"/>
      <c r="J99" s="1277"/>
      <c r="K99" s="1277"/>
      <c r="L99" s="1277"/>
      <c r="M99" s="1277"/>
      <c r="N99" s="1277"/>
      <c r="O99" s="1277"/>
      <c r="P99" s="1277"/>
      <c r="Q99" s="1277"/>
      <c r="R99" s="1277"/>
      <c r="S99" s="1277"/>
      <c r="T99" s="1277"/>
      <c r="U99" s="1277"/>
      <c r="V99" s="1277"/>
      <c r="W99" s="1277"/>
      <c r="X99" s="1277"/>
      <c r="Y99" s="1277"/>
      <c r="Z99" s="1277"/>
    </row>
    <row r="100" spans="1:26" ht="15.75">
      <c r="A100" s="1276"/>
      <c r="B100" s="1276"/>
      <c r="C100" s="1276"/>
      <c r="D100" s="1277"/>
      <c r="E100" s="1277"/>
      <c r="F100" s="1277"/>
      <c r="G100" s="1277"/>
      <c r="H100" s="1277"/>
      <c r="I100" s="1277"/>
      <c r="J100" s="1277"/>
      <c r="K100" s="1277"/>
      <c r="L100" s="1277"/>
      <c r="M100" s="1277"/>
      <c r="N100" s="1277"/>
      <c r="O100" s="1277"/>
      <c r="P100" s="1277"/>
      <c r="Q100" s="1277"/>
      <c r="R100" s="1277"/>
      <c r="S100" s="1277"/>
      <c r="T100" s="1277"/>
      <c r="U100" s="1277"/>
      <c r="V100" s="1277"/>
      <c r="W100" s="1277"/>
      <c r="X100" s="1277"/>
      <c r="Y100" s="1277"/>
      <c r="Z100" s="1277"/>
    </row>
    <row r="101" spans="1:26" ht="15.75">
      <c r="A101" s="1276"/>
      <c r="B101" s="1276"/>
      <c r="C101" s="1276"/>
      <c r="D101" s="1277"/>
      <c r="E101" s="1277"/>
      <c r="F101" s="1277"/>
      <c r="G101" s="1277"/>
      <c r="H101" s="1277"/>
      <c r="I101" s="1277"/>
      <c r="J101" s="1277"/>
      <c r="K101" s="1277"/>
      <c r="L101" s="1277"/>
      <c r="M101" s="1277"/>
      <c r="N101" s="1277"/>
      <c r="O101" s="1277"/>
      <c r="P101" s="1277"/>
      <c r="Q101" s="1277"/>
      <c r="R101" s="1277"/>
      <c r="S101" s="1277"/>
      <c r="T101" s="1277"/>
      <c r="U101" s="1277"/>
      <c r="V101" s="1277"/>
      <c r="W101" s="1277"/>
      <c r="X101" s="1277"/>
      <c r="Y101" s="1277"/>
      <c r="Z101" s="1277"/>
    </row>
    <row r="102" spans="1:26" ht="15.75">
      <c r="A102" s="1276"/>
      <c r="B102" s="1276"/>
      <c r="C102" s="1276"/>
      <c r="D102" s="1277"/>
      <c r="E102" s="1277"/>
      <c r="F102" s="1277"/>
      <c r="G102" s="1277"/>
      <c r="H102" s="1277"/>
      <c r="I102" s="1277"/>
      <c r="J102" s="1277"/>
      <c r="K102" s="1277"/>
      <c r="L102" s="1277"/>
      <c r="M102" s="1277"/>
      <c r="N102" s="1277"/>
      <c r="O102" s="1277"/>
      <c r="P102" s="1277"/>
      <c r="Q102" s="1277"/>
      <c r="R102" s="1277"/>
      <c r="S102" s="1277"/>
      <c r="T102" s="1277"/>
      <c r="U102" s="1277"/>
      <c r="V102" s="1277"/>
      <c r="W102" s="1277"/>
      <c r="X102" s="1277"/>
      <c r="Y102" s="1277"/>
      <c r="Z102" s="1277"/>
    </row>
    <row r="103" spans="1:26" ht="15.75">
      <c r="A103" s="1276"/>
      <c r="B103" s="1276"/>
      <c r="C103" s="1276"/>
      <c r="D103" s="1277"/>
      <c r="E103" s="1277"/>
      <c r="F103" s="1277"/>
      <c r="G103" s="1277"/>
      <c r="H103" s="1277"/>
      <c r="I103" s="1277"/>
      <c r="J103" s="1277"/>
      <c r="K103" s="1277"/>
      <c r="L103" s="1277"/>
      <c r="M103" s="1277"/>
      <c r="N103" s="1277"/>
      <c r="O103" s="1277"/>
      <c r="P103" s="1277"/>
      <c r="Q103" s="1277"/>
      <c r="R103" s="1277"/>
      <c r="S103" s="1277"/>
      <c r="T103" s="1277"/>
      <c r="U103" s="1277"/>
      <c r="V103" s="1277"/>
      <c r="W103" s="1277"/>
      <c r="X103" s="1277"/>
      <c r="Y103" s="1277"/>
      <c r="Z103" s="1277"/>
    </row>
    <row r="104" spans="1:26" ht="15.75">
      <c r="A104" s="1276"/>
      <c r="B104" s="1276"/>
      <c r="C104" s="1276"/>
      <c r="D104" s="1277"/>
      <c r="E104" s="1277"/>
      <c r="F104" s="1277"/>
      <c r="G104" s="1277"/>
      <c r="H104" s="1277"/>
      <c r="I104" s="1277"/>
      <c r="J104" s="1277"/>
      <c r="K104" s="1277"/>
      <c r="L104" s="1277"/>
      <c r="M104" s="1277"/>
      <c r="N104" s="1277"/>
      <c r="O104" s="1277"/>
      <c r="P104" s="1277"/>
      <c r="Q104" s="1277"/>
      <c r="R104" s="1277"/>
      <c r="S104" s="1277"/>
      <c r="T104" s="1277"/>
      <c r="U104" s="1277"/>
      <c r="V104" s="1277"/>
      <c r="W104" s="1277"/>
      <c r="X104" s="1277"/>
      <c r="Y104" s="1277"/>
      <c r="Z104" s="1277"/>
    </row>
    <row r="105" spans="1:26" ht="15.75">
      <c r="A105" s="1276"/>
      <c r="B105" s="1276"/>
      <c r="C105" s="1276"/>
      <c r="D105" s="1277"/>
      <c r="E105" s="1277"/>
      <c r="F105" s="1277"/>
      <c r="G105" s="1277"/>
      <c r="H105" s="1277"/>
      <c r="I105" s="1277"/>
      <c r="J105" s="1277"/>
      <c r="K105" s="1277"/>
      <c r="L105" s="1277"/>
      <c r="M105" s="1277"/>
      <c r="N105" s="1277"/>
      <c r="O105" s="1277"/>
      <c r="P105" s="1277"/>
      <c r="Q105" s="1277"/>
      <c r="R105" s="1277"/>
      <c r="S105" s="1277"/>
      <c r="T105" s="1277"/>
      <c r="U105" s="1277"/>
      <c r="V105" s="1277"/>
      <c r="W105" s="1277"/>
      <c r="X105" s="1277"/>
      <c r="Y105" s="1277"/>
      <c r="Z105" s="1277"/>
    </row>
    <row r="106" spans="1:26" ht="15.75">
      <c r="A106" s="1276"/>
      <c r="B106" s="1276"/>
      <c r="C106" s="1276"/>
      <c r="D106" s="1277"/>
      <c r="E106" s="1277"/>
      <c r="F106" s="1277"/>
      <c r="G106" s="1277"/>
      <c r="H106" s="1277"/>
      <c r="I106" s="1277"/>
      <c r="J106" s="1277"/>
      <c r="K106" s="1277"/>
      <c r="L106" s="1277"/>
      <c r="M106" s="1277"/>
      <c r="N106" s="1277"/>
      <c r="O106" s="1277"/>
      <c r="P106" s="1277"/>
      <c r="Q106" s="1277"/>
      <c r="R106" s="1277"/>
      <c r="S106" s="1277"/>
      <c r="T106" s="1277"/>
      <c r="U106" s="1277"/>
      <c r="V106" s="1277"/>
      <c r="W106" s="1277"/>
      <c r="X106" s="1277"/>
      <c r="Y106" s="1277"/>
      <c r="Z106" s="1277"/>
    </row>
    <row r="107" spans="1:26" ht="15.75">
      <c r="A107" s="1276"/>
      <c r="B107" s="1276"/>
      <c r="C107" s="1276"/>
      <c r="D107" s="1277"/>
      <c r="E107" s="1277"/>
      <c r="F107" s="1277"/>
      <c r="G107" s="1277"/>
      <c r="H107" s="1277"/>
      <c r="I107" s="1277"/>
      <c r="J107" s="1277"/>
      <c r="K107" s="1277"/>
      <c r="L107" s="1277"/>
      <c r="M107" s="1277"/>
      <c r="N107" s="1277"/>
      <c r="O107" s="1277"/>
      <c r="P107" s="1277"/>
      <c r="Q107" s="1277"/>
      <c r="R107" s="1277"/>
      <c r="S107" s="1277"/>
      <c r="T107" s="1277"/>
      <c r="U107" s="1277"/>
      <c r="V107" s="1277"/>
      <c r="W107" s="1277"/>
      <c r="X107" s="1277"/>
      <c r="Y107" s="1277"/>
      <c r="Z107" s="1277"/>
    </row>
    <row r="108" spans="1:26" ht="15.75">
      <c r="A108" s="1276"/>
      <c r="B108" s="1276"/>
      <c r="C108" s="1276"/>
      <c r="D108" s="1277"/>
      <c r="E108" s="1277"/>
      <c r="F108" s="1277"/>
      <c r="G108" s="1277"/>
      <c r="H108" s="1277"/>
      <c r="I108" s="1277"/>
      <c r="J108" s="1277"/>
      <c r="K108" s="1277"/>
      <c r="L108" s="1277"/>
      <c r="M108" s="1277"/>
      <c r="N108" s="1277"/>
      <c r="O108" s="1277"/>
      <c r="P108" s="1277"/>
      <c r="Q108" s="1277"/>
      <c r="R108" s="1277"/>
      <c r="S108" s="1277"/>
      <c r="T108" s="1277"/>
      <c r="U108" s="1277"/>
      <c r="V108" s="1277"/>
      <c r="W108" s="1277"/>
      <c r="X108" s="1277"/>
      <c r="Y108" s="1277"/>
      <c r="Z108" s="1277"/>
    </row>
    <row r="109" spans="1:26" ht="15.75">
      <c r="A109" s="1276"/>
      <c r="B109" s="1276"/>
      <c r="C109" s="1276"/>
      <c r="D109" s="1277"/>
      <c r="E109" s="1277"/>
      <c r="F109" s="1277"/>
      <c r="G109" s="1277"/>
      <c r="H109" s="1277"/>
      <c r="I109" s="1277"/>
      <c r="J109" s="1277"/>
      <c r="K109" s="1277"/>
      <c r="L109" s="1277"/>
      <c r="M109" s="1277"/>
      <c r="N109" s="1277"/>
      <c r="O109" s="1277"/>
      <c r="P109" s="1277"/>
      <c r="Q109" s="1277"/>
      <c r="R109" s="1277"/>
      <c r="S109" s="1277"/>
      <c r="T109" s="1277"/>
      <c r="U109" s="1277"/>
      <c r="V109" s="1277"/>
      <c r="W109" s="1277"/>
      <c r="X109" s="1277"/>
      <c r="Y109" s="1277"/>
      <c r="Z109" s="1277"/>
    </row>
    <row r="110" spans="1:26" ht="15.75">
      <c r="A110" s="1276"/>
      <c r="B110" s="1276"/>
      <c r="C110" s="1276"/>
      <c r="D110" s="1277"/>
      <c r="E110" s="1277"/>
      <c r="F110" s="1277"/>
      <c r="G110" s="1277"/>
      <c r="H110" s="1277"/>
      <c r="I110" s="1277"/>
      <c r="J110" s="1277"/>
      <c r="K110" s="1277"/>
      <c r="L110" s="1277"/>
      <c r="M110" s="1277"/>
      <c r="N110" s="1277"/>
      <c r="O110" s="1277"/>
      <c r="P110" s="1277"/>
      <c r="Q110" s="1277"/>
      <c r="R110" s="1277"/>
      <c r="S110" s="1277"/>
      <c r="T110" s="1277"/>
      <c r="U110" s="1277"/>
      <c r="V110" s="1277"/>
      <c r="W110" s="1277"/>
      <c r="X110" s="1277"/>
      <c r="Y110" s="1277"/>
      <c r="Z110" s="1277"/>
    </row>
    <row r="111" spans="1:26" ht="15.75">
      <c r="A111" s="1276"/>
      <c r="B111" s="1276"/>
      <c r="C111" s="1276"/>
      <c r="D111" s="1277"/>
      <c r="E111" s="1277"/>
      <c r="F111" s="1277"/>
      <c r="G111" s="1277"/>
      <c r="H111" s="1277"/>
      <c r="I111" s="1277"/>
      <c r="J111" s="1277"/>
      <c r="K111" s="1277"/>
      <c r="L111" s="1277"/>
      <c r="M111" s="1277"/>
      <c r="N111" s="1277"/>
      <c r="O111" s="1277"/>
      <c r="P111" s="1277"/>
      <c r="Q111" s="1277"/>
      <c r="R111" s="1277"/>
      <c r="S111" s="1277"/>
      <c r="T111" s="1277"/>
      <c r="U111" s="1277"/>
      <c r="V111" s="1277"/>
      <c r="W111" s="1277"/>
      <c r="X111" s="1277"/>
      <c r="Y111" s="1277"/>
      <c r="Z111" s="1277"/>
    </row>
    <row r="112" spans="1:26" ht="15.75">
      <c r="A112" s="1276"/>
      <c r="B112" s="1276"/>
      <c r="C112" s="1276"/>
      <c r="D112" s="1277"/>
      <c r="E112" s="1277"/>
      <c r="F112" s="1277"/>
      <c r="G112" s="1277"/>
      <c r="H112" s="1277"/>
      <c r="I112" s="1277"/>
      <c r="J112" s="1277"/>
      <c r="K112" s="1277"/>
      <c r="L112" s="1277"/>
      <c r="M112" s="1277"/>
      <c r="N112" s="1277"/>
      <c r="O112" s="1277"/>
      <c r="P112" s="1277"/>
      <c r="Q112" s="1277"/>
      <c r="R112" s="1277"/>
      <c r="S112" s="1277"/>
      <c r="T112" s="1277"/>
      <c r="U112" s="1277"/>
      <c r="V112" s="1277"/>
      <c r="W112" s="1277"/>
      <c r="X112" s="1277"/>
      <c r="Y112" s="1277"/>
      <c r="Z112" s="1277"/>
    </row>
    <row r="113" spans="1:26" ht="15.75">
      <c r="A113" s="1276"/>
      <c r="B113" s="1276"/>
      <c r="C113" s="1276"/>
      <c r="D113" s="1277"/>
      <c r="E113" s="1277"/>
      <c r="F113" s="1277"/>
      <c r="G113" s="1277"/>
      <c r="H113" s="1277"/>
      <c r="I113" s="1277"/>
      <c r="J113" s="1277"/>
      <c r="K113" s="1277"/>
      <c r="L113" s="1277"/>
      <c r="M113" s="1277"/>
      <c r="N113" s="1277"/>
      <c r="O113" s="1277"/>
      <c r="P113" s="1277"/>
      <c r="Q113" s="1277"/>
      <c r="R113" s="1277"/>
      <c r="S113" s="1277"/>
      <c r="T113" s="1277"/>
      <c r="U113" s="1277"/>
      <c r="V113" s="1277"/>
      <c r="W113" s="1277"/>
      <c r="X113" s="1277"/>
      <c r="Y113" s="1277"/>
      <c r="Z113" s="1277"/>
    </row>
    <row r="114" spans="1:26" ht="15.75">
      <c r="A114" s="1276"/>
      <c r="B114" s="1276"/>
      <c r="C114" s="1276"/>
      <c r="D114" s="1277"/>
      <c r="E114" s="1277"/>
      <c r="F114" s="1277"/>
      <c r="G114" s="1277"/>
      <c r="H114" s="1277"/>
      <c r="I114" s="1277"/>
      <c r="J114" s="1277"/>
      <c r="K114" s="1277"/>
      <c r="L114" s="1277"/>
      <c r="M114" s="1277"/>
      <c r="N114" s="1277"/>
      <c r="O114" s="1277"/>
      <c r="P114" s="1277"/>
      <c r="Q114" s="1277"/>
      <c r="R114" s="1277"/>
      <c r="S114" s="1277"/>
      <c r="T114" s="1277"/>
      <c r="U114" s="1277"/>
      <c r="V114" s="1277"/>
      <c r="W114" s="1277"/>
      <c r="X114" s="1277"/>
      <c r="Y114" s="1277"/>
      <c r="Z114" s="1277"/>
    </row>
    <row r="115" spans="1:26" ht="15.75">
      <c r="A115" s="1276"/>
      <c r="B115" s="1276"/>
      <c r="C115" s="1276"/>
      <c r="D115" s="1277"/>
      <c r="E115" s="1277"/>
      <c r="F115" s="1277"/>
      <c r="G115" s="1277"/>
      <c r="H115" s="1277"/>
      <c r="I115" s="1277"/>
      <c r="J115" s="1277"/>
      <c r="K115" s="1277"/>
      <c r="L115" s="1277"/>
      <c r="M115" s="1277"/>
      <c r="N115" s="1277"/>
      <c r="O115" s="1277"/>
      <c r="P115" s="1277"/>
      <c r="Q115" s="1277"/>
      <c r="R115" s="1277"/>
      <c r="S115" s="1277"/>
      <c r="T115" s="1277"/>
      <c r="U115" s="1277"/>
      <c r="V115" s="1277"/>
      <c r="W115" s="1277"/>
      <c r="X115" s="1277"/>
      <c r="Y115" s="1277"/>
      <c r="Z115" s="1277"/>
    </row>
    <row r="116" spans="1:26" ht="15.75">
      <c r="A116" s="1276"/>
      <c r="B116" s="1276"/>
      <c r="C116" s="1276"/>
      <c r="D116" s="1277"/>
      <c r="E116" s="1277"/>
      <c r="F116" s="1277"/>
      <c r="G116" s="1277"/>
      <c r="H116" s="1277"/>
      <c r="I116" s="1277"/>
      <c r="J116" s="1277"/>
      <c r="K116" s="1277"/>
      <c r="L116" s="1277"/>
      <c r="M116" s="1277"/>
      <c r="N116" s="1277"/>
      <c r="O116" s="1277"/>
      <c r="P116" s="1277"/>
      <c r="Q116" s="1277"/>
      <c r="R116" s="1277"/>
      <c r="S116" s="1277"/>
      <c r="T116" s="1277"/>
      <c r="U116" s="1277"/>
      <c r="V116" s="1277"/>
      <c r="W116" s="1277"/>
      <c r="X116" s="1277"/>
      <c r="Y116" s="1277"/>
      <c r="Z116" s="1277"/>
    </row>
    <row r="117" spans="1:26" ht="15.75">
      <c r="A117" s="1276"/>
      <c r="B117" s="1276"/>
      <c r="C117" s="1276"/>
      <c r="D117" s="1277"/>
      <c r="E117" s="1277"/>
      <c r="F117" s="1277"/>
      <c r="G117" s="1277"/>
      <c r="H117" s="1277"/>
      <c r="I117" s="1277"/>
      <c r="J117" s="1277"/>
      <c r="K117" s="1277"/>
      <c r="L117" s="1277"/>
      <c r="M117" s="1277"/>
      <c r="N117" s="1277"/>
      <c r="O117" s="1277"/>
      <c r="P117" s="1277"/>
      <c r="Q117" s="1277"/>
      <c r="R117" s="1277"/>
      <c r="S117" s="1277"/>
      <c r="T117" s="1277"/>
      <c r="U117" s="1277"/>
      <c r="V117" s="1277"/>
      <c r="W117" s="1277"/>
      <c r="X117" s="1277"/>
      <c r="Y117" s="1277"/>
      <c r="Z117" s="1277"/>
    </row>
    <row r="118" spans="1:26" ht="15.75">
      <c r="A118" s="1276"/>
      <c r="B118" s="1276"/>
      <c r="C118" s="1276"/>
      <c r="D118" s="1277"/>
      <c r="E118" s="1277"/>
      <c r="F118" s="1277"/>
      <c r="G118" s="1277"/>
      <c r="H118" s="1277"/>
      <c r="I118" s="1277"/>
      <c r="J118" s="1277"/>
      <c r="K118" s="1277"/>
      <c r="L118" s="1277"/>
      <c r="M118" s="1277"/>
      <c r="N118" s="1277"/>
      <c r="O118" s="1277"/>
      <c r="P118" s="1277"/>
      <c r="Q118" s="1277"/>
      <c r="R118" s="1277"/>
      <c r="S118" s="1277"/>
      <c r="T118" s="1277"/>
      <c r="U118" s="1277"/>
      <c r="V118" s="1277"/>
      <c r="W118" s="1277"/>
      <c r="X118" s="1277"/>
      <c r="Y118" s="1277"/>
      <c r="Z118" s="1277"/>
    </row>
    <row r="119" spans="1:26" ht="15.75">
      <c r="A119" s="1276"/>
      <c r="B119" s="1276"/>
      <c r="C119" s="1276"/>
      <c r="D119" s="1277"/>
      <c r="E119" s="1277"/>
      <c r="F119" s="1277"/>
      <c r="G119" s="1277"/>
      <c r="H119" s="1277"/>
      <c r="I119" s="1277"/>
      <c r="J119" s="1277"/>
      <c r="K119" s="1277"/>
      <c r="L119" s="1277"/>
      <c r="M119" s="1277"/>
      <c r="N119" s="1277"/>
      <c r="O119" s="1277"/>
      <c r="P119" s="1277"/>
      <c r="Q119" s="1277"/>
      <c r="R119" s="1277"/>
      <c r="S119" s="1277"/>
      <c r="T119" s="1277"/>
      <c r="U119" s="1277"/>
      <c r="V119" s="1277"/>
      <c r="W119" s="1277"/>
      <c r="X119" s="1277"/>
      <c r="Y119" s="1277"/>
      <c r="Z119" s="1277"/>
    </row>
    <row r="120" spans="1:26" ht="15.75">
      <c r="A120" s="1276"/>
      <c r="B120" s="1276"/>
      <c r="C120" s="1276"/>
      <c r="D120" s="1277"/>
      <c r="E120" s="1277"/>
      <c r="F120" s="1277"/>
      <c r="G120" s="1277"/>
      <c r="H120" s="1277"/>
      <c r="I120" s="1277"/>
      <c r="J120" s="1277"/>
      <c r="K120" s="1277"/>
      <c r="L120" s="1277"/>
      <c r="M120" s="1277"/>
      <c r="N120" s="1277"/>
      <c r="O120" s="1277"/>
      <c r="P120" s="1277"/>
      <c r="Q120" s="1277"/>
      <c r="R120" s="1277"/>
      <c r="S120" s="1277"/>
      <c r="T120" s="1277"/>
      <c r="U120" s="1277"/>
      <c r="V120" s="1277"/>
      <c r="W120" s="1277"/>
      <c r="X120" s="1277"/>
      <c r="Y120" s="1277"/>
      <c r="Z120" s="1277"/>
    </row>
    <row r="121" spans="1:26" ht="15.75">
      <c r="A121" s="1276"/>
      <c r="B121" s="1276"/>
      <c r="C121" s="1276"/>
      <c r="D121" s="1277"/>
      <c r="E121" s="1277"/>
      <c r="F121" s="1277"/>
      <c r="G121" s="1277"/>
      <c r="H121" s="1277"/>
      <c r="I121" s="1277"/>
      <c r="J121" s="1277"/>
      <c r="K121" s="1277"/>
      <c r="L121" s="1277"/>
      <c r="M121" s="1277"/>
      <c r="N121" s="1277"/>
      <c r="O121" s="1277"/>
      <c r="P121" s="1277"/>
      <c r="Q121" s="1277"/>
      <c r="R121" s="1277"/>
      <c r="S121" s="1277"/>
      <c r="T121" s="1277"/>
      <c r="U121" s="1277"/>
      <c r="V121" s="1277"/>
      <c r="W121" s="1277"/>
      <c r="X121" s="1277"/>
      <c r="Y121" s="1277"/>
      <c r="Z121" s="1277"/>
    </row>
    <row r="122" spans="1:26" ht="15.75">
      <c r="A122" s="1276"/>
      <c r="B122" s="1276"/>
      <c r="C122" s="1276"/>
      <c r="D122" s="1277"/>
      <c r="E122" s="1277"/>
      <c r="F122" s="1277"/>
      <c r="G122" s="1277"/>
      <c r="H122" s="1277"/>
      <c r="I122" s="1277"/>
      <c r="J122" s="1277"/>
      <c r="K122" s="1277"/>
      <c r="L122" s="1277"/>
      <c r="M122" s="1277"/>
      <c r="N122" s="1277"/>
      <c r="O122" s="1277"/>
      <c r="P122" s="1277"/>
      <c r="Q122" s="1277"/>
      <c r="R122" s="1277"/>
      <c r="S122" s="1277"/>
      <c r="T122" s="1277"/>
      <c r="U122" s="1277"/>
      <c r="V122" s="1277"/>
      <c r="W122" s="1277"/>
      <c r="X122" s="1277"/>
      <c r="Y122" s="1277"/>
      <c r="Z122" s="1277"/>
    </row>
    <row r="123" spans="1:26" ht="15.75">
      <c r="A123" s="1276"/>
      <c r="B123" s="1276"/>
      <c r="C123" s="1276"/>
      <c r="D123" s="1277"/>
      <c r="E123" s="1277"/>
      <c r="F123" s="1277"/>
      <c r="G123" s="1277"/>
      <c r="H123" s="1277"/>
      <c r="I123" s="1277"/>
      <c r="J123" s="1277"/>
      <c r="K123" s="1277"/>
      <c r="L123" s="1277"/>
      <c r="M123" s="1277"/>
      <c r="N123" s="1277"/>
      <c r="O123" s="1277"/>
      <c r="P123" s="1277"/>
      <c r="Q123" s="1277"/>
      <c r="R123" s="1277"/>
      <c r="S123" s="1277"/>
      <c r="T123" s="1277"/>
      <c r="U123" s="1277"/>
      <c r="V123" s="1277"/>
      <c r="W123" s="1277"/>
      <c r="X123" s="1277"/>
      <c r="Y123" s="1277"/>
      <c r="Z123" s="1277"/>
    </row>
    <row r="124" spans="1:26" ht="15.75">
      <c r="A124" s="1276"/>
      <c r="B124" s="1276"/>
      <c r="C124" s="1276"/>
      <c r="D124" s="1277"/>
      <c r="E124" s="1277"/>
      <c r="F124" s="1277"/>
      <c r="G124" s="1277"/>
      <c r="H124" s="1277"/>
      <c r="I124" s="1277"/>
      <c r="J124" s="1277"/>
      <c r="K124" s="1277"/>
      <c r="L124" s="1277"/>
      <c r="M124" s="1277"/>
      <c r="N124" s="1277"/>
      <c r="O124" s="1277"/>
      <c r="P124" s="1277"/>
      <c r="Q124" s="1277"/>
      <c r="R124" s="1277"/>
      <c r="S124" s="1277"/>
      <c r="T124" s="1277"/>
      <c r="U124" s="1277"/>
      <c r="V124" s="1277"/>
      <c r="W124" s="1277"/>
      <c r="X124" s="1277"/>
      <c r="Y124" s="1277"/>
      <c r="Z124" s="1277"/>
    </row>
    <row r="125" spans="1:26" ht="15.75">
      <c r="A125" s="1276"/>
      <c r="B125" s="1276"/>
      <c r="C125" s="1276"/>
      <c r="D125" s="1277"/>
      <c r="E125" s="1277"/>
      <c r="F125" s="1277"/>
      <c r="G125" s="1277"/>
      <c r="H125" s="1277"/>
      <c r="I125" s="1277"/>
      <c r="J125" s="1277"/>
      <c r="K125" s="1277"/>
      <c r="L125" s="1277"/>
      <c r="M125" s="1277"/>
      <c r="N125" s="1277"/>
      <c r="O125" s="1277"/>
      <c r="P125" s="1277"/>
      <c r="Q125" s="1277"/>
      <c r="R125" s="1277"/>
      <c r="S125" s="1277"/>
      <c r="T125" s="1277"/>
      <c r="U125" s="1277"/>
      <c r="V125" s="1277"/>
      <c r="W125" s="1277"/>
      <c r="X125" s="1277"/>
      <c r="Y125" s="1277"/>
      <c r="Z125" s="1277"/>
    </row>
    <row r="126" spans="1:26" ht="15.75">
      <c r="A126" s="1276"/>
      <c r="B126" s="1276"/>
      <c r="C126" s="1276"/>
      <c r="D126" s="1277"/>
      <c r="E126" s="1277"/>
      <c r="F126" s="1277"/>
      <c r="G126" s="1277"/>
      <c r="H126" s="1277"/>
      <c r="I126" s="1277"/>
      <c r="J126" s="1277"/>
      <c r="K126" s="1277"/>
      <c r="L126" s="1277"/>
      <c r="M126" s="1277"/>
      <c r="N126" s="1277"/>
      <c r="O126" s="1277"/>
      <c r="P126" s="1277"/>
      <c r="Q126" s="1277"/>
      <c r="R126" s="1277"/>
      <c r="S126" s="1277"/>
      <c r="T126" s="1277"/>
      <c r="U126" s="1277"/>
      <c r="V126" s="1277"/>
      <c r="W126" s="1277"/>
      <c r="X126" s="1277"/>
      <c r="Y126" s="1277"/>
      <c r="Z126" s="1277"/>
    </row>
    <row r="127" spans="1:26" ht="15.75">
      <c r="A127" s="1276"/>
      <c r="B127" s="1276"/>
      <c r="C127" s="1276"/>
      <c r="D127" s="1277"/>
      <c r="E127" s="1277"/>
      <c r="F127" s="1277"/>
      <c r="G127" s="1277"/>
      <c r="H127" s="1277"/>
      <c r="I127" s="1277"/>
      <c r="J127" s="1277"/>
      <c r="K127" s="1277"/>
      <c r="L127" s="1277"/>
      <c r="M127" s="1277"/>
      <c r="N127" s="1277"/>
      <c r="O127" s="1277"/>
      <c r="P127" s="1277"/>
      <c r="Q127" s="1277"/>
      <c r="R127" s="1277"/>
      <c r="S127" s="1277"/>
      <c r="T127" s="1277"/>
      <c r="U127" s="1277"/>
      <c r="V127" s="1277"/>
      <c r="W127" s="1277"/>
      <c r="X127" s="1277"/>
      <c r="Y127" s="1277"/>
      <c r="Z127" s="1277"/>
    </row>
    <row r="128" spans="1:26" ht="15.75">
      <c r="A128" s="1276"/>
      <c r="B128" s="1276"/>
      <c r="C128" s="1276"/>
      <c r="D128" s="1277"/>
      <c r="E128" s="1277"/>
      <c r="F128" s="1277"/>
      <c r="G128" s="1277"/>
      <c r="H128" s="1277"/>
      <c r="I128" s="1277"/>
      <c r="J128" s="1277"/>
      <c r="K128" s="1277"/>
      <c r="L128" s="1277"/>
      <c r="M128" s="1277"/>
      <c r="N128" s="1277"/>
      <c r="O128" s="1277"/>
      <c r="P128" s="1277"/>
      <c r="Q128" s="1277"/>
      <c r="R128" s="1277"/>
      <c r="S128" s="1277"/>
      <c r="T128" s="1277"/>
      <c r="U128" s="1277"/>
      <c r="V128" s="1277"/>
      <c r="W128" s="1277"/>
      <c r="X128" s="1277"/>
      <c r="Y128" s="1277"/>
      <c r="Z128" s="1277"/>
    </row>
    <row r="129" spans="1:26" ht="15.75">
      <c r="A129" s="1276"/>
      <c r="B129" s="1276"/>
      <c r="C129" s="1276"/>
      <c r="D129" s="1277"/>
      <c r="E129" s="1277"/>
      <c r="F129" s="1277"/>
      <c r="G129" s="1277"/>
      <c r="H129" s="1277"/>
      <c r="I129" s="1277"/>
      <c r="J129" s="1277"/>
      <c r="K129" s="1277"/>
      <c r="L129" s="1277"/>
      <c r="M129" s="1277"/>
      <c r="N129" s="1277"/>
      <c r="O129" s="1277"/>
      <c r="P129" s="1277"/>
      <c r="Q129" s="1277"/>
      <c r="R129" s="1277"/>
      <c r="S129" s="1277"/>
      <c r="T129" s="1277"/>
      <c r="U129" s="1277"/>
      <c r="V129" s="1277"/>
      <c r="W129" s="1277"/>
      <c r="X129" s="1277"/>
      <c r="Y129" s="1277"/>
      <c r="Z129" s="1277"/>
    </row>
    <row r="130" spans="1:26" ht="15.75">
      <c r="A130" s="1276"/>
      <c r="B130" s="1276"/>
      <c r="C130" s="1276"/>
      <c r="D130" s="1277"/>
      <c r="E130" s="1277"/>
      <c r="F130" s="1277"/>
      <c r="G130" s="1277"/>
      <c r="H130" s="1277"/>
      <c r="I130" s="1277"/>
      <c r="J130" s="1277"/>
      <c r="K130" s="1277"/>
      <c r="L130" s="1277"/>
      <c r="M130" s="1277"/>
      <c r="N130" s="1277"/>
      <c r="O130" s="1277"/>
      <c r="P130" s="1277"/>
      <c r="Q130" s="1277"/>
      <c r="R130" s="1277"/>
      <c r="S130" s="1277"/>
      <c r="T130" s="1277"/>
      <c r="U130" s="1277"/>
      <c r="V130" s="1277"/>
      <c r="W130" s="1277"/>
      <c r="X130" s="1277"/>
      <c r="Y130" s="1277"/>
      <c r="Z130" s="1277"/>
    </row>
    <row r="131" spans="1:26" ht="15.75">
      <c r="A131" s="1276"/>
      <c r="B131" s="1276"/>
      <c r="C131" s="1276"/>
      <c r="D131" s="1277"/>
      <c r="E131" s="1277"/>
      <c r="F131" s="1277"/>
      <c r="G131" s="1277"/>
      <c r="H131" s="1277"/>
      <c r="I131" s="1277"/>
      <c r="J131" s="1277"/>
      <c r="K131" s="1277"/>
      <c r="L131" s="1277"/>
      <c r="M131" s="1277"/>
      <c r="N131" s="1277"/>
      <c r="O131" s="1277"/>
      <c r="P131" s="1277"/>
      <c r="Q131" s="1277"/>
      <c r="R131" s="1277"/>
      <c r="S131" s="1277"/>
      <c r="T131" s="1277"/>
      <c r="U131" s="1277"/>
      <c r="V131" s="1277"/>
      <c r="W131" s="1277"/>
      <c r="X131" s="1277"/>
      <c r="Y131" s="1277"/>
      <c r="Z131" s="1277"/>
    </row>
    <row r="132" spans="1:26" ht="15.75">
      <c r="A132" s="1276"/>
      <c r="B132" s="1276"/>
      <c r="C132" s="1276"/>
      <c r="D132" s="1277"/>
      <c r="E132" s="1277"/>
      <c r="F132" s="1277"/>
      <c r="G132" s="1277"/>
      <c r="H132" s="1277"/>
      <c r="I132" s="1277"/>
      <c r="J132" s="1277"/>
      <c r="K132" s="1277"/>
      <c r="L132" s="1277"/>
      <c r="M132" s="1277"/>
      <c r="N132" s="1277"/>
      <c r="O132" s="1277"/>
      <c r="P132" s="1277"/>
      <c r="Q132" s="1277"/>
      <c r="R132" s="1277"/>
      <c r="S132" s="1277"/>
      <c r="T132" s="1277"/>
      <c r="U132" s="1277"/>
      <c r="V132" s="1277"/>
      <c r="W132" s="1277"/>
      <c r="X132" s="1277"/>
      <c r="Y132" s="1277"/>
      <c r="Z132" s="1277"/>
    </row>
    <row r="133" spans="1:26" ht="15.75">
      <c r="A133" s="1276"/>
      <c r="B133" s="1276"/>
      <c r="C133" s="1276"/>
      <c r="D133" s="1277"/>
      <c r="E133" s="1277"/>
      <c r="F133" s="1277"/>
      <c r="G133" s="1277"/>
      <c r="H133" s="1277"/>
      <c r="I133" s="1277"/>
      <c r="J133" s="1277"/>
      <c r="K133" s="1277"/>
      <c r="L133" s="1277"/>
      <c r="M133" s="1277"/>
      <c r="N133" s="1277"/>
      <c r="O133" s="1277"/>
      <c r="P133" s="1277"/>
      <c r="Q133" s="1277"/>
      <c r="R133" s="1277"/>
      <c r="S133" s="1277"/>
      <c r="T133" s="1277"/>
      <c r="U133" s="1277"/>
      <c r="V133" s="1277"/>
      <c r="W133" s="1277"/>
      <c r="X133" s="1277"/>
      <c r="Y133" s="1277"/>
      <c r="Z133" s="1277"/>
    </row>
    <row r="134" spans="1:26" ht="15.75">
      <c r="A134" s="1276"/>
      <c r="B134" s="1276"/>
      <c r="C134" s="1276"/>
      <c r="D134" s="1277"/>
      <c r="E134" s="1277"/>
      <c r="F134" s="1277"/>
      <c r="G134" s="1277"/>
      <c r="H134" s="1277"/>
      <c r="I134" s="1277"/>
      <c r="J134" s="1277"/>
      <c r="K134" s="1277"/>
      <c r="L134" s="1277"/>
      <c r="M134" s="1277"/>
      <c r="N134" s="1277"/>
      <c r="O134" s="1277"/>
      <c r="P134" s="1277"/>
      <c r="Q134" s="1277"/>
      <c r="R134" s="1277"/>
      <c r="S134" s="1277"/>
      <c r="T134" s="1277"/>
      <c r="U134" s="1277"/>
      <c r="V134" s="1277"/>
      <c r="W134" s="1277"/>
      <c r="X134" s="1277"/>
      <c r="Y134" s="1277"/>
      <c r="Z134" s="1277"/>
    </row>
    <row r="135" spans="1:26" ht="15.75">
      <c r="A135" s="1276"/>
      <c r="B135" s="1276"/>
      <c r="C135" s="1276"/>
      <c r="D135" s="1277"/>
      <c r="E135" s="1277"/>
      <c r="F135" s="1277"/>
      <c r="G135" s="1277"/>
      <c r="H135" s="1277"/>
      <c r="I135" s="1277"/>
      <c r="J135" s="1277"/>
      <c r="K135" s="1277"/>
      <c r="L135" s="1277"/>
      <c r="M135" s="1277"/>
      <c r="N135" s="1277"/>
      <c r="O135" s="1277"/>
      <c r="P135" s="1277"/>
      <c r="Q135" s="1277"/>
      <c r="R135" s="1277"/>
      <c r="S135" s="1277"/>
      <c r="T135" s="1277"/>
      <c r="U135" s="1277"/>
      <c r="V135" s="1277"/>
      <c r="W135" s="1277"/>
      <c r="X135" s="1277"/>
      <c r="Y135" s="1277"/>
      <c r="Z135" s="1277"/>
    </row>
    <row r="136" spans="1:26" ht="15.75">
      <c r="A136" s="1276"/>
      <c r="B136" s="1276"/>
      <c r="C136" s="1276"/>
      <c r="D136" s="1277"/>
      <c r="E136" s="1277"/>
      <c r="F136" s="1277"/>
      <c r="G136" s="1277"/>
      <c r="H136" s="1277"/>
      <c r="I136" s="1277"/>
      <c r="J136" s="1277"/>
      <c r="K136" s="1277"/>
      <c r="L136" s="1277"/>
      <c r="M136" s="1277"/>
      <c r="N136" s="1277"/>
      <c r="O136" s="1277"/>
      <c r="P136" s="1277"/>
      <c r="Q136" s="1277"/>
      <c r="R136" s="1277"/>
      <c r="S136" s="1277"/>
      <c r="T136" s="1277"/>
      <c r="U136" s="1277"/>
      <c r="V136" s="1277"/>
      <c r="W136" s="1277"/>
      <c r="X136" s="1277"/>
      <c r="Y136" s="1277"/>
      <c r="Z136" s="1277"/>
    </row>
    <row r="137" spans="1:26" ht="15.75">
      <c r="A137" s="1276"/>
      <c r="B137" s="1276"/>
      <c r="C137" s="1276"/>
      <c r="D137" s="1277"/>
      <c r="E137" s="1277"/>
      <c r="F137" s="1277"/>
      <c r="G137" s="1277"/>
      <c r="H137" s="1277"/>
      <c r="I137" s="1277"/>
      <c r="J137" s="1277"/>
      <c r="K137" s="1277"/>
      <c r="L137" s="1277"/>
      <c r="M137" s="1277"/>
      <c r="N137" s="1277"/>
      <c r="O137" s="1277"/>
      <c r="P137" s="1277"/>
      <c r="Q137" s="1277"/>
      <c r="R137" s="1277"/>
      <c r="S137" s="1277"/>
      <c r="T137" s="1277"/>
      <c r="U137" s="1277"/>
      <c r="V137" s="1277"/>
      <c r="W137" s="1277"/>
      <c r="X137" s="1277"/>
      <c r="Y137" s="1277"/>
      <c r="Z137" s="1277"/>
    </row>
    <row r="138" spans="1:26" ht="15.75">
      <c r="A138" s="1276"/>
      <c r="B138" s="1276"/>
      <c r="C138" s="1276"/>
      <c r="D138" s="1277"/>
      <c r="E138" s="1277"/>
      <c r="F138" s="1277"/>
      <c r="G138" s="1277"/>
      <c r="H138" s="1277"/>
      <c r="I138" s="1277"/>
      <c r="J138" s="1277"/>
      <c r="K138" s="1277"/>
      <c r="L138" s="1277"/>
      <c r="M138" s="1277"/>
      <c r="N138" s="1277"/>
      <c r="O138" s="1277"/>
      <c r="P138" s="1277"/>
      <c r="Q138" s="1277"/>
      <c r="R138" s="1277"/>
      <c r="S138" s="1277"/>
      <c r="T138" s="1277"/>
      <c r="U138" s="1277"/>
      <c r="V138" s="1277"/>
      <c r="W138" s="1277"/>
      <c r="X138" s="1277"/>
      <c r="Y138" s="1277"/>
      <c r="Z138" s="1277"/>
    </row>
    <row r="139" spans="1:26" ht="15.75">
      <c r="A139" s="1276"/>
      <c r="B139" s="1276"/>
      <c r="C139" s="1276"/>
      <c r="D139" s="1277"/>
      <c r="E139" s="1277"/>
      <c r="F139" s="1277"/>
      <c r="G139" s="1277"/>
      <c r="H139" s="1277"/>
      <c r="I139" s="1277"/>
      <c r="J139" s="1277"/>
      <c r="K139" s="1277"/>
      <c r="L139" s="1277"/>
      <c r="M139" s="1277"/>
      <c r="N139" s="1277"/>
      <c r="O139" s="1277"/>
      <c r="P139" s="1277"/>
      <c r="Q139" s="1277"/>
      <c r="R139" s="1277"/>
      <c r="S139" s="1277"/>
      <c r="T139" s="1277"/>
      <c r="U139" s="1277"/>
      <c r="V139" s="1277"/>
      <c r="W139" s="1277"/>
      <c r="X139" s="1277"/>
      <c r="Y139" s="1277"/>
      <c r="Z139" s="1277"/>
    </row>
    <row r="140" spans="1:26" ht="15.75">
      <c r="A140" s="1276"/>
      <c r="B140" s="1276"/>
      <c r="C140" s="1276"/>
      <c r="D140" s="1277"/>
      <c r="E140" s="1277"/>
      <c r="F140" s="1277"/>
      <c r="G140" s="1277"/>
      <c r="H140" s="1277"/>
      <c r="I140" s="1277"/>
      <c r="J140" s="1277"/>
      <c r="K140" s="1277"/>
      <c r="L140" s="1277"/>
      <c r="M140" s="1277"/>
      <c r="N140" s="1277"/>
      <c r="O140" s="1277"/>
      <c r="P140" s="1277"/>
      <c r="Q140" s="1277"/>
      <c r="R140" s="1277"/>
      <c r="S140" s="1277"/>
      <c r="T140" s="1277"/>
      <c r="U140" s="1277"/>
      <c r="V140" s="1277"/>
      <c r="W140" s="1277"/>
      <c r="X140" s="1277"/>
      <c r="Y140" s="1277"/>
      <c r="Z140" s="1277"/>
    </row>
    <row r="141" spans="1:26" ht="15.75">
      <c r="A141" s="1276"/>
      <c r="B141" s="1276"/>
      <c r="C141" s="1276"/>
      <c r="D141" s="1277"/>
      <c r="E141" s="1277"/>
      <c r="F141" s="1277"/>
      <c r="G141" s="1277"/>
      <c r="H141" s="1277"/>
      <c r="I141" s="1277"/>
      <c r="J141" s="1277"/>
      <c r="K141" s="1277"/>
      <c r="L141" s="1277"/>
      <c r="M141" s="1277"/>
      <c r="N141" s="1277"/>
      <c r="O141" s="1277"/>
      <c r="P141" s="1277"/>
      <c r="Q141" s="1277"/>
      <c r="R141" s="1277"/>
      <c r="S141" s="1277"/>
      <c r="T141" s="1277"/>
      <c r="U141" s="1277"/>
      <c r="V141" s="1277"/>
      <c r="W141" s="1277"/>
      <c r="X141" s="1277"/>
      <c r="Y141" s="1277"/>
      <c r="Z141" s="1277"/>
    </row>
    <row r="142" spans="1:26" ht="15.75">
      <c r="A142" s="1276"/>
      <c r="B142" s="1276"/>
      <c r="C142" s="1276"/>
      <c r="D142" s="1277"/>
      <c r="E142" s="1277"/>
      <c r="F142" s="1277"/>
      <c r="G142" s="1277"/>
      <c r="H142" s="1277"/>
      <c r="I142" s="1277"/>
      <c r="J142" s="1277"/>
      <c r="K142" s="1277"/>
      <c r="L142" s="1277"/>
      <c r="M142" s="1277"/>
      <c r="N142" s="1277"/>
      <c r="O142" s="1277"/>
      <c r="P142" s="1277"/>
      <c r="Q142" s="1277"/>
      <c r="R142" s="1277"/>
      <c r="S142" s="1277"/>
      <c r="T142" s="1277"/>
      <c r="U142" s="1277"/>
      <c r="V142" s="1277"/>
      <c r="W142" s="1277"/>
      <c r="X142" s="1277"/>
      <c r="Y142" s="1277"/>
      <c r="Z142" s="1277"/>
    </row>
    <row r="143" spans="1:26" ht="15.75">
      <c r="A143" s="1276"/>
      <c r="B143" s="1276"/>
      <c r="C143" s="1276"/>
      <c r="D143" s="1277"/>
      <c r="E143" s="1277"/>
      <c r="F143" s="1277"/>
      <c r="G143" s="1277"/>
      <c r="H143" s="1277"/>
      <c r="I143" s="1277"/>
      <c r="J143" s="1277"/>
      <c r="K143" s="1277"/>
      <c r="L143" s="1277"/>
      <c r="M143" s="1277"/>
      <c r="N143" s="1277"/>
      <c r="O143" s="1277"/>
      <c r="P143" s="1277"/>
      <c r="Q143" s="1277"/>
      <c r="R143" s="1277"/>
      <c r="S143" s="1277"/>
      <c r="T143" s="1277"/>
      <c r="U143" s="1277"/>
      <c r="V143" s="1277"/>
      <c r="W143" s="1277"/>
      <c r="X143" s="1277"/>
      <c r="Y143" s="1277"/>
      <c r="Z143" s="1277"/>
    </row>
    <row r="144" spans="1:26" ht="15.75">
      <c r="A144" s="1276"/>
      <c r="B144" s="1276"/>
      <c r="C144" s="1276"/>
      <c r="D144" s="1277"/>
      <c r="E144" s="1277"/>
      <c r="F144" s="1277"/>
      <c r="G144" s="1277"/>
      <c r="H144" s="1277"/>
      <c r="I144" s="1277"/>
      <c r="J144" s="1277"/>
      <c r="K144" s="1277"/>
      <c r="L144" s="1277"/>
      <c r="M144" s="1277"/>
      <c r="N144" s="1277"/>
      <c r="O144" s="1277"/>
      <c r="P144" s="1277"/>
      <c r="Q144" s="1277"/>
      <c r="R144" s="1277"/>
      <c r="S144" s="1277"/>
      <c r="T144" s="1277"/>
      <c r="U144" s="1277"/>
      <c r="V144" s="1277"/>
      <c r="W144" s="1277"/>
      <c r="X144" s="1277"/>
      <c r="Y144" s="1277"/>
      <c r="Z144" s="1277"/>
    </row>
    <row r="145" spans="1:26" ht="15.75">
      <c r="A145" s="1276"/>
      <c r="B145" s="1276"/>
      <c r="C145" s="1276"/>
      <c r="D145" s="1277"/>
      <c r="E145" s="1277"/>
      <c r="F145" s="1277"/>
      <c r="G145" s="1277"/>
      <c r="H145" s="1277"/>
      <c r="I145" s="1277"/>
      <c r="J145" s="1277"/>
      <c r="K145" s="1277"/>
      <c r="L145" s="1277"/>
      <c r="M145" s="1277"/>
      <c r="N145" s="1277"/>
      <c r="O145" s="1277"/>
      <c r="P145" s="1277"/>
      <c r="Q145" s="1277"/>
      <c r="R145" s="1277"/>
      <c r="S145" s="1277"/>
      <c r="T145" s="1277"/>
      <c r="U145" s="1277"/>
      <c r="V145" s="1277"/>
      <c r="W145" s="1277"/>
      <c r="X145" s="1277"/>
      <c r="Y145" s="1277"/>
      <c r="Z145" s="1277"/>
    </row>
    <row r="146" spans="1:26" ht="15.75">
      <c r="A146" s="1276"/>
      <c r="B146" s="1276"/>
      <c r="C146" s="1276"/>
      <c r="D146" s="1277"/>
      <c r="E146" s="1277"/>
      <c r="F146" s="1277"/>
      <c r="G146" s="1277"/>
      <c r="H146" s="1277"/>
      <c r="I146" s="1277"/>
      <c r="J146" s="1277"/>
      <c r="K146" s="1277"/>
      <c r="L146" s="1277"/>
      <c r="M146" s="1277"/>
      <c r="N146" s="1277"/>
      <c r="O146" s="1277"/>
      <c r="P146" s="1277"/>
      <c r="Q146" s="1277"/>
      <c r="R146" s="1277"/>
      <c r="S146" s="1277"/>
      <c r="T146" s="1277"/>
      <c r="U146" s="1277"/>
      <c r="V146" s="1277"/>
      <c r="W146" s="1277"/>
      <c r="X146" s="1277"/>
      <c r="Y146" s="1277"/>
      <c r="Z146" s="1277"/>
    </row>
    <row r="147" spans="1:26" ht="15.75">
      <c r="A147" s="1276"/>
      <c r="B147" s="1276"/>
      <c r="C147" s="1276"/>
      <c r="D147" s="1277"/>
      <c r="E147" s="1277"/>
      <c r="F147" s="1277"/>
      <c r="G147" s="1277"/>
      <c r="H147" s="1277"/>
      <c r="I147" s="1277"/>
      <c r="J147" s="1277"/>
      <c r="K147" s="1277"/>
      <c r="L147" s="1277"/>
      <c r="M147" s="1277"/>
      <c r="N147" s="1277"/>
      <c r="O147" s="1277"/>
      <c r="P147" s="1277"/>
      <c r="Q147" s="1277"/>
      <c r="R147" s="1277"/>
      <c r="S147" s="1277"/>
      <c r="T147" s="1277"/>
      <c r="U147" s="1277"/>
      <c r="V147" s="1277"/>
      <c r="W147" s="1277"/>
      <c r="X147" s="1277"/>
      <c r="Y147" s="1277"/>
      <c r="Z147" s="1277"/>
    </row>
    <row r="148" spans="1:26" ht="15.75">
      <c r="A148" s="1276"/>
      <c r="B148" s="1276"/>
      <c r="C148" s="1276"/>
      <c r="D148" s="1277"/>
      <c r="E148" s="1277"/>
      <c r="F148" s="1277"/>
      <c r="G148" s="1277"/>
      <c r="H148" s="1277"/>
      <c r="I148" s="1277"/>
      <c r="J148" s="1277"/>
      <c r="K148" s="1277"/>
      <c r="L148" s="1277"/>
      <c r="M148" s="1277"/>
      <c r="N148" s="1277"/>
      <c r="O148" s="1277"/>
      <c r="P148" s="1277"/>
      <c r="Q148" s="1277"/>
      <c r="R148" s="1277"/>
      <c r="S148" s="1277"/>
      <c r="T148" s="1277"/>
      <c r="U148" s="1277"/>
      <c r="V148" s="1277"/>
      <c r="W148" s="1277"/>
      <c r="X148" s="1277"/>
      <c r="Y148" s="1277"/>
      <c r="Z148" s="1277"/>
    </row>
    <row r="149" spans="1:26" ht="15.75">
      <c r="A149" s="1276"/>
      <c r="B149" s="1276"/>
      <c r="C149" s="1276"/>
      <c r="D149" s="1277"/>
      <c r="E149" s="1277"/>
      <c r="F149" s="1277"/>
      <c r="G149" s="1277"/>
      <c r="H149" s="1277"/>
      <c r="I149" s="1277"/>
      <c r="J149" s="1277"/>
      <c r="K149" s="1277"/>
      <c r="L149" s="1277"/>
      <c r="M149" s="1277"/>
      <c r="N149" s="1277"/>
      <c r="O149" s="1277"/>
      <c r="P149" s="1277"/>
      <c r="Q149" s="1277"/>
      <c r="R149" s="1277"/>
      <c r="S149" s="1277"/>
      <c r="T149" s="1277"/>
      <c r="U149" s="1277"/>
      <c r="V149" s="1277"/>
      <c r="W149" s="1277"/>
      <c r="X149" s="1277"/>
      <c r="Y149" s="1277"/>
      <c r="Z149" s="1277"/>
    </row>
    <row r="150" spans="1:26" ht="15.75">
      <c r="A150" s="1276"/>
      <c r="B150" s="1276"/>
      <c r="C150" s="1276"/>
      <c r="D150" s="1277"/>
      <c r="E150" s="1277"/>
      <c r="F150" s="1277"/>
      <c r="G150" s="1277"/>
      <c r="H150" s="1277"/>
      <c r="I150" s="1277"/>
      <c r="J150" s="1277"/>
      <c r="K150" s="1277"/>
      <c r="L150" s="1277"/>
      <c r="M150" s="1277"/>
      <c r="N150" s="1277"/>
      <c r="O150" s="1277"/>
      <c r="P150" s="1277"/>
      <c r="Q150" s="1277"/>
      <c r="R150" s="1277"/>
      <c r="S150" s="1277"/>
      <c r="T150" s="1277"/>
      <c r="U150" s="1277"/>
      <c r="V150" s="1277"/>
      <c r="W150" s="1277"/>
      <c r="X150" s="1277"/>
      <c r="Y150" s="1277"/>
      <c r="Z150" s="1277"/>
    </row>
    <row r="151" spans="1:26" ht="15.75">
      <c r="A151" s="1276"/>
      <c r="B151" s="1276"/>
      <c r="C151" s="1276"/>
      <c r="D151" s="1277"/>
      <c r="E151" s="1277"/>
      <c r="F151" s="1277"/>
      <c r="G151" s="1277"/>
      <c r="H151" s="1277"/>
      <c r="I151" s="1277"/>
      <c r="J151" s="1277"/>
      <c r="K151" s="1277"/>
      <c r="L151" s="1277"/>
      <c r="M151" s="1277"/>
      <c r="N151" s="1277"/>
      <c r="O151" s="1277"/>
      <c r="P151" s="1277"/>
      <c r="Q151" s="1277"/>
      <c r="R151" s="1277"/>
      <c r="S151" s="1277"/>
      <c r="T151" s="1277"/>
      <c r="U151" s="1277"/>
      <c r="V151" s="1277"/>
      <c r="W151" s="1277"/>
      <c r="X151" s="1277"/>
      <c r="Y151" s="1277"/>
      <c r="Z151" s="1277"/>
    </row>
    <row r="152" spans="1:26" ht="15.75">
      <c r="A152" s="1276"/>
      <c r="B152" s="1276"/>
      <c r="C152" s="1276"/>
      <c r="D152" s="1277"/>
      <c r="E152" s="1277"/>
      <c r="F152" s="1277"/>
      <c r="G152" s="1277"/>
      <c r="H152" s="1277"/>
      <c r="I152" s="1277"/>
      <c r="J152" s="1277"/>
      <c r="K152" s="1277"/>
      <c r="L152" s="1277"/>
      <c r="M152" s="1277"/>
      <c r="N152" s="1277"/>
      <c r="O152" s="1277"/>
      <c r="P152" s="1277"/>
      <c r="Q152" s="1277"/>
      <c r="R152" s="1277"/>
      <c r="S152" s="1277"/>
      <c r="T152" s="1277"/>
      <c r="U152" s="1277"/>
      <c r="V152" s="1277"/>
      <c r="W152" s="1277"/>
      <c r="X152" s="1277"/>
      <c r="Y152" s="1277"/>
      <c r="Z152" s="1277"/>
    </row>
    <row r="153" spans="1:26" ht="15.75">
      <c r="A153" s="1276"/>
      <c r="B153" s="1276"/>
      <c r="C153" s="1276"/>
      <c r="D153" s="1277"/>
      <c r="E153" s="1277"/>
      <c r="F153" s="1277"/>
      <c r="G153" s="1277"/>
      <c r="H153" s="1277"/>
      <c r="I153" s="1277"/>
      <c r="J153" s="1277"/>
      <c r="K153" s="1277"/>
      <c r="L153" s="1277"/>
      <c r="M153" s="1277"/>
      <c r="N153" s="1277"/>
      <c r="O153" s="1277"/>
      <c r="P153" s="1277"/>
      <c r="Q153" s="1277"/>
      <c r="R153" s="1277"/>
      <c r="S153" s="1277"/>
      <c r="T153" s="1277"/>
      <c r="U153" s="1277"/>
      <c r="V153" s="1277"/>
      <c r="W153" s="1277"/>
      <c r="X153" s="1277"/>
      <c r="Y153" s="1277"/>
      <c r="Z153" s="1277"/>
    </row>
    <row r="154" spans="1:26" ht="15.75">
      <c r="A154" s="1276"/>
      <c r="B154" s="1276"/>
      <c r="C154" s="1276"/>
      <c r="D154" s="1277"/>
      <c r="E154" s="1277"/>
      <c r="F154" s="1277"/>
      <c r="G154" s="1277"/>
      <c r="H154" s="1277"/>
      <c r="I154" s="1277"/>
      <c r="J154" s="1277"/>
      <c r="K154" s="1277"/>
      <c r="L154" s="1277"/>
      <c r="M154" s="1277"/>
      <c r="N154" s="1277"/>
      <c r="O154" s="1277"/>
      <c r="P154" s="1277"/>
      <c r="Q154" s="1277"/>
      <c r="R154" s="1277"/>
      <c r="S154" s="1277"/>
      <c r="T154" s="1277"/>
      <c r="U154" s="1277"/>
      <c r="V154" s="1277"/>
      <c r="W154" s="1277"/>
      <c r="X154" s="1277"/>
      <c r="Y154" s="1277"/>
      <c r="Z154" s="1277"/>
    </row>
    <row r="155" spans="1:26" ht="15.75">
      <c r="A155" s="1276"/>
      <c r="B155" s="1276"/>
      <c r="C155" s="1276"/>
      <c r="D155" s="1277"/>
      <c r="E155" s="1277"/>
      <c r="F155" s="1277"/>
      <c r="G155" s="1277"/>
      <c r="H155" s="1277"/>
      <c r="I155" s="1277"/>
      <c r="J155" s="1277"/>
      <c r="K155" s="1277"/>
      <c r="L155" s="1277"/>
      <c r="M155" s="1277"/>
      <c r="N155" s="1277"/>
      <c r="O155" s="1277"/>
      <c r="P155" s="1277"/>
      <c r="Q155" s="1277"/>
      <c r="R155" s="1277"/>
      <c r="S155" s="1277"/>
      <c r="T155" s="1277"/>
      <c r="U155" s="1277"/>
      <c r="V155" s="1277"/>
      <c r="W155" s="1277"/>
      <c r="X155" s="1277"/>
      <c r="Y155" s="1277"/>
      <c r="Z155" s="1277"/>
    </row>
    <row r="156" spans="1:26" ht="15.75">
      <c r="A156" s="1276"/>
      <c r="B156" s="1276"/>
      <c r="C156" s="1276"/>
      <c r="D156" s="1277"/>
      <c r="E156" s="1277"/>
      <c r="F156" s="1277"/>
      <c r="G156" s="1277"/>
      <c r="H156" s="1277"/>
      <c r="I156" s="1277"/>
      <c r="J156" s="1277"/>
      <c r="K156" s="1277"/>
      <c r="L156" s="1277"/>
      <c r="M156" s="1277"/>
      <c r="N156" s="1277"/>
      <c r="O156" s="1277"/>
      <c r="P156" s="1277"/>
      <c r="Q156" s="1277"/>
      <c r="R156" s="1277"/>
      <c r="S156" s="1277"/>
      <c r="T156" s="1277"/>
      <c r="U156" s="1277"/>
      <c r="V156" s="1277"/>
      <c r="W156" s="1277"/>
      <c r="X156" s="1277"/>
      <c r="Y156" s="1277"/>
      <c r="Z156" s="1277"/>
    </row>
    <row r="157" spans="1:26" ht="15.75">
      <c r="A157" s="1276"/>
      <c r="B157" s="1276"/>
      <c r="C157" s="1276"/>
      <c r="D157" s="1277"/>
      <c r="E157" s="1277"/>
      <c r="F157" s="1277"/>
      <c r="G157" s="1277"/>
      <c r="H157" s="1277"/>
      <c r="I157" s="1277"/>
      <c r="J157" s="1277"/>
      <c r="K157" s="1277"/>
      <c r="L157" s="1277"/>
      <c r="M157" s="1277"/>
      <c r="N157" s="1277"/>
      <c r="O157" s="1277"/>
      <c r="P157" s="1277"/>
      <c r="Q157" s="1277"/>
      <c r="R157" s="1277"/>
      <c r="S157" s="1277"/>
      <c r="T157" s="1277"/>
      <c r="U157" s="1277"/>
      <c r="V157" s="1277"/>
      <c r="W157" s="1277"/>
      <c r="X157" s="1277"/>
      <c r="Y157" s="1277"/>
      <c r="Z157" s="1277"/>
    </row>
    <row r="158" spans="1:26" ht="15.75">
      <c r="A158" s="1276"/>
      <c r="B158" s="1276"/>
      <c r="C158" s="1276"/>
      <c r="D158" s="1277"/>
      <c r="E158" s="1277"/>
      <c r="F158" s="1277"/>
      <c r="G158" s="1277"/>
      <c r="H158" s="1277"/>
      <c r="I158" s="1277"/>
      <c r="J158" s="1277"/>
      <c r="K158" s="1277"/>
      <c r="L158" s="1277"/>
      <c r="M158" s="1277"/>
      <c r="N158" s="1277"/>
      <c r="O158" s="1277"/>
      <c r="P158" s="1277"/>
      <c r="Q158" s="1277"/>
      <c r="R158" s="1277"/>
      <c r="S158" s="1277"/>
      <c r="T158" s="1277"/>
      <c r="U158" s="1277"/>
      <c r="V158" s="1277"/>
      <c r="W158" s="1277"/>
      <c r="X158" s="1277"/>
      <c r="Y158" s="1277"/>
      <c r="Z158" s="1277"/>
    </row>
    <row r="159" spans="1:26" ht="15.75">
      <c r="A159" s="1276"/>
      <c r="B159" s="1276"/>
      <c r="C159" s="1276"/>
      <c r="D159" s="1277"/>
      <c r="E159" s="1277"/>
      <c r="F159" s="1277"/>
      <c r="G159" s="1277"/>
      <c r="H159" s="1277"/>
      <c r="I159" s="1277"/>
      <c r="J159" s="1277"/>
      <c r="K159" s="1277"/>
      <c r="L159" s="1277"/>
      <c r="M159" s="1277"/>
      <c r="N159" s="1277"/>
      <c r="O159" s="1277"/>
      <c r="P159" s="1277"/>
      <c r="Q159" s="1277"/>
      <c r="R159" s="1277"/>
      <c r="S159" s="1277"/>
      <c r="T159" s="1277"/>
      <c r="U159" s="1277"/>
      <c r="V159" s="1277"/>
      <c r="W159" s="1277"/>
      <c r="X159" s="1277"/>
      <c r="Y159" s="1277"/>
      <c r="Z159" s="1277"/>
    </row>
    <row r="160" spans="1:26" ht="15.75">
      <c r="A160" s="1276"/>
      <c r="B160" s="1276"/>
      <c r="C160" s="1276"/>
      <c r="D160" s="1277"/>
      <c r="E160" s="1277"/>
      <c r="F160" s="1277"/>
      <c r="G160" s="1277"/>
      <c r="H160" s="1277"/>
      <c r="I160" s="1277"/>
      <c r="J160" s="1277"/>
      <c r="K160" s="1277"/>
      <c r="L160" s="1277"/>
      <c r="M160" s="1277"/>
      <c r="N160" s="1277"/>
      <c r="O160" s="1277"/>
      <c r="P160" s="1277"/>
      <c r="Q160" s="1277"/>
      <c r="R160" s="1277"/>
      <c r="S160" s="1277"/>
      <c r="T160" s="1277"/>
      <c r="U160" s="1277"/>
      <c r="V160" s="1277"/>
      <c r="W160" s="1277"/>
      <c r="X160" s="1277"/>
      <c r="Y160" s="1277"/>
      <c r="Z160" s="1277"/>
    </row>
    <row r="161" spans="1:26" ht="15.75">
      <c r="A161" s="1276"/>
      <c r="B161" s="1276"/>
      <c r="C161" s="1276"/>
      <c r="D161" s="1277"/>
      <c r="E161" s="1277"/>
      <c r="F161" s="1277"/>
      <c r="G161" s="1277"/>
      <c r="H161" s="1277"/>
      <c r="I161" s="1277"/>
      <c r="J161" s="1277"/>
      <c r="K161" s="1277"/>
      <c r="L161" s="1277"/>
      <c r="M161" s="1277"/>
      <c r="N161" s="1277"/>
      <c r="O161" s="1277"/>
      <c r="P161" s="1277"/>
      <c r="Q161" s="1277"/>
      <c r="R161" s="1277"/>
      <c r="S161" s="1277"/>
      <c r="T161" s="1277"/>
      <c r="U161" s="1277"/>
      <c r="V161" s="1277"/>
      <c r="W161" s="1277"/>
      <c r="X161" s="1277"/>
      <c r="Y161" s="1277"/>
      <c r="Z161" s="1277"/>
    </row>
    <row r="162" spans="1:26" ht="15.75">
      <c r="A162" s="1276"/>
      <c r="B162" s="1276"/>
      <c r="C162" s="1276"/>
      <c r="D162" s="1277"/>
      <c r="E162" s="1277"/>
      <c r="F162" s="1277"/>
      <c r="G162" s="1277"/>
      <c r="H162" s="1277"/>
      <c r="I162" s="1277"/>
      <c r="J162" s="1277"/>
      <c r="K162" s="1277"/>
      <c r="L162" s="1277"/>
      <c r="M162" s="1277"/>
      <c r="N162" s="1277"/>
      <c r="O162" s="1277"/>
      <c r="P162" s="1277"/>
      <c r="Q162" s="1277"/>
      <c r="R162" s="1277"/>
      <c r="S162" s="1277"/>
      <c r="T162" s="1277"/>
      <c r="U162" s="1277"/>
      <c r="V162" s="1277"/>
      <c r="W162" s="1277"/>
      <c r="X162" s="1277"/>
      <c r="Y162" s="1277"/>
      <c r="Z162" s="1277"/>
    </row>
    <row r="163" spans="1:26" ht="15.75">
      <c r="A163" s="1276"/>
      <c r="B163" s="1276"/>
      <c r="C163" s="1276"/>
      <c r="D163" s="1277"/>
      <c r="E163" s="1277"/>
      <c r="F163" s="1277"/>
      <c r="G163" s="1277"/>
      <c r="H163" s="1277"/>
      <c r="I163" s="1277"/>
      <c r="J163" s="1277"/>
      <c r="K163" s="1277"/>
      <c r="L163" s="1277"/>
      <c r="M163" s="1277"/>
      <c r="N163" s="1277"/>
      <c r="O163" s="1277"/>
      <c r="P163" s="1277"/>
      <c r="Q163" s="1277"/>
      <c r="R163" s="1277"/>
      <c r="S163" s="1277"/>
      <c r="T163" s="1277"/>
      <c r="U163" s="1277"/>
      <c r="V163" s="1277"/>
      <c r="W163" s="1277"/>
      <c r="X163" s="1277"/>
      <c r="Y163" s="1277"/>
      <c r="Z163" s="1277"/>
    </row>
    <row r="164" spans="1:26" ht="15.75">
      <c r="A164" s="1276"/>
      <c r="B164" s="1276"/>
      <c r="C164" s="1276"/>
      <c r="D164" s="1277"/>
      <c r="E164" s="1277"/>
      <c r="F164" s="1277"/>
      <c r="G164" s="1277"/>
      <c r="H164" s="1277"/>
      <c r="I164" s="1277"/>
      <c r="J164" s="1277"/>
      <c r="K164" s="1277"/>
      <c r="L164" s="1277"/>
      <c r="M164" s="1277"/>
      <c r="N164" s="1277"/>
      <c r="O164" s="1277"/>
      <c r="P164" s="1277"/>
      <c r="Q164" s="1277"/>
      <c r="R164" s="1277"/>
      <c r="S164" s="1277"/>
      <c r="T164" s="1277"/>
      <c r="U164" s="1277"/>
      <c r="V164" s="1277"/>
      <c r="W164" s="1277"/>
      <c r="X164" s="1277"/>
      <c r="Y164" s="1277"/>
      <c r="Z164" s="1277"/>
    </row>
  </sheetData>
  <pageMargins left="0.7" right="0.7" top="0.75" bottom="0.75" header="0.3" footer="0.3"/>
  <pageSetup scale="3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67"/>
  <sheetViews>
    <sheetView topLeftCell="A10" workbookViewId="0">
      <selection activeCell="N33" sqref="N33"/>
    </sheetView>
  </sheetViews>
  <sheetFormatPr defaultRowHeight="15"/>
  <cols>
    <col min="1" max="1" width="4.85546875" bestFit="1" customWidth="1"/>
    <col min="2" max="2" width="36.85546875" customWidth="1"/>
    <col min="3" max="3" width="17" customWidth="1"/>
    <col min="4" max="4" width="12.42578125" bestFit="1" customWidth="1"/>
    <col min="5" max="5" width="13.7109375" customWidth="1"/>
    <col min="6" max="6" width="15.28515625" bestFit="1" customWidth="1"/>
    <col min="7" max="8" width="13.7109375" customWidth="1"/>
    <col min="9" max="9" width="15.28515625" bestFit="1" customWidth="1"/>
    <col min="10" max="11" width="13.7109375" customWidth="1"/>
    <col min="12" max="12" width="15.28515625" bestFit="1" customWidth="1"/>
    <col min="13" max="14" width="13.7109375" customWidth="1"/>
    <col min="15" max="15" width="15.28515625" bestFit="1" customWidth="1"/>
    <col min="16" max="19" width="13.7109375" customWidth="1"/>
    <col min="20" max="20" width="18.85546875" customWidth="1"/>
    <col min="21" max="21" width="3" customWidth="1"/>
    <col min="23" max="23" width="10" bestFit="1" customWidth="1"/>
    <col min="24" max="25" width="9.7109375" bestFit="1" customWidth="1"/>
  </cols>
  <sheetData>
    <row r="1" spans="1:21">
      <c r="A1" s="458" t="s">
        <v>2</v>
      </c>
      <c r="B1" s="1278"/>
      <c r="C1" s="1278"/>
      <c r="D1" s="1278"/>
      <c r="E1" s="1278"/>
      <c r="F1" s="1278"/>
      <c r="G1" s="1278"/>
      <c r="H1" s="1278"/>
      <c r="I1" s="1278"/>
      <c r="J1" s="1278"/>
      <c r="K1" s="1278"/>
      <c r="L1" s="1278"/>
      <c r="M1" s="1279"/>
      <c r="N1" s="1278"/>
      <c r="O1" s="1278"/>
      <c r="P1" s="1278"/>
      <c r="Q1" s="1278"/>
      <c r="R1" s="1278"/>
      <c r="S1" s="1278"/>
      <c r="T1" s="21"/>
      <c r="U1" s="21"/>
    </row>
    <row r="2" spans="1:21" ht="18">
      <c r="A2" s="458" t="s">
        <v>1244</v>
      </c>
      <c r="B2" s="1278"/>
      <c r="C2" s="1278"/>
      <c r="D2" s="801"/>
      <c r="E2" s="801"/>
      <c r="F2" s="801"/>
      <c r="G2" s="801"/>
      <c r="H2" s="801"/>
      <c r="I2" s="801"/>
      <c r="J2" s="801"/>
      <c r="K2" s="801"/>
      <c r="L2" s="801"/>
      <c r="M2" s="801"/>
      <c r="N2" s="801"/>
      <c r="O2" s="801"/>
      <c r="P2" s="801"/>
      <c r="Q2" s="801"/>
      <c r="R2" s="801"/>
      <c r="S2" s="801"/>
      <c r="T2" s="21"/>
      <c r="U2" s="21"/>
    </row>
    <row r="3" spans="1:21">
      <c r="A3" s="1280"/>
      <c r="B3" s="1281"/>
      <c r="D3" s="1280"/>
      <c r="E3" s="1280"/>
      <c r="M3" s="1282"/>
    </row>
    <row r="4" spans="1:21">
      <c r="A4" s="1280" t="s">
        <v>287</v>
      </c>
      <c r="B4" s="1281"/>
      <c r="D4" s="1280"/>
      <c r="E4" s="1280"/>
      <c r="M4" s="1282"/>
    </row>
    <row r="5" spans="1:21">
      <c r="A5" s="1280">
        <v>1</v>
      </c>
      <c r="B5" s="1281"/>
      <c r="C5" t="s">
        <v>1245</v>
      </c>
      <c r="D5" s="1280"/>
      <c r="E5" s="1280"/>
      <c r="M5" s="1282"/>
    </row>
    <row r="6" spans="1:21">
      <c r="A6" s="1280"/>
      <c r="B6" s="1281"/>
      <c r="D6" s="1280"/>
      <c r="E6" s="1280"/>
      <c r="M6" s="1282"/>
    </row>
    <row r="7" spans="1:21">
      <c r="A7" s="1280">
        <v>2</v>
      </c>
      <c r="B7" s="1281"/>
      <c r="C7" s="1283" t="s">
        <v>1246</v>
      </c>
      <c r="D7" s="1280"/>
      <c r="E7" s="1280"/>
      <c r="M7" s="1282"/>
    </row>
    <row r="8" spans="1:21">
      <c r="A8" s="1280"/>
      <c r="B8" s="1281"/>
      <c r="C8" s="1284"/>
      <c r="D8" s="1280" t="s">
        <v>1247</v>
      </c>
      <c r="E8" s="1280"/>
      <c r="M8" s="1282"/>
    </row>
    <row r="9" spans="1:21">
      <c r="A9" s="1280">
        <v>3</v>
      </c>
      <c r="B9" s="1281"/>
      <c r="C9" s="1280" t="s">
        <v>234</v>
      </c>
      <c r="D9" s="1280">
        <f>+'Appendix A'!A275</f>
        <v>157</v>
      </c>
      <c r="E9" s="1280"/>
      <c r="F9" s="1281" t="str">
        <f>'Appendix A'!C275</f>
        <v>Net Plant Carrying Charge without Depreciation</v>
      </c>
      <c r="M9" s="1285">
        <f>+'Appendix A'!$H$275</f>
        <v>8.9858688957500973E-2</v>
      </c>
    </row>
    <row r="10" spans="1:21">
      <c r="A10" s="1280">
        <v>4</v>
      </c>
      <c r="B10" s="1281"/>
      <c r="C10" s="1280" t="s">
        <v>237</v>
      </c>
      <c r="D10" s="1280">
        <f>+'Appendix A'!A284</f>
        <v>164</v>
      </c>
      <c r="E10" s="1280"/>
      <c r="F10" s="1281" t="str">
        <f>+'Appendix A'!C284</f>
        <v>Net Plant Carrying Charge per 100 Basis Point in ROE without Depreciation</v>
      </c>
      <c r="M10" s="1286">
        <f>+'Appendix A'!$H$284</f>
        <v>9.5087013938530626E-2</v>
      </c>
    </row>
    <row r="11" spans="1:21">
      <c r="A11" s="1280">
        <v>5</v>
      </c>
      <c r="B11" s="1280"/>
      <c r="C11" s="1280" t="s">
        <v>239</v>
      </c>
      <c r="D11" s="1280"/>
      <c r="E11" s="1280"/>
      <c r="F11" t="s">
        <v>1248</v>
      </c>
      <c r="M11" s="1285">
        <f>+M10-M9</f>
        <v>5.2283249810296528E-3</v>
      </c>
    </row>
    <row r="12" spans="1:21">
      <c r="B12" s="1280"/>
      <c r="D12" s="1280"/>
      <c r="E12" s="1280"/>
      <c r="M12" s="1285"/>
    </row>
    <row r="13" spans="1:21">
      <c r="A13" s="1280">
        <v>6</v>
      </c>
      <c r="B13" s="1280"/>
      <c r="C13" s="1284" t="s">
        <v>1249</v>
      </c>
      <c r="D13" s="1280"/>
      <c r="E13" s="1280"/>
      <c r="M13" s="1285"/>
    </row>
    <row r="14" spans="1:21">
      <c r="A14" s="1280">
        <v>7</v>
      </c>
      <c r="B14" s="1281"/>
      <c r="C14" s="1280" t="s">
        <v>240</v>
      </c>
      <c r="D14" s="1280">
        <f>+'Appendix A'!A276</f>
        <v>158</v>
      </c>
      <c r="E14" s="1280"/>
      <c r="F14" s="1281" t="str">
        <f>+'Appendix A'!C276</f>
        <v>Net Plant Carrying Charge without Depreciation, Return, nor Income Taxes</v>
      </c>
      <c r="M14" s="1285">
        <f>+'Appendix A'!$H$276</f>
        <v>2.6212100627762337E-2</v>
      </c>
    </row>
    <row r="15" spans="1:21">
      <c r="A15" s="1280"/>
      <c r="B15" s="1281"/>
      <c r="C15" s="1287"/>
      <c r="D15" s="1280"/>
      <c r="E15" s="1280"/>
      <c r="M15" s="1282"/>
    </row>
    <row r="16" spans="1:21">
      <c r="A16" s="1280"/>
      <c r="B16" s="1281"/>
      <c r="C16" s="1288" t="s">
        <v>1250</v>
      </c>
      <c r="D16" s="1280"/>
      <c r="E16" s="1280"/>
      <c r="J16" s="1282"/>
      <c r="M16" s="1289"/>
      <c r="N16" s="21"/>
      <c r="O16" s="21"/>
      <c r="P16" s="21"/>
      <c r="Q16" s="1290"/>
    </row>
    <row r="17" spans="1:25">
      <c r="A17" s="1280"/>
      <c r="B17" s="1281"/>
      <c r="C17" s="1291" t="s">
        <v>1251</v>
      </c>
      <c r="D17" s="1280"/>
      <c r="E17" s="1280"/>
      <c r="M17" s="1282"/>
    </row>
    <row r="18" spans="1:25">
      <c r="A18" s="1280"/>
      <c r="B18" s="1281"/>
      <c r="C18" s="1292" t="s">
        <v>1252</v>
      </c>
      <c r="D18" s="1280"/>
      <c r="E18" s="1280"/>
      <c r="M18" s="1282"/>
    </row>
    <row r="19" spans="1:25" ht="15.75" thickBot="1">
      <c r="A19" s="1280"/>
      <c r="B19" s="1281"/>
      <c r="C19" s="1293" t="s">
        <v>1253</v>
      </c>
      <c r="D19" s="1294"/>
      <c r="E19" s="1294"/>
      <c r="F19" s="1295"/>
      <c r="G19" s="1295"/>
      <c r="H19" s="1295"/>
      <c r="I19" s="1295"/>
      <c r="J19" s="1295"/>
      <c r="K19" s="1295"/>
      <c r="L19" s="1295"/>
      <c r="M19" s="1295"/>
      <c r="N19" s="1295"/>
      <c r="O19" s="1295"/>
      <c r="P19" s="1295"/>
      <c r="Q19" s="1295"/>
      <c r="R19" s="1295"/>
      <c r="S19" s="1295"/>
      <c r="U19" s="21"/>
      <c r="V19" s="21"/>
      <c r="W19" s="21"/>
      <c r="X19" s="21"/>
      <c r="Y19" s="21"/>
    </row>
    <row r="20" spans="1:25" ht="15.75" thickBot="1">
      <c r="A20" s="1280"/>
      <c r="B20" s="1296"/>
      <c r="C20" s="1297"/>
      <c r="D20" s="1298"/>
      <c r="E20" s="2451" t="s">
        <v>1254</v>
      </c>
      <c r="F20" s="2452"/>
      <c r="G20" s="2452"/>
      <c r="H20" s="2451" t="s">
        <v>1255</v>
      </c>
      <c r="I20" s="2453"/>
      <c r="J20" s="2454"/>
      <c r="K20" s="2451" t="s">
        <v>1256</v>
      </c>
      <c r="L20" s="2453"/>
      <c r="M20" s="2454"/>
      <c r="N20" s="2455"/>
      <c r="O20" s="2452"/>
      <c r="P20" s="2452"/>
      <c r="Q20" s="1299"/>
      <c r="R20" s="1300"/>
      <c r="S20" s="1300"/>
      <c r="T20" s="1301"/>
    </row>
    <row r="21" spans="1:25">
      <c r="A21" s="1280">
        <f>A14+1</f>
        <v>8</v>
      </c>
      <c r="B21" s="1302" t="s">
        <v>1257</v>
      </c>
      <c r="C21" s="1303" t="s">
        <v>1258</v>
      </c>
      <c r="D21" s="1304"/>
      <c r="E21" s="1305"/>
      <c r="F21" s="1306"/>
      <c r="G21" s="1307"/>
      <c r="H21" s="1308">
        <v>58</v>
      </c>
      <c r="I21" s="1309"/>
      <c r="J21" s="1307"/>
      <c r="K21" s="1308">
        <v>58</v>
      </c>
      <c r="L21" s="1306"/>
      <c r="M21" s="1310"/>
      <c r="N21" s="1305"/>
      <c r="O21" s="1306"/>
      <c r="P21" s="1310"/>
      <c r="Q21" s="1299"/>
      <c r="R21" s="1300"/>
      <c r="S21" s="1300"/>
    </row>
    <row r="22" spans="1:25" ht="60">
      <c r="A22" s="1280">
        <f t="shared" ref="A22:A71" si="0">+A21+1</f>
        <v>9</v>
      </c>
      <c r="B22" s="1302" t="s">
        <v>1259</v>
      </c>
      <c r="C22" s="1303" t="s">
        <v>1260</v>
      </c>
      <c r="D22" s="1304" t="s">
        <v>1261</v>
      </c>
      <c r="E22" s="1311" t="s">
        <v>1262</v>
      </c>
      <c r="F22" s="1312"/>
      <c r="G22" s="1313"/>
      <c r="H22" s="1311" t="s">
        <v>1262</v>
      </c>
      <c r="I22" s="1304"/>
      <c r="J22" s="1314"/>
      <c r="K22" s="1311" t="s">
        <v>1262</v>
      </c>
      <c r="L22" s="1304"/>
      <c r="M22" s="1313"/>
      <c r="N22" s="1311"/>
      <c r="O22" s="1304"/>
      <c r="P22" s="1313"/>
      <c r="Q22" s="1299"/>
      <c r="R22" s="1300"/>
      <c r="S22" s="1315"/>
    </row>
    <row r="23" spans="1:25">
      <c r="A23" s="1280">
        <f>+A22+1</f>
        <v>10</v>
      </c>
      <c r="B23" s="1302" t="s">
        <v>1263</v>
      </c>
      <c r="C23" s="1303" t="s">
        <v>1264</v>
      </c>
      <c r="D23" s="1304"/>
      <c r="E23" s="1316">
        <v>0</v>
      </c>
      <c r="F23" s="1317"/>
      <c r="G23" s="1318"/>
      <c r="H23" s="1319">
        <f>Inputs!$E$8</f>
        <v>50</v>
      </c>
      <c r="I23" s="1320"/>
      <c r="J23" s="1318"/>
      <c r="K23" s="1319">
        <f>Inputs!$E$8</f>
        <v>50</v>
      </c>
      <c r="L23" s="1321"/>
      <c r="M23" s="1318"/>
      <c r="N23" s="1311"/>
      <c r="O23" s="1321"/>
      <c r="P23" s="1318"/>
      <c r="Q23" s="1299"/>
      <c r="R23" s="1322"/>
      <c r="S23" s="1323"/>
      <c r="V23" s="1324" t="s">
        <v>1265</v>
      </c>
    </row>
    <row r="24" spans="1:25" ht="30">
      <c r="A24" s="1280">
        <f t="shared" si="0"/>
        <v>11</v>
      </c>
      <c r="B24" s="1302" t="s">
        <v>1266</v>
      </c>
      <c r="C24" s="1303" t="str">
        <f>'Appendix A'!H214*100&amp;"% ROE"</f>
        <v>9.8% ROE</v>
      </c>
      <c r="D24" s="1325"/>
      <c r="E24" s="1326">
        <f>$M$9</f>
        <v>8.9858688957500973E-2</v>
      </c>
      <c r="F24" s="1312"/>
      <c r="G24" s="1314"/>
      <c r="H24" s="1326">
        <f>$M$9</f>
        <v>8.9858688957500973E-2</v>
      </c>
      <c r="I24" s="1304"/>
      <c r="J24" s="1314"/>
      <c r="K24" s="1326">
        <f>$M$9</f>
        <v>8.9858688957500973E-2</v>
      </c>
      <c r="L24" s="1300"/>
      <c r="M24" s="1314"/>
      <c r="N24" s="1326">
        <f>$M$9</f>
        <v>8.9858688957500973E-2</v>
      </c>
      <c r="O24" s="1300"/>
      <c r="P24" s="1314"/>
      <c r="Q24" s="1299"/>
      <c r="R24" s="1322"/>
      <c r="S24" s="1327"/>
    </row>
    <row r="25" spans="1:25">
      <c r="A25" s="1280">
        <f t="shared" si="0"/>
        <v>12</v>
      </c>
      <c r="B25" s="1328" t="s">
        <v>1267</v>
      </c>
      <c r="C25" s="1303" t="s">
        <v>1268</v>
      </c>
      <c r="D25" s="1325"/>
      <c r="E25" s="1326">
        <f>(E$23/100*$M$11)+E$24</f>
        <v>8.9858688957500973E-2</v>
      </c>
      <c r="F25" s="1312"/>
      <c r="G25" s="1329"/>
      <c r="H25" s="1326">
        <f>(H$23/100*$M$11)+H$24</f>
        <v>9.24728514480158E-2</v>
      </c>
      <c r="I25" s="1300"/>
      <c r="J25" s="1329"/>
      <c r="K25" s="1326">
        <f>(K$23/100*$M$11)+K$24</f>
        <v>9.24728514480158E-2</v>
      </c>
      <c r="L25" s="1330"/>
      <c r="M25" s="1329"/>
      <c r="N25" s="1326">
        <f>(N$23/100*$M$11)+N$24</f>
        <v>8.9858688957500973E-2</v>
      </c>
      <c r="O25" s="1330"/>
      <c r="P25" s="1329"/>
      <c r="Q25" s="1299"/>
      <c r="R25" s="1322"/>
      <c r="S25" s="1331"/>
    </row>
    <row r="26" spans="1:25">
      <c r="A26" s="1280">
        <f t="shared" si="0"/>
        <v>13</v>
      </c>
      <c r="B26" s="1328" t="s">
        <v>1269</v>
      </c>
      <c r="C26" s="1303" t="s">
        <v>1270</v>
      </c>
      <c r="D26" s="1304"/>
      <c r="E26" s="1332">
        <v>0</v>
      </c>
      <c r="F26" s="1309"/>
      <c r="G26" s="1333"/>
      <c r="H26" s="1332">
        <f>'Gateway PIS Monthly'!M154</f>
        <v>1359100771.3022118</v>
      </c>
      <c r="I26" s="1334"/>
      <c r="J26" s="1333"/>
      <c r="K26" s="1335">
        <f>'Att 6 - Est &amp; Reconcile WS'!S44-('Att 6 - Est &amp; Reconcile WS'!S63*0.5)</f>
        <v>0</v>
      </c>
      <c r="L26" s="1309">
        <f>K36-0.5*L36</f>
        <v>0</v>
      </c>
      <c r="M26" s="1333"/>
      <c r="N26" s="1335">
        <v>0</v>
      </c>
      <c r="O26" s="1309"/>
      <c r="P26" s="1333"/>
      <c r="Q26" s="1299"/>
      <c r="R26" s="1300"/>
      <c r="S26" s="1300"/>
    </row>
    <row r="27" spans="1:25">
      <c r="A27" s="1280">
        <f t="shared" si="0"/>
        <v>14</v>
      </c>
      <c r="B27" s="1328" t="s">
        <v>1271</v>
      </c>
      <c r="C27" s="1299" t="s">
        <v>1272</v>
      </c>
      <c r="D27" s="1304"/>
      <c r="E27" s="1335">
        <f>IF(E21=0,0,E26/E21)</f>
        <v>0</v>
      </c>
      <c r="F27" s="1312"/>
      <c r="G27" s="1333"/>
      <c r="H27" s="1335">
        <f>IF(H26=0,0,H26/H21)</f>
        <v>23432771.919003651</v>
      </c>
      <c r="I27" s="1336"/>
      <c r="J27" s="1333"/>
      <c r="K27" s="1335">
        <f>'Att 6 - Est &amp; Reconcile WS'!S63</f>
        <v>0</v>
      </c>
      <c r="L27" s="1309"/>
      <c r="M27" s="1333"/>
      <c r="N27" s="1335">
        <f>IF(N26=0,0,N26/N21)</f>
        <v>0</v>
      </c>
      <c r="O27" s="1309"/>
      <c r="P27" s="1333"/>
      <c r="Q27" s="1299"/>
      <c r="R27" s="1300"/>
      <c r="S27" s="1300"/>
    </row>
    <row r="28" spans="1:25" ht="15.75" thickBot="1">
      <c r="A28" s="1280"/>
      <c r="B28" s="1302"/>
      <c r="C28" s="1303"/>
      <c r="D28" s="1325"/>
      <c r="E28" s="1337"/>
      <c r="F28" s="1338"/>
      <c r="G28" s="1339"/>
      <c r="H28" s="1337"/>
      <c r="I28" s="1336"/>
      <c r="J28" s="1339"/>
      <c r="K28" s="1337"/>
      <c r="L28" s="1336"/>
      <c r="M28" s="1339"/>
      <c r="N28" s="1337"/>
      <c r="O28" s="1336"/>
      <c r="P28" s="1339"/>
      <c r="Q28" s="1340"/>
      <c r="R28" s="1341"/>
      <c r="S28" s="1341"/>
      <c r="U28" s="21"/>
      <c r="V28" s="21"/>
      <c r="W28" s="21"/>
      <c r="X28" s="21"/>
      <c r="Y28" s="21"/>
    </row>
    <row r="29" spans="1:25" ht="39.75" thickBot="1">
      <c r="A29" s="1280"/>
      <c r="B29" s="1296"/>
      <c r="C29" s="1342"/>
      <c r="D29" s="1343" t="s">
        <v>1273</v>
      </c>
      <c r="E29" s="1344" t="s">
        <v>1269</v>
      </c>
      <c r="F29" s="1345" t="s">
        <v>1274</v>
      </c>
      <c r="G29" s="1346" t="s">
        <v>1275</v>
      </c>
      <c r="H29" s="1344" t="s">
        <v>1269</v>
      </c>
      <c r="I29" s="1345" t="s">
        <v>1274</v>
      </c>
      <c r="J29" s="1347" t="s">
        <v>1275</v>
      </c>
      <c r="K29" s="1344" t="s">
        <v>1269</v>
      </c>
      <c r="L29" s="1345" t="s">
        <v>1274</v>
      </c>
      <c r="M29" s="1347" t="s">
        <v>1275</v>
      </c>
      <c r="N29" s="1344" t="s">
        <v>1269</v>
      </c>
      <c r="O29" s="1345" t="s">
        <v>1274</v>
      </c>
      <c r="P29" s="1347" t="s">
        <v>1275</v>
      </c>
      <c r="Q29" s="1348" t="s">
        <v>115</v>
      </c>
      <c r="R29" s="1349" t="s">
        <v>1276</v>
      </c>
      <c r="S29" s="1350" t="s">
        <v>1277</v>
      </c>
      <c r="T29" s="1351" t="s">
        <v>1278</v>
      </c>
    </row>
    <row r="30" spans="1:25">
      <c r="A30" s="1280">
        <f>+A27+1</f>
        <v>15</v>
      </c>
      <c r="B30" s="1352" t="str">
        <f>D30&amp;C30</f>
        <v>2010W  9.8 % ROE</v>
      </c>
      <c r="C30" s="1353" t="str">
        <f>"W  "&amp;'Appendix A'!H214*100&amp;" % ROE"</f>
        <v>W  9.8 % ROE</v>
      </c>
      <c r="D30" s="1354">
        <v>2010</v>
      </c>
      <c r="E30" s="1355">
        <f>E$26</f>
        <v>0</v>
      </c>
      <c r="F30" s="1336">
        <f>+$E$27</f>
        <v>0</v>
      </c>
      <c r="G30" s="1336">
        <f>+E30*E$24+F30</f>
        <v>0</v>
      </c>
      <c r="H30" s="1356">
        <f>+'Gateway PIS Monthly'!M34</f>
        <v>287225424.6045447</v>
      </c>
      <c r="I30" s="1357">
        <f>SUM('Gateway PIS Monthly'!J22:J34)</f>
        <v>4836782.9695761502</v>
      </c>
      <c r="J30" s="1336">
        <f>+H30*H$24+I30</f>
        <v>30646483.059802078</v>
      </c>
      <c r="K30" s="1355">
        <f t="shared" ref="K30:K70" si="1">$K$26*(IF($D30=data_year+1,1,0))</f>
        <v>0</v>
      </c>
      <c r="L30" s="1336">
        <f t="shared" ref="L30:L70" si="2">$K$27*(IF($D30=data_year+1,1,0))</f>
        <v>0</v>
      </c>
      <c r="M30" s="1336">
        <f>+K30*K$24+L30</f>
        <v>0</v>
      </c>
      <c r="N30" s="1355">
        <f>+N26</f>
        <v>0</v>
      </c>
      <c r="O30" s="1336">
        <f>+N$27</f>
        <v>0</v>
      </c>
      <c r="P30" s="1336">
        <f>+N30*N$24+O30</f>
        <v>0</v>
      </c>
      <c r="Q30" s="1358">
        <f t="shared" ref="Q30:Q69" si="3">+J30+P30+G30+M30</f>
        <v>30646483.059802078</v>
      </c>
      <c r="R30" s="1299"/>
      <c r="S30" s="1359">
        <f>+Q30</f>
        <v>30646483.059802078</v>
      </c>
      <c r="T30" s="1353"/>
    </row>
    <row r="31" spans="1:25">
      <c r="A31" s="1280">
        <f t="shared" si="0"/>
        <v>16</v>
      </c>
      <c r="B31" s="1352" t="str">
        <f t="shared" ref="B31:B69" si="4">D31&amp;C31</f>
        <v>2010W Increased ROE</v>
      </c>
      <c r="C31" s="1353" t="s">
        <v>1279</v>
      </c>
      <c r="D31" s="1360">
        <f>D30</f>
        <v>2010</v>
      </c>
      <c r="E31" s="1355">
        <f>E$26</f>
        <v>0</v>
      </c>
      <c r="F31" s="1309">
        <f t="shared" ref="F31:F69" si="5">+$E$27</f>
        <v>0</v>
      </c>
      <c r="G31" s="1336">
        <f>+E31*E$25+F31</f>
        <v>0</v>
      </c>
      <c r="H31" s="1361">
        <f>H30</f>
        <v>287225424.6045447</v>
      </c>
      <c r="I31" s="1336">
        <f>I30</f>
        <v>4836782.9695761502</v>
      </c>
      <c r="J31" s="1336">
        <f>+H31*H$25+I31</f>
        <v>31397336.991125476</v>
      </c>
      <c r="K31" s="1355">
        <f t="shared" si="1"/>
        <v>0</v>
      </c>
      <c r="L31" s="1309">
        <f t="shared" si="2"/>
        <v>0</v>
      </c>
      <c r="M31" s="1336">
        <f>+K31*K$25+L31</f>
        <v>0</v>
      </c>
      <c r="N31" s="1355">
        <f>+N30</f>
        <v>0</v>
      </c>
      <c r="O31" s="1309">
        <f>+O30</f>
        <v>0</v>
      </c>
      <c r="P31" s="1336">
        <f>+N31*N$25+O31</f>
        <v>0</v>
      </c>
      <c r="Q31" s="1358">
        <f t="shared" si="3"/>
        <v>31397336.991125476</v>
      </c>
      <c r="R31" s="1362">
        <f>+Q31</f>
        <v>31397336.991125476</v>
      </c>
      <c r="S31" s="1363"/>
      <c r="T31" s="1364">
        <f>R31-S30</f>
        <v>750853.9313233979</v>
      </c>
    </row>
    <row r="32" spans="1:25">
      <c r="A32" s="1280">
        <f t="shared" si="0"/>
        <v>17</v>
      </c>
      <c r="B32" s="1352" t="str">
        <f t="shared" si="4"/>
        <v>2011W  9.8 % ROE</v>
      </c>
      <c r="C32" s="1353" t="str">
        <f t="shared" ref="C32:C69" si="6">+C30</f>
        <v>W  9.8 % ROE</v>
      </c>
      <c r="D32" s="1365">
        <f t="shared" ref="D32:D69" si="7">+D30+1</f>
        <v>2011</v>
      </c>
      <c r="E32" s="1355">
        <f t="shared" ref="E32:E69" si="8">E$26</f>
        <v>0</v>
      </c>
      <c r="F32" s="1309">
        <f t="shared" si="5"/>
        <v>0</v>
      </c>
      <c r="G32" s="1336">
        <f>+E32*E$24+F32</f>
        <v>0</v>
      </c>
      <c r="H32" s="1366">
        <f>+'Gateway PIS Monthly'!M46</f>
        <v>784113653.19373691</v>
      </c>
      <c r="I32" s="1357">
        <f>SUM('Gateway PIS Monthly'!J35:J46)</f>
        <v>13727953.751135059</v>
      </c>
      <c r="J32" s="1336">
        <f>+H32*H$24+I32</f>
        <v>84187378.620800853</v>
      </c>
      <c r="K32" s="1355">
        <f t="shared" si="1"/>
        <v>0</v>
      </c>
      <c r="L32" s="1367">
        <f t="shared" si="2"/>
        <v>0</v>
      </c>
      <c r="M32" s="1336">
        <f>+K32*K$24+L32</f>
        <v>0</v>
      </c>
      <c r="N32" s="1355">
        <f>+N$26</f>
        <v>0</v>
      </c>
      <c r="O32" s="1367">
        <f>+N$27</f>
        <v>0</v>
      </c>
      <c r="P32" s="1336">
        <f>+N32*N$24+O32</f>
        <v>0</v>
      </c>
      <c r="Q32" s="1358">
        <f t="shared" si="3"/>
        <v>84187378.620800853</v>
      </c>
      <c r="R32" s="1299"/>
      <c r="S32" s="1359">
        <f>+Q32</f>
        <v>84187378.620800853</v>
      </c>
      <c r="T32" s="1353"/>
    </row>
    <row r="33" spans="1:25">
      <c r="A33" s="1280">
        <f t="shared" si="0"/>
        <v>18</v>
      </c>
      <c r="B33" s="1352" t="str">
        <f t="shared" si="4"/>
        <v>2011W Increased ROE</v>
      </c>
      <c r="C33" s="1353" t="str">
        <f t="shared" si="6"/>
        <v>W Increased ROE</v>
      </c>
      <c r="D33" s="1365">
        <f t="shared" si="7"/>
        <v>2011</v>
      </c>
      <c r="E33" s="1355">
        <f t="shared" si="8"/>
        <v>0</v>
      </c>
      <c r="F33" s="1309">
        <f t="shared" si="5"/>
        <v>0</v>
      </c>
      <c r="G33" s="1336">
        <f>+E33*E$25+F33</f>
        <v>0</v>
      </c>
      <c r="H33" s="1361">
        <f>H32</f>
        <v>784113653.19373691</v>
      </c>
      <c r="I33" s="1331">
        <f t="shared" ref="I33:I69" si="9">I32</f>
        <v>13727953.751135059</v>
      </c>
      <c r="J33" s="1336">
        <f>+H33*H$25+I33</f>
        <v>86237179.121280462</v>
      </c>
      <c r="K33" s="1355">
        <f t="shared" si="1"/>
        <v>0</v>
      </c>
      <c r="L33" s="1367">
        <f t="shared" si="2"/>
        <v>0</v>
      </c>
      <c r="M33" s="1336">
        <f>+K33*K$25+L33</f>
        <v>0</v>
      </c>
      <c r="N33" s="1355">
        <v>0</v>
      </c>
      <c r="O33" s="1367">
        <f>+O32</f>
        <v>0</v>
      </c>
      <c r="P33" s="1336">
        <f>+N33*N$25+O33</f>
        <v>0</v>
      </c>
      <c r="Q33" s="1358">
        <f t="shared" si="3"/>
        <v>86237179.121280462</v>
      </c>
      <c r="R33" s="1362">
        <f>+Q33</f>
        <v>86237179.121280462</v>
      </c>
      <c r="S33" s="1363"/>
      <c r="T33" s="1364">
        <f>R33-S32</f>
        <v>2049800.5004796088</v>
      </c>
    </row>
    <row r="34" spans="1:25">
      <c r="A34" s="1280">
        <f t="shared" si="0"/>
        <v>19</v>
      </c>
      <c r="B34" s="1352" t="str">
        <f t="shared" si="4"/>
        <v>2012W  9.8 % ROE</v>
      </c>
      <c r="C34" s="1353" t="str">
        <f t="shared" si="6"/>
        <v>W  9.8 % ROE</v>
      </c>
      <c r="D34" s="1365">
        <f t="shared" si="7"/>
        <v>2012</v>
      </c>
      <c r="E34" s="1355">
        <f t="shared" si="8"/>
        <v>0</v>
      </c>
      <c r="F34" s="1309">
        <f t="shared" si="5"/>
        <v>0</v>
      </c>
      <c r="G34" s="1336">
        <f>+E34*E$24+F34</f>
        <v>0</v>
      </c>
      <c r="H34" s="1356">
        <f>+'Gateway PIS Monthly'!M58</f>
        <v>785864996.70524514</v>
      </c>
      <c r="I34" s="1368">
        <f>SUM('Gateway PIS Monthly'!J47:J58)</f>
        <v>13960854.81519396</v>
      </c>
      <c r="J34" s="1336">
        <f>+H34*H$24+I34</f>
        <v>84577653.116718113</v>
      </c>
      <c r="K34" s="1355">
        <f t="shared" si="1"/>
        <v>0</v>
      </c>
      <c r="L34" s="1367">
        <f t="shared" si="2"/>
        <v>0</v>
      </c>
      <c r="M34" s="1336">
        <f>+K34*K$24+L34</f>
        <v>0</v>
      </c>
      <c r="N34" s="1355">
        <v>0</v>
      </c>
      <c r="O34" s="1367">
        <f t="shared" ref="O34:O70" si="10">+O33</f>
        <v>0</v>
      </c>
      <c r="P34" s="1336">
        <f>+N34*N$24+O34</f>
        <v>0</v>
      </c>
      <c r="Q34" s="1358">
        <f t="shared" si="3"/>
        <v>84577653.116718113</v>
      </c>
      <c r="R34" s="1299"/>
      <c r="S34" s="1359">
        <f>+Q34</f>
        <v>84577653.116718113</v>
      </c>
      <c r="T34" s="1353"/>
    </row>
    <row r="35" spans="1:25">
      <c r="A35" s="1280">
        <f t="shared" si="0"/>
        <v>20</v>
      </c>
      <c r="B35" s="1352" t="str">
        <f t="shared" si="4"/>
        <v>2012W Increased ROE</v>
      </c>
      <c r="C35" s="1353" t="str">
        <f t="shared" si="6"/>
        <v>W Increased ROE</v>
      </c>
      <c r="D35" s="1365">
        <f t="shared" si="7"/>
        <v>2012</v>
      </c>
      <c r="E35" s="1355">
        <f t="shared" si="8"/>
        <v>0</v>
      </c>
      <c r="F35" s="1309">
        <f t="shared" si="5"/>
        <v>0</v>
      </c>
      <c r="G35" s="1336">
        <f>+E35*E$25+F35</f>
        <v>0</v>
      </c>
      <c r="H35" s="1361">
        <f>H34</f>
        <v>785864996.70524514</v>
      </c>
      <c r="I35" s="1331">
        <f t="shared" si="9"/>
        <v>13960854.81519396</v>
      </c>
      <c r="J35" s="1336">
        <f>+H35*H$25+I35</f>
        <v>86632031.91371353</v>
      </c>
      <c r="K35" s="1355">
        <f t="shared" si="1"/>
        <v>0</v>
      </c>
      <c r="L35" s="1367">
        <f t="shared" si="2"/>
        <v>0</v>
      </c>
      <c r="M35" s="1336">
        <f>+K35*K$25+L35</f>
        <v>0</v>
      </c>
      <c r="N35" s="1355">
        <v>0</v>
      </c>
      <c r="O35" s="1367">
        <f t="shared" si="10"/>
        <v>0</v>
      </c>
      <c r="P35" s="1336">
        <f>+N35*N$25+O35</f>
        <v>0</v>
      </c>
      <c r="Q35" s="1358">
        <f t="shared" si="3"/>
        <v>86632031.91371353</v>
      </c>
      <c r="R35" s="1362">
        <f>+Q35</f>
        <v>86632031.91371353</v>
      </c>
      <c r="S35" s="1363"/>
      <c r="T35" s="1364">
        <f>R35-S34</f>
        <v>2054378.7969954163</v>
      </c>
    </row>
    <row r="36" spans="1:25">
      <c r="A36" s="1280">
        <f t="shared" si="0"/>
        <v>21</v>
      </c>
      <c r="B36" s="1352" t="str">
        <f t="shared" si="4"/>
        <v>2013W  9.8 % ROE</v>
      </c>
      <c r="C36" s="1353" t="str">
        <f t="shared" si="6"/>
        <v>W  9.8 % ROE</v>
      </c>
      <c r="D36" s="1365">
        <f t="shared" si="7"/>
        <v>2013</v>
      </c>
      <c r="E36" s="1355">
        <f t="shared" si="8"/>
        <v>0</v>
      </c>
      <c r="F36" s="1309">
        <f t="shared" si="5"/>
        <v>0</v>
      </c>
      <c r="G36" s="1336">
        <f>+E36*E$24+F36</f>
        <v>0</v>
      </c>
      <c r="H36" s="1356">
        <f>+'Gateway PIS Monthly'!M70</f>
        <v>1039140448.7705153</v>
      </c>
      <c r="I36" s="1368">
        <f>SUM('Gateway PIS Monthly'!J59:J70)</f>
        <v>18682868.780114934</v>
      </c>
      <c r="J36" s="1336">
        <f>+H36*H$24+I36</f>
        <v>112058667.14934264</v>
      </c>
      <c r="K36" s="1361">
        <f t="shared" si="1"/>
        <v>0</v>
      </c>
      <c r="L36" s="1331">
        <f t="shared" si="2"/>
        <v>0</v>
      </c>
      <c r="M36" s="1336">
        <f>+K36*K$24+L36</f>
        <v>0</v>
      </c>
      <c r="N36" s="1355">
        <v>0</v>
      </c>
      <c r="O36" s="1367">
        <f t="shared" si="10"/>
        <v>0</v>
      </c>
      <c r="P36" s="1336">
        <f>+N36*N$24+O36</f>
        <v>0</v>
      </c>
      <c r="Q36" s="1358">
        <f t="shared" si="3"/>
        <v>112058667.14934264</v>
      </c>
      <c r="R36" s="1299"/>
      <c r="S36" s="1359">
        <f>+Q36</f>
        <v>112058667.14934264</v>
      </c>
      <c r="T36" s="1353"/>
    </row>
    <row r="37" spans="1:25">
      <c r="A37" s="1280">
        <f t="shared" si="0"/>
        <v>22</v>
      </c>
      <c r="B37" s="1352" t="str">
        <f t="shared" si="4"/>
        <v>2013W Increased ROE</v>
      </c>
      <c r="C37" s="1353" t="str">
        <f t="shared" si="6"/>
        <v>W Increased ROE</v>
      </c>
      <c r="D37" s="1365">
        <f t="shared" si="7"/>
        <v>2013</v>
      </c>
      <c r="E37" s="1355">
        <f t="shared" si="8"/>
        <v>0</v>
      </c>
      <c r="F37" s="1309">
        <f t="shared" si="5"/>
        <v>0</v>
      </c>
      <c r="G37" s="1336">
        <f>+E37*E$25+F37</f>
        <v>0</v>
      </c>
      <c r="H37" s="1355">
        <f>H36</f>
        <v>1039140448.7705153</v>
      </c>
      <c r="I37" s="1367">
        <f t="shared" si="9"/>
        <v>18682868.780114934</v>
      </c>
      <c r="J37" s="1336">
        <f>+H37*H$25+I37</f>
        <v>114775149.13289528</v>
      </c>
      <c r="K37" s="1361">
        <f t="shared" si="1"/>
        <v>0</v>
      </c>
      <c r="L37" s="1331">
        <f t="shared" si="2"/>
        <v>0</v>
      </c>
      <c r="M37" s="1336">
        <f>+K37*K$25+L37</f>
        <v>0</v>
      </c>
      <c r="N37" s="1355">
        <v>0</v>
      </c>
      <c r="O37" s="1367">
        <f t="shared" si="10"/>
        <v>0</v>
      </c>
      <c r="P37" s="1336">
        <f>+N37*N$25+O37</f>
        <v>0</v>
      </c>
      <c r="Q37" s="1358">
        <f t="shared" si="3"/>
        <v>114775149.13289528</v>
      </c>
      <c r="R37" s="1362">
        <f>+Q37</f>
        <v>114775149.13289528</v>
      </c>
      <c r="S37" s="1363"/>
      <c r="T37" s="1364">
        <f>R37-S36</f>
        <v>2716481.9835526347</v>
      </c>
    </row>
    <row r="38" spans="1:25">
      <c r="A38" s="1280">
        <f t="shared" si="0"/>
        <v>23</v>
      </c>
      <c r="B38" s="1352" t="str">
        <f t="shared" si="4"/>
        <v>2014W  9.8 % ROE</v>
      </c>
      <c r="C38" s="1353" t="str">
        <f t="shared" si="6"/>
        <v>W  9.8 % ROE</v>
      </c>
      <c r="D38" s="1365">
        <f t="shared" si="7"/>
        <v>2014</v>
      </c>
      <c r="E38" s="1355">
        <f t="shared" si="8"/>
        <v>0</v>
      </c>
      <c r="F38" s="1309">
        <f t="shared" si="5"/>
        <v>0</v>
      </c>
      <c r="G38" s="1336">
        <f>+E38*E$24+F38</f>
        <v>0</v>
      </c>
      <c r="H38" s="1356">
        <f>'Gateway PIS Monthly'!M82</f>
        <v>1164054967.550472</v>
      </c>
      <c r="I38" s="1368">
        <f>SUM('Gateway PIS Monthly'!J71:J82)</f>
        <v>21135829.272040218</v>
      </c>
      <c r="J38" s="1336">
        <f>+H38*H$24+I38</f>
        <v>125736282.53059198</v>
      </c>
      <c r="K38" s="1355">
        <f t="shared" si="1"/>
        <v>0</v>
      </c>
      <c r="L38" s="1367">
        <f t="shared" si="2"/>
        <v>0</v>
      </c>
      <c r="M38" s="1336">
        <f>+K38*K$24+L38</f>
        <v>0</v>
      </c>
      <c r="N38" s="1355">
        <v>0</v>
      </c>
      <c r="O38" s="1367">
        <f t="shared" si="10"/>
        <v>0</v>
      </c>
      <c r="P38" s="1336">
        <f>+N38*N$24+O38</f>
        <v>0</v>
      </c>
      <c r="Q38" s="1358">
        <f t="shared" si="3"/>
        <v>125736282.53059198</v>
      </c>
      <c r="R38" s="1299"/>
      <c r="S38" s="1359">
        <f>+Q38</f>
        <v>125736282.53059198</v>
      </c>
      <c r="T38" s="1353"/>
    </row>
    <row r="39" spans="1:25">
      <c r="A39" s="1280">
        <f t="shared" si="0"/>
        <v>24</v>
      </c>
      <c r="B39" s="1352" t="str">
        <f t="shared" si="4"/>
        <v>2014W Increased ROE</v>
      </c>
      <c r="C39" s="1353" t="str">
        <f t="shared" si="6"/>
        <v>W Increased ROE</v>
      </c>
      <c r="D39" s="1365">
        <f t="shared" si="7"/>
        <v>2014</v>
      </c>
      <c r="E39" s="1355">
        <f t="shared" si="8"/>
        <v>0</v>
      </c>
      <c r="F39" s="1309">
        <f t="shared" si="5"/>
        <v>0</v>
      </c>
      <c r="G39" s="1336">
        <f>+E39*E$25+F39</f>
        <v>0</v>
      </c>
      <c r="H39" s="1355">
        <f>H38</f>
        <v>1164054967.550472</v>
      </c>
      <c r="I39" s="1367">
        <f t="shared" si="9"/>
        <v>21135829.272040218</v>
      </c>
      <c r="J39" s="1336">
        <f>+H39*H$25+I39</f>
        <v>128779311.36365987</v>
      </c>
      <c r="K39" s="1355">
        <f t="shared" si="1"/>
        <v>0</v>
      </c>
      <c r="L39" s="1367">
        <f t="shared" si="2"/>
        <v>0</v>
      </c>
      <c r="M39" s="1336">
        <f>+K39*K$25+L39</f>
        <v>0</v>
      </c>
      <c r="N39" s="1355">
        <v>0</v>
      </c>
      <c r="O39" s="1367">
        <f t="shared" si="10"/>
        <v>0</v>
      </c>
      <c r="P39" s="1336">
        <f>+N39*N$25+O39</f>
        <v>0</v>
      </c>
      <c r="Q39" s="1358">
        <f t="shared" si="3"/>
        <v>128779311.36365987</v>
      </c>
      <c r="R39" s="1362">
        <f>+Q39</f>
        <v>128779311.36365987</v>
      </c>
      <c r="S39" s="1363"/>
      <c r="T39" s="1364">
        <f>R39-S38</f>
        <v>3043028.833067894</v>
      </c>
    </row>
    <row r="40" spans="1:25">
      <c r="A40" s="1280">
        <f t="shared" si="0"/>
        <v>25</v>
      </c>
      <c r="B40" s="1352" t="str">
        <f t="shared" si="4"/>
        <v>2015W  9.8 % ROE</v>
      </c>
      <c r="C40" s="1353" t="str">
        <f t="shared" si="6"/>
        <v>W  9.8 % ROE</v>
      </c>
      <c r="D40" s="1365">
        <f t="shared" si="7"/>
        <v>2015</v>
      </c>
      <c r="E40" s="1355">
        <f t="shared" si="8"/>
        <v>0</v>
      </c>
      <c r="F40" s="1309">
        <f t="shared" si="5"/>
        <v>0</v>
      </c>
      <c r="G40" s="1336">
        <f>+E40*E$24+F40</f>
        <v>0</v>
      </c>
      <c r="H40" s="1356">
        <f>'Gateway PIS Monthly'!M94</f>
        <v>1350166903.3483121</v>
      </c>
      <c r="I40" s="1368">
        <f>SUM('Gateway PIS Monthly'!J83:J94)</f>
        <v>24782099.925739925</v>
      </c>
      <c r="J40" s="1336">
        <f>+H40*H$24+I40</f>
        <v>146106327.73442817</v>
      </c>
      <c r="K40" s="1369">
        <f>$K$26*(IF($D40=data_year+1,1,0))</f>
        <v>0</v>
      </c>
      <c r="L40" s="1370">
        <f t="shared" si="2"/>
        <v>0</v>
      </c>
      <c r="M40" s="1371">
        <f>+K40*K$24+L40</f>
        <v>0</v>
      </c>
      <c r="N40" s="1355">
        <v>0</v>
      </c>
      <c r="O40" s="1367">
        <f t="shared" si="10"/>
        <v>0</v>
      </c>
      <c r="P40" s="1336">
        <f>+N40*N$24+O40</f>
        <v>0</v>
      </c>
      <c r="Q40" s="1358">
        <f t="shared" si="3"/>
        <v>146106327.73442817</v>
      </c>
      <c r="R40" s="1299"/>
      <c r="S40" s="1359">
        <f>+Q40</f>
        <v>146106327.73442817</v>
      </c>
      <c r="T40" s="1353"/>
      <c r="X40" s="1290"/>
    </row>
    <row r="41" spans="1:25">
      <c r="A41" s="1280">
        <f t="shared" si="0"/>
        <v>26</v>
      </c>
      <c r="B41" s="1352" t="str">
        <f t="shared" si="4"/>
        <v>2015W Increased ROE</v>
      </c>
      <c r="C41" s="1353" t="str">
        <f t="shared" si="6"/>
        <v>W Increased ROE</v>
      </c>
      <c r="D41" s="1365">
        <f t="shared" si="7"/>
        <v>2015</v>
      </c>
      <c r="E41" s="1355">
        <f t="shared" si="8"/>
        <v>0</v>
      </c>
      <c r="F41" s="1309">
        <f t="shared" si="5"/>
        <v>0</v>
      </c>
      <c r="G41" s="1336">
        <f>+E41*E$25+F41</f>
        <v>0</v>
      </c>
      <c r="H41" s="1355">
        <f>H40</f>
        <v>1350166903.3483121</v>
      </c>
      <c r="I41" s="1367">
        <f t="shared" si="9"/>
        <v>24782099.925739925</v>
      </c>
      <c r="J41" s="1336">
        <f>+H41*H$25+I41</f>
        <v>149635883.40909588</v>
      </c>
      <c r="K41" s="1369">
        <f t="shared" si="1"/>
        <v>0</v>
      </c>
      <c r="L41" s="1370">
        <f t="shared" si="2"/>
        <v>0</v>
      </c>
      <c r="M41" s="1371">
        <f>+K41*K$25+L41</f>
        <v>0</v>
      </c>
      <c r="N41" s="1355">
        <v>0</v>
      </c>
      <c r="O41" s="1367">
        <f t="shared" si="10"/>
        <v>0</v>
      </c>
      <c r="P41" s="1336">
        <f>+N41*N$25+O41</f>
        <v>0</v>
      </c>
      <c r="Q41" s="1358">
        <f t="shared" si="3"/>
        <v>149635883.40909588</v>
      </c>
      <c r="R41" s="1362">
        <f>+Q41</f>
        <v>149635883.40909588</v>
      </c>
      <c r="S41" s="1363"/>
      <c r="T41" s="1364">
        <f>R41-S40</f>
        <v>3529555.674667716</v>
      </c>
      <c r="X41" s="1290"/>
      <c r="Y41" s="1290"/>
    </row>
    <row r="42" spans="1:25">
      <c r="A42" s="1280">
        <f t="shared" si="0"/>
        <v>27</v>
      </c>
      <c r="B42" s="1352" t="str">
        <f t="shared" si="4"/>
        <v>2016W  9.8 % ROE</v>
      </c>
      <c r="C42" s="1353" t="str">
        <f t="shared" si="6"/>
        <v>W  9.8 % ROE</v>
      </c>
      <c r="D42" s="1365">
        <f t="shared" si="7"/>
        <v>2016</v>
      </c>
      <c r="E42" s="1355">
        <f t="shared" si="8"/>
        <v>0</v>
      </c>
      <c r="F42" s="1309">
        <f t="shared" si="5"/>
        <v>0</v>
      </c>
      <c r="G42" s="1336">
        <f>+E42*E$24+F42</f>
        <v>0</v>
      </c>
      <c r="H42" s="1356">
        <f>'Gateway PIS Monthly'!M106</f>
        <v>1463059093.741802</v>
      </c>
      <c r="I42" s="1368">
        <f>SUM('Gateway PIS Monthly'!J94:J106)</f>
        <v>29386385.30888648</v>
      </c>
      <c r="J42" s="1336">
        <f>+H42*H$24+I42</f>
        <v>160854957.33987433</v>
      </c>
      <c r="K42" s="1355">
        <f t="shared" si="1"/>
        <v>0</v>
      </c>
      <c r="L42" s="1367">
        <f t="shared" si="2"/>
        <v>0</v>
      </c>
      <c r="M42" s="1336">
        <f>+K42*K$24+L42</f>
        <v>0</v>
      </c>
      <c r="N42" s="1355">
        <v>0</v>
      </c>
      <c r="O42" s="1367">
        <f t="shared" si="10"/>
        <v>0</v>
      </c>
      <c r="P42" s="1336">
        <f>+N42*N$24+O42</f>
        <v>0</v>
      </c>
      <c r="Q42" s="1358">
        <f t="shared" si="3"/>
        <v>160854957.33987433</v>
      </c>
      <c r="R42" s="1299"/>
      <c r="S42" s="1359">
        <f>+Q42</f>
        <v>160854957.33987433</v>
      </c>
      <c r="T42" s="1353"/>
    </row>
    <row r="43" spans="1:25">
      <c r="A43" s="1280">
        <f t="shared" si="0"/>
        <v>28</v>
      </c>
      <c r="B43" s="1352" t="str">
        <f t="shared" si="4"/>
        <v>2016W Increased ROE</v>
      </c>
      <c r="C43" s="1353" t="str">
        <f t="shared" si="6"/>
        <v>W Increased ROE</v>
      </c>
      <c r="D43" s="1365">
        <f t="shared" si="7"/>
        <v>2016</v>
      </c>
      <c r="E43" s="1355">
        <f t="shared" si="8"/>
        <v>0</v>
      </c>
      <c r="F43" s="1309">
        <f t="shared" si="5"/>
        <v>0</v>
      </c>
      <c r="G43" s="1336">
        <f>+E43*E$25+F43</f>
        <v>0</v>
      </c>
      <c r="H43" s="1355">
        <f>H42</f>
        <v>1463059093.741802</v>
      </c>
      <c r="I43" s="1367">
        <f>I42</f>
        <v>29386385.30888648</v>
      </c>
      <c r="J43" s="1336">
        <f>+H43*H$25+I43</f>
        <v>164679631.54414076</v>
      </c>
      <c r="K43" s="1355">
        <f t="shared" si="1"/>
        <v>0</v>
      </c>
      <c r="L43" s="1367">
        <f t="shared" si="2"/>
        <v>0</v>
      </c>
      <c r="M43" s="1336">
        <f>+K43*K$25+L43</f>
        <v>0</v>
      </c>
      <c r="N43" s="1355">
        <v>0</v>
      </c>
      <c r="O43" s="1367">
        <f t="shared" si="10"/>
        <v>0</v>
      </c>
      <c r="P43" s="1336">
        <f>+N43*N$25+O43</f>
        <v>0</v>
      </c>
      <c r="Q43" s="1358">
        <f t="shared" si="3"/>
        <v>164679631.54414076</v>
      </c>
      <c r="R43" s="1362">
        <f>+Q43</f>
        <v>164679631.54414076</v>
      </c>
      <c r="S43" s="1363"/>
      <c r="T43" s="1364">
        <f>R43-S42</f>
        <v>3824674.2042664289</v>
      </c>
    </row>
    <row r="44" spans="1:25">
      <c r="A44" s="1280">
        <f t="shared" si="0"/>
        <v>29</v>
      </c>
      <c r="B44" s="1352" t="str">
        <f t="shared" si="4"/>
        <v>2017W  9.8 % ROE</v>
      </c>
      <c r="C44" s="1353" t="str">
        <f t="shared" si="6"/>
        <v>W  9.8 % ROE</v>
      </c>
      <c r="D44" s="1365">
        <f t="shared" si="7"/>
        <v>2017</v>
      </c>
      <c r="E44" s="1355">
        <f t="shared" si="8"/>
        <v>0</v>
      </c>
      <c r="F44" s="1309">
        <f t="shared" si="5"/>
        <v>0</v>
      </c>
      <c r="G44" s="1336">
        <f>+E44*E$24+F44</f>
        <v>0</v>
      </c>
      <c r="H44" s="1356">
        <f>'Gateway PIS Monthly'!M118</f>
        <v>1439903455.379915</v>
      </c>
      <c r="I44" s="1368">
        <f>SUM('Gateway PIS Monthly'!J106:J118)</f>
        <v>29467919.365660902</v>
      </c>
      <c r="J44" s="1336">
        <f>+H44*H$24+I44</f>
        <v>158855756.09147558</v>
      </c>
      <c r="K44" s="1355">
        <f>$K$26*(IF($D44=data_year+1,1,0))</f>
        <v>0</v>
      </c>
      <c r="L44" s="1367">
        <f t="shared" si="2"/>
        <v>0</v>
      </c>
      <c r="M44" s="1336">
        <f>+K44*K$24+L44</f>
        <v>0</v>
      </c>
      <c r="N44" s="1355">
        <v>0</v>
      </c>
      <c r="O44" s="1367">
        <f t="shared" si="10"/>
        <v>0</v>
      </c>
      <c r="P44" s="1336">
        <f>+N44*N$24+O44</f>
        <v>0</v>
      </c>
      <c r="Q44" s="1358">
        <f t="shared" si="3"/>
        <v>158855756.09147558</v>
      </c>
      <c r="R44" s="1299"/>
      <c r="S44" s="1359">
        <f>+Q44</f>
        <v>158855756.09147558</v>
      </c>
      <c r="T44" s="1353"/>
    </row>
    <row r="45" spans="1:25">
      <c r="A45" s="1280">
        <f t="shared" si="0"/>
        <v>30</v>
      </c>
      <c r="B45" s="1352" t="str">
        <f t="shared" si="4"/>
        <v>2017W Increased ROE</v>
      </c>
      <c r="C45" s="1353" t="str">
        <f t="shared" si="6"/>
        <v>W Increased ROE</v>
      </c>
      <c r="D45" s="1365">
        <f t="shared" si="7"/>
        <v>2017</v>
      </c>
      <c r="E45" s="1355">
        <f t="shared" si="8"/>
        <v>0</v>
      </c>
      <c r="F45" s="1309">
        <f t="shared" si="5"/>
        <v>0</v>
      </c>
      <c r="G45" s="1336">
        <f>+E45*E$25+F45</f>
        <v>0</v>
      </c>
      <c r="H45" s="1355">
        <f>H44</f>
        <v>1439903455.379915</v>
      </c>
      <c r="I45" s="1367">
        <f t="shared" si="9"/>
        <v>29467919.365660902</v>
      </c>
      <c r="J45" s="1336">
        <f>+H45*H$25+I45</f>
        <v>162619897.69449243</v>
      </c>
      <c r="K45" s="1355">
        <f t="shared" si="1"/>
        <v>0</v>
      </c>
      <c r="L45" s="1367">
        <f t="shared" si="2"/>
        <v>0</v>
      </c>
      <c r="M45" s="1336">
        <f>+K45*K$25+L45</f>
        <v>0</v>
      </c>
      <c r="N45" s="1355">
        <v>0</v>
      </c>
      <c r="O45" s="1367">
        <f t="shared" si="10"/>
        <v>0</v>
      </c>
      <c r="P45" s="1336">
        <f>+N45*N$25+O45</f>
        <v>0</v>
      </c>
      <c r="Q45" s="1358">
        <f t="shared" si="3"/>
        <v>162619897.69449243</v>
      </c>
      <c r="R45" s="1362">
        <f>+Q45</f>
        <v>162619897.69449243</v>
      </c>
      <c r="S45" s="1363"/>
      <c r="T45" s="1364">
        <f>R45-S44</f>
        <v>3764141.6030168533</v>
      </c>
    </row>
    <row r="46" spans="1:25">
      <c r="A46" s="1280">
        <f t="shared" si="0"/>
        <v>31</v>
      </c>
      <c r="B46" s="1352" t="str">
        <f t="shared" si="4"/>
        <v>2018W  9.8 % ROE</v>
      </c>
      <c r="C46" s="1353" t="str">
        <f t="shared" si="6"/>
        <v>W  9.8 % ROE</v>
      </c>
      <c r="D46" s="1365">
        <f t="shared" si="7"/>
        <v>2018</v>
      </c>
      <c r="E46" s="1355">
        <f t="shared" si="8"/>
        <v>0</v>
      </c>
      <c r="F46" s="1309">
        <f t="shared" si="5"/>
        <v>0</v>
      </c>
      <c r="G46" s="1336">
        <f>+E46*E$24+F46</f>
        <v>0</v>
      </c>
      <c r="H46" s="1356">
        <f>'Gateway PIS Monthly'!$M$130</f>
        <v>1413360220.1655149</v>
      </c>
      <c r="I46" s="1368">
        <f>SUM('Gateway PIS Monthly'!J119:J130)</f>
        <v>27214370.567794517</v>
      </c>
      <c r="J46" s="1336">
        <f>+H46*H$24+I46</f>
        <v>154217066.97655261</v>
      </c>
      <c r="K46" s="1355">
        <f>$K$26*(IF($D46=data_year+1,1,0))</f>
        <v>0</v>
      </c>
      <c r="L46" s="1367">
        <f t="shared" si="2"/>
        <v>0</v>
      </c>
      <c r="M46" s="1336">
        <f>+K46*K$24+L46</f>
        <v>0</v>
      </c>
      <c r="N46" s="1355">
        <v>0</v>
      </c>
      <c r="O46" s="1367">
        <f t="shared" si="10"/>
        <v>0</v>
      </c>
      <c r="P46" s="1336">
        <f>+N46*N$24+O46</f>
        <v>0</v>
      </c>
      <c r="Q46" s="1358">
        <f t="shared" si="3"/>
        <v>154217066.97655261</v>
      </c>
      <c r="R46" s="1299"/>
      <c r="S46" s="1359">
        <f>+Q46</f>
        <v>154217066.97655261</v>
      </c>
      <c r="T46" s="1353"/>
    </row>
    <row r="47" spans="1:25">
      <c r="A47" s="1280">
        <f t="shared" si="0"/>
        <v>32</v>
      </c>
      <c r="B47" s="1352" t="str">
        <f t="shared" si="4"/>
        <v>2018W Increased ROE</v>
      </c>
      <c r="C47" s="1353" t="str">
        <f t="shared" si="6"/>
        <v>W Increased ROE</v>
      </c>
      <c r="D47" s="1365">
        <f t="shared" si="7"/>
        <v>2018</v>
      </c>
      <c r="E47" s="1355">
        <f t="shared" si="8"/>
        <v>0</v>
      </c>
      <c r="F47" s="1309">
        <f t="shared" si="5"/>
        <v>0</v>
      </c>
      <c r="G47" s="1336">
        <f>+E47*E$25+F47</f>
        <v>0</v>
      </c>
      <c r="H47" s="1355">
        <f>H46</f>
        <v>1413360220.1655149</v>
      </c>
      <c r="I47" s="1367">
        <f t="shared" si="9"/>
        <v>27214370.567794517</v>
      </c>
      <c r="J47" s="1336">
        <f>+H47*H$25+I47</f>
        <v>157911820.24969509</v>
      </c>
      <c r="K47" s="1355">
        <f t="shared" si="1"/>
        <v>0</v>
      </c>
      <c r="L47" s="1367">
        <f t="shared" si="2"/>
        <v>0</v>
      </c>
      <c r="M47" s="1336">
        <f>+K47*K$25+L47</f>
        <v>0</v>
      </c>
      <c r="N47" s="1355">
        <v>0</v>
      </c>
      <c r="O47" s="1367">
        <f t="shared" si="10"/>
        <v>0</v>
      </c>
      <c r="P47" s="1336">
        <f>+N47*N$25+O47</f>
        <v>0</v>
      </c>
      <c r="Q47" s="1358">
        <f t="shared" si="3"/>
        <v>157911820.24969509</v>
      </c>
      <c r="R47" s="1362">
        <f>+Q47</f>
        <v>157911820.24969509</v>
      </c>
      <c r="S47" s="1363"/>
      <c r="T47" s="1364">
        <f>R47-S46</f>
        <v>3694753.2731424868</v>
      </c>
    </row>
    <row r="48" spans="1:25">
      <c r="A48" s="1280">
        <f t="shared" si="0"/>
        <v>33</v>
      </c>
      <c r="B48" s="1352" t="str">
        <f t="shared" si="4"/>
        <v>2019W  9.8 % ROE</v>
      </c>
      <c r="C48" s="1353" t="str">
        <f t="shared" si="6"/>
        <v>W  9.8 % ROE</v>
      </c>
      <c r="D48" s="1365">
        <f t="shared" si="7"/>
        <v>2019</v>
      </c>
      <c r="E48" s="1355">
        <f t="shared" si="8"/>
        <v>0</v>
      </c>
      <c r="F48" s="1309">
        <f t="shared" si="5"/>
        <v>0</v>
      </c>
      <c r="G48" s="1336">
        <f>+E48*E$24+F48</f>
        <v>0</v>
      </c>
      <c r="H48" s="1356">
        <f>'Gateway PIS Monthly'!M142</f>
        <v>1386203296.6665728</v>
      </c>
      <c r="I48" s="1368">
        <f>SUM('Gateway PIS Monthly'!J131:J142)</f>
        <v>27215321.251860615</v>
      </c>
      <c r="J48" s="1336">
        <f>+H48*H$24+I48</f>
        <v>151777732.11888462</v>
      </c>
      <c r="K48" s="1355">
        <f t="shared" si="1"/>
        <v>0</v>
      </c>
      <c r="L48" s="1367">
        <f t="shared" si="2"/>
        <v>0</v>
      </c>
      <c r="M48" s="1336">
        <f>+K48*K$24+L48</f>
        <v>0</v>
      </c>
      <c r="N48" s="1355">
        <v>0</v>
      </c>
      <c r="O48" s="1367">
        <f t="shared" si="10"/>
        <v>0</v>
      </c>
      <c r="P48" s="1336">
        <f>+N48*N$24+O48</f>
        <v>0</v>
      </c>
      <c r="Q48" s="1358">
        <f t="shared" si="3"/>
        <v>151777732.11888462</v>
      </c>
      <c r="R48" s="1299"/>
      <c r="S48" s="1359">
        <f>+Q48</f>
        <v>151777732.11888462</v>
      </c>
      <c r="T48" s="1353"/>
    </row>
    <row r="49" spans="1:20">
      <c r="A49" s="1280">
        <f t="shared" si="0"/>
        <v>34</v>
      </c>
      <c r="B49" s="1352" t="str">
        <f t="shared" si="4"/>
        <v>2019W Increased ROE</v>
      </c>
      <c r="C49" s="1353" t="str">
        <f t="shared" si="6"/>
        <v>W Increased ROE</v>
      </c>
      <c r="D49" s="1365">
        <f t="shared" si="7"/>
        <v>2019</v>
      </c>
      <c r="E49" s="1355">
        <f t="shared" si="8"/>
        <v>0</v>
      </c>
      <c r="F49" s="1309">
        <f t="shared" si="5"/>
        <v>0</v>
      </c>
      <c r="G49" s="1336">
        <f>+E49*E$25+F49</f>
        <v>0</v>
      </c>
      <c r="H49" s="1355">
        <f>H48</f>
        <v>1386203296.6665728</v>
      </c>
      <c r="I49" s="1367">
        <f t="shared" si="9"/>
        <v>27215321.251860615</v>
      </c>
      <c r="J49" s="1336">
        <f>+H49*H$25+I49</f>
        <v>155401492.78125837</v>
      </c>
      <c r="K49" s="1355">
        <f t="shared" si="1"/>
        <v>0</v>
      </c>
      <c r="L49" s="1367">
        <f t="shared" si="2"/>
        <v>0</v>
      </c>
      <c r="M49" s="1336">
        <f>+K49*K$25+L49</f>
        <v>0</v>
      </c>
      <c r="N49" s="1355">
        <v>0</v>
      </c>
      <c r="O49" s="1367">
        <f t="shared" si="10"/>
        <v>0</v>
      </c>
      <c r="P49" s="1336">
        <f>+N49*N$25+O49</f>
        <v>0</v>
      </c>
      <c r="Q49" s="1358">
        <f t="shared" si="3"/>
        <v>155401492.78125837</v>
      </c>
      <c r="R49" s="1362">
        <f>+Q49</f>
        <v>155401492.78125837</v>
      </c>
      <c r="S49" s="1363"/>
      <c r="T49" s="1364">
        <f>R49-S48</f>
        <v>3623760.6623737514</v>
      </c>
    </row>
    <row r="50" spans="1:20">
      <c r="A50" s="1280">
        <f t="shared" si="0"/>
        <v>35</v>
      </c>
      <c r="B50" s="1352" t="str">
        <f t="shared" si="4"/>
        <v>2020W  9.8 % ROE</v>
      </c>
      <c r="C50" s="1353" t="str">
        <f t="shared" si="6"/>
        <v>W  9.8 % ROE</v>
      </c>
      <c r="D50" s="1365">
        <f t="shared" si="7"/>
        <v>2020</v>
      </c>
      <c r="E50" s="1355">
        <f t="shared" si="8"/>
        <v>0</v>
      </c>
      <c r="F50" s="1309">
        <f t="shared" si="5"/>
        <v>0</v>
      </c>
      <c r="G50" s="1336">
        <f>+E50*E$24+F50</f>
        <v>0</v>
      </c>
      <c r="H50" s="1356">
        <f>'Gateway PIS Monthly'!M154</f>
        <v>1359100771.3022118</v>
      </c>
      <c r="I50" s="1368">
        <f>SUM('Gateway PIS Monthly'!J143:J154)</f>
        <v>27217345.312413771</v>
      </c>
      <c r="J50" s="1336">
        <f>+H50*H$24+I50</f>
        <v>149344358.78275889</v>
      </c>
      <c r="K50" s="1355">
        <f t="shared" si="1"/>
        <v>0</v>
      </c>
      <c r="L50" s="1367">
        <f t="shared" si="2"/>
        <v>0</v>
      </c>
      <c r="M50" s="1336">
        <f>+K50*K$24+L50</f>
        <v>0</v>
      </c>
      <c r="N50" s="1355">
        <v>0</v>
      </c>
      <c r="O50" s="1367">
        <f t="shared" si="10"/>
        <v>0</v>
      </c>
      <c r="P50" s="1336">
        <f>+N50*N$24+O50</f>
        <v>0</v>
      </c>
      <c r="Q50" s="1358">
        <f t="shared" si="3"/>
        <v>149344358.78275889</v>
      </c>
      <c r="R50" s="1299"/>
      <c r="S50" s="1359">
        <f>+Q50</f>
        <v>149344358.78275889</v>
      </c>
      <c r="T50" s="1353"/>
    </row>
    <row r="51" spans="1:20">
      <c r="A51" s="1280">
        <f t="shared" si="0"/>
        <v>36</v>
      </c>
      <c r="B51" s="1352" t="str">
        <f t="shared" si="4"/>
        <v>2020W Increased ROE</v>
      </c>
      <c r="C51" s="1353" t="str">
        <f t="shared" si="6"/>
        <v>W Increased ROE</v>
      </c>
      <c r="D51" s="1365">
        <f t="shared" si="7"/>
        <v>2020</v>
      </c>
      <c r="E51" s="1355">
        <f t="shared" si="8"/>
        <v>0</v>
      </c>
      <c r="F51" s="1309">
        <f t="shared" si="5"/>
        <v>0</v>
      </c>
      <c r="G51" s="1336">
        <f>+E51*E$25+F51</f>
        <v>0</v>
      </c>
      <c r="H51" s="1355">
        <f>H50</f>
        <v>1359100771.3022118</v>
      </c>
      <c r="I51" s="1367">
        <f t="shared" si="9"/>
        <v>27217345.312413771</v>
      </c>
      <c r="J51" s="1336">
        <f>+H51*H$25+I51</f>
        <v>152897269.03992689</v>
      </c>
      <c r="K51" s="1355">
        <f t="shared" si="1"/>
        <v>0</v>
      </c>
      <c r="L51" s="1367">
        <f t="shared" si="2"/>
        <v>0</v>
      </c>
      <c r="M51" s="1336">
        <f>+K51*K$25+L51</f>
        <v>0</v>
      </c>
      <c r="N51" s="1355">
        <v>0</v>
      </c>
      <c r="O51" s="1367">
        <f t="shared" si="10"/>
        <v>0</v>
      </c>
      <c r="P51" s="1336">
        <f>+N51*N$25+O51</f>
        <v>0</v>
      </c>
      <c r="Q51" s="1358">
        <f t="shared" si="3"/>
        <v>152897269.03992689</v>
      </c>
      <c r="R51" s="1362">
        <f>+Q51</f>
        <v>152897269.03992689</v>
      </c>
      <c r="S51" s="1363"/>
      <c r="T51" s="1364">
        <f>R51-S50</f>
        <v>3552910.257167995</v>
      </c>
    </row>
    <row r="52" spans="1:20">
      <c r="A52" s="1280">
        <f t="shared" si="0"/>
        <v>37</v>
      </c>
      <c r="B52" s="1352" t="str">
        <f t="shared" si="4"/>
        <v>2021W  9.8 % ROE</v>
      </c>
      <c r="C52" s="1353" t="str">
        <f t="shared" si="6"/>
        <v>W  9.8 % ROE</v>
      </c>
      <c r="D52" s="1365">
        <f t="shared" si="7"/>
        <v>2021</v>
      </c>
      <c r="E52" s="1355">
        <f t="shared" si="8"/>
        <v>0</v>
      </c>
      <c r="F52" s="1309">
        <f t="shared" si="5"/>
        <v>0</v>
      </c>
      <c r="G52" s="1336">
        <f>+E52*E$24+F52</f>
        <v>0</v>
      </c>
      <c r="H52" s="1355">
        <v>0</v>
      </c>
      <c r="I52" s="1367">
        <v>0</v>
      </c>
      <c r="J52" s="1336">
        <f>+H52*H$24+I52</f>
        <v>0</v>
      </c>
      <c r="K52" s="1355">
        <f t="shared" si="1"/>
        <v>0</v>
      </c>
      <c r="L52" s="1367">
        <f t="shared" si="2"/>
        <v>0</v>
      </c>
      <c r="M52" s="1336">
        <f>+K52*K$24+L52</f>
        <v>0</v>
      </c>
      <c r="N52" s="1355">
        <v>0</v>
      </c>
      <c r="O52" s="1367">
        <f t="shared" si="10"/>
        <v>0</v>
      </c>
      <c r="P52" s="1336">
        <f>+N52*N$24+O52</f>
        <v>0</v>
      </c>
      <c r="Q52" s="1358">
        <f t="shared" si="3"/>
        <v>0</v>
      </c>
      <c r="R52" s="1299"/>
      <c r="S52" s="1359">
        <f>+Q52</f>
        <v>0</v>
      </c>
      <c r="T52" s="1353"/>
    </row>
    <row r="53" spans="1:20">
      <c r="A53" s="1280">
        <f t="shared" si="0"/>
        <v>38</v>
      </c>
      <c r="B53" s="1352" t="str">
        <f t="shared" si="4"/>
        <v>2021W Increased ROE</v>
      </c>
      <c r="C53" s="1353" t="str">
        <f t="shared" si="6"/>
        <v>W Increased ROE</v>
      </c>
      <c r="D53" s="1365">
        <f t="shared" si="7"/>
        <v>2021</v>
      </c>
      <c r="E53" s="1355">
        <f t="shared" si="8"/>
        <v>0</v>
      </c>
      <c r="F53" s="1309">
        <f t="shared" si="5"/>
        <v>0</v>
      </c>
      <c r="G53" s="1336">
        <f>+E53*E$25+F53</f>
        <v>0</v>
      </c>
      <c r="H53" s="1355">
        <f>H52</f>
        <v>0</v>
      </c>
      <c r="I53" s="1367">
        <f t="shared" si="9"/>
        <v>0</v>
      </c>
      <c r="J53" s="1336">
        <f>+H53*H$25+I53</f>
        <v>0</v>
      </c>
      <c r="K53" s="1355">
        <f t="shared" si="1"/>
        <v>0</v>
      </c>
      <c r="L53" s="1367">
        <f t="shared" si="2"/>
        <v>0</v>
      </c>
      <c r="M53" s="1336">
        <f>+K53*K$25+L53</f>
        <v>0</v>
      </c>
      <c r="N53" s="1355">
        <v>0</v>
      </c>
      <c r="O53" s="1367">
        <f t="shared" si="10"/>
        <v>0</v>
      </c>
      <c r="P53" s="1336">
        <f>+N53*N$25+O53</f>
        <v>0</v>
      </c>
      <c r="Q53" s="1358">
        <f t="shared" si="3"/>
        <v>0</v>
      </c>
      <c r="R53" s="1362">
        <f>+Q53</f>
        <v>0</v>
      </c>
      <c r="S53" s="1363"/>
      <c r="T53" s="1364">
        <f>R53-S52</f>
        <v>0</v>
      </c>
    </row>
    <row r="54" spans="1:20">
      <c r="A54" s="1280">
        <f t="shared" si="0"/>
        <v>39</v>
      </c>
      <c r="B54" s="1352" t="str">
        <f t="shared" si="4"/>
        <v>2022W  9.8 % ROE</v>
      </c>
      <c r="C54" s="1353" t="str">
        <f t="shared" si="6"/>
        <v>W  9.8 % ROE</v>
      </c>
      <c r="D54" s="1365">
        <f t="shared" si="7"/>
        <v>2022</v>
      </c>
      <c r="E54" s="1355">
        <f t="shared" si="8"/>
        <v>0</v>
      </c>
      <c r="F54" s="1309">
        <f t="shared" si="5"/>
        <v>0</v>
      </c>
      <c r="G54" s="1336">
        <f>+E54*E$24+F54</f>
        <v>0</v>
      </c>
      <c r="H54" s="1355">
        <f>H53-(I53*0.5)</f>
        <v>0</v>
      </c>
      <c r="I54" s="1367">
        <f t="shared" si="9"/>
        <v>0</v>
      </c>
      <c r="J54" s="1336">
        <f>+H54*H$24+I54</f>
        <v>0</v>
      </c>
      <c r="K54" s="1355">
        <f t="shared" si="1"/>
        <v>0</v>
      </c>
      <c r="L54" s="1367">
        <f t="shared" si="2"/>
        <v>0</v>
      </c>
      <c r="M54" s="1336">
        <f>+K54*K$24+L54</f>
        <v>0</v>
      </c>
      <c r="N54" s="1355">
        <v>0</v>
      </c>
      <c r="O54" s="1367">
        <f t="shared" si="10"/>
        <v>0</v>
      </c>
      <c r="P54" s="1336">
        <f>+N54*N$24+O54</f>
        <v>0</v>
      </c>
      <c r="Q54" s="1358">
        <f t="shared" si="3"/>
        <v>0</v>
      </c>
      <c r="R54" s="1299"/>
      <c r="S54" s="1359">
        <f>+Q54</f>
        <v>0</v>
      </c>
      <c r="T54" s="1353"/>
    </row>
    <row r="55" spans="1:20">
      <c r="A55" s="1280">
        <f t="shared" si="0"/>
        <v>40</v>
      </c>
      <c r="B55" s="1352" t="str">
        <f t="shared" si="4"/>
        <v>2022W Increased ROE</v>
      </c>
      <c r="C55" s="1353" t="str">
        <f t="shared" si="6"/>
        <v>W Increased ROE</v>
      </c>
      <c r="D55" s="1365">
        <f t="shared" si="7"/>
        <v>2022</v>
      </c>
      <c r="E55" s="1355">
        <f t="shared" si="8"/>
        <v>0</v>
      </c>
      <c r="F55" s="1309">
        <f t="shared" si="5"/>
        <v>0</v>
      </c>
      <c r="G55" s="1336">
        <f>+E55*E$25+F55</f>
        <v>0</v>
      </c>
      <c r="H55" s="1355">
        <f>H54</f>
        <v>0</v>
      </c>
      <c r="I55" s="1367">
        <f t="shared" si="9"/>
        <v>0</v>
      </c>
      <c r="J55" s="1336">
        <f>+H55*H$25+I55</f>
        <v>0</v>
      </c>
      <c r="K55" s="1355">
        <f t="shared" si="1"/>
        <v>0</v>
      </c>
      <c r="L55" s="1367">
        <f t="shared" si="2"/>
        <v>0</v>
      </c>
      <c r="M55" s="1336">
        <f>+K55*K$25+L55</f>
        <v>0</v>
      </c>
      <c r="N55" s="1355">
        <v>0</v>
      </c>
      <c r="O55" s="1367">
        <f t="shared" si="10"/>
        <v>0</v>
      </c>
      <c r="P55" s="1336">
        <f>+N55*N$25+O55</f>
        <v>0</v>
      </c>
      <c r="Q55" s="1358">
        <f t="shared" si="3"/>
        <v>0</v>
      </c>
      <c r="R55" s="1362">
        <f>+Q55</f>
        <v>0</v>
      </c>
      <c r="S55" s="1363"/>
      <c r="T55" s="1364">
        <f>R55-S54</f>
        <v>0</v>
      </c>
    </row>
    <row r="56" spans="1:20">
      <c r="A56" s="1280">
        <f t="shared" si="0"/>
        <v>41</v>
      </c>
      <c r="B56" s="1352" t="str">
        <f t="shared" si="4"/>
        <v>2023W  9.8 % ROE</v>
      </c>
      <c r="C56" s="1353" t="str">
        <f t="shared" si="6"/>
        <v>W  9.8 % ROE</v>
      </c>
      <c r="D56" s="1365">
        <f t="shared" si="7"/>
        <v>2023</v>
      </c>
      <c r="E56" s="1355">
        <f t="shared" si="8"/>
        <v>0</v>
      </c>
      <c r="F56" s="1309">
        <f t="shared" si="5"/>
        <v>0</v>
      </c>
      <c r="G56" s="1336">
        <f>+E56*E$24+F56</f>
        <v>0</v>
      </c>
      <c r="H56" s="1355">
        <f>H55-(I55*0.5)</f>
        <v>0</v>
      </c>
      <c r="I56" s="1367">
        <f t="shared" si="9"/>
        <v>0</v>
      </c>
      <c r="J56" s="1336">
        <f>+H56*H$24+I56</f>
        <v>0</v>
      </c>
      <c r="K56" s="1355">
        <f t="shared" si="1"/>
        <v>0</v>
      </c>
      <c r="L56" s="1367">
        <f t="shared" si="2"/>
        <v>0</v>
      </c>
      <c r="M56" s="1336">
        <f>+K56*K$24+L56</f>
        <v>0</v>
      </c>
      <c r="N56" s="1355">
        <v>0</v>
      </c>
      <c r="O56" s="1367">
        <f t="shared" si="10"/>
        <v>0</v>
      </c>
      <c r="P56" s="1336">
        <f>+N56*N$24+O56</f>
        <v>0</v>
      </c>
      <c r="Q56" s="1358">
        <f t="shared" si="3"/>
        <v>0</v>
      </c>
      <c r="R56" s="1299"/>
      <c r="S56" s="1359">
        <f>+Q56</f>
        <v>0</v>
      </c>
      <c r="T56" s="1353"/>
    </row>
    <row r="57" spans="1:20">
      <c r="A57" s="1280">
        <f t="shared" si="0"/>
        <v>42</v>
      </c>
      <c r="B57" s="1352" t="str">
        <f t="shared" si="4"/>
        <v>2023W Increased ROE</v>
      </c>
      <c r="C57" s="1353" t="str">
        <f t="shared" si="6"/>
        <v>W Increased ROE</v>
      </c>
      <c r="D57" s="1365">
        <f t="shared" si="7"/>
        <v>2023</v>
      </c>
      <c r="E57" s="1355">
        <f t="shared" si="8"/>
        <v>0</v>
      </c>
      <c r="F57" s="1309">
        <f t="shared" si="5"/>
        <v>0</v>
      </c>
      <c r="G57" s="1336">
        <f>+E57*E$25+F57</f>
        <v>0</v>
      </c>
      <c r="H57" s="1355">
        <f>H56</f>
        <v>0</v>
      </c>
      <c r="I57" s="1367">
        <f t="shared" si="9"/>
        <v>0</v>
      </c>
      <c r="J57" s="1336">
        <f>+H57*H$25+I57</f>
        <v>0</v>
      </c>
      <c r="K57" s="1355">
        <f t="shared" si="1"/>
        <v>0</v>
      </c>
      <c r="L57" s="1367">
        <f t="shared" si="2"/>
        <v>0</v>
      </c>
      <c r="M57" s="1336">
        <f>+K57*K$25+L57</f>
        <v>0</v>
      </c>
      <c r="N57" s="1355">
        <v>0</v>
      </c>
      <c r="O57" s="1367">
        <f t="shared" si="10"/>
        <v>0</v>
      </c>
      <c r="P57" s="1336">
        <f>+N57*N$25+O57</f>
        <v>0</v>
      </c>
      <c r="Q57" s="1358">
        <f t="shared" si="3"/>
        <v>0</v>
      </c>
      <c r="R57" s="1362">
        <f>+Q57</f>
        <v>0</v>
      </c>
      <c r="S57" s="1363"/>
      <c r="T57" s="1364">
        <f>R57-S56</f>
        <v>0</v>
      </c>
    </row>
    <row r="58" spans="1:20">
      <c r="A58" s="1280">
        <f t="shared" si="0"/>
        <v>43</v>
      </c>
      <c r="B58" s="1352" t="str">
        <f t="shared" si="4"/>
        <v>2024W  9.8 % ROE</v>
      </c>
      <c r="C58" s="1353" t="str">
        <f t="shared" si="6"/>
        <v>W  9.8 % ROE</v>
      </c>
      <c r="D58" s="1365">
        <f t="shared" si="7"/>
        <v>2024</v>
      </c>
      <c r="E58" s="1355">
        <f t="shared" si="8"/>
        <v>0</v>
      </c>
      <c r="F58" s="1309">
        <f t="shared" si="5"/>
        <v>0</v>
      </c>
      <c r="G58" s="1336">
        <f>+E58*E$24+F58</f>
        <v>0</v>
      </c>
      <c r="H58" s="1355">
        <f>H57-(I57*0.5)</f>
        <v>0</v>
      </c>
      <c r="I58" s="1367">
        <f t="shared" si="9"/>
        <v>0</v>
      </c>
      <c r="J58" s="1336">
        <f>+H58*H$24+I58</f>
        <v>0</v>
      </c>
      <c r="K58" s="1355">
        <f t="shared" si="1"/>
        <v>0</v>
      </c>
      <c r="L58" s="1367">
        <f t="shared" si="2"/>
        <v>0</v>
      </c>
      <c r="M58" s="1336">
        <f>+K58*K$24+L58</f>
        <v>0</v>
      </c>
      <c r="N58" s="1355">
        <v>0</v>
      </c>
      <c r="O58" s="1367">
        <f t="shared" si="10"/>
        <v>0</v>
      </c>
      <c r="P58" s="1336">
        <f>+N58*N$24+O58</f>
        <v>0</v>
      </c>
      <c r="Q58" s="1358">
        <f t="shared" si="3"/>
        <v>0</v>
      </c>
      <c r="R58" s="1299"/>
      <c r="S58" s="1359">
        <f>+Q58</f>
        <v>0</v>
      </c>
      <c r="T58" s="1353"/>
    </row>
    <row r="59" spans="1:20">
      <c r="A59" s="1280">
        <f t="shared" si="0"/>
        <v>44</v>
      </c>
      <c r="B59" s="1352" t="str">
        <f t="shared" si="4"/>
        <v>2024W Increased ROE</v>
      </c>
      <c r="C59" s="1353" t="str">
        <f t="shared" si="6"/>
        <v>W Increased ROE</v>
      </c>
      <c r="D59" s="1365">
        <f t="shared" si="7"/>
        <v>2024</v>
      </c>
      <c r="E59" s="1355">
        <f t="shared" si="8"/>
        <v>0</v>
      </c>
      <c r="F59" s="1309">
        <f t="shared" si="5"/>
        <v>0</v>
      </c>
      <c r="G59" s="1336">
        <f>+E59*E$25+F59</f>
        <v>0</v>
      </c>
      <c r="H59" s="1355">
        <f>H58</f>
        <v>0</v>
      </c>
      <c r="I59" s="1367">
        <f t="shared" si="9"/>
        <v>0</v>
      </c>
      <c r="J59" s="1336">
        <f>+H59*H$25+I59</f>
        <v>0</v>
      </c>
      <c r="K59" s="1355">
        <f t="shared" si="1"/>
        <v>0</v>
      </c>
      <c r="L59" s="1367">
        <f t="shared" si="2"/>
        <v>0</v>
      </c>
      <c r="M59" s="1336">
        <f>+K59*K$25+L59</f>
        <v>0</v>
      </c>
      <c r="N59" s="1355">
        <v>0</v>
      </c>
      <c r="O59" s="1367">
        <f t="shared" si="10"/>
        <v>0</v>
      </c>
      <c r="P59" s="1336">
        <f>+N59*N$25+O59</f>
        <v>0</v>
      </c>
      <c r="Q59" s="1358">
        <f t="shared" si="3"/>
        <v>0</v>
      </c>
      <c r="R59" s="1362">
        <f>+Q59</f>
        <v>0</v>
      </c>
      <c r="S59" s="1363"/>
      <c r="T59" s="1364">
        <f>R59-S58</f>
        <v>0</v>
      </c>
    </row>
    <row r="60" spans="1:20">
      <c r="A60" s="1280">
        <f t="shared" si="0"/>
        <v>45</v>
      </c>
      <c r="B60" s="1352" t="str">
        <f t="shared" si="4"/>
        <v>2025W  9.8 % ROE</v>
      </c>
      <c r="C60" s="1353" t="str">
        <f t="shared" si="6"/>
        <v>W  9.8 % ROE</v>
      </c>
      <c r="D60" s="1365">
        <f t="shared" si="7"/>
        <v>2025</v>
      </c>
      <c r="E60" s="1355">
        <f t="shared" si="8"/>
        <v>0</v>
      </c>
      <c r="F60" s="1309">
        <f t="shared" si="5"/>
        <v>0</v>
      </c>
      <c r="G60" s="1336">
        <f>+E60*E$24+F60</f>
        <v>0</v>
      </c>
      <c r="H60" s="1355">
        <f>H59-(I59*0.5)</f>
        <v>0</v>
      </c>
      <c r="I60" s="1367">
        <f t="shared" si="9"/>
        <v>0</v>
      </c>
      <c r="J60" s="1336">
        <f>+H60*H$24+I60</f>
        <v>0</v>
      </c>
      <c r="K60" s="1355">
        <f t="shared" si="1"/>
        <v>0</v>
      </c>
      <c r="L60" s="1367">
        <f t="shared" si="2"/>
        <v>0</v>
      </c>
      <c r="M60" s="1336">
        <f>+K60*K$24+L60</f>
        <v>0</v>
      </c>
      <c r="N60" s="1355">
        <v>0</v>
      </c>
      <c r="O60" s="1367">
        <f t="shared" si="10"/>
        <v>0</v>
      </c>
      <c r="P60" s="1336">
        <f>+N60*N$24+O60</f>
        <v>0</v>
      </c>
      <c r="Q60" s="1358">
        <f t="shared" si="3"/>
        <v>0</v>
      </c>
      <c r="R60" s="1299"/>
      <c r="S60" s="1359">
        <f>+Q60</f>
        <v>0</v>
      </c>
      <c r="T60" s="1353"/>
    </row>
    <row r="61" spans="1:20">
      <c r="A61" s="1280">
        <f t="shared" si="0"/>
        <v>46</v>
      </c>
      <c r="B61" s="1352" t="str">
        <f t="shared" si="4"/>
        <v>2025W Increased ROE</v>
      </c>
      <c r="C61" s="1353" t="str">
        <f t="shared" si="6"/>
        <v>W Increased ROE</v>
      </c>
      <c r="D61" s="1365">
        <f t="shared" si="7"/>
        <v>2025</v>
      </c>
      <c r="E61" s="1355">
        <f t="shared" si="8"/>
        <v>0</v>
      </c>
      <c r="F61" s="1309">
        <f t="shared" si="5"/>
        <v>0</v>
      </c>
      <c r="G61" s="1336">
        <f>+E61*E$25+F61</f>
        <v>0</v>
      </c>
      <c r="H61" s="1355">
        <f>H60</f>
        <v>0</v>
      </c>
      <c r="I61" s="1367">
        <f t="shared" si="9"/>
        <v>0</v>
      </c>
      <c r="J61" s="1336">
        <f>+H61*H$25+I61</f>
        <v>0</v>
      </c>
      <c r="K61" s="1355">
        <f t="shared" si="1"/>
        <v>0</v>
      </c>
      <c r="L61" s="1367">
        <f t="shared" si="2"/>
        <v>0</v>
      </c>
      <c r="M61" s="1336">
        <f>+K61*K$25+L61</f>
        <v>0</v>
      </c>
      <c r="N61" s="1355">
        <v>0</v>
      </c>
      <c r="O61" s="1367">
        <f t="shared" si="10"/>
        <v>0</v>
      </c>
      <c r="P61" s="1336">
        <f>+N61*N$25+O61</f>
        <v>0</v>
      </c>
      <c r="Q61" s="1358">
        <f t="shared" si="3"/>
        <v>0</v>
      </c>
      <c r="R61" s="1362">
        <f>+Q61</f>
        <v>0</v>
      </c>
      <c r="S61" s="1363"/>
      <c r="T61" s="1364">
        <f>R61-S60</f>
        <v>0</v>
      </c>
    </row>
    <row r="62" spans="1:20">
      <c r="A62" s="1280">
        <f t="shared" si="0"/>
        <v>47</v>
      </c>
      <c r="B62" s="1352" t="str">
        <f t="shared" si="4"/>
        <v>2026W  9.8 % ROE</v>
      </c>
      <c r="C62" s="1353" t="str">
        <f t="shared" si="6"/>
        <v>W  9.8 % ROE</v>
      </c>
      <c r="D62" s="1365">
        <f t="shared" si="7"/>
        <v>2026</v>
      </c>
      <c r="E62" s="1355">
        <f t="shared" si="8"/>
        <v>0</v>
      </c>
      <c r="F62" s="1309">
        <f t="shared" si="5"/>
        <v>0</v>
      </c>
      <c r="G62" s="1336">
        <f>+E62*E$24+F62</f>
        <v>0</v>
      </c>
      <c r="H62" s="1355">
        <f>H61-(I61*0.5)</f>
        <v>0</v>
      </c>
      <c r="I62" s="1367">
        <f t="shared" si="9"/>
        <v>0</v>
      </c>
      <c r="J62" s="1336">
        <f>+H62*H$24+I62</f>
        <v>0</v>
      </c>
      <c r="K62" s="1355">
        <f t="shared" si="1"/>
        <v>0</v>
      </c>
      <c r="L62" s="1367">
        <f t="shared" si="2"/>
        <v>0</v>
      </c>
      <c r="M62" s="1336">
        <f>+K62*K$24+L62</f>
        <v>0</v>
      </c>
      <c r="N62" s="1355">
        <v>0</v>
      </c>
      <c r="O62" s="1367">
        <f t="shared" si="10"/>
        <v>0</v>
      </c>
      <c r="P62" s="1336">
        <f>+N62*N$24+O62</f>
        <v>0</v>
      </c>
      <c r="Q62" s="1358">
        <f t="shared" si="3"/>
        <v>0</v>
      </c>
      <c r="R62" s="1299"/>
      <c r="S62" s="1359">
        <f>+Q62</f>
        <v>0</v>
      </c>
      <c r="T62" s="1353"/>
    </row>
    <row r="63" spans="1:20">
      <c r="A63" s="1280">
        <f t="shared" si="0"/>
        <v>48</v>
      </c>
      <c r="B63" s="1352" t="str">
        <f t="shared" si="4"/>
        <v>2026W Increased ROE</v>
      </c>
      <c r="C63" s="1353" t="str">
        <f t="shared" si="6"/>
        <v>W Increased ROE</v>
      </c>
      <c r="D63" s="1365">
        <f t="shared" si="7"/>
        <v>2026</v>
      </c>
      <c r="E63" s="1355">
        <f t="shared" si="8"/>
        <v>0</v>
      </c>
      <c r="F63" s="1309">
        <f t="shared" si="5"/>
        <v>0</v>
      </c>
      <c r="G63" s="1336">
        <f>+E63*E$25+F63</f>
        <v>0</v>
      </c>
      <c r="H63" s="1355">
        <f>H62</f>
        <v>0</v>
      </c>
      <c r="I63" s="1367">
        <f t="shared" si="9"/>
        <v>0</v>
      </c>
      <c r="J63" s="1336">
        <f>+H63*H$25+I63</f>
        <v>0</v>
      </c>
      <c r="K63" s="1355">
        <f t="shared" si="1"/>
        <v>0</v>
      </c>
      <c r="L63" s="1367">
        <f t="shared" si="2"/>
        <v>0</v>
      </c>
      <c r="M63" s="1336">
        <f>+K63*K$25+L63</f>
        <v>0</v>
      </c>
      <c r="N63" s="1355">
        <v>0</v>
      </c>
      <c r="O63" s="1367">
        <f t="shared" si="10"/>
        <v>0</v>
      </c>
      <c r="P63" s="1336">
        <f>+N63*N$25+O63</f>
        <v>0</v>
      </c>
      <c r="Q63" s="1358">
        <f t="shared" si="3"/>
        <v>0</v>
      </c>
      <c r="R63" s="1362">
        <f>+Q63</f>
        <v>0</v>
      </c>
      <c r="S63" s="1363"/>
      <c r="T63" s="1364">
        <f>R63-S62</f>
        <v>0</v>
      </c>
    </row>
    <row r="64" spans="1:20">
      <c r="A64" s="1280">
        <f t="shared" si="0"/>
        <v>49</v>
      </c>
      <c r="B64" s="1352" t="str">
        <f t="shared" si="4"/>
        <v>2027W  9.8 % ROE</v>
      </c>
      <c r="C64" s="1353" t="str">
        <f t="shared" si="6"/>
        <v>W  9.8 % ROE</v>
      </c>
      <c r="D64" s="1365">
        <f t="shared" si="7"/>
        <v>2027</v>
      </c>
      <c r="E64" s="1355">
        <f t="shared" si="8"/>
        <v>0</v>
      </c>
      <c r="F64" s="1309">
        <f t="shared" si="5"/>
        <v>0</v>
      </c>
      <c r="G64" s="1336">
        <f>+E64*E$24+F64</f>
        <v>0</v>
      </c>
      <c r="H64" s="1355">
        <f>H63-(I63*0.5)</f>
        <v>0</v>
      </c>
      <c r="I64" s="1367">
        <f t="shared" si="9"/>
        <v>0</v>
      </c>
      <c r="J64" s="1336">
        <f>+H64*H$24+I64</f>
        <v>0</v>
      </c>
      <c r="K64" s="1355">
        <f t="shared" si="1"/>
        <v>0</v>
      </c>
      <c r="L64" s="1367">
        <f t="shared" si="2"/>
        <v>0</v>
      </c>
      <c r="M64" s="1336">
        <f>+K64*K$24+L64</f>
        <v>0</v>
      </c>
      <c r="N64" s="1355">
        <v>0</v>
      </c>
      <c r="O64" s="1367">
        <f t="shared" si="10"/>
        <v>0</v>
      </c>
      <c r="P64" s="1336">
        <f>+N64*N$24+O64</f>
        <v>0</v>
      </c>
      <c r="Q64" s="1358">
        <f t="shared" si="3"/>
        <v>0</v>
      </c>
      <c r="R64" s="1299"/>
      <c r="S64" s="1359">
        <f>+Q64</f>
        <v>0</v>
      </c>
      <c r="T64" s="1353"/>
    </row>
    <row r="65" spans="1:20">
      <c r="A65" s="1280">
        <f t="shared" si="0"/>
        <v>50</v>
      </c>
      <c r="B65" s="1352" t="str">
        <f t="shared" si="4"/>
        <v>2027W Increased ROE</v>
      </c>
      <c r="C65" s="1353" t="str">
        <f t="shared" si="6"/>
        <v>W Increased ROE</v>
      </c>
      <c r="D65" s="1365">
        <f t="shared" si="7"/>
        <v>2027</v>
      </c>
      <c r="E65" s="1355">
        <f t="shared" si="8"/>
        <v>0</v>
      </c>
      <c r="F65" s="1309">
        <f t="shared" si="5"/>
        <v>0</v>
      </c>
      <c r="G65" s="1336">
        <f>+E65*E$25+F65</f>
        <v>0</v>
      </c>
      <c r="H65" s="1355">
        <f>H64</f>
        <v>0</v>
      </c>
      <c r="I65" s="1367">
        <f t="shared" si="9"/>
        <v>0</v>
      </c>
      <c r="J65" s="1336">
        <f>+H65*H$25+I65</f>
        <v>0</v>
      </c>
      <c r="K65" s="1355">
        <f t="shared" si="1"/>
        <v>0</v>
      </c>
      <c r="L65" s="1367">
        <f t="shared" si="2"/>
        <v>0</v>
      </c>
      <c r="M65" s="1336">
        <f>+K65*K$25+L65</f>
        <v>0</v>
      </c>
      <c r="N65" s="1355">
        <v>0</v>
      </c>
      <c r="O65" s="1367">
        <f t="shared" si="10"/>
        <v>0</v>
      </c>
      <c r="P65" s="1336">
        <f>+N65*N$25+O65</f>
        <v>0</v>
      </c>
      <c r="Q65" s="1358">
        <f t="shared" si="3"/>
        <v>0</v>
      </c>
      <c r="R65" s="1362">
        <f>+Q65</f>
        <v>0</v>
      </c>
      <c r="S65" s="1363"/>
      <c r="T65" s="1364">
        <f>R65-S64</f>
        <v>0</v>
      </c>
    </row>
    <row r="66" spans="1:20">
      <c r="A66" s="1280">
        <f t="shared" si="0"/>
        <v>51</v>
      </c>
      <c r="B66" s="1352" t="str">
        <f t="shared" si="4"/>
        <v>2028W  9.8 % ROE</v>
      </c>
      <c r="C66" s="1353" t="str">
        <f t="shared" si="6"/>
        <v>W  9.8 % ROE</v>
      </c>
      <c r="D66" s="1365">
        <f t="shared" si="7"/>
        <v>2028</v>
      </c>
      <c r="E66" s="1355">
        <f t="shared" si="8"/>
        <v>0</v>
      </c>
      <c r="F66" s="1309">
        <f t="shared" si="5"/>
        <v>0</v>
      </c>
      <c r="G66" s="1336">
        <f>+E66*E$24+F66</f>
        <v>0</v>
      </c>
      <c r="H66" s="1355">
        <f>H65-(I65*0.5)</f>
        <v>0</v>
      </c>
      <c r="I66" s="1367">
        <f t="shared" si="9"/>
        <v>0</v>
      </c>
      <c r="J66" s="1336">
        <f>+H66*H$24+I66</f>
        <v>0</v>
      </c>
      <c r="K66" s="1355">
        <f t="shared" si="1"/>
        <v>0</v>
      </c>
      <c r="L66" s="1367">
        <f t="shared" si="2"/>
        <v>0</v>
      </c>
      <c r="M66" s="1336">
        <f>+K66*K$24+L66</f>
        <v>0</v>
      </c>
      <c r="N66" s="1355">
        <v>0</v>
      </c>
      <c r="O66" s="1367">
        <f t="shared" si="10"/>
        <v>0</v>
      </c>
      <c r="P66" s="1336">
        <f>+N66*N$24+O66</f>
        <v>0</v>
      </c>
      <c r="Q66" s="1358">
        <f t="shared" si="3"/>
        <v>0</v>
      </c>
      <c r="R66" s="1299"/>
      <c r="S66" s="1359">
        <f>+Q66</f>
        <v>0</v>
      </c>
      <c r="T66" s="1353"/>
    </row>
    <row r="67" spans="1:20">
      <c r="A67" s="1280">
        <f t="shared" si="0"/>
        <v>52</v>
      </c>
      <c r="B67" s="1352" t="str">
        <f t="shared" si="4"/>
        <v>2028W Increased ROE</v>
      </c>
      <c r="C67" s="1353" t="str">
        <f t="shared" si="6"/>
        <v>W Increased ROE</v>
      </c>
      <c r="D67" s="1365">
        <f t="shared" si="7"/>
        <v>2028</v>
      </c>
      <c r="E67" s="1355">
        <f t="shared" si="8"/>
        <v>0</v>
      </c>
      <c r="F67" s="1309">
        <f t="shared" si="5"/>
        <v>0</v>
      </c>
      <c r="G67" s="1336">
        <f>+E67*E$25+F67</f>
        <v>0</v>
      </c>
      <c r="H67" s="1355">
        <f>H66</f>
        <v>0</v>
      </c>
      <c r="I67" s="1367">
        <f t="shared" si="9"/>
        <v>0</v>
      </c>
      <c r="J67" s="1336">
        <f>+H67*H$25+I67</f>
        <v>0</v>
      </c>
      <c r="K67" s="1355">
        <f t="shared" si="1"/>
        <v>0</v>
      </c>
      <c r="L67" s="1367">
        <f t="shared" si="2"/>
        <v>0</v>
      </c>
      <c r="M67" s="1336">
        <f>+K67*K$25+L67</f>
        <v>0</v>
      </c>
      <c r="N67" s="1355">
        <v>0</v>
      </c>
      <c r="O67" s="1367">
        <f t="shared" si="10"/>
        <v>0</v>
      </c>
      <c r="P67" s="1336">
        <f>+N67*N$25+O67</f>
        <v>0</v>
      </c>
      <c r="Q67" s="1358">
        <f t="shared" si="3"/>
        <v>0</v>
      </c>
      <c r="R67" s="1362">
        <f>+Q67</f>
        <v>0</v>
      </c>
      <c r="S67" s="1363"/>
      <c r="T67" s="1364">
        <f>R67-S66</f>
        <v>0</v>
      </c>
    </row>
    <row r="68" spans="1:20">
      <c r="A68" s="1280">
        <f t="shared" si="0"/>
        <v>53</v>
      </c>
      <c r="B68" s="1352" t="str">
        <f t="shared" si="4"/>
        <v>2029W  9.8 % ROE</v>
      </c>
      <c r="C68" s="1353" t="str">
        <f t="shared" si="6"/>
        <v>W  9.8 % ROE</v>
      </c>
      <c r="D68" s="1365">
        <f t="shared" si="7"/>
        <v>2029</v>
      </c>
      <c r="E68" s="1355">
        <f t="shared" si="8"/>
        <v>0</v>
      </c>
      <c r="F68" s="1309">
        <f t="shared" si="5"/>
        <v>0</v>
      </c>
      <c r="G68" s="1336">
        <f>+E68*E$24+F68</f>
        <v>0</v>
      </c>
      <c r="H68" s="1355">
        <f>H67-(I67*0.5)</f>
        <v>0</v>
      </c>
      <c r="I68" s="1367">
        <f t="shared" si="9"/>
        <v>0</v>
      </c>
      <c r="J68" s="1336">
        <f>+H68*H$24+I68</f>
        <v>0</v>
      </c>
      <c r="K68" s="1355">
        <f t="shared" si="1"/>
        <v>0</v>
      </c>
      <c r="L68" s="1367">
        <f t="shared" si="2"/>
        <v>0</v>
      </c>
      <c r="M68" s="1336">
        <f>+K68*K$24+L68</f>
        <v>0</v>
      </c>
      <c r="N68" s="1355">
        <v>0</v>
      </c>
      <c r="O68" s="1367">
        <f t="shared" si="10"/>
        <v>0</v>
      </c>
      <c r="P68" s="1336">
        <f>+N68*N$24+O68</f>
        <v>0</v>
      </c>
      <c r="Q68" s="1358">
        <f t="shared" si="3"/>
        <v>0</v>
      </c>
      <c r="R68" s="1299"/>
      <c r="S68" s="1359">
        <f>+Q68</f>
        <v>0</v>
      </c>
      <c r="T68" s="1353"/>
    </row>
    <row r="69" spans="1:20">
      <c r="A69" s="1280">
        <f t="shared" si="0"/>
        <v>54</v>
      </c>
      <c r="B69" s="1352" t="str">
        <f t="shared" si="4"/>
        <v>2029W Increased ROE</v>
      </c>
      <c r="C69" s="1353" t="str">
        <f t="shared" si="6"/>
        <v>W Increased ROE</v>
      </c>
      <c r="D69" s="1365">
        <f t="shared" si="7"/>
        <v>2029</v>
      </c>
      <c r="E69" s="1355">
        <f t="shared" si="8"/>
        <v>0</v>
      </c>
      <c r="F69" s="1309">
        <f t="shared" si="5"/>
        <v>0</v>
      </c>
      <c r="G69" s="1336">
        <f>+E69*E$25+F69</f>
        <v>0</v>
      </c>
      <c r="H69" s="1355">
        <f>H68</f>
        <v>0</v>
      </c>
      <c r="I69" s="1367">
        <f t="shared" si="9"/>
        <v>0</v>
      </c>
      <c r="J69" s="1336">
        <f>+H69*H$25+I69</f>
        <v>0</v>
      </c>
      <c r="K69" s="1355">
        <f t="shared" si="1"/>
        <v>0</v>
      </c>
      <c r="L69" s="1367">
        <f t="shared" si="2"/>
        <v>0</v>
      </c>
      <c r="M69" s="1336">
        <f>+K69*K$25+L69</f>
        <v>0</v>
      </c>
      <c r="N69" s="1355">
        <v>0</v>
      </c>
      <c r="O69" s="1367">
        <f t="shared" si="10"/>
        <v>0</v>
      </c>
      <c r="P69" s="1336">
        <f>+N69*N$25+O69</f>
        <v>0</v>
      </c>
      <c r="Q69" s="1358">
        <f t="shared" si="3"/>
        <v>0</v>
      </c>
      <c r="R69" s="1362">
        <f>+Q69</f>
        <v>0</v>
      </c>
      <c r="S69" s="1363"/>
      <c r="T69" s="1364">
        <f>R69-S68</f>
        <v>0</v>
      </c>
    </row>
    <row r="70" spans="1:20">
      <c r="A70" s="1280">
        <f t="shared" si="0"/>
        <v>55</v>
      </c>
      <c r="B70" s="1281"/>
      <c r="C70" s="1353"/>
      <c r="D70" s="1372" t="s">
        <v>1280</v>
      </c>
      <c r="E70" s="1373"/>
      <c r="F70" s="1374"/>
      <c r="G70" s="1374"/>
      <c r="H70" s="1355">
        <v>0</v>
      </c>
      <c r="I70" s="1367">
        <f>+I69</f>
        <v>0</v>
      </c>
      <c r="J70" s="1333"/>
      <c r="K70" s="1355">
        <f t="shared" si="1"/>
        <v>0</v>
      </c>
      <c r="L70" s="1367">
        <f t="shared" si="2"/>
        <v>0</v>
      </c>
      <c r="M70" s="1375" t="s">
        <v>1280</v>
      </c>
      <c r="N70" s="1355">
        <v>0</v>
      </c>
      <c r="O70" s="1367">
        <f t="shared" si="10"/>
        <v>0</v>
      </c>
      <c r="P70" s="1309"/>
      <c r="Q70" s="1358"/>
      <c r="R70" s="1299"/>
      <c r="S70" s="1359">
        <f>+Q70</f>
        <v>0</v>
      </c>
      <c r="T70" s="1353"/>
    </row>
    <row r="71" spans="1:20" ht="15.75" thickBot="1">
      <c r="A71" s="1280">
        <f t="shared" si="0"/>
        <v>56</v>
      </c>
      <c r="B71" s="1281"/>
      <c r="C71" s="1376"/>
      <c r="D71" s="1377" t="s">
        <v>1280</v>
      </c>
      <c r="E71" s="1378"/>
      <c r="F71" s="1379"/>
      <c r="G71" s="1379"/>
      <c r="H71" s="1380">
        <v>0</v>
      </c>
      <c r="I71" s="1379" t="s">
        <v>1281</v>
      </c>
      <c r="J71" s="1381"/>
      <c r="K71" s="1380">
        <v>0</v>
      </c>
      <c r="L71" s="1379" t="s">
        <v>1281</v>
      </c>
      <c r="M71" s="1382" t="s">
        <v>1280</v>
      </c>
      <c r="N71" s="1380">
        <v>0</v>
      </c>
      <c r="O71" s="1379" t="s">
        <v>1281</v>
      </c>
      <c r="P71" s="1381"/>
      <c r="Q71" s="1383"/>
      <c r="R71" s="1384">
        <f>+Q71</f>
        <v>0</v>
      </c>
      <c r="S71" s="1385"/>
      <c r="T71" s="1386">
        <f>R71-S70</f>
        <v>0</v>
      </c>
    </row>
    <row r="72" spans="1:20">
      <c r="A72" s="1280"/>
      <c r="B72" s="1281"/>
      <c r="C72" s="1387"/>
      <c r="D72" s="1388"/>
      <c r="E72" s="1388"/>
      <c r="F72" s="1387"/>
      <c r="G72" s="1387"/>
      <c r="H72" s="1387"/>
      <c r="I72" s="1387"/>
      <c r="J72" s="1387"/>
      <c r="K72" s="1387"/>
      <c r="L72" s="1387"/>
      <c r="M72" s="1389"/>
      <c r="N72" s="1387"/>
      <c r="O72" s="1387"/>
      <c r="P72" s="1387"/>
      <c r="Q72" s="1387"/>
      <c r="R72" s="1390"/>
      <c r="S72" s="1390"/>
    </row>
    <row r="73" spans="1:20">
      <c r="A73" s="1280"/>
      <c r="B73" s="1281"/>
      <c r="C73" s="1387"/>
      <c r="D73" s="1388"/>
      <c r="E73" s="1388"/>
      <c r="F73" s="1387"/>
      <c r="G73" s="1387"/>
      <c r="H73" s="1387"/>
      <c r="I73" s="1387"/>
      <c r="J73" s="1387"/>
      <c r="K73" s="1387"/>
      <c r="L73" s="1387"/>
      <c r="M73" s="1389"/>
      <c r="N73" s="1387"/>
      <c r="O73" s="1387"/>
      <c r="P73" s="1387"/>
      <c r="Q73" s="1387"/>
      <c r="R73" s="1390"/>
      <c r="S73" s="1390"/>
    </row>
    <row r="74" spans="1:20">
      <c r="A74" s="1280"/>
      <c r="B74" s="1281"/>
      <c r="D74" s="1280"/>
      <c r="E74" s="1280"/>
      <c r="M74" s="1282"/>
    </row>
    <row r="75" spans="1:20">
      <c r="A75" s="1280"/>
      <c r="B75" s="1281"/>
      <c r="D75" s="1280"/>
      <c r="E75" s="1280"/>
      <c r="M75" s="1282"/>
    </row>
    <row r="76" spans="1:20">
      <c r="A76" s="1280"/>
      <c r="B76" s="1281"/>
      <c r="D76" s="1280"/>
      <c r="E76" s="1280"/>
      <c r="M76" s="1282"/>
    </row>
    <row r="77" spans="1:20">
      <c r="A77" s="1280"/>
      <c r="B77" s="1281"/>
      <c r="D77" s="1280"/>
      <c r="E77" s="1280"/>
      <c r="M77" s="1282"/>
    </row>
    <row r="78" spans="1:20">
      <c r="A78" s="1280"/>
      <c r="B78" s="1281"/>
      <c r="D78" s="1280"/>
      <c r="E78" s="1280"/>
      <c r="M78" s="1282"/>
    </row>
    <row r="79" spans="1:20">
      <c r="A79" s="1280"/>
      <c r="B79" s="1281"/>
      <c r="D79" s="1280"/>
      <c r="E79" s="1280"/>
      <c r="M79" s="1282"/>
    </row>
    <row r="80" spans="1:20">
      <c r="A80" s="1280"/>
      <c r="B80" s="1281"/>
      <c r="D80" s="1280"/>
      <c r="E80" s="1280"/>
      <c r="M80" s="1282"/>
    </row>
    <row r="81" spans="1:13">
      <c r="A81" s="1280"/>
      <c r="B81" s="1281"/>
      <c r="D81" s="1280"/>
      <c r="E81" s="1280"/>
      <c r="M81" s="1282"/>
    </row>
    <row r="82" spans="1:13">
      <c r="A82" s="1280"/>
      <c r="B82" s="1281"/>
      <c r="D82" s="1280"/>
      <c r="E82" s="1280"/>
      <c r="M82" s="1282"/>
    </row>
    <row r="83" spans="1:13">
      <c r="A83" s="1280"/>
      <c r="B83" s="1281"/>
      <c r="D83" s="1280"/>
      <c r="E83" s="1280"/>
      <c r="M83" s="1282"/>
    </row>
    <row r="84" spans="1:13">
      <c r="A84" s="1280"/>
      <c r="B84" s="1281"/>
      <c r="D84" s="1280"/>
      <c r="E84" s="1280"/>
      <c r="M84" s="1282"/>
    </row>
    <row r="85" spans="1:13">
      <c r="A85" s="1280"/>
      <c r="B85" s="1281"/>
      <c r="D85" s="1280"/>
      <c r="E85" s="1280"/>
      <c r="M85" s="1282"/>
    </row>
    <row r="86" spans="1:13">
      <c r="A86" s="1280"/>
      <c r="B86" s="1281"/>
      <c r="D86" s="1280"/>
      <c r="E86" s="1280"/>
      <c r="M86" s="1282"/>
    </row>
    <row r="87" spans="1:13">
      <c r="A87" s="1280"/>
      <c r="B87" s="1281"/>
      <c r="D87" s="1280"/>
      <c r="E87" s="1280"/>
      <c r="M87" s="1282"/>
    </row>
    <row r="88" spans="1:13">
      <c r="A88" s="1280"/>
      <c r="B88" s="1281"/>
      <c r="D88" s="1280"/>
      <c r="E88" s="1280"/>
      <c r="M88" s="1282"/>
    </row>
    <row r="89" spans="1:13">
      <c r="A89" s="1280"/>
      <c r="B89" s="1281"/>
      <c r="D89" s="1280"/>
      <c r="E89" s="1280"/>
      <c r="M89" s="1282"/>
    </row>
    <row r="90" spans="1:13">
      <c r="A90" s="1280"/>
      <c r="B90" s="1281"/>
      <c r="D90" s="1280"/>
      <c r="E90" s="1280"/>
      <c r="M90" s="1282"/>
    </row>
    <row r="91" spans="1:13">
      <c r="A91" s="1280"/>
      <c r="B91" s="1281"/>
      <c r="D91" s="1280"/>
      <c r="E91" s="1280"/>
      <c r="M91" s="1282"/>
    </row>
    <row r="92" spans="1:13">
      <c r="A92" s="1280"/>
      <c r="B92" s="1281"/>
      <c r="D92" s="1280"/>
      <c r="E92" s="1280"/>
      <c r="M92" s="1282"/>
    </row>
    <row r="93" spans="1:13">
      <c r="A93" s="1280"/>
      <c r="B93" s="1281"/>
      <c r="D93" s="1280"/>
      <c r="E93" s="1280"/>
      <c r="M93" s="1282"/>
    </row>
    <row r="94" spans="1:13">
      <c r="A94" s="1280"/>
      <c r="B94" s="1281"/>
      <c r="D94" s="1280"/>
      <c r="E94" s="1280"/>
      <c r="M94" s="1282"/>
    </row>
    <row r="95" spans="1:13">
      <c r="A95" s="1280"/>
      <c r="B95" s="1281"/>
      <c r="D95" s="1280"/>
      <c r="E95" s="1280"/>
      <c r="M95" s="1282"/>
    </row>
    <row r="96" spans="1:13">
      <c r="A96" s="1280"/>
      <c r="B96" s="1281"/>
      <c r="D96" s="1280"/>
      <c r="E96" s="1280"/>
      <c r="M96" s="1282"/>
    </row>
    <row r="97" spans="1:13">
      <c r="A97" s="1280"/>
      <c r="B97" s="1281"/>
      <c r="D97" s="1280"/>
      <c r="E97" s="1280"/>
      <c r="M97" s="1282"/>
    </row>
    <row r="98" spans="1:13">
      <c r="A98" s="1280"/>
      <c r="B98" s="1281"/>
      <c r="D98" s="1280"/>
      <c r="E98" s="1280"/>
      <c r="M98" s="1282"/>
    </row>
    <row r="99" spans="1:13">
      <c r="A99" s="1280"/>
      <c r="B99" s="1281"/>
      <c r="D99" s="1280"/>
      <c r="E99" s="1280"/>
      <c r="M99" s="1282"/>
    </row>
    <row r="100" spans="1:13">
      <c r="A100" s="1280"/>
      <c r="B100" s="1281"/>
      <c r="D100" s="1280"/>
      <c r="E100" s="1280"/>
      <c r="M100" s="1282"/>
    </row>
    <row r="101" spans="1:13">
      <c r="A101" s="1280"/>
      <c r="B101" s="1281"/>
      <c r="D101" s="1280"/>
      <c r="E101" s="1280"/>
      <c r="M101" s="1282"/>
    </row>
    <row r="102" spans="1:13">
      <c r="A102" s="1280"/>
      <c r="B102" s="1281"/>
      <c r="D102" s="1280"/>
      <c r="E102" s="1280"/>
      <c r="M102" s="1282"/>
    </row>
    <row r="103" spans="1:13">
      <c r="A103" s="1280"/>
      <c r="B103" s="1281"/>
      <c r="D103" s="1280"/>
      <c r="E103" s="1280"/>
      <c r="M103" s="1282"/>
    </row>
    <row r="104" spans="1:13">
      <c r="A104" s="1280"/>
      <c r="B104" s="1281"/>
      <c r="D104" s="1280"/>
      <c r="E104" s="1280"/>
      <c r="M104" s="1282"/>
    </row>
    <row r="105" spans="1:13">
      <c r="A105" s="1280"/>
      <c r="B105" s="1281"/>
      <c r="D105" s="1280"/>
      <c r="E105" s="1280"/>
      <c r="M105" s="1282"/>
    </row>
    <row r="106" spans="1:13">
      <c r="A106" s="1280"/>
      <c r="B106" s="1281"/>
      <c r="D106" s="1280"/>
      <c r="E106" s="1280"/>
      <c r="M106" s="1282"/>
    </row>
    <row r="107" spans="1:13">
      <c r="A107" s="1280"/>
      <c r="B107" s="1281"/>
      <c r="D107" s="1280"/>
      <c r="E107" s="1280"/>
      <c r="M107" s="1282"/>
    </row>
    <row r="108" spans="1:13">
      <c r="A108" s="1280"/>
      <c r="B108" s="1281"/>
      <c r="D108" s="1280"/>
      <c r="E108" s="1280"/>
      <c r="M108" s="1282"/>
    </row>
    <row r="109" spans="1:13">
      <c r="A109" s="1280"/>
      <c r="B109" s="1281"/>
      <c r="D109" s="1280"/>
      <c r="E109" s="1280"/>
      <c r="M109" s="1282"/>
    </row>
    <row r="110" spans="1:13">
      <c r="A110" s="1280"/>
      <c r="B110" s="1281"/>
      <c r="D110" s="1280"/>
      <c r="E110" s="1280"/>
      <c r="M110" s="1282"/>
    </row>
    <row r="111" spans="1:13">
      <c r="A111" s="1280"/>
      <c r="B111" s="1281"/>
      <c r="D111" s="1280"/>
      <c r="E111" s="1280"/>
      <c r="M111" s="1282"/>
    </row>
    <row r="112" spans="1:13">
      <c r="A112" s="1280"/>
      <c r="B112" s="1281"/>
      <c r="D112" s="1280"/>
      <c r="E112" s="1280"/>
      <c r="M112" s="1282"/>
    </row>
    <row r="113" spans="1:13">
      <c r="A113" s="1280"/>
      <c r="B113" s="1281"/>
      <c r="D113" s="1280"/>
      <c r="E113" s="1280"/>
      <c r="M113" s="1282"/>
    </row>
    <row r="114" spans="1:13">
      <c r="A114" s="1280"/>
      <c r="B114" s="1281"/>
      <c r="D114" s="1280"/>
      <c r="E114" s="1280"/>
      <c r="M114" s="1282"/>
    </row>
    <row r="115" spans="1:13">
      <c r="A115" s="1280"/>
      <c r="B115" s="1281"/>
      <c r="D115" s="1280"/>
      <c r="E115" s="1280"/>
      <c r="M115" s="1282"/>
    </row>
    <row r="116" spans="1:13">
      <c r="A116" s="1280"/>
      <c r="B116" s="1281"/>
      <c r="D116" s="1280"/>
      <c r="E116" s="1280"/>
      <c r="M116" s="1282"/>
    </row>
    <row r="117" spans="1:13">
      <c r="A117" s="1280"/>
      <c r="B117" s="1281"/>
      <c r="D117" s="1280"/>
      <c r="E117" s="1280"/>
      <c r="M117" s="1282"/>
    </row>
    <row r="118" spans="1:13">
      <c r="A118" s="1280"/>
      <c r="B118" s="1281"/>
      <c r="D118" s="1280"/>
      <c r="E118" s="1280"/>
      <c r="M118" s="1282"/>
    </row>
    <row r="119" spans="1:13">
      <c r="A119" s="1280"/>
      <c r="B119" s="1281"/>
      <c r="D119" s="1280"/>
      <c r="E119" s="1280"/>
      <c r="M119" s="1282"/>
    </row>
    <row r="120" spans="1:13">
      <c r="A120" s="1280"/>
      <c r="B120" s="1281"/>
      <c r="D120" s="1280"/>
      <c r="E120" s="1280"/>
      <c r="M120" s="1282"/>
    </row>
    <row r="121" spans="1:13">
      <c r="A121" s="1280"/>
      <c r="B121" s="1281"/>
      <c r="D121" s="1280"/>
      <c r="E121" s="1280"/>
      <c r="M121" s="1282"/>
    </row>
    <row r="122" spans="1:13">
      <c r="A122" s="1280"/>
      <c r="B122" s="1281"/>
      <c r="D122" s="1280"/>
      <c r="E122" s="1280"/>
      <c r="M122" s="1282"/>
    </row>
    <row r="123" spans="1:13">
      <c r="A123" s="1280"/>
      <c r="B123" s="1281"/>
      <c r="D123" s="1280"/>
      <c r="E123" s="1280"/>
      <c r="M123" s="1282"/>
    </row>
    <row r="124" spans="1:13">
      <c r="A124" s="1280"/>
      <c r="B124" s="1281"/>
      <c r="D124" s="1280"/>
      <c r="E124" s="1280"/>
      <c r="M124" s="1282"/>
    </row>
    <row r="125" spans="1:13">
      <c r="A125" s="1280"/>
      <c r="B125" s="1281"/>
      <c r="D125" s="1280"/>
      <c r="E125" s="1280"/>
      <c r="M125" s="1282"/>
    </row>
    <row r="126" spans="1:13">
      <c r="A126" s="1280"/>
      <c r="B126" s="1281"/>
      <c r="D126" s="1280"/>
      <c r="E126" s="1280"/>
      <c r="M126" s="1282"/>
    </row>
    <row r="127" spans="1:13">
      <c r="A127" s="1280"/>
      <c r="B127" s="1281"/>
      <c r="D127" s="1280"/>
      <c r="E127" s="1280"/>
      <c r="M127" s="1282"/>
    </row>
    <row r="128" spans="1:13">
      <c r="A128" s="1280"/>
      <c r="B128" s="1281"/>
      <c r="D128" s="1280"/>
      <c r="E128" s="1280"/>
      <c r="M128" s="1282"/>
    </row>
    <row r="129" spans="1:13">
      <c r="A129" s="1280"/>
      <c r="B129" s="1281"/>
      <c r="D129" s="1280"/>
      <c r="E129" s="1280"/>
      <c r="M129" s="1282"/>
    </row>
    <row r="130" spans="1:13">
      <c r="A130" s="1280"/>
      <c r="B130" s="1281"/>
      <c r="D130" s="1280"/>
      <c r="E130" s="1280"/>
      <c r="M130" s="1282"/>
    </row>
    <row r="131" spans="1:13">
      <c r="A131" s="1280"/>
      <c r="B131" s="1281"/>
      <c r="D131" s="1280"/>
      <c r="E131" s="1280"/>
      <c r="M131" s="1282"/>
    </row>
    <row r="132" spans="1:13">
      <c r="A132" s="1280"/>
      <c r="B132" s="1281"/>
      <c r="D132" s="1280"/>
      <c r="E132" s="1280"/>
      <c r="M132" s="1282"/>
    </row>
    <row r="133" spans="1:13">
      <c r="A133" s="1280"/>
      <c r="B133" s="1281"/>
      <c r="D133" s="1280"/>
      <c r="E133" s="1280"/>
      <c r="M133" s="1282"/>
    </row>
    <row r="134" spans="1:13">
      <c r="A134" s="1280"/>
      <c r="B134" s="1281"/>
      <c r="D134" s="1280"/>
      <c r="E134" s="1280"/>
      <c r="M134" s="1282"/>
    </row>
    <row r="135" spans="1:13">
      <c r="A135" s="1280"/>
      <c r="B135" s="1281"/>
      <c r="D135" s="1280"/>
      <c r="E135" s="1280"/>
      <c r="M135" s="1282"/>
    </row>
    <row r="136" spans="1:13">
      <c r="A136" s="1280"/>
      <c r="B136" s="1281"/>
      <c r="D136" s="1280"/>
      <c r="E136" s="1280"/>
      <c r="M136" s="1282"/>
    </row>
    <row r="137" spans="1:13">
      <c r="A137" s="1280"/>
      <c r="B137" s="1281"/>
      <c r="D137" s="1280"/>
      <c r="E137" s="1280"/>
      <c r="M137" s="1282"/>
    </row>
    <row r="138" spans="1:13">
      <c r="A138" s="1280"/>
      <c r="B138" s="1281"/>
      <c r="D138" s="1280"/>
      <c r="E138" s="1280"/>
      <c r="M138" s="1282"/>
    </row>
    <row r="139" spans="1:13">
      <c r="A139" s="1280"/>
      <c r="B139" s="1281"/>
      <c r="D139" s="1280"/>
      <c r="E139" s="1280"/>
      <c r="M139" s="1282"/>
    </row>
    <row r="140" spans="1:13">
      <c r="A140" s="1280"/>
      <c r="B140" s="1281"/>
      <c r="D140" s="1280"/>
      <c r="E140" s="1280"/>
      <c r="M140" s="1282"/>
    </row>
    <row r="141" spans="1:13">
      <c r="A141" s="1280"/>
      <c r="B141" s="1281"/>
      <c r="D141" s="1280"/>
      <c r="E141" s="1280"/>
      <c r="M141" s="1282"/>
    </row>
    <row r="142" spans="1:13">
      <c r="A142" s="1280"/>
      <c r="B142" s="1281"/>
      <c r="D142" s="1280"/>
      <c r="E142" s="1280"/>
      <c r="M142" s="1282"/>
    </row>
    <row r="143" spans="1:13">
      <c r="A143" s="1280"/>
      <c r="B143" s="1281"/>
      <c r="D143" s="1280"/>
      <c r="E143" s="1280"/>
      <c r="M143" s="1282"/>
    </row>
    <row r="144" spans="1:13">
      <c r="A144" s="1280"/>
      <c r="B144" s="1281"/>
      <c r="D144" s="1280"/>
      <c r="E144" s="1280"/>
      <c r="M144" s="1282"/>
    </row>
    <row r="145" spans="1:13">
      <c r="A145" s="1280"/>
      <c r="B145" s="1281"/>
      <c r="D145" s="1280"/>
      <c r="E145" s="1280"/>
      <c r="M145" s="1282"/>
    </row>
    <row r="146" spans="1:13">
      <c r="A146" s="1280"/>
      <c r="B146" s="1281"/>
      <c r="D146" s="1280"/>
      <c r="E146" s="1280"/>
      <c r="M146" s="1282"/>
    </row>
    <row r="147" spans="1:13">
      <c r="A147" s="1280"/>
      <c r="B147" s="1281"/>
      <c r="D147" s="1280"/>
      <c r="E147" s="1280"/>
      <c r="M147" s="1282"/>
    </row>
    <row r="148" spans="1:13">
      <c r="A148" s="1280"/>
      <c r="B148" s="1281"/>
      <c r="D148" s="1280"/>
      <c r="E148" s="1280"/>
      <c r="M148" s="1282"/>
    </row>
    <row r="149" spans="1:13">
      <c r="A149" s="1280"/>
      <c r="B149" s="1281"/>
      <c r="D149" s="1280"/>
      <c r="E149" s="1280"/>
      <c r="M149" s="1282"/>
    </row>
    <row r="150" spans="1:13">
      <c r="A150" s="1280"/>
      <c r="B150" s="1281"/>
      <c r="D150" s="1280"/>
      <c r="E150" s="1280"/>
      <c r="M150" s="1282"/>
    </row>
    <row r="151" spans="1:13">
      <c r="A151" s="1280"/>
      <c r="B151" s="1281"/>
      <c r="D151" s="1280"/>
      <c r="E151" s="1280"/>
      <c r="M151" s="1282"/>
    </row>
    <row r="152" spans="1:13">
      <c r="A152" s="1280"/>
      <c r="B152" s="1281"/>
      <c r="D152" s="1280"/>
      <c r="E152" s="1280"/>
      <c r="M152" s="1282"/>
    </row>
    <row r="153" spans="1:13">
      <c r="A153" s="1280"/>
      <c r="B153" s="1281"/>
      <c r="D153" s="1280"/>
      <c r="E153" s="1280"/>
      <c r="M153" s="1282"/>
    </row>
    <row r="154" spans="1:13">
      <c r="A154" s="1280"/>
      <c r="B154" s="1281"/>
      <c r="D154" s="1280"/>
      <c r="E154" s="1280"/>
      <c r="M154" s="1282"/>
    </row>
    <row r="155" spans="1:13">
      <c r="A155" s="1280"/>
      <c r="B155" s="1281"/>
      <c r="D155" s="1280"/>
      <c r="E155" s="1280"/>
      <c r="M155" s="1282"/>
    </row>
    <row r="156" spans="1:13">
      <c r="A156" s="1280"/>
      <c r="B156" s="1281"/>
      <c r="D156" s="1280"/>
      <c r="E156" s="1280"/>
      <c r="M156" s="1282"/>
    </row>
    <row r="157" spans="1:13">
      <c r="A157" s="1280"/>
      <c r="B157" s="1281"/>
      <c r="D157" s="1280"/>
      <c r="E157" s="1280"/>
      <c r="M157" s="1282"/>
    </row>
    <row r="158" spans="1:13">
      <c r="A158" s="1280"/>
      <c r="B158" s="1281"/>
      <c r="D158" s="1280"/>
      <c r="E158" s="1280"/>
      <c r="M158" s="1282"/>
    </row>
    <row r="159" spans="1:13">
      <c r="A159" s="1280"/>
      <c r="B159" s="1281"/>
      <c r="D159" s="1280"/>
      <c r="E159" s="1280"/>
      <c r="M159" s="1282"/>
    </row>
    <row r="160" spans="1:13">
      <c r="A160" s="1280"/>
      <c r="B160" s="1281"/>
      <c r="D160" s="1280"/>
      <c r="E160" s="1280"/>
      <c r="M160" s="1282"/>
    </row>
    <row r="161" spans="1:13">
      <c r="A161" s="1280"/>
      <c r="B161" s="1281"/>
      <c r="D161" s="1280"/>
      <c r="E161" s="1280"/>
      <c r="M161" s="1282"/>
    </row>
    <row r="162" spans="1:13">
      <c r="A162" s="1280"/>
      <c r="B162" s="1281"/>
      <c r="D162" s="1280"/>
      <c r="E162" s="1280"/>
      <c r="M162" s="1282"/>
    </row>
    <row r="163" spans="1:13">
      <c r="A163" s="1280"/>
      <c r="B163" s="1281"/>
      <c r="D163" s="1280"/>
      <c r="E163" s="1280"/>
      <c r="M163" s="1282"/>
    </row>
    <row r="164" spans="1:13">
      <c r="A164" s="1280"/>
      <c r="B164" s="1281"/>
      <c r="D164" s="1280"/>
      <c r="E164" s="1280"/>
      <c r="M164" s="1282"/>
    </row>
    <row r="165" spans="1:13">
      <c r="A165" s="1280"/>
      <c r="B165" s="1281"/>
      <c r="D165" s="1280"/>
      <c r="E165" s="1280"/>
      <c r="M165" s="1282"/>
    </row>
    <row r="166" spans="1:13">
      <c r="A166" s="1280"/>
      <c r="B166" s="1281"/>
      <c r="D166" s="1280"/>
      <c r="E166" s="1280"/>
      <c r="M166" s="1282"/>
    </row>
    <row r="167" spans="1:13">
      <c r="A167" s="1280"/>
      <c r="B167" s="1281"/>
      <c r="D167" s="1280"/>
      <c r="E167" s="1280"/>
      <c r="M167" s="1282"/>
    </row>
  </sheetData>
  <mergeCells count="4">
    <mergeCell ref="E20:G20"/>
    <mergeCell ref="H20:J20"/>
    <mergeCell ref="K20:M20"/>
    <mergeCell ref="N20:P20"/>
  </mergeCells>
  <pageMargins left="0.7" right="0.7" top="0.75" bottom="0.75" header="0.3" footer="0.3"/>
  <pageSetup scale="4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17"/>
  <sheetViews>
    <sheetView topLeftCell="A4" workbookViewId="0">
      <selection activeCell="N33" sqref="N33"/>
    </sheetView>
  </sheetViews>
  <sheetFormatPr defaultRowHeight="15"/>
  <cols>
    <col min="1" max="1" width="2.42578125" customWidth="1"/>
    <col min="2" max="2" width="5.140625" customWidth="1"/>
    <col min="3" max="3" width="6.5703125" customWidth="1"/>
    <col min="4" max="4" width="52.28515625" customWidth="1"/>
    <col min="5" max="5" width="16.42578125" customWidth="1"/>
    <col min="6" max="6" width="6.7109375" customWidth="1"/>
    <col min="7" max="7" width="0.85546875" customWidth="1"/>
    <col min="8" max="8" width="16.42578125" customWidth="1"/>
    <col min="9" max="9" width="6.7109375" bestFit="1" customWidth="1"/>
    <col min="10" max="10" width="0.85546875" customWidth="1"/>
    <col min="11" max="11" width="16.42578125" customWidth="1"/>
    <col min="12" max="12" width="6.7109375" bestFit="1" customWidth="1"/>
    <col min="13" max="13" width="0.85546875" customWidth="1"/>
    <col min="14" max="14" width="16.42578125" customWidth="1"/>
    <col min="15" max="15" width="6.7109375" bestFit="1" customWidth="1"/>
    <col min="16" max="16" width="0.85546875" customWidth="1"/>
    <col min="17" max="17" width="16.42578125" customWidth="1"/>
    <col min="18" max="18" width="6.7109375" bestFit="1" customWidth="1"/>
    <col min="19" max="19" width="0.85546875" customWidth="1"/>
    <col min="20" max="20" width="16.42578125" customWidth="1"/>
    <col min="21" max="21" width="6.7109375" bestFit="1" customWidth="1"/>
    <col min="22" max="22" width="0.85546875" customWidth="1"/>
    <col min="23" max="23" width="16.42578125" customWidth="1"/>
    <col min="24" max="24" width="6.7109375" bestFit="1" customWidth="1"/>
    <col min="25" max="25" width="0.85546875" customWidth="1"/>
    <col min="26" max="26" width="13.28515625" customWidth="1"/>
    <col min="27" max="27" width="3" customWidth="1"/>
  </cols>
  <sheetData>
    <row r="1" spans="1:28" ht="15.75">
      <c r="A1" s="1391" t="s">
        <v>2</v>
      </c>
      <c r="B1" s="1391"/>
      <c r="C1" s="1391"/>
      <c r="D1" s="1391"/>
      <c r="E1" s="1391"/>
      <c r="F1" s="1391"/>
      <c r="G1" s="1391"/>
      <c r="H1" s="1391"/>
      <c r="I1" s="1391"/>
      <c r="J1" s="1391"/>
      <c r="K1" s="1391"/>
      <c r="L1" s="1391"/>
      <c r="M1" s="1391"/>
      <c r="N1" s="1391"/>
      <c r="O1" s="1391"/>
      <c r="P1" s="1391"/>
      <c r="Q1" s="1391"/>
      <c r="R1" s="1391"/>
      <c r="S1" s="1391"/>
      <c r="T1" s="1391"/>
      <c r="U1" s="1391"/>
      <c r="V1" s="1391"/>
      <c r="W1" s="1391"/>
      <c r="X1" s="1391"/>
      <c r="Y1" s="1391"/>
      <c r="Z1" s="1392"/>
      <c r="AA1" s="1393"/>
      <c r="AB1" s="1394"/>
    </row>
    <row r="2" spans="1:28" ht="15.75">
      <c r="A2" s="1391" t="s">
        <v>1282</v>
      </c>
      <c r="B2" s="1391"/>
      <c r="C2" s="1391"/>
      <c r="D2" s="1391"/>
      <c r="E2" s="1391"/>
      <c r="F2" s="1391"/>
      <c r="G2" s="1391"/>
      <c r="H2" s="1391"/>
      <c r="I2" s="1391"/>
      <c r="J2" s="1391"/>
      <c r="K2" s="1391"/>
      <c r="L2" s="1391"/>
      <c r="M2" s="1391"/>
      <c r="N2" s="1391"/>
      <c r="O2" s="1391"/>
      <c r="P2" s="1391"/>
      <c r="Q2" s="1391"/>
      <c r="R2" s="1391"/>
      <c r="S2" s="1391"/>
      <c r="T2" s="1391"/>
      <c r="U2" s="1391"/>
      <c r="V2" s="1391"/>
      <c r="W2" s="1391"/>
      <c r="X2" s="1391"/>
      <c r="Y2" s="1391"/>
      <c r="Z2" s="1391"/>
      <c r="AA2" s="1393"/>
      <c r="AB2" s="1394"/>
    </row>
    <row r="3" spans="1:28">
      <c r="A3" s="1395"/>
      <c r="B3" s="1395"/>
      <c r="C3" s="1395"/>
      <c r="D3" s="1395"/>
      <c r="E3" s="1395"/>
      <c r="F3" s="1395"/>
      <c r="G3" s="1395"/>
      <c r="H3" s="1395"/>
      <c r="I3" s="1395"/>
      <c r="J3" s="1395"/>
      <c r="K3" s="1395"/>
      <c r="L3" s="1395"/>
      <c r="M3" s="1395"/>
      <c r="N3" s="1395"/>
      <c r="O3" s="1395"/>
      <c r="P3" s="1395"/>
      <c r="Q3" s="1395"/>
      <c r="R3" s="1395"/>
      <c r="S3" s="1395"/>
      <c r="T3" s="1395"/>
      <c r="U3" s="1395"/>
      <c r="V3" s="1395"/>
      <c r="W3" s="1395"/>
      <c r="X3" s="1395"/>
      <c r="Y3" s="1395"/>
      <c r="Z3" s="1393"/>
      <c r="AA3" s="1393"/>
      <c r="AB3" s="1394"/>
    </row>
    <row r="4" spans="1:28" ht="15.75">
      <c r="A4" s="1391" t="s">
        <v>1923</v>
      </c>
      <c r="B4" s="1391"/>
      <c r="C4" s="1391"/>
      <c r="D4" s="1391"/>
      <c r="E4" s="1391"/>
      <c r="F4" s="1391"/>
      <c r="G4" s="1391"/>
      <c r="H4" s="1391"/>
      <c r="I4" s="1391"/>
      <c r="J4" s="1391"/>
      <c r="K4" s="1391"/>
      <c r="L4" s="1391"/>
      <c r="M4" s="1391"/>
      <c r="N4" s="1391"/>
      <c r="O4" s="1391"/>
      <c r="P4" s="1391"/>
      <c r="Q4" s="1391"/>
      <c r="R4" s="1391"/>
      <c r="S4" s="1391"/>
      <c r="T4" s="1391"/>
      <c r="U4" s="1391"/>
      <c r="V4" s="1391"/>
      <c r="W4" s="1391"/>
      <c r="X4" s="1391"/>
      <c r="Y4" s="1391"/>
      <c r="Z4" s="1392"/>
      <c r="AA4" s="1393"/>
      <c r="AB4" s="1394"/>
    </row>
    <row r="5" spans="1:28">
      <c r="A5" s="1395"/>
      <c r="B5" s="1395"/>
      <c r="C5" s="1395"/>
      <c r="D5" s="1395"/>
      <c r="E5" s="1395"/>
      <c r="F5" s="1395"/>
      <c r="G5" s="1395"/>
      <c r="H5" s="1395"/>
      <c r="I5" s="1395"/>
      <c r="J5" s="1395"/>
      <c r="K5" s="1395"/>
      <c r="L5" s="1395"/>
      <c r="M5" s="1395"/>
      <c r="N5" s="1395"/>
      <c r="O5" s="1395"/>
      <c r="P5" s="1395"/>
      <c r="Q5" s="1395"/>
      <c r="R5" s="1395"/>
      <c r="S5" s="1395"/>
      <c r="T5" s="1395"/>
      <c r="U5" s="1395"/>
      <c r="V5" s="1395"/>
      <c r="W5" s="1395"/>
      <c r="X5" s="1395"/>
      <c r="Y5" s="1395"/>
      <c r="Z5" s="1393"/>
      <c r="AA5" s="1393"/>
      <c r="AB5" s="1394"/>
    </row>
    <row r="6" spans="1:28" ht="15.75" thickBot="1">
      <c r="A6" s="1392"/>
      <c r="B6" s="1396"/>
      <c r="C6" s="1396"/>
      <c r="D6" s="1396"/>
      <c r="E6" s="1392"/>
      <c r="F6" s="1392"/>
      <c r="G6" s="1392"/>
      <c r="H6" s="1392"/>
      <c r="I6" s="1392"/>
      <c r="J6" s="1392"/>
      <c r="K6" s="1392"/>
      <c r="L6" s="1392"/>
      <c r="M6" s="1392"/>
      <c r="N6" s="1392"/>
      <c r="O6" s="1392"/>
      <c r="P6" s="1392"/>
      <c r="Q6" s="1392"/>
      <c r="R6" s="1392"/>
      <c r="S6" s="1392"/>
      <c r="T6" s="1392"/>
      <c r="U6" s="1392"/>
      <c r="V6" s="1392"/>
      <c r="W6" s="1392"/>
      <c r="X6" s="1392"/>
      <c r="Y6" s="1392"/>
      <c r="Z6" s="1392"/>
      <c r="AA6" s="1393"/>
      <c r="AB6" s="1393"/>
    </row>
    <row r="7" spans="1:28" ht="15.75" thickBot="1">
      <c r="A7" s="1393"/>
      <c r="B7" s="1397"/>
      <c r="C7" s="1397"/>
      <c r="D7" s="1397"/>
      <c r="E7" s="2461" t="s">
        <v>1283</v>
      </c>
      <c r="F7" s="2462"/>
      <c r="G7" s="1393"/>
      <c r="H7" s="2457" t="s">
        <v>1284</v>
      </c>
      <c r="I7" s="2458"/>
      <c r="J7" s="1393"/>
      <c r="K7" s="2457" t="s">
        <v>1285</v>
      </c>
      <c r="L7" s="2458"/>
      <c r="M7" s="1393"/>
      <c r="N7" s="2457" t="s">
        <v>1286</v>
      </c>
      <c r="O7" s="2458"/>
      <c r="P7" s="1393"/>
      <c r="Q7" s="2457" t="s">
        <v>1287</v>
      </c>
      <c r="R7" s="2458"/>
      <c r="S7" s="1393"/>
      <c r="T7" s="2457" t="s">
        <v>1288</v>
      </c>
      <c r="U7" s="2458"/>
      <c r="V7" s="1393"/>
      <c r="W7" s="2457" t="s">
        <v>1289</v>
      </c>
      <c r="X7" s="2458"/>
      <c r="Y7" s="1393"/>
      <c r="Z7" s="1398" t="s">
        <v>373</v>
      </c>
      <c r="AA7" s="1393"/>
      <c r="AB7" s="1393"/>
    </row>
    <row r="8" spans="1:28" ht="15.75" thickBot="1">
      <c r="A8" s="1393"/>
      <c r="B8" s="1399" t="s">
        <v>1290</v>
      </c>
      <c r="C8" s="1400" t="s">
        <v>1291</v>
      </c>
      <c r="D8" s="1401" t="s">
        <v>288</v>
      </c>
      <c r="E8" s="1402" t="s">
        <v>1018</v>
      </c>
      <c r="F8" s="1403" t="s">
        <v>1292</v>
      </c>
      <c r="G8" s="1404"/>
      <c r="H8" s="1402" t="s">
        <v>1018</v>
      </c>
      <c r="I8" s="1403" t="s">
        <v>1293</v>
      </c>
      <c r="J8" s="1404"/>
      <c r="K8" s="1402" t="s">
        <v>1018</v>
      </c>
      <c r="L8" s="1403" t="s">
        <v>1292</v>
      </c>
      <c r="M8" s="1404"/>
      <c r="N8" s="1402" t="s">
        <v>1018</v>
      </c>
      <c r="O8" s="1403" t="s">
        <v>1293</v>
      </c>
      <c r="P8" s="1404"/>
      <c r="Q8" s="1402" t="s">
        <v>1018</v>
      </c>
      <c r="R8" s="1403" t="s">
        <v>1292</v>
      </c>
      <c r="S8" s="1404"/>
      <c r="T8" s="1402" t="s">
        <v>1018</v>
      </c>
      <c r="U8" s="1403" t="s">
        <v>1292</v>
      </c>
      <c r="V8" s="1404"/>
      <c r="W8" s="1402" t="s">
        <v>1018</v>
      </c>
      <c r="X8" s="1405" t="s">
        <v>1293</v>
      </c>
      <c r="Y8" s="1404"/>
      <c r="Z8" s="1406" t="s">
        <v>1293</v>
      </c>
      <c r="AA8" s="1393"/>
      <c r="AB8" s="1393"/>
    </row>
    <row r="9" spans="1:28" ht="15.75" thickBot="1">
      <c r="A9" s="1393"/>
      <c r="B9" s="1407"/>
      <c r="C9" s="1408"/>
      <c r="D9" s="1409"/>
      <c r="E9" s="1410" t="s">
        <v>1294</v>
      </c>
      <c r="F9" s="1411" t="s">
        <v>1295</v>
      </c>
      <c r="G9" s="1412"/>
      <c r="H9" s="1410" t="s">
        <v>1296</v>
      </c>
      <c r="I9" s="1411" t="s">
        <v>1297</v>
      </c>
      <c r="J9" s="1412"/>
      <c r="K9" s="1410" t="s">
        <v>1298</v>
      </c>
      <c r="L9" s="1411" t="s">
        <v>1299</v>
      </c>
      <c r="M9" s="1412"/>
      <c r="N9" s="1410" t="s">
        <v>1300</v>
      </c>
      <c r="O9" s="1411" t="s">
        <v>1301</v>
      </c>
      <c r="P9" s="1412"/>
      <c r="Q9" s="1410" t="s">
        <v>1302</v>
      </c>
      <c r="R9" s="1411" t="s">
        <v>1303</v>
      </c>
      <c r="S9" s="1412"/>
      <c r="T9" s="1413" t="s">
        <v>1304</v>
      </c>
      <c r="U9" s="1414" t="s">
        <v>1305</v>
      </c>
      <c r="V9" s="1415"/>
      <c r="W9" s="1413" t="s">
        <v>1306</v>
      </c>
      <c r="X9" s="1414" t="s">
        <v>1307</v>
      </c>
      <c r="Y9" s="1415"/>
      <c r="Z9" s="1416" t="s">
        <v>1308</v>
      </c>
      <c r="AA9" s="1417"/>
      <c r="AB9" s="1393"/>
    </row>
    <row r="10" spans="1:28">
      <c r="A10" s="1393"/>
      <c r="B10" s="1418">
        <v>1</v>
      </c>
      <c r="C10" s="1419">
        <v>350.2</v>
      </c>
      <c r="D10" s="1420" t="s">
        <v>1309</v>
      </c>
      <c r="E10" s="1421"/>
      <c r="F10" s="1422"/>
      <c r="G10" s="1423"/>
      <c r="H10" s="1421"/>
      <c r="I10" s="1422"/>
      <c r="J10" s="1423"/>
      <c r="K10" s="1421"/>
      <c r="L10" s="1422"/>
      <c r="M10" s="1423"/>
      <c r="N10" s="1421"/>
      <c r="O10" s="1422"/>
      <c r="P10" s="1423"/>
      <c r="Q10" s="1421"/>
      <c r="R10" s="1422"/>
      <c r="S10" s="1423"/>
      <c r="T10" s="1421"/>
      <c r="U10" s="1422"/>
      <c r="V10" s="1423"/>
      <c r="W10" s="1421"/>
      <c r="X10" s="1424"/>
      <c r="Y10" s="1425"/>
      <c r="Z10" s="1426">
        <v>1.2699999999999999E-2</v>
      </c>
      <c r="AA10" s="1393"/>
      <c r="AB10" s="1427"/>
    </row>
    <row r="11" spans="1:28">
      <c r="A11" s="1393"/>
      <c r="B11" s="1428">
        <v>2</v>
      </c>
      <c r="C11" s="1429">
        <v>352</v>
      </c>
      <c r="D11" s="1430" t="s">
        <v>1310</v>
      </c>
      <c r="E11" s="1431"/>
      <c r="F11" s="1432"/>
      <c r="G11" s="1433"/>
      <c r="H11" s="1431"/>
      <c r="I11" s="1432"/>
      <c r="J11" s="1433"/>
      <c r="K11" s="1431"/>
      <c r="L11" s="1432"/>
      <c r="M11" s="1433"/>
      <c r="N11" s="1431"/>
      <c r="O11" s="1432"/>
      <c r="P11" s="1433"/>
      <c r="Q11" s="1431"/>
      <c r="R11" s="1432"/>
      <c r="S11" s="1433"/>
      <c r="T11" s="1431"/>
      <c r="U11" s="1432"/>
      <c r="V11" s="1433"/>
      <c r="W11" s="1431"/>
      <c r="X11" s="1432"/>
      <c r="Y11" s="1433"/>
      <c r="Z11" s="1434">
        <v>1.4200000000000001E-2</v>
      </c>
      <c r="AA11" s="1393"/>
      <c r="AB11" s="1427"/>
    </row>
    <row r="12" spans="1:28">
      <c r="A12" s="1393"/>
      <c r="B12" s="1428">
        <v>3</v>
      </c>
      <c r="C12" s="1429">
        <v>353</v>
      </c>
      <c r="D12" s="1430" t="s">
        <v>1311</v>
      </c>
      <c r="E12" s="1431"/>
      <c r="F12" s="1432"/>
      <c r="G12" s="1433"/>
      <c r="H12" s="1431"/>
      <c r="I12" s="1432"/>
      <c r="J12" s="1433"/>
      <c r="K12" s="1431"/>
      <c r="L12" s="1432"/>
      <c r="M12" s="1433"/>
      <c r="N12" s="1431"/>
      <c r="O12" s="1432"/>
      <c r="P12" s="1433"/>
      <c r="Q12" s="1431"/>
      <c r="R12" s="1432"/>
      <c r="S12" s="1433"/>
      <c r="T12" s="1431"/>
      <c r="U12" s="1432"/>
      <c r="V12" s="1433"/>
      <c r="W12" s="1431"/>
      <c r="X12" s="1432"/>
      <c r="Y12" s="1433"/>
      <c r="Z12" s="1434">
        <v>1.7399999999999999E-2</v>
      </c>
      <c r="AA12" s="1393"/>
      <c r="AB12" s="1427"/>
    </row>
    <row r="13" spans="1:28">
      <c r="A13" s="1393"/>
      <c r="B13" s="1428">
        <v>4</v>
      </c>
      <c r="C13" s="1429">
        <v>353.7</v>
      </c>
      <c r="D13" s="1430" t="s">
        <v>1312</v>
      </c>
      <c r="E13" s="1431"/>
      <c r="F13" s="1432"/>
      <c r="G13" s="1433"/>
      <c r="H13" s="1431"/>
      <c r="I13" s="1432"/>
      <c r="J13" s="1433"/>
      <c r="K13" s="1431"/>
      <c r="L13" s="1432"/>
      <c r="M13" s="1433"/>
      <c r="N13" s="1431"/>
      <c r="O13" s="1432"/>
      <c r="P13" s="1433"/>
      <c r="Q13" s="1431"/>
      <c r="R13" s="1432"/>
      <c r="S13" s="1433"/>
      <c r="T13" s="1431"/>
      <c r="U13" s="1432"/>
      <c r="V13" s="1433"/>
      <c r="W13" s="1431"/>
      <c r="X13" s="1432"/>
      <c r="Y13" s="1433"/>
      <c r="Z13" s="1434">
        <v>1.7399999999999999E-2</v>
      </c>
      <c r="AA13" s="1393"/>
      <c r="AB13" s="1427"/>
    </row>
    <row r="14" spans="1:28">
      <c r="A14" s="1393"/>
      <c r="B14" s="1428">
        <v>5</v>
      </c>
      <c r="C14" s="1429">
        <v>354</v>
      </c>
      <c r="D14" s="1430" t="s">
        <v>1313</v>
      </c>
      <c r="E14" s="1431"/>
      <c r="F14" s="1432"/>
      <c r="G14" s="1433"/>
      <c r="H14" s="1431"/>
      <c r="I14" s="1432"/>
      <c r="J14" s="1433"/>
      <c r="K14" s="1431"/>
      <c r="L14" s="1432"/>
      <c r="M14" s="1433"/>
      <c r="N14" s="1431"/>
      <c r="O14" s="1432"/>
      <c r="P14" s="1433"/>
      <c r="Q14" s="1431"/>
      <c r="R14" s="1432"/>
      <c r="S14" s="1433"/>
      <c r="T14" s="1431"/>
      <c r="U14" s="1432"/>
      <c r="V14" s="1433"/>
      <c r="W14" s="1431"/>
      <c r="X14" s="1432"/>
      <c r="Y14" s="1433"/>
      <c r="Z14" s="1434">
        <v>1.5299999999999999E-2</v>
      </c>
      <c r="AA14" s="1393"/>
      <c r="AB14" s="1427"/>
    </row>
    <row r="15" spans="1:28">
      <c r="A15" s="1393"/>
      <c r="B15" s="1428">
        <v>6</v>
      </c>
      <c r="C15" s="1429">
        <v>355</v>
      </c>
      <c r="D15" s="1430" t="s">
        <v>1314</v>
      </c>
      <c r="E15" s="1431"/>
      <c r="F15" s="1432"/>
      <c r="G15" s="1433"/>
      <c r="H15" s="1431"/>
      <c r="I15" s="1432"/>
      <c r="J15" s="1433"/>
      <c r="K15" s="1431"/>
      <c r="L15" s="1432"/>
      <c r="M15" s="1433"/>
      <c r="N15" s="1431"/>
      <c r="O15" s="1432"/>
      <c r="P15" s="1433"/>
      <c r="Q15" s="1431"/>
      <c r="R15" s="1432"/>
      <c r="S15" s="1433"/>
      <c r="T15" s="1431"/>
      <c r="U15" s="1432"/>
      <c r="V15" s="1433"/>
      <c r="W15" s="1431"/>
      <c r="X15" s="1432"/>
      <c r="Y15" s="1433"/>
      <c r="Z15" s="1434">
        <v>2.18E-2</v>
      </c>
      <c r="AA15" s="1393"/>
      <c r="AB15" s="1427"/>
    </row>
    <row r="16" spans="1:28">
      <c r="A16" s="1393"/>
      <c r="B16" s="1428">
        <v>7</v>
      </c>
      <c r="C16" s="1429">
        <v>356</v>
      </c>
      <c r="D16" s="1430" t="s">
        <v>1315</v>
      </c>
      <c r="E16" s="1431"/>
      <c r="F16" s="1432"/>
      <c r="G16" s="1433"/>
      <c r="H16" s="1431"/>
      <c r="I16" s="1432"/>
      <c r="J16" s="1433"/>
      <c r="K16" s="1431"/>
      <c r="L16" s="1432"/>
      <c r="M16" s="1433"/>
      <c r="N16" s="1431"/>
      <c r="O16" s="1432"/>
      <c r="P16" s="1433"/>
      <c r="Q16" s="1431"/>
      <c r="R16" s="1432"/>
      <c r="S16" s="1433"/>
      <c r="T16" s="1431"/>
      <c r="U16" s="1432"/>
      <c r="V16" s="1433"/>
      <c r="W16" s="1431"/>
      <c r="X16" s="1432"/>
      <c r="Y16" s="1433"/>
      <c r="Z16" s="1434">
        <v>1.8800000000000001E-2</v>
      </c>
      <c r="AA16" s="1393"/>
      <c r="AB16" s="1427"/>
    </row>
    <row r="17" spans="1:28">
      <c r="A17" s="1393"/>
      <c r="B17" s="1428">
        <v>8</v>
      </c>
      <c r="C17" s="1429">
        <v>356.2</v>
      </c>
      <c r="D17" s="1430" t="s">
        <v>1316</v>
      </c>
      <c r="E17" s="1431"/>
      <c r="F17" s="1432"/>
      <c r="G17" s="1433"/>
      <c r="H17" s="1431"/>
      <c r="I17" s="1432"/>
      <c r="J17" s="1433"/>
      <c r="K17" s="1431"/>
      <c r="L17" s="1432"/>
      <c r="M17" s="1433"/>
      <c r="N17" s="1431"/>
      <c r="O17" s="1432"/>
      <c r="P17" s="1433"/>
      <c r="Q17" s="1431"/>
      <c r="R17" s="1432"/>
      <c r="S17" s="1433"/>
      <c r="T17" s="1431"/>
      <c r="U17" s="1432"/>
      <c r="V17" s="1433"/>
      <c r="W17" s="1431"/>
      <c r="X17" s="1432"/>
      <c r="Y17" s="1433"/>
      <c r="Z17" s="1434">
        <v>1.8800000000000001E-2</v>
      </c>
      <c r="AA17" s="1393"/>
      <c r="AB17" s="1427"/>
    </row>
    <row r="18" spans="1:28">
      <c r="A18" s="1393"/>
      <c r="B18" s="1428">
        <v>9</v>
      </c>
      <c r="C18" s="1429">
        <v>357</v>
      </c>
      <c r="D18" s="1430" t="s">
        <v>1317</v>
      </c>
      <c r="E18" s="1431"/>
      <c r="F18" s="1432"/>
      <c r="G18" s="1433"/>
      <c r="H18" s="1431"/>
      <c r="I18" s="1432"/>
      <c r="J18" s="1433"/>
      <c r="K18" s="1431"/>
      <c r="L18" s="1432"/>
      <c r="M18" s="1433"/>
      <c r="N18" s="1431"/>
      <c r="O18" s="1432"/>
      <c r="P18" s="1433"/>
      <c r="Q18" s="1431"/>
      <c r="R18" s="1432"/>
      <c r="S18" s="1433"/>
      <c r="T18" s="1431"/>
      <c r="U18" s="1432"/>
      <c r="V18" s="1433"/>
      <c r="W18" s="1431"/>
      <c r="X18" s="1432"/>
      <c r="Y18" s="1433"/>
      <c r="Z18" s="1434">
        <v>1.6E-2</v>
      </c>
      <c r="AA18" s="1393"/>
      <c r="AB18" s="1427"/>
    </row>
    <row r="19" spans="1:28">
      <c r="A19" s="1393"/>
      <c r="B19" s="1428">
        <v>10</v>
      </c>
      <c r="C19" s="1429">
        <v>358</v>
      </c>
      <c r="D19" s="1430" t="s">
        <v>1318</v>
      </c>
      <c r="E19" s="1431"/>
      <c r="F19" s="1432"/>
      <c r="G19" s="1433"/>
      <c r="H19" s="1431"/>
      <c r="I19" s="1432"/>
      <c r="J19" s="1433"/>
      <c r="K19" s="1431"/>
      <c r="L19" s="1432"/>
      <c r="M19" s="1433"/>
      <c r="N19" s="1431"/>
      <c r="O19" s="1432"/>
      <c r="P19" s="1433"/>
      <c r="Q19" s="1431"/>
      <c r="R19" s="1432"/>
      <c r="S19" s="1433"/>
      <c r="T19" s="1431"/>
      <c r="U19" s="1432"/>
      <c r="V19" s="1433"/>
      <c r="W19" s="1431"/>
      <c r="X19" s="1432"/>
      <c r="Y19" s="1433"/>
      <c r="Z19" s="1434">
        <v>1.66E-2</v>
      </c>
      <c r="AA19" s="1393"/>
      <c r="AB19" s="1427"/>
    </row>
    <row r="20" spans="1:28">
      <c r="A20" s="1393"/>
      <c r="B20" s="1428">
        <v>11</v>
      </c>
      <c r="C20" s="1429">
        <v>359</v>
      </c>
      <c r="D20" s="1430" t="s">
        <v>1319</v>
      </c>
      <c r="E20" s="1431"/>
      <c r="F20" s="1432"/>
      <c r="G20" s="1433"/>
      <c r="H20" s="1431"/>
      <c r="I20" s="1432"/>
      <c r="J20" s="1433"/>
      <c r="K20" s="1431"/>
      <c r="L20" s="1432"/>
      <c r="M20" s="1433"/>
      <c r="N20" s="1431"/>
      <c r="O20" s="1432"/>
      <c r="P20" s="1433"/>
      <c r="Q20" s="1431"/>
      <c r="R20" s="1432"/>
      <c r="S20" s="1433"/>
      <c r="T20" s="1431"/>
      <c r="U20" s="1432"/>
      <c r="V20" s="1433"/>
      <c r="W20" s="1431"/>
      <c r="X20" s="1432"/>
      <c r="Y20" s="1433"/>
      <c r="Z20" s="1434">
        <v>1.32E-2</v>
      </c>
      <c r="AA20" s="1393"/>
      <c r="AB20" s="1427"/>
    </row>
    <row r="21" spans="1:28">
      <c r="A21" s="1393"/>
      <c r="B21" s="1428">
        <v>12</v>
      </c>
      <c r="C21" s="1429"/>
      <c r="D21" s="1430" t="s">
        <v>1320</v>
      </c>
      <c r="E21" s="1431"/>
      <c r="F21" s="1432"/>
      <c r="G21" s="1433"/>
      <c r="H21" s="1431"/>
      <c r="I21" s="1432"/>
      <c r="J21" s="1433"/>
      <c r="K21" s="1431"/>
      <c r="L21" s="1432"/>
      <c r="M21" s="1433"/>
      <c r="N21" s="1431"/>
      <c r="O21" s="1432"/>
      <c r="P21" s="1433"/>
      <c r="Q21" s="1431"/>
      <c r="R21" s="1432"/>
      <c r="S21" s="1433"/>
      <c r="T21" s="1431"/>
      <c r="U21" s="1432"/>
      <c r="V21" s="1433"/>
      <c r="W21" s="1431"/>
      <c r="X21" s="1432"/>
      <c r="Y21" s="1433"/>
      <c r="Z21" s="1434">
        <v>1.7600000000000001E-2</v>
      </c>
      <c r="AA21" s="1393"/>
      <c r="AB21" s="1427"/>
    </row>
    <row r="22" spans="1:28">
      <c r="A22" s="1393"/>
      <c r="B22" s="1428"/>
      <c r="C22" s="1429"/>
      <c r="D22" s="1430"/>
      <c r="E22" s="1435"/>
      <c r="F22" s="1436"/>
      <c r="G22" s="1437"/>
      <c r="H22" s="1435"/>
      <c r="I22" s="1438"/>
      <c r="J22" s="1437"/>
      <c r="K22" s="1435"/>
      <c r="L22" s="1438"/>
      <c r="M22" s="1437"/>
      <c r="N22" s="1435"/>
      <c r="O22" s="1438"/>
      <c r="P22" s="1437"/>
      <c r="Q22" s="1435"/>
      <c r="R22" s="1438"/>
      <c r="S22" s="1437"/>
      <c r="T22" s="1435"/>
      <c r="U22" s="1438"/>
      <c r="V22" s="1437"/>
      <c r="W22" s="1435"/>
      <c r="X22" s="1438"/>
      <c r="Y22" s="1437"/>
      <c r="Z22" s="1434"/>
      <c r="AA22" s="1393"/>
      <c r="AB22" s="1427"/>
    </row>
    <row r="23" spans="1:28">
      <c r="A23" s="1393"/>
      <c r="B23" s="1428">
        <v>13</v>
      </c>
      <c r="C23" s="1429">
        <v>389.2</v>
      </c>
      <c r="D23" s="1430" t="s">
        <v>1309</v>
      </c>
      <c r="E23" s="1439"/>
      <c r="F23" s="1432">
        <v>0</v>
      </c>
      <c r="G23" s="1433"/>
      <c r="H23" s="1439"/>
      <c r="I23" s="1432">
        <v>0</v>
      </c>
      <c r="J23" s="1433"/>
      <c r="K23" s="1439"/>
      <c r="L23" s="1432">
        <v>0</v>
      </c>
      <c r="M23" s="1433"/>
      <c r="N23" s="1439">
        <v>85283.36</v>
      </c>
      <c r="O23" s="1432">
        <v>2.0299999999999999E-2</v>
      </c>
      <c r="P23" s="1433"/>
      <c r="Q23" s="1439">
        <v>74314.75</v>
      </c>
      <c r="R23" s="1432">
        <v>1.9800000000000002E-2</v>
      </c>
      <c r="S23" s="1433"/>
      <c r="T23" s="1439"/>
      <c r="U23" s="1432">
        <v>0</v>
      </c>
      <c r="V23" s="1433"/>
      <c r="W23" s="1439">
        <v>4867.6400000000003</v>
      </c>
      <c r="X23" s="1432">
        <v>1.17E-2</v>
      </c>
      <c r="Y23" s="1433"/>
      <c r="Z23" s="1434"/>
      <c r="AA23" s="1393"/>
      <c r="AB23" s="1427"/>
    </row>
    <row r="24" spans="1:28">
      <c r="A24" s="1393"/>
      <c r="B24" s="1428">
        <v>14</v>
      </c>
      <c r="C24" s="1429">
        <v>390</v>
      </c>
      <c r="D24" s="1430" t="s">
        <v>1310</v>
      </c>
      <c r="E24" s="1439">
        <v>87171037.641538456</v>
      </c>
      <c r="F24" s="1432">
        <v>1.8599999999999998E-2</v>
      </c>
      <c r="G24" s="1433"/>
      <c r="H24" s="1439">
        <v>13110670.026923077</v>
      </c>
      <c r="I24" s="1432">
        <v>2.52E-2</v>
      </c>
      <c r="J24" s="1433"/>
      <c r="K24" s="1439">
        <v>4105081.8015384618</v>
      </c>
      <c r="L24" s="1432">
        <v>1.7100000000000001E-2</v>
      </c>
      <c r="M24" s="1433"/>
      <c r="N24" s="1439">
        <v>95661319.535384625</v>
      </c>
      <c r="O24" s="1432">
        <v>1.5299999999999999E-2</v>
      </c>
      <c r="P24" s="1433"/>
      <c r="Q24" s="1439">
        <v>15142923.846153844</v>
      </c>
      <c r="R24" s="1432">
        <v>1.95E-2</v>
      </c>
      <c r="S24" s="1433"/>
      <c r="T24" s="1439">
        <v>385400.83999999991</v>
      </c>
      <c r="U24" s="1432">
        <v>1.5100000000000001E-2</v>
      </c>
      <c r="V24" s="1433"/>
      <c r="W24" s="1439">
        <v>13322986.048461538</v>
      </c>
      <c r="X24" s="1432">
        <v>1.6500000000000001E-2</v>
      </c>
      <c r="Y24" s="1433"/>
      <c r="Z24" s="1434"/>
      <c r="AA24" s="1393"/>
      <c r="AB24" s="1427"/>
    </row>
    <row r="25" spans="1:28">
      <c r="A25" s="1393"/>
      <c r="B25" s="1428">
        <v>15</v>
      </c>
      <c r="C25" s="1429">
        <v>390.3</v>
      </c>
      <c r="D25" s="1430" t="s">
        <v>1321</v>
      </c>
      <c r="E25" s="1439"/>
      <c r="F25" s="1432"/>
      <c r="G25" s="1433"/>
      <c r="H25" s="1439"/>
      <c r="I25" s="1432"/>
      <c r="J25" s="1433"/>
      <c r="K25" s="1439"/>
      <c r="L25" s="1432"/>
      <c r="M25" s="1433"/>
      <c r="N25" s="1439"/>
      <c r="O25" s="1432"/>
      <c r="P25" s="1433"/>
      <c r="Q25" s="1439"/>
      <c r="R25" s="1432"/>
      <c r="S25" s="1433"/>
      <c r="T25" s="1439"/>
      <c r="U25" s="1432"/>
      <c r="V25" s="1433"/>
      <c r="W25" s="1439"/>
      <c r="X25" s="1432"/>
      <c r="Y25" s="1433"/>
      <c r="Z25" s="1440">
        <v>6.6699999999999995E-2</v>
      </c>
      <c r="AA25" s="1393"/>
      <c r="AB25" s="1427"/>
    </row>
    <row r="26" spans="1:28">
      <c r="A26" s="1393"/>
      <c r="B26" s="1428">
        <v>16</v>
      </c>
      <c r="C26" s="1429">
        <v>391</v>
      </c>
      <c r="D26" s="1430" t="s">
        <v>1322</v>
      </c>
      <c r="E26" s="1439"/>
      <c r="F26" s="1432"/>
      <c r="G26" s="1433"/>
      <c r="H26" s="1439"/>
      <c r="I26" s="1432"/>
      <c r="J26" s="1433"/>
      <c r="K26" s="1439"/>
      <c r="L26" s="1432"/>
      <c r="M26" s="1433"/>
      <c r="N26" s="1439"/>
      <c r="O26" s="1432"/>
      <c r="P26" s="1433"/>
      <c r="Q26" s="1439"/>
      <c r="R26" s="1432"/>
      <c r="S26" s="1433"/>
      <c r="T26" s="1439"/>
      <c r="U26" s="1432"/>
      <c r="V26" s="1433"/>
      <c r="W26" s="1439"/>
      <c r="X26" s="1432"/>
      <c r="Y26" s="1433"/>
      <c r="Z26" s="1440">
        <v>0.05</v>
      </c>
      <c r="AA26" s="1393"/>
      <c r="AB26" s="1427"/>
    </row>
    <row r="27" spans="1:28">
      <c r="A27" s="1393"/>
      <c r="B27" s="1428">
        <v>17</v>
      </c>
      <c r="C27" s="1429">
        <v>391.2</v>
      </c>
      <c r="D27" s="1430" t="s">
        <v>1323</v>
      </c>
      <c r="E27" s="1439"/>
      <c r="F27" s="1432"/>
      <c r="G27" s="1433"/>
      <c r="H27" s="1439"/>
      <c r="I27" s="1432"/>
      <c r="J27" s="1433"/>
      <c r="K27" s="1439"/>
      <c r="L27" s="1432"/>
      <c r="M27" s="1433"/>
      <c r="N27" s="1439"/>
      <c r="O27" s="1432"/>
      <c r="P27" s="1433"/>
      <c r="Q27" s="1439"/>
      <c r="R27" s="1432"/>
      <c r="S27" s="1433"/>
      <c r="T27" s="1439"/>
      <c r="U27" s="1432"/>
      <c r="V27" s="1433"/>
      <c r="W27" s="1439"/>
      <c r="X27" s="1432"/>
      <c r="Y27" s="1433"/>
      <c r="Z27" s="1440">
        <v>0.2</v>
      </c>
      <c r="AA27" s="1393"/>
      <c r="AB27" s="1427"/>
    </row>
    <row r="28" spans="1:28">
      <c r="A28" s="1393"/>
      <c r="B28" s="1428">
        <v>18</v>
      </c>
      <c r="C28" s="1429">
        <v>393</v>
      </c>
      <c r="D28" s="1430" t="s">
        <v>1324</v>
      </c>
      <c r="E28" s="1439"/>
      <c r="F28" s="1432"/>
      <c r="G28" s="1433"/>
      <c r="H28" s="1439"/>
      <c r="I28" s="1432"/>
      <c r="J28" s="1433"/>
      <c r="K28" s="1439"/>
      <c r="L28" s="1432"/>
      <c r="M28" s="1433"/>
      <c r="N28" s="1439"/>
      <c r="O28" s="1432"/>
      <c r="P28" s="1433"/>
      <c r="Q28" s="1439"/>
      <c r="R28" s="1432"/>
      <c r="S28" s="1433"/>
      <c r="T28" s="1439"/>
      <c r="U28" s="1432"/>
      <c r="V28" s="1433"/>
      <c r="W28" s="1439"/>
      <c r="X28" s="1432"/>
      <c r="Y28" s="1433"/>
      <c r="Z28" s="1440">
        <v>0.04</v>
      </c>
      <c r="AA28" s="1393"/>
      <c r="AB28" s="1427"/>
    </row>
    <row r="29" spans="1:28">
      <c r="A29" s="1393"/>
      <c r="B29" s="1428">
        <v>19</v>
      </c>
      <c r="C29" s="1429">
        <v>394</v>
      </c>
      <c r="D29" s="1430" t="s">
        <v>1325</v>
      </c>
      <c r="E29" s="1439"/>
      <c r="F29" s="1432"/>
      <c r="G29" s="1433"/>
      <c r="H29" s="1439"/>
      <c r="I29" s="1432"/>
      <c r="J29" s="1433"/>
      <c r="K29" s="1439"/>
      <c r="L29" s="1432"/>
      <c r="M29" s="1433"/>
      <c r="N29" s="1439"/>
      <c r="O29" s="1432"/>
      <c r="P29" s="1433"/>
      <c r="Q29" s="1439"/>
      <c r="R29" s="1432"/>
      <c r="S29" s="1433"/>
      <c r="T29" s="1439"/>
      <c r="U29" s="1432"/>
      <c r="V29" s="1433"/>
      <c r="W29" s="1439"/>
      <c r="X29" s="1432"/>
      <c r="Y29" s="1433"/>
      <c r="Z29" s="1440">
        <v>4.1700000000000001E-2</v>
      </c>
      <c r="AA29" s="1393"/>
      <c r="AB29" s="1427"/>
    </row>
    <row r="30" spans="1:28">
      <c r="A30" s="1393"/>
      <c r="B30" s="1428">
        <v>20</v>
      </c>
      <c r="C30" s="1429">
        <v>395</v>
      </c>
      <c r="D30" s="1430" t="s">
        <v>1326</v>
      </c>
      <c r="E30" s="1439"/>
      <c r="F30" s="1432"/>
      <c r="G30" s="1433"/>
      <c r="H30" s="1439"/>
      <c r="I30" s="1432"/>
      <c r="J30" s="1433"/>
      <c r="K30" s="1439"/>
      <c r="L30" s="1432"/>
      <c r="M30" s="1433"/>
      <c r="N30" s="1439"/>
      <c r="O30" s="1432"/>
      <c r="P30" s="1433"/>
      <c r="Q30" s="1439"/>
      <c r="R30" s="1432"/>
      <c r="S30" s="1433"/>
      <c r="T30" s="1439"/>
      <c r="U30" s="1432"/>
      <c r="V30" s="1433"/>
      <c r="W30" s="1439"/>
      <c r="X30" s="1432"/>
      <c r="Y30" s="1433"/>
      <c r="Z30" s="1440">
        <v>0.05</v>
      </c>
      <c r="AA30" s="1393"/>
      <c r="AB30" s="1427"/>
    </row>
    <row r="31" spans="1:28">
      <c r="A31" s="1393"/>
      <c r="B31" s="1428">
        <v>21</v>
      </c>
      <c r="C31" s="1429">
        <v>397</v>
      </c>
      <c r="D31" s="1430" t="s">
        <v>1327</v>
      </c>
      <c r="E31" s="1439"/>
      <c r="F31" s="1441"/>
      <c r="G31" s="1433"/>
      <c r="H31" s="1439"/>
      <c r="I31" s="1441"/>
      <c r="J31" s="1433"/>
      <c r="K31" s="1439"/>
      <c r="L31" s="1441"/>
      <c r="M31" s="1433"/>
      <c r="N31" s="1439"/>
      <c r="O31" s="1441"/>
      <c r="P31" s="1433"/>
      <c r="Q31" s="1439"/>
      <c r="R31" s="1441"/>
      <c r="S31" s="1433"/>
      <c r="T31" s="1439"/>
      <c r="U31" s="1441"/>
      <c r="V31" s="1433"/>
      <c r="W31" s="1439"/>
      <c r="X31" s="1441"/>
      <c r="Y31" s="1433"/>
      <c r="Z31" s="1440">
        <v>4.2999999999999997E-2</v>
      </c>
      <c r="AA31" s="1393"/>
      <c r="AB31" s="1427"/>
    </row>
    <row r="32" spans="1:28">
      <c r="A32" s="1393"/>
      <c r="B32" s="1428">
        <v>22</v>
      </c>
      <c r="C32" s="1429">
        <v>397.2</v>
      </c>
      <c r="D32" s="1430" t="s">
        <v>1328</v>
      </c>
      <c r="E32" s="1439"/>
      <c r="F32" s="1432"/>
      <c r="G32" s="1433"/>
      <c r="H32" s="1439"/>
      <c r="I32" s="1432"/>
      <c r="J32" s="1433"/>
      <c r="K32" s="1439"/>
      <c r="L32" s="1432"/>
      <c r="M32" s="1433"/>
      <c r="N32" s="1439"/>
      <c r="O32" s="1432"/>
      <c r="P32" s="1433"/>
      <c r="Q32" s="1439"/>
      <c r="R32" s="1432"/>
      <c r="S32" s="1433"/>
      <c r="T32" s="1439"/>
      <c r="U32" s="1432"/>
      <c r="V32" s="1433"/>
      <c r="W32" s="1439"/>
      <c r="X32" s="1432"/>
      <c r="Y32" s="1433"/>
      <c r="Z32" s="1440">
        <v>9.0899999999999995E-2</v>
      </c>
      <c r="AA32" s="1393"/>
      <c r="AB32" s="1427"/>
    </row>
    <row r="33" spans="1:28">
      <c r="A33" s="1393"/>
      <c r="B33" s="1428">
        <v>23</v>
      </c>
      <c r="C33" s="1429">
        <v>398</v>
      </c>
      <c r="D33" s="1430" t="s">
        <v>1329</v>
      </c>
      <c r="E33" s="1439"/>
      <c r="F33" s="1432"/>
      <c r="G33" s="1433"/>
      <c r="H33" s="1439"/>
      <c r="I33" s="1432"/>
      <c r="J33" s="1433"/>
      <c r="K33" s="1439"/>
      <c r="L33" s="1432"/>
      <c r="M33" s="1433"/>
      <c r="N33" s="1439"/>
      <c r="O33" s="1432"/>
      <c r="P33" s="1433"/>
      <c r="Q33" s="1439"/>
      <c r="R33" s="1432"/>
      <c r="S33" s="1433"/>
      <c r="T33" s="1439"/>
      <c r="U33" s="1432"/>
      <c r="V33" s="1433"/>
      <c r="W33" s="1439"/>
      <c r="X33" s="1432"/>
      <c r="Y33" s="1433"/>
      <c r="Z33" s="1440">
        <v>0.05</v>
      </c>
      <c r="AA33" s="1393"/>
      <c r="AB33" s="1427"/>
    </row>
    <row r="34" spans="1:28">
      <c r="A34" s="1393"/>
      <c r="B34" s="1428">
        <v>24</v>
      </c>
      <c r="C34" s="1429"/>
      <c r="D34" s="1430" t="s">
        <v>1330</v>
      </c>
      <c r="E34" s="1439">
        <v>16350779.826153845</v>
      </c>
      <c r="F34" s="1432">
        <v>3.5900000000000001E-2</v>
      </c>
      <c r="G34" s="1433"/>
      <c r="H34" s="1439">
        <v>1658608.9623076925</v>
      </c>
      <c r="I34" s="1432">
        <v>4.2099999999999999E-2</v>
      </c>
      <c r="J34" s="1433"/>
      <c r="K34" s="1439">
        <v>351499.42846153851</v>
      </c>
      <c r="L34" s="1432">
        <v>3.8300000000000001E-2</v>
      </c>
      <c r="M34" s="1433"/>
      <c r="N34" s="1439">
        <v>8648066.235384617</v>
      </c>
      <c r="O34" s="1432">
        <v>3.4200000000000001E-2</v>
      </c>
      <c r="P34" s="1433"/>
      <c r="Q34" s="1439">
        <v>1779536.1423076924</v>
      </c>
      <c r="R34" s="1432">
        <v>4.6600000000000003E-2</v>
      </c>
      <c r="S34" s="1433"/>
      <c r="T34" s="1439">
        <v>118617.87076923078</v>
      </c>
      <c r="U34" s="1432">
        <v>1.9300000000000001E-2</v>
      </c>
      <c r="V34" s="1433"/>
      <c r="W34" s="1439">
        <v>514153.35230769229</v>
      </c>
      <c r="X34" s="1432">
        <v>3.1699999999999999E-2</v>
      </c>
      <c r="Y34" s="1433"/>
      <c r="Z34" s="1434"/>
      <c r="AA34" s="1393"/>
      <c r="AB34" s="1427"/>
    </row>
    <row r="35" spans="1:28">
      <c r="A35" s="1393"/>
      <c r="B35" s="1428"/>
      <c r="C35" s="1429"/>
      <c r="D35" s="1430"/>
      <c r="E35" s="1442"/>
      <c r="F35" s="1438"/>
      <c r="G35" s="1437"/>
      <c r="H35" s="1435"/>
      <c r="I35" s="1438"/>
      <c r="J35" s="1437"/>
      <c r="K35" s="1435"/>
      <c r="L35" s="1438"/>
      <c r="M35" s="1437"/>
      <c r="N35" s="1435"/>
      <c r="O35" s="1438"/>
      <c r="P35" s="1437"/>
      <c r="Q35" s="1435"/>
      <c r="R35" s="1438"/>
      <c r="S35" s="1437"/>
      <c r="T35" s="1435"/>
      <c r="U35" s="1438"/>
      <c r="V35" s="1437"/>
      <c r="W35" s="1435"/>
      <c r="X35" s="1438"/>
      <c r="Y35" s="1437"/>
      <c r="Z35" s="1434"/>
      <c r="AA35" s="1393"/>
      <c r="AB35" s="1427"/>
    </row>
    <row r="36" spans="1:28">
      <c r="A36" s="1393"/>
      <c r="B36" s="1428">
        <v>25</v>
      </c>
      <c r="C36" s="1429">
        <v>302</v>
      </c>
      <c r="D36" s="1430" t="s">
        <v>1331</v>
      </c>
      <c r="E36" s="1431"/>
      <c r="F36" s="1432"/>
      <c r="G36" s="1433"/>
      <c r="H36" s="1431"/>
      <c r="I36" s="1432"/>
      <c r="J36" s="1433"/>
      <c r="K36" s="1431"/>
      <c r="L36" s="1432"/>
      <c r="M36" s="1433"/>
      <c r="N36" s="1431"/>
      <c r="O36" s="1432"/>
      <c r="P36" s="1433"/>
      <c r="Q36" s="1431"/>
      <c r="R36" s="1432"/>
      <c r="S36" s="1433"/>
      <c r="T36" s="1431"/>
      <c r="U36" s="1432"/>
      <c r="V36" s="1433"/>
      <c r="W36" s="1431"/>
      <c r="X36" s="1432"/>
      <c r="Y36" s="1433"/>
      <c r="Z36" s="1434">
        <v>6.7000000000000004E-2</v>
      </c>
      <c r="AA36" s="1393"/>
      <c r="AB36" s="1427"/>
    </row>
    <row r="37" spans="1:28">
      <c r="A37" s="1393"/>
      <c r="B37" s="1428">
        <v>26</v>
      </c>
      <c r="C37" s="1429">
        <v>303</v>
      </c>
      <c r="D37" s="1430" t="s">
        <v>1332</v>
      </c>
      <c r="E37" s="1431"/>
      <c r="F37" s="1432"/>
      <c r="G37" s="1433"/>
      <c r="H37" s="1431"/>
      <c r="I37" s="1432"/>
      <c r="J37" s="1433"/>
      <c r="K37" s="1431"/>
      <c r="L37" s="1432"/>
      <c r="M37" s="1433"/>
      <c r="N37" s="1431"/>
      <c r="O37" s="1432"/>
      <c r="P37" s="1433"/>
      <c r="Q37" s="1431"/>
      <c r="R37" s="1432"/>
      <c r="S37" s="1433"/>
      <c r="T37" s="1431"/>
      <c r="U37" s="1432"/>
      <c r="V37" s="1433"/>
      <c r="W37" s="1431"/>
      <c r="X37" s="1432"/>
      <c r="Y37" s="1433"/>
      <c r="Z37" s="1434">
        <v>4.8300000000000003E-2</v>
      </c>
      <c r="AA37" s="1393"/>
      <c r="AB37" s="1427"/>
    </row>
    <row r="38" spans="1:28" ht="15.75" thickBot="1">
      <c r="A38" s="1393"/>
      <c r="B38" s="1443">
        <v>27</v>
      </c>
      <c r="C38" s="1444">
        <v>390.1</v>
      </c>
      <c r="D38" s="1445" t="s">
        <v>1333</v>
      </c>
      <c r="E38" s="1446"/>
      <c r="F38" s="1447"/>
      <c r="G38" s="1448"/>
      <c r="H38" s="1446"/>
      <c r="I38" s="1447"/>
      <c r="J38" s="1448"/>
      <c r="K38" s="1446"/>
      <c r="L38" s="1447"/>
      <c r="M38" s="1448"/>
      <c r="N38" s="1446"/>
      <c r="O38" s="1447"/>
      <c r="P38" s="1448"/>
      <c r="Q38" s="1446"/>
      <c r="R38" s="1447"/>
      <c r="S38" s="1448"/>
      <c r="T38" s="1446"/>
      <c r="U38" s="1447"/>
      <c r="V38" s="1448"/>
      <c r="W38" s="1446"/>
      <c r="X38" s="1447"/>
      <c r="Y38" s="1448"/>
      <c r="Z38" s="1449">
        <v>3.9699999999999999E-2</v>
      </c>
      <c r="AA38" s="1393"/>
      <c r="AB38" s="1427"/>
    </row>
    <row r="39" spans="1:28">
      <c r="A39" s="1393"/>
      <c r="B39" s="1433"/>
      <c r="C39" s="1433"/>
      <c r="D39" s="1397"/>
      <c r="E39" s="1433"/>
      <c r="F39" s="1397"/>
      <c r="G39" s="1397"/>
      <c r="H39" s="1433"/>
      <c r="I39" s="1397"/>
      <c r="J39" s="1397"/>
      <c r="K39" s="1433"/>
      <c r="L39" s="1397"/>
      <c r="M39" s="1397"/>
      <c r="N39" s="1433"/>
      <c r="O39" s="1397"/>
      <c r="P39" s="1397"/>
      <c r="Q39" s="1433"/>
      <c r="R39" s="1397"/>
      <c r="S39" s="1397"/>
      <c r="T39" s="1433"/>
      <c r="U39" s="1397"/>
      <c r="V39" s="1397"/>
      <c r="W39" s="1433"/>
      <c r="X39" s="1397"/>
      <c r="Y39" s="1397"/>
      <c r="Z39" s="1393"/>
      <c r="AA39" s="1393"/>
      <c r="AB39" s="1393"/>
    </row>
    <row r="40" spans="1:28">
      <c r="A40" s="1393"/>
      <c r="B40" s="1433"/>
      <c r="C40" s="1433"/>
      <c r="D40" s="1397"/>
      <c r="E40" s="1450"/>
      <c r="F40" s="1397"/>
      <c r="G40" s="1397"/>
      <c r="H40" s="1450"/>
      <c r="I40" s="1397"/>
      <c r="J40" s="1450"/>
      <c r="K40" s="1450"/>
      <c r="L40" s="1397"/>
      <c r="M40" s="1397"/>
      <c r="N40" s="1450"/>
      <c r="O40" s="1397"/>
      <c r="P40" s="1397"/>
      <c r="Q40" s="1450"/>
      <c r="R40" s="1397"/>
      <c r="S40" s="1397"/>
      <c r="T40" s="1450"/>
      <c r="U40" s="1397"/>
      <c r="V40" s="1397"/>
      <c r="W40" s="1450"/>
      <c r="X40" s="1397"/>
      <c r="Y40" s="1397"/>
      <c r="Z40" s="1451"/>
      <c r="AA40" s="1393"/>
      <c r="AB40" s="1393"/>
    </row>
    <row r="41" spans="1:28">
      <c r="A41" s="1393"/>
      <c r="B41" s="2459" t="s">
        <v>6</v>
      </c>
      <c r="C41" s="2459"/>
      <c r="D41" s="1397"/>
      <c r="E41" s="1397"/>
      <c r="F41" s="1397"/>
      <c r="G41" s="1397"/>
      <c r="H41" s="1397"/>
      <c r="I41" s="1397"/>
      <c r="J41" s="1397"/>
      <c r="K41" s="1397"/>
      <c r="L41" s="1397"/>
      <c r="M41" s="1397"/>
      <c r="N41" s="1397"/>
      <c r="O41" s="1397"/>
      <c r="P41" s="1397"/>
      <c r="Q41" s="1397"/>
      <c r="R41" s="1397"/>
      <c r="S41" s="1397"/>
      <c r="T41" s="1397"/>
      <c r="U41" s="1397"/>
      <c r="V41" s="1397"/>
      <c r="W41" s="1397"/>
      <c r="X41" s="1397"/>
      <c r="Y41" s="1397"/>
      <c r="Z41" s="1451"/>
      <c r="AA41" s="1393"/>
      <c r="AB41" s="1393"/>
    </row>
    <row r="42" spans="1:28">
      <c r="A42" s="1393"/>
      <c r="B42" s="1452">
        <v>1</v>
      </c>
      <c r="C42" s="2456" t="s">
        <v>1334</v>
      </c>
      <c r="D42" s="2456"/>
      <c r="E42" s="2456"/>
      <c r="F42" s="2456"/>
      <c r="G42" s="2456"/>
      <c r="H42" s="2456"/>
      <c r="I42" s="2456"/>
      <c r="J42" s="2456"/>
      <c r="K42" s="2456"/>
      <c r="L42" s="2456"/>
      <c r="M42" s="2456"/>
      <c r="N42" s="2456"/>
      <c r="O42" s="2456"/>
      <c r="P42" s="2456"/>
      <c r="Q42" s="2456"/>
      <c r="R42" s="2456"/>
      <c r="S42" s="2456"/>
      <c r="T42" s="1393"/>
      <c r="U42" s="1453"/>
      <c r="V42" s="1453"/>
      <c r="W42" s="1453"/>
      <c r="X42" s="1453"/>
      <c r="Y42" s="1453"/>
      <c r="Z42" s="1453"/>
      <c r="AA42" s="1453"/>
      <c r="AB42" s="1453"/>
    </row>
    <row r="43" spans="1:28">
      <c r="A43" s="1393"/>
      <c r="B43" s="1452">
        <v>2</v>
      </c>
      <c r="C43" s="2460" t="s">
        <v>1335</v>
      </c>
      <c r="D43" s="2460"/>
      <c r="E43" s="2460"/>
      <c r="F43" s="2460"/>
      <c r="G43" s="2460"/>
      <c r="H43" s="2460"/>
      <c r="I43" s="2460"/>
      <c r="J43" s="2460"/>
      <c r="K43" s="2460"/>
      <c r="L43" s="2460"/>
      <c r="M43" s="2460"/>
      <c r="N43" s="2460"/>
      <c r="O43" s="2460"/>
      <c r="P43" s="2460"/>
      <c r="Q43" s="2460"/>
      <c r="R43" s="2460"/>
      <c r="S43" s="2460"/>
      <c r="T43" s="1454"/>
      <c r="U43" s="1454"/>
      <c r="V43" s="1454"/>
      <c r="W43" s="1454"/>
      <c r="X43" s="1454"/>
      <c r="Y43" s="1454"/>
      <c r="Z43" s="1393"/>
      <c r="AA43" s="1393"/>
      <c r="AB43" s="1453"/>
    </row>
    <row r="44" spans="1:28">
      <c r="A44" s="1393"/>
      <c r="B44" s="1452">
        <v>3</v>
      </c>
      <c r="C44" s="2460" t="s">
        <v>1336</v>
      </c>
      <c r="D44" s="2460"/>
      <c r="E44" s="2460"/>
      <c r="F44" s="2460"/>
      <c r="G44" s="2460"/>
      <c r="H44" s="2460"/>
      <c r="I44" s="2460"/>
      <c r="J44" s="2460"/>
      <c r="K44" s="2460"/>
      <c r="L44" s="2460"/>
      <c r="M44" s="2460"/>
      <c r="N44" s="2460"/>
      <c r="O44" s="2460"/>
      <c r="P44" s="2460"/>
      <c r="Q44" s="2460"/>
      <c r="R44" s="2460"/>
      <c r="S44" s="2460"/>
      <c r="T44" s="1455"/>
      <c r="U44" s="1455"/>
      <c r="V44" s="1455"/>
      <c r="W44" s="1455"/>
      <c r="X44" s="1455"/>
      <c r="Y44" s="1455"/>
      <c r="Z44" s="1393"/>
      <c r="AA44" s="1393"/>
      <c r="AB44" s="1453"/>
    </row>
    <row r="45" spans="1:28">
      <c r="A45" s="1393"/>
      <c r="B45" s="1452">
        <v>4</v>
      </c>
      <c r="C45" s="2460" t="s">
        <v>1337</v>
      </c>
      <c r="D45" s="2460"/>
      <c r="E45" s="2460"/>
      <c r="F45" s="2460"/>
      <c r="G45" s="2460"/>
      <c r="H45" s="2460"/>
      <c r="I45" s="2460"/>
      <c r="J45" s="2460"/>
      <c r="K45" s="2460"/>
      <c r="L45" s="2460"/>
      <c r="M45" s="2460"/>
      <c r="N45" s="2460"/>
      <c r="O45" s="2460"/>
      <c r="P45" s="2460"/>
      <c r="Q45" s="2460"/>
      <c r="R45" s="2460"/>
      <c r="S45" s="2460"/>
      <c r="T45" s="1455"/>
      <c r="U45" s="1455"/>
      <c r="V45" s="1455"/>
      <c r="W45" s="1455"/>
      <c r="X45" s="1455"/>
      <c r="Y45" s="1455"/>
      <c r="Z45" s="1393"/>
      <c r="AA45" s="1393"/>
      <c r="AB45" s="1453"/>
    </row>
    <row r="46" spans="1:28">
      <c r="A46" s="1393"/>
      <c r="B46" s="1452">
        <v>5</v>
      </c>
      <c r="C46" s="2456" t="s">
        <v>1338</v>
      </c>
      <c r="D46" s="2456"/>
      <c r="E46" s="2456"/>
      <c r="F46" s="2456"/>
      <c r="G46" s="2456"/>
      <c r="H46" s="2456"/>
      <c r="I46" s="2456"/>
      <c r="J46" s="2456"/>
      <c r="K46" s="2456"/>
      <c r="L46" s="2456"/>
      <c r="M46" s="2456"/>
      <c r="N46" s="2456"/>
      <c r="O46" s="2456"/>
      <c r="P46" s="2456"/>
      <c r="Q46" s="2456"/>
      <c r="R46" s="2456"/>
      <c r="S46" s="2456"/>
      <c r="T46" s="1454"/>
      <c r="U46" s="1453"/>
      <c r="V46" s="1453"/>
      <c r="W46" s="1453"/>
      <c r="X46" s="1453"/>
      <c r="Y46" s="1453"/>
      <c r="Z46" s="1453"/>
      <c r="AA46" s="1453"/>
      <c r="AB46" s="1453"/>
    </row>
    <row r="47" spans="1:28">
      <c r="A47" s="1393"/>
      <c r="B47" s="1452">
        <v>6</v>
      </c>
      <c r="C47" s="2456" t="s">
        <v>1339</v>
      </c>
      <c r="D47" s="2456"/>
      <c r="E47" s="2456"/>
      <c r="F47" s="2456"/>
      <c r="G47" s="2456"/>
      <c r="H47" s="2456"/>
      <c r="I47" s="2456"/>
      <c r="J47" s="2456"/>
      <c r="K47" s="2456"/>
      <c r="L47" s="2456"/>
      <c r="M47" s="2456"/>
      <c r="N47" s="2456"/>
      <c r="O47" s="2456"/>
      <c r="P47" s="2456"/>
      <c r="Q47" s="2456"/>
      <c r="R47" s="2456"/>
      <c r="S47" s="2456"/>
      <c r="T47" s="1454"/>
      <c r="U47" s="1453"/>
      <c r="V47" s="1453"/>
      <c r="W47" s="1453"/>
      <c r="X47" s="1453"/>
      <c r="Y47" s="1453"/>
      <c r="Z47" s="1453"/>
      <c r="AA47" s="1453"/>
      <c r="AB47" s="1453"/>
    </row>
    <row r="48" spans="1:28">
      <c r="A48" s="1393"/>
      <c r="B48" s="1452">
        <v>7</v>
      </c>
      <c r="C48" s="2456" t="s">
        <v>1340</v>
      </c>
      <c r="D48" s="2456"/>
      <c r="E48" s="2456"/>
      <c r="F48" s="2456"/>
      <c r="G48" s="2456"/>
      <c r="H48" s="2456"/>
      <c r="I48" s="2456"/>
      <c r="J48" s="2456"/>
      <c r="K48" s="2456"/>
      <c r="L48" s="2456"/>
      <c r="M48" s="2456"/>
      <c r="N48" s="2456"/>
      <c r="O48" s="2456"/>
      <c r="P48" s="2456"/>
      <c r="Q48" s="2456"/>
      <c r="R48" s="2456"/>
      <c r="S48" s="2456"/>
      <c r="T48" s="1454"/>
      <c r="U48" s="1453"/>
      <c r="V48" s="1453"/>
      <c r="W48" s="1453"/>
      <c r="X48" s="1453"/>
      <c r="Y48" s="1453"/>
      <c r="Z48" s="1453"/>
      <c r="AA48" s="1453"/>
      <c r="AB48" s="1453"/>
    </row>
    <row r="49" spans="1:28">
      <c r="A49" s="1393"/>
      <c r="B49" s="1452">
        <v>8</v>
      </c>
      <c r="C49" s="2456" t="s">
        <v>1341</v>
      </c>
      <c r="D49" s="2456"/>
      <c r="E49" s="2456"/>
      <c r="F49" s="2456"/>
      <c r="G49" s="2456"/>
      <c r="H49" s="2456"/>
      <c r="I49" s="2456"/>
      <c r="J49" s="2456"/>
      <c r="K49" s="2456"/>
      <c r="L49" s="2456"/>
      <c r="M49" s="2456"/>
      <c r="N49" s="2456"/>
      <c r="O49" s="2456"/>
      <c r="P49" s="2456"/>
      <c r="Q49" s="2456"/>
      <c r="R49" s="2456"/>
      <c r="S49" s="2456"/>
      <c r="T49" s="1454"/>
      <c r="U49" s="1453"/>
      <c r="V49" s="1453"/>
      <c r="W49" s="1453"/>
      <c r="X49" s="1453"/>
      <c r="Y49" s="1453"/>
      <c r="Z49" s="1453"/>
      <c r="AA49" s="1453"/>
      <c r="AB49" s="1453"/>
    </row>
    <row r="50" spans="1:28">
      <c r="A50" s="1393"/>
      <c r="B50" s="1452">
        <v>9</v>
      </c>
      <c r="C50" s="2456" t="s">
        <v>1342</v>
      </c>
      <c r="D50" s="2456"/>
      <c r="E50" s="2456"/>
      <c r="F50" s="2456"/>
      <c r="G50" s="2456"/>
      <c r="H50" s="2456"/>
      <c r="I50" s="2456"/>
      <c r="J50" s="2456"/>
      <c r="K50" s="2456"/>
      <c r="L50" s="2456"/>
      <c r="M50" s="2456"/>
      <c r="N50" s="2456"/>
      <c r="O50" s="2456"/>
      <c r="P50" s="2456"/>
      <c r="Q50" s="2456"/>
      <c r="R50" s="2456"/>
      <c r="S50" s="2456"/>
      <c r="T50" s="1454"/>
      <c r="U50" s="1453"/>
      <c r="V50" s="1453"/>
      <c r="W50" s="1453"/>
      <c r="X50" s="1453"/>
      <c r="Y50" s="1453"/>
      <c r="Z50" s="1453"/>
      <c r="AA50" s="1453"/>
      <c r="AB50" s="1453"/>
    </row>
    <row r="51" spans="1:28">
      <c r="A51" s="1393"/>
      <c r="B51" s="1452">
        <v>10</v>
      </c>
      <c r="C51" s="2456" t="s">
        <v>1343</v>
      </c>
      <c r="D51" s="2456"/>
      <c r="E51" s="2456"/>
      <c r="F51" s="2456"/>
      <c r="G51" s="2456"/>
      <c r="H51" s="2456"/>
      <c r="I51" s="2456"/>
      <c r="J51" s="2456"/>
      <c r="K51" s="2456"/>
      <c r="L51" s="2456"/>
      <c r="M51" s="2456"/>
      <c r="N51" s="2456"/>
      <c r="O51" s="2456"/>
      <c r="P51" s="2456"/>
      <c r="Q51" s="2456"/>
      <c r="R51" s="2456"/>
      <c r="S51" s="2456"/>
      <c r="T51" s="1454"/>
      <c r="U51" s="1453"/>
      <c r="V51" s="1453"/>
      <c r="W51" s="1453"/>
      <c r="X51" s="1453"/>
      <c r="Y51" s="1453"/>
      <c r="Z51" s="1453"/>
      <c r="AA51" s="1453"/>
      <c r="AB51" s="1453"/>
    </row>
    <row r="52" spans="1:28">
      <c r="A52" s="1393"/>
      <c r="B52" s="1452">
        <v>11</v>
      </c>
      <c r="C52" s="2456" t="s">
        <v>1344</v>
      </c>
      <c r="D52" s="2456"/>
      <c r="E52" s="2456"/>
      <c r="F52" s="2456"/>
      <c r="G52" s="2456"/>
      <c r="H52" s="2456"/>
      <c r="I52" s="2456"/>
      <c r="J52" s="2456"/>
      <c r="K52" s="2456"/>
      <c r="L52" s="2456"/>
      <c r="M52" s="2456"/>
      <c r="N52" s="2456"/>
      <c r="O52" s="2456"/>
      <c r="P52" s="2456"/>
      <c r="Q52" s="2456"/>
      <c r="R52" s="2456"/>
      <c r="S52" s="2456"/>
      <c r="T52" s="1454"/>
      <c r="U52" s="1453"/>
      <c r="V52" s="1453"/>
      <c r="W52" s="1453"/>
      <c r="X52" s="1453"/>
      <c r="Y52" s="1453"/>
      <c r="Z52" s="1453"/>
      <c r="AA52" s="1453"/>
      <c r="AB52" s="1453"/>
    </row>
    <row r="53" spans="1:28">
      <c r="A53" s="1393"/>
      <c r="B53" s="1452">
        <v>12</v>
      </c>
      <c r="C53" s="2456" t="s">
        <v>1345</v>
      </c>
      <c r="D53" s="2456"/>
      <c r="E53" s="2456"/>
      <c r="F53" s="2456"/>
      <c r="G53" s="2456"/>
      <c r="H53" s="2456"/>
      <c r="I53" s="2456"/>
      <c r="J53" s="2456"/>
      <c r="K53" s="2456"/>
      <c r="L53" s="2456"/>
      <c r="M53" s="2456"/>
      <c r="N53" s="2456"/>
      <c r="O53" s="2456"/>
      <c r="P53" s="2456"/>
      <c r="Q53" s="2456"/>
      <c r="R53" s="2456"/>
      <c r="S53" s="2456"/>
      <c r="T53" s="1454"/>
      <c r="U53" s="1453"/>
      <c r="V53" s="1453"/>
      <c r="W53" s="1453"/>
      <c r="X53" s="1453"/>
      <c r="Y53" s="1453"/>
      <c r="Z53" s="1453"/>
      <c r="AA53" s="1453"/>
      <c r="AB53" s="1453"/>
    </row>
    <row r="54" spans="1:28">
      <c r="A54" s="1393"/>
      <c r="B54" s="1452">
        <v>13</v>
      </c>
      <c r="C54" s="1393" t="s">
        <v>1346</v>
      </c>
      <c r="D54" s="1397"/>
      <c r="E54" s="1397"/>
      <c r="F54" s="1397"/>
      <c r="G54" s="1397"/>
      <c r="H54" s="1397"/>
      <c r="I54" s="1397"/>
      <c r="J54" s="1397"/>
      <c r="K54" s="1397"/>
      <c r="L54" s="1397"/>
      <c r="M54" s="1397"/>
      <c r="N54" s="1397"/>
      <c r="O54" s="1397"/>
      <c r="P54" s="1397"/>
      <c r="Q54" s="1397"/>
      <c r="R54" s="1397"/>
      <c r="S54" s="1397"/>
      <c r="T54" s="1397"/>
      <c r="U54" s="1397"/>
      <c r="V54" s="1397"/>
      <c r="W54" s="1397"/>
      <c r="X54" s="1397"/>
      <c r="Y54" s="1397"/>
      <c r="Z54" s="1393"/>
      <c r="AA54" s="1393"/>
      <c r="AB54" s="1393"/>
    </row>
    <row r="55" spans="1:28">
      <c r="A55" s="1394"/>
      <c r="B55" s="1394"/>
      <c r="C55" s="1394"/>
      <c r="D55" s="1394"/>
      <c r="E55" s="1394"/>
      <c r="F55" s="1394"/>
      <c r="G55" s="1394"/>
      <c r="H55" s="1394"/>
      <c r="I55" s="1394"/>
      <c r="J55" s="1394"/>
      <c r="K55" s="1394"/>
      <c r="L55" s="1394"/>
      <c r="M55" s="1394"/>
      <c r="N55" s="1394"/>
      <c r="O55" s="1394"/>
      <c r="P55" s="1394"/>
      <c r="Q55" s="1394"/>
      <c r="R55" s="1394"/>
      <c r="S55" s="1394"/>
      <c r="T55" s="1394"/>
      <c r="U55" s="1394"/>
      <c r="V55" s="1394"/>
      <c r="W55" s="1394"/>
      <c r="X55" s="1394"/>
      <c r="Y55" s="1394"/>
      <c r="Z55" s="1394"/>
      <c r="AA55" s="1394"/>
      <c r="AB55" s="1394"/>
    </row>
    <row r="56" spans="1:28">
      <c r="A56" s="1394"/>
      <c r="B56" s="1394"/>
      <c r="C56" s="1394"/>
      <c r="D56" s="1394"/>
      <c r="E56" s="1394"/>
      <c r="F56" s="1394"/>
      <c r="G56" s="1394"/>
      <c r="H56" s="1394"/>
      <c r="I56" s="1394"/>
      <c r="J56" s="1394"/>
      <c r="K56" s="1394"/>
      <c r="L56" s="1394"/>
      <c r="M56" s="1394"/>
      <c r="N56" s="1394"/>
      <c r="O56" s="1394"/>
      <c r="P56" s="1394"/>
      <c r="Q56" s="1394"/>
      <c r="R56" s="1394"/>
      <c r="S56" s="1394"/>
      <c r="T56" s="1394"/>
      <c r="U56" s="1394"/>
      <c r="V56" s="1394"/>
      <c r="W56" s="1394"/>
      <c r="X56" s="1394"/>
      <c r="Y56" s="1394"/>
      <c r="Z56" s="1394"/>
      <c r="AA56" s="1394"/>
      <c r="AB56" s="1394"/>
    </row>
    <row r="57" spans="1:28">
      <c r="A57" s="1394"/>
      <c r="B57" s="1394"/>
      <c r="C57" s="1394"/>
      <c r="D57" s="1394"/>
      <c r="E57" s="1394"/>
      <c r="F57" s="1394"/>
      <c r="G57" s="1394"/>
      <c r="H57" s="1394"/>
      <c r="I57" s="1394"/>
      <c r="J57" s="1394"/>
      <c r="K57" s="1394"/>
      <c r="L57" s="1394"/>
      <c r="M57" s="1394"/>
      <c r="N57" s="1394"/>
      <c r="O57" s="1394"/>
      <c r="P57" s="1394"/>
      <c r="Q57" s="1394"/>
      <c r="R57" s="1394"/>
      <c r="S57" s="1394"/>
      <c r="T57" s="1394"/>
      <c r="U57" s="1394"/>
      <c r="V57" s="1394"/>
      <c r="W57" s="1394"/>
      <c r="X57" s="1394"/>
      <c r="Y57" s="1394"/>
      <c r="Z57" s="1394"/>
      <c r="AA57" s="1394"/>
      <c r="AB57" s="1394"/>
    </row>
    <row r="58" spans="1:28">
      <c r="A58" s="1394"/>
      <c r="B58" s="1394"/>
      <c r="C58" s="1394"/>
      <c r="D58" s="1394"/>
      <c r="E58" s="1394"/>
      <c r="F58" s="1394"/>
      <c r="G58" s="1394"/>
      <c r="H58" s="1394"/>
      <c r="I58" s="1394"/>
      <c r="J58" s="1394"/>
      <c r="K58" s="1394"/>
      <c r="L58" s="1394"/>
      <c r="M58" s="1394"/>
      <c r="N58" s="1394"/>
      <c r="O58" s="1394"/>
      <c r="P58" s="1394"/>
      <c r="Q58" s="1394"/>
      <c r="R58" s="1394"/>
      <c r="S58" s="1394"/>
      <c r="T58" s="1394"/>
      <c r="U58" s="1394"/>
      <c r="V58" s="1394"/>
      <c r="W58" s="1394"/>
      <c r="X58" s="1394"/>
      <c r="Y58" s="1394"/>
      <c r="Z58" s="1394"/>
      <c r="AA58" s="1394"/>
      <c r="AB58" s="1394"/>
    </row>
    <row r="59" spans="1:28">
      <c r="A59" s="1394"/>
      <c r="B59" s="1394"/>
      <c r="C59" s="1394"/>
      <c r="D59" s="1394"/>
      <c r="E59" s="1394"/>
      <c r="F59" s="1394"/>
      <c r="G59" s="1394"/>
      <c r="H59" s="1394"/>
      <c r="I59" s="1394"/>
      <c r="J59" s="1394"/>
      <c r="K59" s="1394"/>
      <c r="L59" s="1394"/>
      <c r="M59" s="1394"/>
      <c r="N59" s="1394"/>
      <c r="O59" s="1394"/>
      <c r="P59" s="1394"/>
      <c r="Q59" s="1394"/>
      <c r="R59" s="1394"/>
      <c r="S59" s="1394"/>
      <c r="T59" s="1394"/>
      <c r="U59" s="1394"/>
      <c r="V59" s="1394"/>
      <c r="W59" s="1394"/>
      <c r="X59" s="1394"/>
      <c r="Y59" s="1394"/>
      <c r="Z59" s="1394"/>
      <c r="AA59" s="1394"/>
      <c r="AB59" s="1394"/>
    </row>
    <row r="60" spans="1:28">
      <c r="A60" s="1394"/>
      <c r="B60" s="1394"/>
      <c r="C60" s="1394"/>
      <c r="D60" s="1394"/>
      <c r="E60" s="1394"/>
      <c r="F60" s="1394"/>
      <c r="G60" s="1394"/>
      <c r="H60" s="1394"/>
      <c r="I60" s="1394"/>
      <c r="J60" s="1394"/>
      <c r="K60" s="1394"/>
      <c r="L60" s="1394"/>
      <c r="M60" s="1394"/>
      <c r="N60" s="1394"/>
      <c r="O60" s="1394"/>
      <c r="P60" s="1394"/>
      <c r="Q60" s="1394"/>
      <c r="R60" s="1394"/>
      <c r="S60" s="1394"/>
      <c r="T60" s="1394"/>
      <c r="U60" s="1394"/>
      <c r="V60" s="1394"/>
      <c r="W60" s="1394"/>
      <c r="X60" s="1394"/>
      <c r="Y60" s="1394"/>
      <c r="Z60" s="1394"/>
      <c r="AA60" s="1394"/>
      <c r="AB60" s="1394"/>
    </row>
    <row r="61" spans="1:28">
      <c r="A61" s="1394"/>
      <c r="B61" s="1394"/>
      <c r="C61" s="1394"/>
      <c r="D61" s="1394"/>
      <c r="E61" s="1394"/>
      <c r="F61" s="1394"/>
      <c r="G61" s="1394"/>
      <c r="H61" s="1394"/>
      <c r="I61" s="1394"/>
      <c r="J61" s="1394"/>
      <c r="K61" s="1394"/>
      <c r="L61" s="1394"/>
      <c r="M61" s="1394"/>
      <c r="N61" s="1394"/>
      <c r="O61" s="1394"/>
      <c r="P61" s="1394"/>
      <c r="Q61" s="1394"/>
      <c r="R61" s="1394"/>
      <c r="S61" s="1394"/>
      <c r="T61" s="1394"/>
      <c r="U61" s="1394"/>
      <c r="V61" s="1394"/>
      <c r="W61" s="1394"/>
      <c r="X61" s="1394"/>
      <c r="Y61" s="1394"/>
      <c r="Z61" s="1394"/>
      <c r="AA61" s="1394"/>
      <c r="AB61" s="1394"/>
    </row>
    <row r="62" spans="1:28">
      <c r="A62" s="1394"/>
      <c r="B62" s="1394"/>
      <c r="C62" s="1394"/>
      <c r="D62" s="1394"/>
      <c r="E62" s="1394"/>
      <c r="F62" s="1394"/>
      <c r="G62" s="1394"/>
      <c r="H62" s="1394"/>
      <c r="I62" s="1394"/>
      <c r="J62" s="1394"/>
      <c r="K62" s="1394"/>
      <c r="L62" s="1394"/>
      <c r="M62" s="1394"/>
      <c r="N62" s="1394"/>
      <c r="O62" s="1394"/>
      <c r="P62" s="1394"/>
      <c r="Q62" s="1394"/>
      <c r="R62" s="1394"/>
      <c r="S62" s="1394"/>
      <c r="T62" s="1394"/>
      <c r="U62" s="1394"/>
      <c r="V62" s="1394"/>
      <c r="W62" s="1394"/>
      <c r="X62" s="1394"/>
      <c r="Y62" s="1394"/>
      <c r="Z62" s="1394"/>
      <c r="AA62" s="1394"/>
      <c r="AB62" s="1394"/>
    </row>
    <row r="63" spans="1:28">
      <c r="A63" s="1394"/>
      <c r="B63" s="1394"/>
      <c r="C63" s="1394"/>
      <c r="D63" s="1394"/>
      <c r="E63" s="1394"/>
      <c r="F63" s="1394"/>
      <c r="G63" s="1394"/>
      <c r="H63" s="1394"/>
      <c r="I63" s="1394"/>
      <c r="J63" s="1394"/>
      <c r="K63" s="1394"/>
      <c r="L63" s="1394"/>
      <c r="M63" s="1394"/>
      <c r="N63" s="1394"/>
      <c r="O63" s="1394"/>
      <c r="P63" s="1394"/>
      <c r="Q63" s="1394"/>
      <c r="R63" s="1394"/>
      <c r="S63" s="1394"/>
      <c r="T63" s="1394"/>
      <c r="U63" s="1394"/>
      <c r="V63" s="1394"/>
      <c r="W63" s="1394"/>
      <c r="X63" s="1394"/>
      <c r="Y63" s="1394"/>
      <c r="Z63" s="1394"/>
      <c r="AA63" s="1394"/>
      <c r="AB63" s="1394"/>
    </row>
    <row r="64" spans="1:28">
      <c r="A64" s="1394"/>
      <c r="B64" s="1394"/>
      <c r="C64" s="1394"/>
      <c r="D64" s="1394"/>
      <c r="E64" s="1394"/>
      <c r="F64" s="1394"/>
      <c r="G64" s="1394"/>
      <c r="H64" s="1394"/>
      <c r="I64" s="1394"/>
      <c r="J64" s="1394"/>
      <c r="K64" s="1394"/>
      <c r="L64" s="1394"/>
      <c r="M64" s="1394"/>
      <c r="N64" s="1394"/>
      <c r="O64" s="1394"/>
      <c r="P64" s="1394"/>
      <c r="Q64" s="1394"/>
      <c r="R64" s="1394"/>
      <c r="S64" s="1394"/>
      <c r="T64" s="1394"/>
      <c r="U64" s="1394"/>
      <c r="V64" s="1394"/>
      <c r="W64" s="1394"/>
      <c r="X64" s="1394"/>
      <c r="Y64" s="1394"/>
      <c r="Z64" s="1394"/>
      <c r="AA64" s="1394"/>
      <c r="AB64" s="1394"/>
    </row>
    <row r="65" spans="1:28">
      <c r="A65" s="1394"/>
      <c r="B65" s="1394"/>
      <c r="C65" s="1394"/>
      <c r="D65" s="1394"/>
      <c r="E65" s="1394"/>
      <c r="F65" s="1394"/>
      <c r="G65" s="1394"/>
      <c r="H65" s="1394"/>
      <c r="I65" s="1394"/>
      <c r="J65" s="1394"/>
      <c r="K65" s="1394"/>
      <c r="L65" s="1394"/>
      <c r="M65" s="1394"/>
      <c r="N65" s="1394"/>
      <c r="O65" s="1394"/>
      <c r="P65" s="1394"/>
      <c r="Q65" s="1394"/>
      <c r="R65" s="1394"/>
      <c r="S65" s="1394"/>
      <c r="T65" s="1394"/>
      <c r="U65" s="1394"/>
      <c r="V65" s="1394"/>
      <c r="W65" s="1394"/>
      <c r="X65" s="1394"/>
      <c r="Y65" s="1394"/>
      <c r="Z65" s="1394"/>
      <c r="AA65" s="1394"/>
      <c r="AB65" s="1394"/>
    </row>
    <row r="66" spans="1:28">
      <c r="A66" s="1394"/>
      <c r="B66" s="1394"/>
      <c r="C66" s="1394"/>
      <c r="D66" s="1394"/>
      <c r="E66" s="1394"/>
      <c r="F66" s="1394"/>
      <c r="G66" s="1394"/>
      <c r="H66" s="1394"/>
      <c r="I66" s="1394"/>
      <c r="J66" s="1394"/>
      <c r="K66" s="1394"/>
      <c r="L66" s="1394"/>
      <c r="M66" s="1394"/>
      <c r="N66" s="1394"/>
      <c r="O66" s="1394"/>
      <c r="P66" s="1394"/>
      <c r="Q66" s="1394"/>
      <c r="R66" s="1394"/>
      <c r="S66" s="1394"/>
      <c r="T66" s="1394"/>
      <c r="U66" s="1394"/>
      <c r="V66" s="1394"/>
      <c r="W66" s="1394"/>
      <c r="X66" s="1394"/>
      <c r="Y66" s="1394"/>
      <c r="Z66" s="1394"/>
      <c r="AA66" s="1394"/>
      <c r="AB66" s="1394"/>
    </row>
    <row r="67" spans="1:28">
      <c r="A67" s="1394"/>
      <c r="B67" s="1394"/>
      <c r="C67" s="1394"/>
      <c r="D67" s="1394"/>
      <c r="E67" s="1394"/>
      <c r="F67" s="1394"/>
      <c r="G67" s="1394"/>
      <c r="H67" s="1394"/>
      <c r="I67" s="1394"/>
      <c r="J67" s="1394"/>
      <c r="K67" s="1394"/>
      <c r="L67" s="1394"/>
      <c r="M67" s="1394"/>
      <c r="N67" s="1394"/>
      <c r="O67" s="1394"/>
      <c r="P67" s="1394"/>
      <c r="Q67" s="1394"/>
      <c r="R67" s="1394"/>
      <c r="S67" s="1394"/>
      <c r="T67" s="1394"/>
      <c r="U67" s="1394"/>
      <c r="V67" s="1394"/>
      <c r="W67" s="1394"/>
      <c r="X67" s="1394"/>
      <c r="Y67" s="1394"/>
      <c r="Z67" s="1394"/>
      <c r="AA67" s="1394"/>
      <c r="AB67" s="1394"/>
    </row>
    <row r="68" spans="1:28">
      <c r="A68" s="1394"/>
      <c r="B68" s="1394"/>
      <c r="C68" s="1394"/>
      <c r="D68" s="1394"/>
      <c r="E68" s="1394"/>
      <c r="F68" s="1394"/>
      <c r="G68" s="1394"/>
      <c r="H68" s="1394"/>
      <c r="I68" s="1394"/>
      <c r="J68" s="1394"/>
      <c r="K68" s="1394"/>
      <c r="L68" s="1394"/>
      <c r="M68" s="1394"/>
      <c r="N68" s="1394"/>
      <c r="O68" s="1394"/>
      <c r="P68" s="1394"/>
      <c r="Q68" s="1394"/>
      <c r="R68" s="1394"/>
      <c r="S68" s="1394"/>
      <c r="T68" s="1394"/>
      <c r="U68" s="1394"/>
      <c r="V68" s="1394"/>
      <c r="W68" s="1394"/>
      <c r="X68" s="1394"/>
      <c r="Y68" s="1394"/>
      <c r="Z68" s="1394"/>
      <c r="AA68" s="1394"/>
      <c r="AB68" s="1394"/>
    </row>
    <row r="69" spans="1:28">
      <c r="A69" s="1394"/>
      <c r="B69" s="1394"/>
      <c r="C69" s="1394"/>
      <c r="D69" s="1394"/>
      <c r="E69" s="1394"/>
      <c r="F69" s="1394"/>
      <c r="G69" s="1394"/>
      <c r="H69" s="1394"/>
      <c r="I69" s="1394"/>
      <c r="J69" s="1394"/>
      <c r="K69" s="1394"/>
      <c r="L69" s="1394"/>
      <c r="M69" s="1394"/>
      <c r="N69" s="1394"/>
      <c r="O69" s="1394"/>
      <c r="P69" s="1394"/>
      <c r="Q69" s="1394"/>
      <c r="R69" s="1394"/>
      <c r="S69" s="1394"/>
      <c r="T69" s="1394"/>
      <c r="U69" s="1394"/>
      <c r="V69" s="1394"/>
      <c r="W69" s="1394"/>
      <c r="X69" s="1394"/>
      <c r="Y69" s="1394"/>
      <c r="Z69" s="1394"/>
      <c r="AA69" s="1394"/>
      <c r="AB69" s="1394"/>
    </row>
    <row r="70" spans="1:28">
      <c r="A70" s="1394"/>
      <c r="B70" s="1394"/>
      <c r="C70" s="1394"/>
      <c r="D70" s="1394"/>
      <c r="E70" s="1394"/>
      <c r="F70" s="1394"/>
      <c r="G70" s="1394"/>
      <c r="H70" s="1394"/>
      <c r="I70" s="1394"/>
      <c r="J70" s="1394"/>
      <c r="K70" s="1394"/>
      <c r="L70" s="1394"/>
      <c r="M70" s="1394"/>
      <c r="N70" s="1394"/>
      <c r="O70" s="1394"/>
      <c r="P70" s="1394"/>
      <c r="Q70" s="1394"/>
      <c r="R70" s="1394"/>
      <c r="S70" s="1394"/>
      <c r="T70" s="1394"/>
      <c r="U70" s="1394"/>
      <c r="V70" s="1394"/>
      <c r="W70" s="1394"/>
      <c r="X70" s="1394"/>
      <c r="Y70" s="1394"/>
      <c r="Z70" s="1394"/>
      <c r="AA70" s="1394"/>
      <c r="AB70" s="1394"/>
    </row>
    <row r="71" spans="1:28">
      <c r="A71" s="1394"/>
      <c r="B71" s="1394"/>
      <c r="C71" s="1394"/>
      <c r="D71" s="1394"/>
      <c r="E71" s="1394"/>
      <c r="F71" s="1394"/>
      <c r="G71" s="1394"/>
      <c r="H71" s="1394"/>
      <c r="I71" s="1394"/>
      <c r="J71" s="1394"/>
      <c r="K71" s="1394"/>
      <c r="L71" s="1394"/>
      <c r="M71" s="1394"/>
      <c r="N71" s="1394"/>
      <c r="O71" s="1394"/>
      <c r="P71" s="1394"/>
      <c r="Q71" s="1394"/>
      <c r="R71" s="1394"/>
      <c r="S71" s="1394"/>
      <c r="T71" s="1394"/>
      <c r="U71" s="1394"/>
      <c r="V71" s="1394"/>
      <c r="W71" s="1394"/>
      <c r="X71" s="1394"/>
      <c r="Y71" s="1394"/>
      <c r="Z71" s="1394"/>
      <c r="AA71" s="1394"/>
      <c r="AB71" s="1394"/>
    </row>
    <row r="72" spans="1:28">
      <c r="A72" s="1394"/>
      <c r="B72" s="1394"/>
      <c r="C72" s="1394"/>
      <c r="D72" s="1394"/>
      <c r="E72" s="1394"/>
      <c r="F72" s="1394"/>
      <c r="G72" s="1394"/>
      <c r="H72" s="1394"/>
      <c r="I72" s="1394"/>
      <c r="J72" s="1394"/>
      <c r="K72" s="1394"/>
      <c r="L72" s="1394"/>
      <c r="M72" s="1394"/>
      <c r="N72" s="1394"/>
      <c r="O72" s="1394"/>
      <c r="P72" s="1394"/>
      <c r="Q72" s="1394"/>
      <c r="R72" s="1394"/>
      <c r="S72" s="1394"/>
      <c r="T72" s="1394"/>
      <c r="U72" s="1394"/>
      <c r="V72" s="1394"/>
      <c r="W72" s="1394"/>
      <c r="X72" s="1394"/>
      <c r="Y72" s="1394"/>
      <c r="Z72" s="1394"/>
      <c r="AA72" s="1394"/>
      <c r="AB72" s="1394"/>
    </row>
    <row r="73" spans="1:28">
      <c r="A73" s="1394"/>
      <c r="B73" s="1394"/>
      <c r="C73" s="1394"/>
      <c r="D73" s="1394"/>
      <c r="E73" s="1394"/>
      <c r="F73" s="1394"/>
      <c r="G73" s="1394"/>
      <c r="H73" s="1394"/>
      <c r="I73" s="1394"/>
      <c r="J73" s="1394"/>
      <c r="K73" s="1394"/>
      <c r="L73" s="1394"/>
      <c r="M73" s="1394"/>
      <c r="N73" s="1394"/>
      <c r="O73" s="1394"/>
      <c r="P73" s="1394"/>
      <c r="Q73" s="1394"/>
      <c r="R73" s="1394"/>
      <c r="S73" s="1394"/>
      <c r="T73" s="1394"/>
      <c r="U73" s="1394"/>
      <c r="V73" s="1394"/>
      <c r="W73" s="1394"/>
      <c r="X73" s="1394"/>
      <c r="Y73" s="1394"/>
      <c r="Z73" s="1394"/>
      <c r="AA73" s="1394"/>
      <c r="AB73" s="1394"/>
    </row>
    <row r="74" spans="1:28">
      <c r="A74" s="1394"/>
      <c r="B74" s="1394"/>
      <c r="C74" s="1394"/>
      <c r="D74" s="1394"/>
      <c r="E74" s="1394"/>
      <c r="F74" s="1394"/>
      <c r="G74" s="1394"/>
      <c r="H74" s="1394"/>
      <c r="I74" s="1394"/>
      <c r="J74" s="1394"/>
      <c r="K74" s="1394"/>
      <c r="L74" s="1394"/>
      <c r="M74" s="1394"/>
      <c r="N74" s="1394"/>
      <c r="O74" s="1394"/>
      <c r="P74" s="1394"/>
      <c r="Q74" s="1394"/>
      <c r="R74" s="1394"/>
      <c r="S74" s="1394"/>
      <c r="T74" s="1394"/>
      <c r="U74" s="1394"/>
      <c r="V74" s="1394"/>
      <c r="W74" s="1394"/>
      <c r="X74" s="1394"/>
      <c r="Y74" s="1394"/>
      <c r="Z74" s="1394"/>
      <c r="AA74" s="1394"/>
      <c r="AB74" s="1394"/>
    </row>
    <row r="75" spans="1:28">
      <c r="A75" s="1394"/>
      <c r="B75" s="1394"/>
      <c r="C75" s="1394"/>
      <c r="D75" s="1394"/>
      <c r="E75" s="1394"/>
      <c r="F75" s="1394"/>
      <c r="G75" s="1394"/>
      <c r="H75" s="1394"/>
      <c r="I75" s="1394"/>
      <c r="J75" s="1394"/>
      <c r="K75" s="1394"/>
      <c r="L75" s="1394"/>
      <c r="M75" s="1394"/>
      <c r="N75" s="1394"/>
      <c r="O75" s="1394"/>
      <c r="P75" s="1394"/>
      <c r="Q75" s="1394"/>
      <c r="R75" s="1394"/>
      <c r="S75" s="1394"/>
      <c r="T75" s="1394"/>
      <c r="U75" s="1394"/>
      <c r="V75" s="1394"/>
      <c r="W75" s="1394"/>
      <c r="X75" s="1394"/>
      <c r="Y75" s="1394"/>
      <c r="Z75" s="1394"/>
      <c r="AA75" s="1394"/>
      <c r="AB75" s="1394"/>
    </row>
    <row r="76" spans="1:28">
      <c r="A76" s="1394"/>
      <c r="B76" s="1394"/>
      <c r="C76" s="1394"/>
      <c r="D76" s="1394"/>
      <c r="E76" s="1394"/>
      <c r="F76" s="1394"/>
      <c r="G76" s="1394"/>
      <c r="H76" s="1394"/>
      <c r="I76" s="1394"/>
      <c r="J76" s="1394"/>
      <c r="K76" s="1394"/>
      <c r="L76" s="1394"/>
      <c r="M76" s="1394"/>
      <c r="N76" s="1394"/>
      <c r="O76" s="1394"/>
      <c r="P76" s="1394"/>
      <c r="Q76" s="1394"/>
      <c r="R76" s="1394"/>
      <c r="S76" s="1394"/>
      <c r="T76" s="1394"/>
      <c r="U76" s="1394"/>
      <c r="V76" s="1394"/>
      <c r="W76" s="1394"/>
      <c r="X76" s="1394"/>
      <c r="Y76" s="1394"/>
      <c r="Z76" s="1394"/>
      <c r="AA76" s="1394"/>
      <c r="AB76" s="1394"/>
    </row>
    <row r="77" spans="1:28">
      <c r="A77" s="1394"/>
      <c r="B77" s="1394"/>
      <c r="C77" s="1394"/>
      <c r="D77" s="1394"/>
      <c r="E77" s="1394"/>
      <c r="F77" s="1394"/>
      <c r="G77" s="1394"/>
      <c r="H77" s="1394"/>
      <c r="I77" s="1394"/>
      <c r="J77" s="1394"/>
      <c r="K77" s="1394"/>
      <c r="L77" s="1394"/>
      <c r="M77" s="1394"/>
      <c r="N77" s="1394"/>
      <c r="O77" s="1394"/>
      <c r="P77" s="1394"/>
      <c r="Q77" s="1394"/>
      <c r="R77" s="1394"/>
      <c r="S77" s="1394"/>
      <c r="T77" s="1394"/>
      <c r="U77" s="1394"/>
      <c r="V77" s="1394"/>
      <c r="W77" s="1394"/>
      <c r="X77" s="1394"/>
      <c r="Y77" s="1394"/>
      <c r="Z77" s="1394"/>
      <c r="AA77" s="1394"/>
      <c r="AB77" s="1394"/>
    </row>
    <row r="78" spans="1:28">
      <c r="A78" s="1394"/>
      <c r="B78" s="1394"/>
      <c r="C78" s="1394"/>
      <c r="D78" s="1394"/>
      <c r="E78" s="1394"/>
      <c r="F78" s="1394"/>
      <c r="G78" s="1394"/>
      <c r="H78" s="1394"/>
      <c r="I78" s="1394"/>
      <c r="J78" s="1394"/>
      <c r="K78" s="1394"/>
      <c r="L78" s="1394"/>
      <c r="M78" s="1394"/>
      <c r="N78" s="1394"/>
      <c r="O78" s="1394"/>
      <c r="P78" s="1394"/>
      <c r="Q78" s="1394"/>
      <c r="R78" s="1394"/>
      <c r="S78" s="1394"/>
      <c r="T78" s="1394"/>
      <c r="U78" s="1394"/>
      <c r="V78" s="1394"/>
      <c r="W78" s="1394"/>
      <c r="X78" s="1394"/>
      <c r="Y78" s="1394"/>
      <c r="Z78" s="1394"/>
      <c r="AA78" s="1394"/>
      <c r="AB78" s="1394"/>
    </row>
    <row r="79" spans="1:28">
      <c r="A79" s="1394"/>
      <c r="B79" s="1394"/>
      <c r="C79" s="1394"/>
      <c r="D79" s="1394"/>
      <c r="E79" s="1394"/>
      <c r="F79" s="1394"/>
      <c r="G79" s="1394"/>
      <c r="H79" s="1394"/>
      <c r="I79" s="1394"/>
      <c r="J79" s="1394"/>
      <c r="K79" s="1394"/>
      <c r="L79" s="1394"/>
      <c r="M79" s="1394"/>
      <c r="N79" s="1394"/>
      <c r="O79" s="1394"/>
      <c r="P79" s="1394"/>
      <c r="Q79" s="1394"/>
      <c r="R79" s="1394"/>
      <c r="S79" s="1394"/>
      <c r="T79" s="1394"/>
      <c r="U79" s="1394"/>
      <c r="V79" s="1394"/>
      <c r="W79" s="1394"/>
      <c r="X79" s="1394"/>
      <c r="Y79" s="1394"/>
      <c r="Z79" s="1394"/>
      <c r="AA79" s="1394"/>
      <c r="AB79" s="1394"/>
    </row>
    <row r="80" spans="1:28">
      <c r="A80" s="1394"/>
      <c r="B80" s="1394"/>
      <c r="C80" s="1394"/>
      <c r="D80" s="1394"/>
      <c r="E80" s="1394"/>
      <c r="F80" s="1394"/>
      <c r="G80" s="1394"/>
      <c r="H80" s="1394"/>
      <c r="I80" s="1394"/>
      <c r="J80" s="1394"/>
      <c r="K80" s="1394"/>
      <c r="L80" s="1394"/>
      <c r="M80" s="1394"/>
      <c r="N80" s="1394"/>
      <c r="O80" s="1394"/>
      <c r="P80" s="1394"/>
      <c r="Q80" s="1394"/>
      <c r="R80" s="1394"/>
      <c r="S80" s="1394"/>
      <c r="T80" s="1394"/>
      <c r="U80" s="1394"/>
      <c r="V80" s="1394"/>
      <c r="W80" s="1394"/>
      <c r="X80" s="1394"/>
      <c r="Y80" s="1394"/>
      <c r="Z80" s="1394"/>
      <c r="AA80" s="1394"/>
      <c r="AB80" s="1394"/>
    </row>
    <row r="81" spans="1:28">
      <c r="A81" s="1394"/>
      <c r="B81" s="1394"/>
      <c r="C81" s="1394"/>
      <c r="D81" s="1394"/>
      <c r="E81" s="1394"/>
      <c r="F81" s="1394"/>
      <c r="G81" s="1394"/>
      <c r="H81" s="1394"/>
      <c r="I81" s="1394"/>
      <c r="J81" s="1394"/>
      <c r="K81" s="1394"/>
      <c r="L81" s="1394"/>
      <c r="M81" s="1394"/>
      <c r="N81" s="1394"/>
      <c r="O81" s="1394"/>
      <c r="P81" s="1394"/>
      <c r="Q81" s="1394"/>
      <c r="R81" s="1394"/>
      <c r="S81" s="1394"/>
      <c r="T81" s="1394"/>
      <c r="U81" s="1394"/>
      <c r="V81" s="1394"/>
      <c r="W81" s="1394"/>
      <c r="X81" s="1394"/>
      <c r="Y81" s="1394"/>
      <c r="Z81" s="1394"/>
      <c r="AA81" s="1394"/>
      <c r="AB81" s="1394"/>
    </row>
    <row r="82" spans="1:28">
      <c r="A82" s="1394"/>
      <c r="B82" s="1394"/>
      <c r="C82" s="1394"/>
      <c r="D82" s="1394"/>
      <c r="E82" s="1394"/>
      <c r="F82" s="1394"/>
      <c r="G82" s="1394"/>
      <c r="H82" s="1394"/>
      <c r="I82" s="1394"/>
      <c r="J82" s="1394"/>
      <c r="K82" s="1394"/>
      <c r="L82" s="1394"/>
      <c r="M82" s="1394"/>
      <c r="N82" s="1394"/>
      <c r="O82" s="1394"/>
      <c r="P82" s="1394"/>
      <c r="Q82" s="1394"/>
      <c r="R82" s="1394"/>
      <c r="S82" s="1394"/>
      <c r="T82" s="1394"/>
      <c r="U82" s="1394"/>
      <c r="V82" s="1394"/>
      <c r="W82" s="1394"/>
      <c r="X82" s="1394"/>
      <c r="Y82" s="1394"/>
      <c r="Z82" s="1394"/>
      <c r="AA82" s="1394"/>
      <c r="AB82" s="1394"/>
    </row>
    <row r="83" spans="1:28">
      <c r="A83" s="1394"/>
      <c r="B83" s="1394"/>
      <c r="C83" s="1394"/>
      <c r="D83" s="1394"/>
      <c r="E83" s="1394"/>
      <c r="F83" s="1394"/>
      <c r="G83" s="1394"/>
      <c r="H83" s="1394"/>
      <c r="I83" s="1394"/>
      <c r="J83" s="1394"/>
      <c r="K83" s="1394"/>
      <c r="L83" s="1394"/>
      <c r="M83" s="1394"/>
      <c r="N83" s="1394"/>
      <c r="O83" s="1394"/>
      <c r="P83" s="1394"/>
      <c r="Q83" s="1394"/>
      <c r="R83" s="1394"/>
      <c r="S83" s="1394"/>
      <c r="T83" s="1394"/>
      <c r="U83" s="1394"/>
      <c r="V83" s="1394"/>
      <c r="W83" s="1394"/>
      <c r="X83" s="1394"/>
      <c r="Y83" s="1394"/>
      <c r="Z83" s="1394"/>
      <c r="AA83" s="1394"/>
      <c r="AB83" s="1394"/>
    </row>
    <row r="84" spans="1:28">
      <c r="A84" s="1394"/>
      <c r="B84" s="1394"/>
      <c r="C84" s="1394"/>
      <c r="D84" s="1394"/>
      <c r="E84" s="1394"/>
      <c r="F84" s="1394"/>
      <c r="G84" s="1394"/>
      <c r="H84" s="1394"/>
      <c r="I84" s="1394"/>
      <c r="J84" s="1394"/>
      <c r="K84" s="1394"/>
      <c r="L84" s="1394"/>
      <c r="M84" s="1394"/>
      <c r="N84" s="1394"/>
      <c r="O84" s="1394"/>
      <c r="P84" s="1394"/>
      <c r="Q84" s="1394"/>
      <c r="R84" s="1394"/>
      <c r="S84" s="1394"/>
      <c r="T84" s="1394"/>
      <c r="U84" s="1394"/>
      <c r="V84" s="1394"/>
      <c r="W84" s="1394"/>
      <c r="X84" s="1394"/>
      <c r="Y84" s="1394"/>
      <c r="Z84" s="1394"/>
      <c r="AA84" s="1394"/>
      <c r="AB84" s="1394"/>
    </row>
    <row r="85" spans="1:28">
      <c r="A85" s="1394"/>
      <c r="B85" s="1394"/>
      <c r="C85" s="1394"/>
      <c r="D85" s="1394"/>
      <c r="E85" s="1394"/>
      <c r="F85" s="1394"/>
      <c r="G85" s="1394"/>
      <c r="H85" s="1394"/>
      <c r="I85" s="1394"/>
      <c r="J85" s="1394"/>
      <c r="K85" s="1394"/>
      <c r="L85" s="1394"/>
      <c r="M85" s="1394"/>
      <c r="N85" s="1394"/>
      <c r="O85" s="1394"/>
      <c r="P85" s="1394"/>
      <c r="Q85" s="1394"/>
      <c r="R85" s="1394"/>
      <c r="S85" s="1394"/>
      <c r="T85" s="1394"/>
      <c r="U85" s="1394"/>
      <c r="V85" s="1394"/>
      <c r="W85" s="1394"/>
      <c r="X85" s="1394"/>
      <c r="Y85" s="1394"/>
      <c r="Z85" s="1394"/>
      <c r="AA85" s="1394"/>
      <c r="AB85" s="1394"/>
    </row>
    <row r="86" spans="1:28">
      <c r="A86" s="1394"/>
      <c r="B86" s="1394"/>
      <c r="C86" s="1394"/>
      <c r="D86" s="1394"/>
      <c r="E86" s="1394"/>
      <c r="F86" s="1394"/>
      <c r="G86" s="1394"/>
      <c r="H86" s="1394"/>
      <c r="I86" s="1394"/>
      <c r="J86" s="1394"/>
      <c r="K86" s="1394"/>
      <c r="L86" s="1394"/>
      <c r="M86" s="1394"/>
      <c r="N86" s="1394"/>
      <c r="O86" s="1394"/>
      <c r="P86" s="1394"/>
      <c r="Q86" s="1394"/>
      <c r="R86" s="1394"/>
      <c r="S86" s="1394"/>
      <c r="T86" s="1394"/>
      <c r="U86" s="1394"/>
      <c r="V86" s="1394"/>
      <c r="W86" s="1394"/>
      <c r="X86" s="1394"/>
      <c r="Y86" s="1394"/>
      <c r="Z86" s="1394"/>
      <c r="AA86" s="1394"/>
      <c r="AB86" s="1394"/>
    </row>
    <row r="87" spans="1:28">
      <c r="A87" s="1394"/>
      <c r="B87" s="1394"/>
      <c r="C87" s="1394"/>
      <c r="D87" s="1394"/>
      <c r="E87" s="1394"/>
      <c r="F87" s="1394"/>
      <c r="G87" s="1394"/>
      <c r="H87" s="1394"/>
      <c r="I87" s="1394"/>
      <c r="J87" s="1394"/>
      <c r="K87" s="1394"/>
      <c r="L87" s="1394"/>
      <c r="M87" s="1394"/>
      <c r="N87" s="1394"/>
      <c r="O87" s="1394"/>
      <c r="P87" s="1394"/>
      <c r="Q87" s="1394"/>
      <c r="R87" s="1394"/>
      <c r="S87" s="1394"/>
      <c r="T87" s="1394"/>
      <c r="U87" s="1394"/>
      <c r="V87" s="1394"/>
      <c r="W87" s="1394"/>
      <c r="X87" s="1394"/>
      <c r="Y87" s="1394"/>
      <c r="Z87" s="1394"/>
      <c r="AA87" s="1394"/>
      <c r="AB87" s="1394"/>
    </row>
    <row r="88" spans="1:28">
      <c r="A88" s="1394"/>
      <c r="B88" s="1394"/>
      <c r="C88" s="1394"/>
      <c r="D88" s="1394"/>
      <c r="E88" s="1394"/>
      <c r="F88" s="1394"/>
      <c r="G88" s="1394"/>
      <c r="H88" s="1394"/>
      <c r="I88" s="1394"/>
      <c r="J88" s="1394"/>
      <c r="K88" s="1394"/>
      <c r="L88" s="1394"/>
      <c r="M88" s="1394"/>
      <c r="N88" s="1394"/>
      <c r="O88" s="1394"/>
      <c r="P88" s="1394"/>
      <c r="Q88" s="1394"/>
      <c r="R88" s="1394"/>
      <c r="S88" s="1394"/>
      <c r="T88" s="1394"/>
      <c r="U88" s="1394"/>
      <c r="V88" s="1394"/>
      <c r="W88" s="1394"/>
      <c r="X88" s="1394"/>
      <c r="Y88" s="1394"/>
      <c r="Z88" s="1394"/>
      <c r="AA88" s="1394"/>
      <c r="AB88" s="1394"/>
    </row>
    <row r="89" spans="1:28">
      <c r="A89" s="1394"/>
      <c r="B89" s="1394"/>
      <c r="C89" s="1394"/>
      <c r="D89" s="1394"/>
      <c r="E89" s="1394"/>
      <c r="F89" s="1394"/>
      <c r="G89" s="1394"/>
      <c r="H89" s="1394"/>
      <c r="I89" s="1394"/>
      <c r="J89" s="1394"/>
      <c r="K89" s="1394"/>
      <c r="L89" s="1394"/>
      <c r="M89" s="1394"/>
      <c r="N89" s="1394"/>
      <c r="O89" s="1394"/>
      <c r="P89" s="1394"/>
      <c r="Q89" s="1394"/>
      <c r="R89" s="1394"/>
      <c r="S89" s="1394"/>
      <c r="T89" s="1394"/>
      <c r="U89" s="1394"/>
      <c r="V89" s="1394"/>
      <c r="W89" s="1394"/>
      <c r="X89" s="1394"/>
      <c r="Y89" s="1394"/>
      <c r="Z89" s="1394"/>
      <c r="AA89" s="1394"/>
      <c r="AB89" s="1394"/>
    </row>
    <row r="90" spans="1:28">
      <c r="A90" s="1394"/>
      <c r="B90" s="1394"/>
      <c r="C90" s="1394"/>
      <c r="D90" s="1394"/>
      <c r="E90" s="1394"/>
      <c r="F90" s="1394"/>
      <c r="G90" s="1394"/>
      <c r="H90" s="1394"/>
      <c r="I90" s="1394"/>
      <c r="J90" s="1394"/>
      <c r="K90" s="1394"/>
      <c r="L90" s="1394"/>
      <c r="M90" s="1394"/>
      <c r="N90" s="1394"/>
      <c r="O90" s="1394"/>
      <c r="P90" s="1394"/>
      <c r="Q90" s="1394"/>
      <c r="R90" s="1394"/>
      <c r="S90" s="1394"/>
      <c r="T90" s="1394"/>
      <c r="U90" s="1394"/>
      <c r="V90" s="1394"/>
      <c r="W90" s="1394"/>
      <c r="X90" s="1394"/>
      <c r="Y90" s="1394"/>
      <c r="Z90" s="1394"/>
      <c r="AA90" s="1394"/>
      <c r="AB90" s="1394"/>
    </row>
    <row r="91" spans="1:28">
      <c r="A91" s="1394"/>
      <c r="B91" s="1394"/>
      <c r="C91" s="1394"/>
      <c r="D91" s="1394"/>
      <c r="E91" s="1394"/>
      <c r="F91" s="1394"/>
      <c r="G91" s="1394"/>
      <c r="H91" s="1394"/>
      <c r="I91" s="1394"/>
      <c r="J91" s="1394"/>
      <c r="K91" s="1394"/>
      <c r="L91" s="1394"/>
      <c r="M91" s="1394"/>
      <c r="N91" s="1394"/>
      <c r="O91" s="1394"/>
      <c r="P91" s="1394"/>
      <c r="Q91" s="1394"/>
      <c r="R91" s="1394"/>
      <c r="S91" s="1394"/>
      <c r="T91" s="1394"/>
      <c r="U91" s="1394"/>
      <c r="V91" s="1394"/>
      <c r="W91" s="1394"/>
      <c r="X91" s="1394"/>
      <c r="Y91" s="1394"/>
      <c r="Z91" s="1394"/>
      <c r="AA91" s="1394"/>
      <c r="AB91" s="1394"/>
    </row>
    <row r="92" spans="1:28">
      <c r="A92" s="1394"/>
      <c r="B92" s="1394"/>
      <c r="C92" s="1394"/>
      <c r="D92" s="1394"/>
      <c r="E92" s="1394"/>
      <c r="F92" s="1394"/>
      <c r="G92" s="1394"/>
      <c r="H92" s="1394"/>
      <c r="I92" s="1394"/>
      <c r="J92" s="1394"/>
      <c r="K92" s="1394"/>
      <c r="L92" s="1394"/>
      <c r="M92" s="1394"/>
      <c r="N92" s="1394"/>
      <c r="O92" s="1394"/>
      <c r="P92" s="1394"/>
      <c r="Q92" s="1394"/>
      <c r="R92" s="1394"/>
      <c r="S92" s="1394"/>
      <c r="T92" s="1394"/>
      <c r="U92" s="1394"/>
      <c r="V92" s="1394"/>
      <c r="W92" s="1394"/>
      <c r="X92" s="1394"/>
      <c r="Y92" s="1394"/>
      <c r="Z92" s="1394"/>
      <c r="AA92" s="1394"/>
      <c r="AB92" s="1394"/>
    </row>
    <row r="93" spans="1:28">
      <c r="A93" s="1394"/>
      <c r="B93" s="1394"/>
      <c r="C93" s="1394"/>
      <c r="D93" s="1394"/>
      <c r="E93" s="1394"/>
      <c r="F93" s="1394"/>
      <c r="G93" s="1394"/>
      <c r="H93" s="1394"/>
      <c r="I93" s="1394"/>
      <c r="J93" s="1394"/>
      <c r="K93" s="1394"/>
      <c r="L93" s="1394"/>
      <c r="M93" s="1394"/>
      <c r="N93" s="1394"/>
      <c r="O93" s="1394"/>
      <c r="P93" s="1394"/>
      <c r="Q93" s="1394"/>
      <c r="R93" s="1394"/>
      <c r="S93" s="1394"/>
      <c r="T93" s="1394"/>
      <c r="U93" s="1394"/>
      <c r="V93" s="1394"/>
      <c r="W93" s="1394"/>
      <c r="X93" s="1394"/>
      <c r="Y93" s="1394"/>
      <c r="Z93" s="1394"/>
      <c r="AA93" s="1394"/>
      <c r="AB93" s="1394"/>
    </row>
    <row r="94" spans="1:28">
      <c r="A94" s="1394"/>
      <c r="B94" s="1394"/>
      <c r="C94" s="1394"/>
      <c r="D94" s="1394"/>
      <c r="E94" s="1394"/>
      <c r="F94" s="1394"/>
      <c r="G94" s="1394"/>
      <c r="H94" s="1394"/>
      <c r="I94" s="1394"/>
      <c r="J94" s="1394"/>
      <c r="K94" s="1394"/>
      <c r="L94" s="1394"/>
      <c r="M94" s="1394"/>
      <c r="N94" s="1394"/>
      <c r="O94" s="1394"/>
      <c r="P94" s="1394"/>
      <c r="Q94" s="1394"/>
      <c r="R94" s="1394"/>
      <c r="S94" s="1394"/>
      <c r="T94" s="1394"/>
      <c r="U94" s="1394"/>
      <c r="V94" s="1394"/>
      <c r="W94" s="1394"/>
      <c r="X94" s="1394"/>
      <c r="Y94" s="1394"/>
      <c r="Z94" s="1394"/>
      <c r="AA94" s="1394"/>
      <c r="AB94" s="1394"/>
    </row>
    <row r="95" spans="1:28">
      <c r="A95" s="1394"/>
      <c r="B95" s="1394"/>
      <c r="C95" s="1394"/>
      <c r="D95" s="1394"/>
      <c r="E95" s="1394"/>
      <c r="F95" s="1394"/>
      <c r="G95" s="1394"/>
      <c r="H95" s="1394"/>
      <c r="I95" s="1394"/>
      <c r="J95" s="1394"/>
      <c r="K95" s="1394"/>
      <c r="L95" s="1394"/>
      <c r="M95" s="1394"/>
      <c r="N95" s="1394"/>
      <c r="O95" s="1394"/>
      <c r="P95" s="1394"/>
      <c r="Q95" s="1394"/>
      <c r="R95" s="1394"/>
      <c r="S95" s="1394"/>
      <c r="T95" s="1394"/>
      <c r="U95" s="1394"/>
      <c r="V95" s="1394"/>
      <c r="W95" s="1394"/>
      <c r="X95" s="1394"/>
      <c r="Y95" s="1394"/>
      <c r="Z95" s="1394"/>
      <c r="AA95" s="1394"/>
      <c r="AB95" s="1394"/>
    </row>
    <row r="96" spans="1:28">
      <c r="A96" s="1394"/>
      <c r="B96" s="1394"/>
      <c r="C96" s="1394"/>
      <c r="D96" s="1394"/>
      <c r="E96" s="1394"/>
      <c r="F96" s="1394"/>
      <c r="G96" s="1394"/>
      <c r="H96" s="1394"/>
      <c r="I96" s="1394"/>
      <c r="J96" s="1394"/>
      <c r="K96" s="1394"/>
      <c r="L96" s="1394"/>
      <c r="M96" s="1394"/>
      <c r="N96" s="1394"/>
      <c r="O96" s="1394"/>
      <c r="P96" s="1394"/>
      <c r="Q96" s="1394"/>
      <c r="R96" s="1394"/>
      <c r="S96" s="1394"/>
      <c r="T96" s="1394"/>
      <c r="U96" s="1394"/>
      <c r="V96" s="1394"/>
      <c r="W96" s="1394"/>
      <c r="X96" s="1394"/>
      <c r="Y96" s="1394"/>
      <c r="Z96" s="1394"/>
      <c r="AA96" s="1394"/>
      <c r="AB96" s="1394"/>
    </row>
    <row r="97" spans="1:28">
      <c r="A97" s="1394"/>
      <c r="B97" s="1394"/>
      <c r="C97" s="1394"/>
      <c r="D97" s="1394"/>
      <c r="E97" s="1394"/>
      <c r="F97" s="1394"/>
      <c r="G97" s="1394"/>
      <c r="H97" s="1394"/>
      <c r="I97" s="1394"/>
      <c r="J97" s="1394"/>
      <c r="K97" s="1394"/>
      <c r="L97" s="1394"/>
      <c r="M97" s="1394"/>
      <c r="N97" s="1394"/>
      <c r="O97" s="1394"/>
      <c r="P97" s="1394"/>
      <c r="Q97" s="1394"/>
      <c r="R97" s="1394"/>
      <c r="S97" s="1394"/>
      <c r="T97" s="1394"/>
      <c r="U97" s="1394"/>
      <c r="V97" s="1394"/>
      <c r="W97" s="1394"/>
      <c r="X97" s="1394"/>
      <c r="Y97" s="1394"/>
      <c r="Z97" s="1394"/>
      <c r="AA97" s="1394"/>
      <c r="AB97" s="1394"/>
    </row>
    <row r="98" spans="1:28">
      <c r="A98" s="1394"/>
      <c r="B98" s="1394"/>
      <c r="C98" s="1394"/>
      <c r="D98" s="1394"/>
      <c r="E98" s="1394"/>
      <c r="F98" s="1394"/>
      <c r="G98" s="1394"/>
      <c r="H98" s="1394"/>
      <c r="I98" s="1394"/>
      <c r="J98" s="1394"/>
      <c r="K98" s="1394"/>
      <c r="L98" s="1394"/>
      <c r="M98" s="1394"/>
      <c r="N98" s="1394"/>
      <c r="O98" s="1394"/>
      <c r="P98" s="1394"/>
      <c r="Q98" s="1394"/>
      <c r="R98" s="1394"/>
      <c r="S98" s="1394"/>
      <c r="T98" s="1394"/>
      <c r="U98" s="1394"/>
      <c r="V98" s="1394"/>
      <c r="W98" s="1394"/>
      <c r="X98" s="1394"/>
      <c r="Y98" s="1394"/>
      <c r="Z98" s="1394"/>
      <c r="AA98" s="1394"/>
      <c r="AB98" s="1394"/>
    </row>
    <row r="99" spans="1:28">
      <c r="A99" s="1394"/>
      <c r="B99" s="1394"/>
      <c r="C99" s="1394"/>
      <c r="D99" s="1394"/>
      <c r="E99" s="1394"/>
      <c r="F99" s="1394"/>
      <c r="G99" s="1394"/>
      <c r="H99" s="1394"/>
      <c r="I99" s="1394"/>
      <c r="J99" s="1394"/>
      <c r="K99" s="1394"/>
      <c r="L99" s="1394"/>
      <c r="M99" s="1394"/>
      <c r="N99" s="1394"/>
      <c r="O99" s="1394"/>
      <c r="P99" s="1394"/>
      <c r="Q99" s="1394"/>
      <c r="R99" s="1394"/>
      <c r="S99" s="1394"/>
      <c r="T99" s="1394"/>
      <c r="U99" s="1394"/>
      <c r="V99" s="1394"/>
      <c r="W99" s="1394"/>
      <c r="X99" s="1394"/>
      <c r="Y99" s="1394"/>
      <c r="Z99" s="1394"/>
      <c r="AA99" s="1394"/>
      <c r="AB99" s="1394"/>
    </row>
    <row r="100" spans="1:28">
      <c r="A100" s="1394"/>
      <c r="B100" s="1394"/>
      <c r="C100" s="1394"/>
      <c r="D100" s="1394"/>
      <c r="E100" s="1394"/>
      <c r="F100" s="1394"/>
      <c r="G100" s="1394"/>
      <c r="H100" s="1394"/>
      <c r="I100" s="1394"/>
      <c r="J100" s="1394"/>
      <c r="K100" s="1394"/>
      <c r="L100" s="1394"/>
      <c r="M100" s="1394"/>
      <c r="N100" s="1394"/>
      <c r="O100" s="1394"/>
      <c r="P100" s="1394"/>
      <c r="Q100" s="1394"/>
      <c r="R100" s="1394"/>
      <c r="S100" s="1394"/>
      <c r="T100" s="1394"/>
      <c r="U100" s="1394"/>
      <c r="V100" s="1394"/>
      <c r="W100" s="1394"/>
      <c r="X100" s="1394"/>
      <c r="Y100" s="1394"/>
      <c r="Z100" s="1394"/>
      <c r="AA100" s="1394"/>
      <c r="AB100" s="1394"/>
    </row>
    <row r="101" spans="1:28">
      <c r="A101" s="1394"/>
      <c r="B101" s="1394"/>
      <c r="C101" s="1394"/>
      <c r="D101" s="1394"/>
      <c r="E101" s="1394"/>
      <c r="F101" s="1394"/>
      <c r="G101" s="1394"/>
      <c r="H101" s="1394"/>
      <c r="I101" s="1394"/>
      <c r="J101" s="1394"/>
      <c r="K101" s="1394"/>
      <c r="L101" s="1394"/>
      <c r="M101" s="1394"/>
      <c r="N101" s="1394"/>
      <c r="O101" s="1394"/>
      <c r="P101" s="1394"/>
      <c r="Q101" s="1394"/>
      <c r="R101" s="1394"/>
      <c r="S101" s="1394"/>
      <c r="T101" s="1394"/>
      <c r="U101" s="1394"/>
      <c r="V101" s="1394"/>
      <c r="W101" s="1394"/>
      <c r="X101" s="1394"/>
      <c r="Y101" s="1394"/>
      <c r="Z101" s="1394"/>
      <c r="AA101" s="1394"/>
      <c r="AB101" s="1394"/>
    </row>
    <row r="102" spans="1:28">
      <c r="A102" s="1394"/>
      <c r="B102" s="1394"/>
      <c r="C102" s="1394"/>
      <c r="D102" s="1394"/>
      <c r="E102" s="1394"/>
      <c r="F102" s="1394"/>
      <c r="G102" s="1394"/>
      <c r="H102" s="1394"/>
      <c r="I102" s="1394"/>
      <c r="J102" s="1394"/>
      <c r="K102" s="1394"/>
      <c r="L102" s="1394"/>
      <c r="M102" s="1394"/>
      <c r="N102" s="1394"/>
      <c r="O102" s="1394"/>
      <c r="P102" s="1394"/>
      <c r="Q102" s="1394"/>
      <c r="R102" s="1394"/>
      <c r="S102" s="1394"/>
      <c r="T102" s="1394"/>
      <c r="U102" s="1394"/>
      <c r="V102" s="1394"/>
      <c r="W102" s="1394"/>
      <c r="X102" s="1394"/>
      <c r="Y102" s="1394"/>
      <c r="Z102" s="1394"/>
      <c r="AA102" s="1394"/>
      <c r="AB102" s="1394"/>
    </row>
    <row r="103" spans="1:28">
      <c r="A103" s="1394"/>
      <c r="B103" s="1394"/>
      <c r="C103" s="1394"/>
      <c r="D103" s="1394"/>
      <c r="E103" s="1394"/>
      <c r="F103" s="1394"/>
      <c r="G103" s="1394"/>
      <c r="H103" s="1394"/>
      <c r="I103" s="1394"/>
      <c r="J103" s="1394"/>
      <c r="K103" s="1394"/>
      <c r="L103" s="1394"/>
      <c r="M103" s="1394"/>
      <c r="N103" s="1394"/>
      <c r="O103" s="1394"/>
      <c r="P103" s="1394"/>
      <c r="Q103" s="1394"/>
      <c r="R103" s="1394"/>
      <c r="S103" s="1394"/>
      <c r="T103" s="1394"/>
      <c r="U103" s="1394"/>
      <c r="V103" s="1394"/>
      <c r="W103" s="1394"/>
      <c r="X103" s="1394"/>
      <c r="Y103" s="1394"/>
      <c r="Z103" s="1394"/>
      <c r="AA103" s="1394"/>
      <c r="AB103" s="1394"/>
    </row>
    <row r="104" spans="1:28">
      <c r="A104" s="1394"/>
      <c r="B104" s="1394"/>
      <c r="C104" s="1394"/>
      <c r="D104" s="1394"/>
      <c r="E104" s="1394"/>
      <c r="F104" s="1394"/>
      <c r="G104" s="1394"/>
      <c r="H104" s="1394"/>
      <c r="I104" s="1394"/>
      <c r="J104" s="1394"/>
      <c r="K104" s="1394"/>
      <c r="L104" s="1394"/>
      <c r="M104" s="1394"/>
      <c r="N104" s="1394"/>
      <c r="O104" s="1394"/>
      <c r="P104" s="1394"/>
      <c r="Q104" s="1394"/>
      <c r="R104" s="1394"/>
      <c r="S104" s="1394"/>
      <c r="T104" s="1394"/>
      <c r="U104" s="1394"/>
      <c r="V104" s="1394"/>
      <c r="W104" s="1394"/>
      <c r="X104" s="1394"/>
      <c r="Y104" s="1394"/>
      <c r="Z104" s="1394"/>
      <c r="AA104" s="1394"/>
      <c r="AB104" s="1394"/>
    </row>
    <row r="105" spans="1:28">
      <c r="A105" s="1394"/>
      <c r="B105" s="1394"/>
      <c r="C105" s="1394"/>
      <c r="D105" s="1394"/>
      <c r="E105" s="1394"/>
      <c r="F105" s="1394"/>
      <c r="G105" s="1394"/>
      <c r="H105" s="1394"/>
      <c r="I105" s="1394"/>
      <c r="J105" s="1394"/>
      <c r="K105" s="1394"/>
      <c r="L105" s="1394"/>
      <c r="M105" s="1394"/>
      <c r="N105" s="1394"/>
      <c r="O105" s="1394"/>
      <c r="P105" s="1394"/>
      <c r="Q105" s="1394"/>
      <c r="R105" s="1394"/>
      <c r="S105" s="1394"/>
      <c r="T105" s="1394"/>
      <c r="U105" s="1394"/>
      <c r="V105" s="1394"/>
      <c r="W105" s="1394"/>
      <c r="X105" s="1394"/>
      <c r="Y105" s="1394"/>
      <c r="Z105" s="1394"/>
      <c r="AA105" s="1394"/>
      <c r="AB105" s="1394"/>
    </row>
    <row r="106" spans="1:28">
      <c r="A106" s="1394"/>
      <c r="B106" s="1394"/>
      <c r="C106" s="1394"/>
      <c r="D106" s="1394"/>
      <c r="E106" s="1394"/>
      <c r="F106" s="1394"/>
      <c r="G106" s="1394"/>
      <c r="H106" s="1394"/>
      <c r="I106" s="1394"/>
      <c r="J106" s="1394"/>
      <c r="K106" s="1394"/>
      <c r="L106" s="1394"/>
      <c r="M106" s="1394"/>
      <c r="N106" s="1394"/>
      <c r="O106" s="1394"/>
      <c r="P106" s="1394"/>
      <c r="Q106" s="1394"/>
      <c r="R106" s="1394"/>
      <c r="S106" s="1394"/>
      <c r="T106" s="1394"/>
      <c r="U106" s="1394"/>
      <c r="V106" s="1394"/>
      <c r="W106" s="1394"/>
      <c r="X106" s="1394"/>
      <c r="Y106" s="1394"/>
      <c r="Z106" s="1394"/>
      <c r="AA106" s="1394"/>
      <c r="AB106" s="1394"/>
    </row>
    <row r="107" spans="1:28">
      <c r="A107" s="1394"/>
      <c r="B107" s="1394"/>
      <c r="C107" s="1394"/>
      <c r="D107" s="1394"/>
      <c r="E107" s="1394"/>
      <c r="F107" s="1394"/>
      <c r="G107" s="1394"/>
      <c r="H107" s="1394"/>
      <c r="I107" s="1394"/>
      <c r="J107" s="1394"/>
      <c r="K107" s="1394"/>
      <c r="L107" s="1394"/>
      <c r="M107" s="1394"/>
      <c r="N107" s="1394"/>
      <c r="O107" s="1394"/>
      <c r="P107" s="1394"/>
      <c r="Q107" s="1394"/>
      <c r="R107" s="1394"/>
      <c r="S107" s="1394"/>
      <c r="T107" s="1394"/>
      <c r="U107" s="1394"/>
      <c r="V107" s="1394"/>
      <c r="W107" s="1394"/>
      <c r="X107" s="1394"/>
      <c r="Y107" s="1394"/>
      <c r="Z107" s="1394"/>
      <c r="AA107" s="1394"/>
      <c r="AB107" s="1394"/>
    </row>
    <row r="108" spans="1:28">
      <c r="A108" s="1394"/>
      <c r="B108" s="1394"/>
      <c r="C108" s="1394"/>
      <c r="D108" s="1394"/>
      <c r="E108" s="1394"/>
      <c r="F108" s="1394"/>
      <c r="G108" s="1394"/>
      <c r="H108" s="1394"/>
      <c r="I108" s="1394"/>
      <c r="J108" s="1394"/>
      <c r="K108" s="1394"/>
      <c r="L108" s="1394"/>
      <c r="M108" s="1394"/>
      <c r="N108" s="1394"/>
      <c r="O108" s="1394"/>
      <c r="P108" s="1394"/>
      <c r="Q108" s="1394"/>
      <c r="R108" s="1394"/>
      <c r="S108" s="1394"/>
      <c r="T108" s="1394"/>
      <c r="U108" s="1394"/>
      <c r="V108" s="1394"/>
      <c r="W108" s="1394"/>
      <c r="X108" s="1394"/>
      <c r="Y108" s="1394"/>
      <c r="Z108" s="1394"/>
      <c r="AA108" s="1394"/>
      <c r="AB108" s="1394"/>
    </row>
    <row r="109" spans="1:28">
      <c r="A109" s="1394"/>
      <c r="B109" s="1394"/>
      <c r="C109" s="1394"/>
      <c r="D109" s="1394"/>
      <c r="E109" s="1394"/>
      <c r="F109" s="1394"/>
      <c r="G109" s="1394"/>
      <c r="H109" s="1394"/>
      <c r="I109" s="1394"/>
      <c r="J109" s="1394"/>
      <c r="K109" s="1394"/>
      <c r="L109" s="1394"/>
      <c r="M109" s="1394"/>
      <c r="N109" s="1394"/>
      <c r="O109" s="1394"/>
      <c r="P109" s="1394"/>
      <c r="Q109" s="1394"/>
      <c r="R109" s="1394"/>
      <c r="S109" s="1394"/>
      <c r="T109" s="1394"/>
      <c r="U109" s="1394"/>
      <c r="V109" s="1394"/>
      <c r="W109" s="1394"/>
      <c r="X109" s="1394"/>
      <c r="Y109" s="1394"/>
      <c r="Z109" s="1394"/>
      <c r="AA109" s="1394"/>
      <c r="AB109" s="1394"/>
    </row>
    <row r="110" spans="1:28">
      <c r="A110" s="1394"/>
      <c r="B110" s="1394"/>
      <c r="C110" s="1394"/>
      <c r="D110" s="1394"/>
      <c r="E110" s="1394"/>
      <c r="F110" s="1394"/>
      <c r="G110" s="1394"/>
      <c r="H110" s="1394"/>
      <c r="I110" s="1394"/>
      <c r="J110" s="1394"/>
      <c r="K110" s="1394"/>
      <c r="L110" s="1394"/>
      <c r="M110" s="1394"/>
      <c r="N110" s="1394"/>
      <c r="O110" s="1394"/>
      <c r="P110" s="1394"/>
      <c r="Q110" s="1394"/>
      <c r="R110" s="1394"/>
      <c r="S110" s="1394"/>
      <c r="T110" s="1394"/>
      <c r="U110" s="1394"/>
      <c r="V110" s="1394"/>
      <c r="W110" s="1394"/>
      <c r="X110" s="1394"/>
      <c r="Y110" s="1394"/>
      <c r="Z110" s="1394"/>
      <c r="AA110" s="1394"/>
      <c r="AB110" s="1394"/>
    </row>
    <row r="111" spans="1:28">
      <c r="A111" s="1394"/>
      <c r="B111" s="1394"/>
      <c r="C111" s="1394"/>
      <c r="D111" s="1394"/>
      <c r="E111" s="1394"/>
      <c r="F111" s="1394"/>
      <c r="G111" s="1394"/>
      <c r="H111" s="1394"/>
      <c r="I111" s="1394"/>
      <c r="J111" s="1394"/>
      <c r="K111" s="1394"/>
      <c r="L111" s="1394"/>
      <c r="M111" s="1394"/>
      <c r="N111" s="1394"/>
      <c r="O111" s="1394"/>
      <c r="P111" s="1394"/>
      <c r="Q111" s="1394"/>
      <c r="R111" s="1394"/>
      <c r="S111" s="1394"/>
      <c r="T111" s="1394"/>
      <c r="U111" s="1394"/>
      <c r="V111" s="1394"/>
      <c r="W111" s="1394"/>
      <c r="X111" s="1394"/>
      <c r="Y111" s="1394"/>
      <c r="Z111" s="1394"/>
      <c r="AA111" s="1394"/>
      <c r="AB111" s="1394"/>
    </row>
    <row r="112" spans="1:28">
      <c r="A112" s="1394"/>
      <c r="B112" s="1394"/>
      <c r="C112" s="1394"/>
      <c r="D112" s="1394"/>
      <c r="E112" s="1394"/>
      <c r="F112" s="1394"/>
      <c r="G112" s="1394"/>
      <c r="H112" s="1394"/>
      <c r="I112" s="1394"/>
      <c r="J112" s="1394"/>
      <c r="K112" s="1394"/>
      <c r="L112" s="1394"/>
      <c r="M112" s="1394"/>
      <c r="N112" s="1394"/>
      <c r="O112" s="1394"/>
      <c r="P112" s="1394"/>
      <c r="Q112" s="1394"/>
      <c r="R112" s="1394"/>
      <c r="S112" s="1394"/>
      <c r="T112" s="1394"/>
      <c r="U112" s="1394"/>
      <c r="V112" s="1394"/>
      <c r="W112" s="1394"/>
      <c r="X112" s="1394"/>
      <c r="Y112" s="1394"/>
      <c r="Z112" s="1394"/>
      <c r="AA112" s="1394"/>
      <c r="AB112" s="1394"/>
    </row>
    <row r="113" spans="1:28">
      <c r="A113" s="1394"/>
      <c r="B113" s="1394"/>
      <c r="C113" s="1394"/>
      <c r="D113" s="1394"/>
      <c r="E113" s="1394"/>
      <c r="F113" s="1394"/>
      <c r="G113" s="1394"/>
      <c r="H113" s="1394"/>
      <c r="I113" s="1394"/>
      <c r="J113" s="1394"/>
      <c r="K113" s="1394"/>
      <c r="L113" s="1394"/>
      <c r="M113" s="1394"/>
      <c r="N113" s="1394"/>
      <c r="O113" s="1394"/>
      <c r="P113" s="1394"/>
      <c r="Q113" s="1394"/>
      <c r="R113" s="1394"/>
      <c r="S113" s="1394"/>
      <c r="T113" s="1394"/>
      <c r="U113" s="1394"/>
      <c r="V113" s="1394"/>
      <c r="W113" s="1394"/>
      <c r="X113" s="1394"/>
      <c r="Y113" s="1394"/>
      <c r="Z113" s="1394"/>
      <c r="AA113" s="1394"/>
      <c r="AB113" s="1394"/>
    </row>
    <row r="114" spans="1:28">
      <c r="A114" s="1394"/>
      <c r="B114" s="1394"/>
      <c r="C114" s="1394"/>
      <c r="D114" s="1394"/>
      <c r="E114" s="1394"/>
      <c r="F114" s="1394"/>
      <c r="G114" s="1394"/>
      <c r="H114" s="1394"/>
      <c r="I114" s="1394"/>
      <c r="J114" s="1394"/>
      <c r="K114" s="1394"/>
      <c r="L114" s="1394"/>
      <c r="M114" s="1394"/>
      <c r="N114" s="1394"/>
      <c r="O114" s="1394"/>
      <c r="P114" s="1394"/>
      <c r="Q114" s="1394"/>
      <c r="R114" s="1394"/>
      <c r="S114" s="1394"/>
      <c r="T114" s="1394"/>
      <c r="U114" s="1394"/>
      <c r="V114" s="1394"/>
      <c r="W114" s="1394"/>
      <c r="X114" s="1394"/>
      <c r="Y114" s="1394"/>
      <c r="Z114" s="1394"/>
      <c r="AA114" s="1394"/>
      <c r="AB114" s="1394"/>
    </row>
    <row r="115" spans="1:28">
      <c r="A115" s="1394"/>
      <c r="B115" s="1394"/>
      <c r="C115" s="1394"/>
      <c r="D115" s="1394"/>
      <c r="E115" s="1394"/>
      <c r="F115" s="1394"/>
      <c r="G115" s="1394"/>
      <c r="H115" s="1394"/>
      <c r="I115" s="1394"/>
      <c r="J115" s="1394"/>
      <c r="K115" s="1394"/>
      <c r="L115" s="1394"/>
      <c r="M115" s="1394"/>
      <c r="N115" s="1394"/>
      <c r="O115" s="1394"/>
      <c r="P115" s="1394"/>
      <c r="Q115" s="1394"/>
      <c r="R115" s="1394"/>
      <c r="S115" s="1394"/>
      <c r="T115" s="1394"/>
      <c r="U115" s="1394"/>
      <c r="V115" s="1394"/>
      <c r="W115" s="1394"/>
      <c r="X115" s="1394"/>
      <c r="Y115" s="1394"/>
      <c r="Z115" s="1394"/>
      <c r="AA115" s="1394"/>
      <c r="AB115" s="1394"/>
    </row>
    <row r="116" spans="1:28">
      <c r="A116" s="1394"/>
      <c r="B116" s="1394"/>
      <c r="C116" s="1394"/>
      <c r="D116" s="1394"/>
      <c r="E116" s="1394"/>
      <c r="F116" s="1394"/>
      <c r="G116" s="1394"/>
      <c r="H116" s="1394"/>
      <c r="I116" s="1394"/>
      <c r="J116" s="1394"/>
      <c r="K116" s="1394"/>
      <c r="L116" s="1394"/>
      <c r="M116" s="1394"/>
      <c r="N116" s="1394"/>
      <c r="O116" s="1394"/>
      <c r="P116" s="1394"/>
      <c r="Q116" s="1394"/>
      <c r="R116" s="1394"/>
      <c r="S116" s="1394"/>
      <c r="T116" s="1394"/>
      <c r="U116" s="1394"/>
      <c r="V116" s="1394"/>
      <c r="W116" s="1394"/>
      <c r="X116" s="1394"/>
      <c r="Y116" s="1394"/>
      <c r="Z116" s="1394"/>
      <c r="AA116" s="1394"/>
      <c r="AB116" s="1394"/>
    </row>
    <row r="117" spans="1:28">
      <c r="A117" s="1394"/>
      <c r="B117" s="1394"/>
      <c r="C117" s="1394"/>
      <c r="D117" s="1394"/>
      <c r="E117" s="1394"/>
      <c r="F117" s="1394"/>
      <c r="G117" s="1394"/>
      <c r="H117" s="1394"/>
      <c r="I117" s="1394"/>
      <c r="J117" s="1394"/>
      <c r="K117" s="1394"/>
      <c r="L117" s="1394"/>
      <c r="M117" s="1394"/>
      <c r="N117" s="1394"/>
      <c r="O117" s="1394"/>
      <c r="P117" s="1394"/>
      <c r="Q117" s="1394"/>
      <c r="R117" s="1394"/>
      <c r="S117" s="1394"/>
      <c r="T117" s="1394"/>
      <c r="U117" s="1394"/>
      <c r="V117" s="1394"/>
      <c r="W117" s="1394"/>
      <c r="X117" s="1394"/>
      <c r="Y117" s="1394"/>
      <c r="Z117" s="1394"/>
      <c r="AA117" s="1394"/>
      <c r="AB117" s="1394"/>
    </row>
  </sheetData>
  <mergeCells count="20">
    <mergeCell ref="C45:S45"/>
    <mergeCell ref="E7:F7"/>
    <mergeCell ref="H7:I7"/>
    <mergeCell ref="K7:L7"/>
    <mergeCell ref="N7:O7"/>
    <mergeCell ref="Q7:R7"/>
    <mergeCell ref="W7:X7"/>
    <mergeCell ref="B41:C41"/>
    <mergeCell ref="C42:S42"/>
    <mergeCell ref="C43:S43"/>
    <mergeCell ref="C44:S44"/>
    <mergeCell ref="T7:U7"/>
    <mergeCell ref="C52:S52"/>
    <mergeCell ref="C53:S53"/>
    <mergeCell ref="C46:S46"/>
    <mergeCell ref="C47:S47"/>
    <mergeCell ref="C48:S48"/>
    <mergeCell ref="C49:S49"/>
    <mergeCell ref="C50:S50"/>
    <mergeCell ref="C51:S51"/>
  </mergeCells>
  <pageMargins left="0.7" right="0.7" top="0.75" bottom="0.75" header="0.3" footer="0.3"/>
  <pageSetup scale="49" orientation="landscape"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76"/>
  <sheetViews>
    <sheetView topLeftCell="V19" workbookViewId="0">
      <selection activeCell="K3" sqref="K3"/>
    </sheetView>
  </sheetViews>
  <sheetFormatPr defaultRowHeight="15"/>
  <cols>
    <col min="1" max="1" width="4.7109375" customWidth="1"/>
    <col min="2" max="2" width="14.28515625" customWidth="1"/>
    <col min="3" max="26" width="11.5703125" customWidth="1"/>
    <col min="27" max="27" width="12.85546875" customWidth="1"/>
    <col min="28" max="28" width="11.5703125" customWidth="1"/>
    <col min="29" max="29" width="10.140625" customWidth="1"/>
    <col min="30" max="30" width="9.140625" customWidth="1"/>
    <col min="31" max="31" width="11.42578125" customWidth="1"/>
    <col min="32" max="32" width="13.28515625" customWidth="1"/>
    <col min="34" max="34" width="10" customWidth="1"/>
    <col min="35" max="35" width="3.7109375" customWidth="1"/>
    <col min="36" max="36" width="11.42578125" customWidth="1"/>
  </cols>
  <sheetData>
    <row r="1" spans="1:37" ht="15.75">
      <c r="A1" s="1456"/>
      <c r="B1" s="1457" t="s">
        <v>2</v>
      </c>
      <c r="C1" s="1458"/>
      <c r="D1" s="1458"/>
      <c r="E1" s="1458"/>
      <c r="F1" s="1458"/>
      <c r="G1" s="1459"/>
      <c r="H1" s="1459"/>
      <c r="I1" s="1459"/>
      <c r="J1" s="1459"/>
      <c r="K1" s="1459"/>
      <c r="L1" s="1459"/>
      <c r="M1" s="1459"/>
      <c r="N1" s="1459"/>
      <c r="O1" s="1459"/>
      <c r="P1" s="1459"/>
      <c r="Q1" s="1459"/>
      <c r="R1" s="1459"/>
      <c r="S1" s="1459"/>
      <c r="T1" s="1459"/>
      <c r="U1" s="1459"/>
      <c r="V1" s="1459"/>
      <c r="W1" s="1459"/>
      <c r="X1" s="1458"/>
      <c r="Y1" s="1459"/>
      <c r="Z1" s="1459"/>
      <c r="AA1" s="1460"/>
      <c r="AB1" s="1460"/>
      <c r="AC1" s="1460"/>
      <c r="AD1" s="1460"/>
      <c r="AE1" s="1460"/>
      <c r="AF1" s="1460"/>
      <c r="AG1" s="1460"/>
      <c r="AH1" s="1460"/>
    </row>
    <row r="2" spans="1:37" ht="15.75">
      <c r="A2" s="1461"/>
      <c r="B2" s="2463" t="s">
        <v>1347</v>
      </c>
      <c r="C2" s="2463"/>
      <c r="D2" s="2463"/>
      <c r="E2" s="2463"/>
      <c r="F2" s="2463"/>
      <c r="G2" s="2463"/>
      <c r="H2" s="2463"/>
      <c r="I2" s="2463"/>
      <c r="J2" s="2463"/>
      <c r="K2" s="2463"/>
      <c r="L2" s="2463"/>
      <c r="M2" s="2463"/>
      <c r="N2" s="2463"/>
      <c r="O2" s="2463"/>
      <c r="P2" s="2463"/>
      <c r="Q2" s="2463"/>
      <c r="R2" s="2463"/>
      <c r="S2" s="2463"/>
      <c r="T2" s="2463"/>
      <c r="U2" s="2463"/>
      <c r="V2" s="2463"/>
      <c r="W2" s="2463"/>
      <c r="X2" s="2463"/>
      <c r="Y2" s="2463"/>
      <c r="Z2" s="2463"/>
      <c r="AA2" s="2463"/>
      <c r="AB2" s="2463"/>
      <c r="AC2" s="1460"/>
      <c r="AD2" s="1460"/>
      <c r="AE2" s="1460"/>
      <c r="AF2" s="1460"/>
      <c r="AG2" s="1460"/>
      <c r="AH2" s="1460"/>
    </row>
    <row r="3" spans="1:37" ht="15.75">
      <c r="A3" s="1456"/>
      <c r="B3" s="1462"/>
      <c r="C3" s="1463"/>
      <c r="D3" s="1463"/>
      <c r="E3" s="1463"/>
      <c r="F3" s="1463"/>
      <c r="G3" s="1463"/>
      <c r="H3" s="1464"/>
      <c r="I3" s="1459"/>
      <c r="J3" s="1459"/>
      <c r="K3" s="1459"/>
      <c r="L3" s="1459"/>
      <c r="M3" s="1459"/>
      <c r="N3" s="1458"/>
      <c r="O3" s="1459"/>
      <c r="P3" s="1459"/>
      <c r="Q3" s="1459"/>
      <c r="R3" s="1465"/>
      <c r="S3" s="1459"/>
      <c r="T3" s="1459"/>
      <c r="U3" s="1459"/>
      <c r="V3" s="1459"/>
      <c r="W3" s="1459"/>
      <c r="X3" s="1458"/>
      <c r="Y3" s="1459"/>
      <c r="Z3" s="1459"/>
      <c r="AA3" s="1460"/>
      <c r="AB3" s="1460"/>
      <c r="AC3" s="1460"/>
      <c r="AD3" s="1460"/>
      <c r="AE3" s="1460"/>
      <c r="AF3" s="1460"/>
      <c r="AG3" s="1460"/>
      <c r="AH3" s="1460"/>
    </row>
    <row r="4" spans="1:37" ht="16.5" thickBot="1">
      <c r="A4" s="1460"/>
      <c r="B4" s="1460"/>
      <c r="C4" s="1460"/>
      <c r="D4" s="1460"/>
      <c r="E4" s="1460"/>
      <c r="F4" s="1460"/>
      <c r="G4" s="1460"/>
      <c r="H4" s="1460"/>
      <c r="I4" s="1460"/>
      <c r="J4" s="1460"/>
      <c r="K4" s="1460"/>
      <c r="L4" s="1460"/>
      <c r="M4" s="1460"/>
      <c r="N4" s="1460"/>
      <c r="O4" s="1460"/>
      <c r="P4" s="1460"/>
      <c r="Q4" s="1460"/>
      <c r="R4" s="1465"/>
      <c r="S4" s="1466"/>
      <c r="T4" s="1459"/>
      <c r="U4" s="1459"/>
      <c r="V4" s="1467"/>
      <c r="W4" s="1466"/>
      <c r="X4" s="1467"/>
      <c r="Y4" s="1468"/>
      <c r="Z4" s="1460"/>
      <c r="AA4" s="1460"/>
      <c r="AB4" s="1460"/>
      <c r="AC4" s="1460"/>
      <c r="AD4" s="1460"/>
      <c r="AE4" s="1460"/>
      <c r="AF4" s="1460"/>
      <c r="AG4" s="1460"/>
      <c r="AH4" s="1460"/>
      <c r="AI4" s="1460"/>
    </row>
    <row r="5" spans="1:37" ht="16.5" thickBot="1">
      <c r="A5" s="1460"/>
      <c r="B5" s="1469"/>
      <c r="C5" s="2464" t="s">
        <v>1348</v>
      </c>
      <c r="D5" s="2465"/>
      <c r="E5" s="2465"/>
      <c r="F5" s="2465"/>
      <c r="G5" s="2465"/>
      <c r="H5" s="2465"/>
      <c r="I5" s="2465"/>
      <c r="J5" s="2465"/>
      <c r="K5" s="2465"/>
      <c r="L5" s="2465"/>
      <c r="M5" s="2465"/>
      <c r="N5" s="2465"/>
      <c r="O5" s="2465"/>
      <c r="P5" s="2465"/>
      <c r="Q5" s="2465"/>
      <c r="R5" s="2465"/>
      <c r="S5" s="2465"/>
      <c r="T5" s="2466"/>
      <c r="U5" s="2199"/>
      <c r="V5" s="2299"/>
      <c r="W5" s="2296"/>
      <c r="X5" s="1459"/>
      <c r="Y5" s="1470"/>
      <c r="Z5" s="2469" t="s">
        <v>1349</v>
      </c>
      <c r="AA5" s="2466"/>
      <c r="AB5" s="2466"/>
      <c r="AC5" s="2466"/>
      <c r="AD5" s="2466"/>
      <c r="AE5" s="2470"/>
      <c r="AF5" s="1465"/>
      <c r="AG5" s="1465"/>
      <c r="AH5" s="1460"/>
      <c r="AI5" s="1460"/>
      <c r="AJ5" s="1460"/>
      <c r="AK5" s="1460"/>
    </row>
    <row r="6" spans="1:37" ht="16.5" thickBot="1">
      <c r="A6" s="1460"/>
      <c r="B6" s="1472" t="s">
        <v>912</v>
      </c>
      <c r="C6" s="1473" t="s">
        <v>1350</v>
      </c>
      <c r="D6" s="1474" t="s">
        <v>1351</v>
      </c>
      <c r="E6" s="1475" t="s">
        <v>1352</v>
      </c>
      <c r="F6" s="1475" t="s">
        <v>1353</v>
      </c>
      <c r="G6" s="1475" t="s">
        <v>1354</v>
      </c>
      <c r="H6" s="1475" t="s">
        <v>1355</v>
      </c>
      <c r="I6" s="1475" t="s">
        <v>1356</v>
      </c>
      <c r="J6" s="1475" t="s">
        <v>1357</v>
      </c>
      <c r="K6" s="1475" t="s">
        <v>1358</v>
      </c>
      <c r="L6" s="1475" t="s">
        <v>1359</v>
      </c>
      <c r="M6" s="1475" t="s">
        <v>1360</v>
      </c>
      <c r="N6" s="1475" t="s">
        <v>1361</v>
      </c>
      <c r="O6" s="1475" t="s">
        <v>1362</v>
      </c>
      <c r="P6" s="1475" t="s">
        <v>1363</v>
      </c>
      <c r="Q6" s="1475" t="s">
        <v>1364</v>
      </c>
      <c r="R6" s="1475" t="s">
        <v>1365</v>
      </c>
      <c r="S6" s="1475" t="s">
        <v>1366</v>
      </c>
      <c r="T6" s="1475" t="s">
        <v>1367</v>
      </c>
      <c r="U6" s="1475" t="s">
        <v>1904</v>
      </c>
      <c r="V6" s="1475" t="s">
        <v>2286</v>
      </c>
      <c r="W6" s="1475" t="s">
        <v>2287</v>
      </c>
      <c r="X6" s="1476" t="s">
        <v>1368</v>
      </c>
      <c r="Y6" s="1459"/>
      <c r="Z6" s="1474" t="s">
        <v>1369</v>
      </c>
      <c r="AA6" s="1475" t="s">
        <v>1370</v>
      </c>
      <c r="AB6" s="1475" t="s">
        <v>1371</v>
      </c>
      <c r="AC6" s="1475" t="s">
        <v>1372</v>
      </c>
      <c r="AD6" s="1477" t="s">
        <v>1435</v>
      </c>
      <c r="AE6" s="1476" t="s">
        <v>1373</v>
      </c>
      <c r="AF6" s="1471"/>
      <c r="AG6" s="1465"/>
      <c r="AH6" s="1465"/>
      <c r="AI6" s="1460"/>
      <c r="AJ6" s="1460"/>
      <c r="AK6" s="1460"/>
    </row>
    <row r="7" spans="1:37" ht="78.75">
      <c r="A7" s="1460"/>
      <c r="B7" s="1478" t="s">
        <v>1374</v>
      </c>
      <c r="C7" s="1479" t="s">
        <v>2</v>
      </c>
      <c r="D7" s="1480" t="s">
        <v>2490</v>
      </c>
      <c r="E7" s="1481" t="s">
        <v>2491</v>
      </c>
      <c r="F7" s="1481" t="s">
        <v>2492</v>
      </c>
      <c r="G7" s="1481" t="s">
        <v>2493</v>
      </c>
      <c r="H7" s="1481" t="s">
        <v>2494</v>
      </c>
      <c r="I7" s="1481" t="s">
        <v>2495</v>
      </c>
      <c r="J7" s="1481" t="s">
        <v>2496</v>
      </c>
      <c r="K7" s="1481" t="s">
        <v>2497</v>
      </c>
      <c r="L7" s="1481" t="s">
        <v>2498</v>
      </c>
      <c r="M7" s="1481" t="s">
        <v>2499</v>
      </c>
      <c r="N7" s="1481" t="s">
        <v>2500</v>
      </c>
      <c r="O7" s="1481" t="s">
        <v>2501</v>
      </c>
      <c r="P7" s="1481" t="s">
        <v>2502</v>
      </c>
      <c r="Q7" s="1481" t="s">
        <v>2503</v>
      </c>
      <c r="R7" s="1481" t="s">
        <v>2504</v>
      </c>
      <c r="S7" s="1481" t="s">
        <v>2505</v>
      </c>
      <c r="T7" s="1481" t="s">
        <v>2506</v>
      </c>
      <c r="U7" s="1481" t="s">
        <v>2507</v>
      </c>
      <c r="V7" s="1481" t="s">
        <v>2508</v>
      </c>
      <c r="W7" s="2312" t="s">
        <v>2509</v>
      </c>
      <c r="X7" s="1482"/>
      <c r="Y7" s="1459"/>
      <c r="Z7" s="1480" t="s">
        <v>1375</v>
      </c>
      <c r="AA7" s="1481" t="s">
        <v>1376</v>
      </c>
      <c r="AB7" s="1481" t="s">
        <v>1377</v>
      </c>
      <c r="AC7" s="1481" t="s">
        <v>1378</v>
      </c>
      <c r="AD7" s="1483"/>
      <c r="AE7" s="1484"/>
      <c r="AF7" s="1471"/>
      <c r="AG7" s="1465"/>
      <c r="AH7" s="1465"/>
      <c r="AI7" s="1460"/>
      <c r="AJ7" s="1460"/>
      <c r="AK7" s="1460"/>
    </row>
    <row r="8" spans="1:37" ht="15.75">
      <c r="A8" s="1460"/>
      <c r="B8" s="1485" t="s">
        <v>1379</v>
      </c>
      <c r="C8" s="1486" t="s">
        <v>1380</v>
      </c>
      <c r="D8" s="1487" t="s">
        <v>1381</v>
      </c>
      <c r="E8" s="1483" t="s">
        <v>1381</v>
      </c>
      <c r="F8" s="1483" t="s">
        <v>1381</v>
      </c>
      <c r="G8" s="1483" t="s">
        <v>1381</v>
      </c>
      <c r="H8" s="1483" t="s">
        <v>1381</v>
      </c>
      <c r="I8" s="1483" t="s">
        <v>1381</v>
      </c>
      <c r="J8" s="1483" t="s">
        <v>1381</v>
      </c>
      <c r="K8" s="1483" t="s">
        <v>1381</v>
      </c>
      <c r="L8" s="1483" t="s">
        <v>1381</v>
      </c>
      <c r="M8" s="1483" t="s">
        <v>1381</v>
      </c>
      <c r="N8" s="1483" t="s">
        <v>1381</v>
      </c>
      <c r="O8" s="1483" t="s">
        <v>1381</v>
      </c>
      <c r="P8" s="1483" t="s">
        <v>1381</v>
      </c>
      <c r="Q8" s="1483" t="s">
        <v>1381</v>
      </c>
      <c r="R8" s="1483" t="s">
        <v>1381</v>
      </c>
      <c r="S8" s="1483" t="s">
        <v>1381</v>
      </c>
      <c r="T8" s="1483" t="s">
        <v>1381</v>
      </c>
      <c r="U8" s="1483" t="s">
        <v>1381</v>
      </c>
      <c r="V8" s="1483" t="s">
        <v>1381</v>
      </c>
      <c r="W8" s="1488" t="s">
        <v>1381</v>
      </c>
      <c r="X8" s="1489" t="s">
        <v>1382</v>
      </c>
      <c r="Y8" s="1465"/>
      <c r="Z8" s="1487" t="s">
        <v>1383</v>
      </c>
      <c r="AA8" s="1483" t="s">
        <v>1383</v>
      </c>
      <c r="AB8" s="1483" t="s">
        <v>1383</v>
      </c>
      <c r="AC8" s="1483" t="s">
        <v>1383</v>
      </c>
      <c r="AD8" s="1488"/>
      <c r="AE8" s="1484" t="s">
        <v>1384</v>
      </c>
      <c r="AF8" s="1465"/>
      <c r="AG8" s="1460"/>
      <c r="AH8" s="1460"/>
      <c r="AI8" s="1460"/>
      <c r="AJ8" s="1460"/>
      <c r="AK8" s="1460"/>
    </row>
    <row r="9" spans="1:37" ht="32.25" thickBot="1">
      <c r="A9" s="1460"/>
      <c r="B9" s="1490" t="s">
        <v>1385</v>
      </c>
      <c r="C9" s="1491"/>
      <c r="D9" s="1492" t="s">
        <v>2510</v>
      </c>
      <c r="E9" s="1493" t="s">
        <v>2511</v>
      </c>
      <c r="F9" s="1493" t="s">
        <v>2512</v>
      </c>
      <c r="G9" s="1493" t="s">
        <v>2513</v>
      </c>
      <c r="H9" s="1493" t="s">
        <v>2514</v>
      </c>
      <c r="I9" s="1493" t="s">
        <v>2515</v>
      </c>
      <c r="J9" s="1493" t="s">
        <v>2516</v>
      </c>
      <c r="K9" s="1493" t="s">
        <v>2517</v>
      </c>
      <c r="L9" s="1493" t="s">
        <v>2518</v>
      </c>
      <c r="M9" s="1493" t="s">
        <v>2519</v>
      </c>
      <c r="N9" s="1493" t="s">
        <v>2520</v>
      </c>
      <c r="O9" s="1493" t="s">
        <v>2521</v>
      </c>
      <c r="P9" s="1493" t="s">
        <v>2522</v>
      </c>
      <c r="Q9" s="1493" t="s">
        <v>2523</v>
      </c>
      <c r="R9" s="1493" t="s">
        <v>2524</v>
      </c>
      <c r="S9" s="1493" t="s">
        <v>2525</v>
      </c>
      <c r="T9" s="1493" t="s">
        <v>2526</v>
      </c>
      <c r="U9" s="1493" t="s">
        <v>2527</v>
      </c>
      <c r="V9" s="1493" t="s">
        <v>2528</v>
      </c>
      <c r="W9" s="1494" t="s">
        <v>2529</v>
      </c>
      <c r="X9" s="1495"/>
      <c r="Y9" s="1465"/>
      <c r="Z9" s="1492" t="s">
        <v>1386</v>
      </c>
      <c r="AA9" s="1493" t="s">
        <v>1387</v>
      </c>
      <c r="AB9" s="1493" t="s">
        <v>1388</v>
      </c>
      <c r="AC9" s="1493" t="s">
        <v>1389</v>
      </c>
      <c r="AD9" s="1493"/>
      <c r="AE9" s="1496"/>
      <c r="AF9" s="1465"/>
      <c r="AG9" s="1460"/>
      <c r="AH9" s="1460"/>
      <c r="AI9" s="1460"/>
      <c r="AJ9" s="1460"/>
      <c r="AK9" s="1460"/>
    </row>
    <row r="10" spans="1:37" ht="15.75">
      <c r="A10" s="1460"/>
      <c r="B10" s="1472" t="s">
        <v>1226</v>
      </c>
      <c r="C10" s="1497">
        <f>ROUND(AVERAGE('Att 9a1-2019 Actual'!E10,'Att 9a2 - 2018 actual'!E10,'Att 9a3 - 2017 actual'!E10),2)</f>
        <v>8537.68</v>
      </c>
      <c r="D10" s="2249">
        <f>ROUND(AVERAGE('Att 9a1-2019 Actual'!F10,'Att 9a2 - 2018 actual'!F10,'Att 9a3 - 2017 actual'!F10),2)</f>
        <v>10.26</v>
      </c>
      <c r="E10" s="1505">
        <f>ROUND(AVERAGE('Att 9a1-2019 Actual'!G10,'Att 9a2 - 2018 actual'!G10,'Att 9a3 - 2017 actual'!G10),2)</f>
        <v>3.4</v>
      </c>
      <c r="F10" s="1505">
        <f>ROUND(AVERAGE('Att 9a1-2019 Actual'!H10,'Att 9a2 - 2018 actual'!H10,'Att 9a3 - 2017 actual'!H10),2)</f>
        <v>31.22</v>
      </c>
      <c r="G10" s="1505">
        <f>ROUND(AVERAGE('Att 9a1-2019 Actual'!I10,'Att 9a2 - 2018 actual'!I10,'Att 9a3 - 2017 actual'!I10),2)</f>
        <v>1.35</v>
      </c>
      <c r="H10" s="1505">
        <f>ROUND(AVERAGE('Att 9a1-2019 Actual'!J10,'Att 9a2 - 2018 actual'!J10,'Att 9a3 - 2017 actual'!J10),2)</f>
        <v>0.24</v>
      </c>
      <c r="I10" s="1505">
        <f>ROUND(AVERAGE('Att 9a1-2019 Actual'!K10,'Att 9a2 - 2018 actual'!K10),2)</f>
        <v>0.08</v>
      </c>
      <c r="J10" s="1505">
        <f>ROUND(AVERAGE('Att 9a1-2019 Actual'!L10,'Att 9a2 - 2018 actual'!L10,'Att 9a3 - 2017 actual'!L10),2)</f>
        <v>18.489999999999998</v>
      </c>
      <c r="K10" s="1505">
        <f>ROUND(AVERAGE('Att 9a1-2019 Actual'!M10,'Att 9a2 - 2018 actual'!M10,'Att 9a3 - 2017 actual'!M10),2)</f>
        <v>17.190000000000001</v>
      </c>
      <c r="L10" s="1505">
        <f>ROUND(AVERAGE('Att 9a1-2019 Actual'!N10,'Att 9a2 - 2018 actual'!N10,'Att 9a3 - 2017 actual'!N10),2)</f>
        <v>11.15</v>
      </c>
      <c r="M10" s="1505">
        <f>ROUND(AVERAGE('Att 9a1-2019 Actual'!O10,'Att 9a2 - 2018 actual'!O10,'Att 9a3 - 2017 actual'!O10),2)</f>
        <v>48.86</v>
      </c>
      <c r="N10" s="1505">
        <f>ROUND(AVERAGE('Att 9a1-2019 Actual'!P10,'Att 9a2 - 2018 actual'!P10,'Att 9a3 - 2017 actual'!P10),2)</f>
        <v>0</v>
      </c>
      <c r="O10" s="1505">
        <f>ROUND(AVERAGE('Att 9a1-2019 Actual'!Q10,'Att 9a2 - 2018 actual'!Q10,'Att 9a3 - 2017 actual'!Q10),2)</f>
        <v>0.01</v>
      </c>
      <c r="P10" s="1505">
        <f>ROUND(AVERAGE('Att 9a1-2019 Actual'!R10,'Att 9a2 - 2018 actual'!R10,'Att 9a3 - 2017 actual'!R10),2)</f>
        <v>26.97</v>
      </c>
      <c r="Q10" s="1505">
        <f>ROUND(AVERAGE('Att 9a1-2019 Actual'!S10,'Att 9a2 - 2018 actual'!S10,'Att 9a3 - 2017 actual'!S10),2)</f>
        <v>0.28000000000000003</v>
      </c>
      <c r="R10" s="1505">
        <f>ROUND(AVERAGE('Att 9a1-2019 Actual'!T10,'Att 9a2 - 2018 actual'!T10,'Att 9a3 - 2017 actual'!T10),2)</f>
        <v>313.04000000000002</v>
      </c>
      <c r="S10" s="1505">
        <f>ROUND(AVERAGE('Att 9a1-2019 Actual'!U10,'Att 9a2 - 2018 actual'!U10,'Att 9a3 - 2017 actual'!U10),2)</f>
        <v>97.33</v>
      </c>
      <c r="T10" s="1505">
        <f>ROUND(AVERAGE('Att 9a1-2019 Actual'!V10,'Att 9a2 - 2018 actual'!V10),2)</f>
        <v>0.01</v>
      </c>
      <c r="U10" s="1505">
        <f>ROUND(AVERAGE('Att 9a1-2019 Actual'!W10,'Att 9a2 - 2018 actual'!W10),2)</f>
        <v>2.64</v>
      </c>
      <c r="V10" s="1505">
        <v>2</v>
      </c>
      <c r="W10" s="2202"/>
      <c r="X10" s="1498">
        <f>SUM(D10:W10)</f>
        <v>584.52</v>
      </c>
      <c r="Y10" s="1465"/>
      <c r="Z10" s="1499">
        <f>AVERAGE('Att 9a1-2019 Actual'!E31,'Att 9a2 - 2018 actual'!E31,'Att 9a3 - 2017 actual'!E31)</f>
        <v>392.50900000000001</v>
      </c>
      <c r="AA10" s="1500">
        <f>AVERAGE('Att 9a1-2019 Actual'!F31,'Att 9a2 - 2018 actual'!F31,'Att 9a3 - 2017 actual'!F31)</f>
        <v>70.927999999999997</v>
      </c>
      <c r="AB10" s="1500">
        <f>AVERAGE('Att 9a1-2019 Actual'!G31,'Att 9a2 - 2018 actual'!G31,'Att 9a3 - 2017 actual'!G31)</f>
        <v>88.798000000000002</v>
      </c>
      <c r="AC10" s="1500">
        <f>AVERAGE('Att 9a1-2019 Actual'!H31,'Att 9a2 - 2018 actual'!H31,'Att 9a3 - 2017 actual'!H31)</f>
        <v>338.33333333333331</v>
      </c>
      <c r="AD10" s="1501"/>
      <c r="AE10" s="1502">
        <f>SUM(Z10:AD10)</f>
        <v>890.56833333333338</v>
      </c>
      <c r="AF10" s="1503"/>
      <c r="AG10" s="1460"/>
      <c r="AH10" s="1460"/>
      <c r="AI10" s="1460"/>
      <c r="AJ10" s="1460"/>
      <c r="AK10" s="1460"/>
    </row>
    <row r="11" spans="1:37" ht="15.75">
      <c r="A11" s="1460"/>
      <c r="B11" s="1472" t="s">
        <v>1227</v>
      </c>
      <c r="C11" s="1504">
        <f>ROUND(AVERAGE('Att 9a1-2019 Actual'!E11,'Att 9a2 - 2018 actual'!E11,'Att 9a3 - 2017 actual'!E11),2)</f>
        <v>8394.0499999999993</v>
      </c>
      <c r="D11" s="2249">
        <f>ROUND(AVERAGE('Att 9a1-2019 Actual'!F11,'Att 9a2 - 2018 actual'!F11,'Att 9a3 - 2017 actual'!F11),2)</f>
        <v>9.27</v>
      </c>
      <c r="E11" s="1505">
        <f>ROUND(AVERAGE('Att 9a1-2019 Actual'!G11,'Att 9a2 - 2018 actual'!G11,'Att 9a3 - 2017 actual'!G11),2)</f>
        <v>3.35</v>
      </c>
      <c r="F11" s="1505">
        <f>ROUND(AVERAGE('Att 9a1-2019 Actual'!H11,'Att 9a2 - 2018 actual'!H11,'Att 9a3 - 2017 actual'!H11),2)</f>
        <v>32.950000000000003</v>
      </c>
      <c r="G11" s="1505">
        <f>ROUND(AVERAGE('Att 9a1-2019 Actual'!I11,'Att 9a2 - 2018 actual'!I11,'Att 9a3 - 2017 actual'!I11),2)</f>
        <v>1.4</v>
      </c>
      <c r="H11" s="1505">
        <f>ROUND(AVERAGE('Att 9a1-2019 Actual'!J11,'Att 9a2 - 2018 actual'!J11,'Att 9a3 - 2017 actual'!J11),2)</f>
        <v>0.31</v>
      </c>
      <c r="I11" s="1505">
        <f>ROUND(AVERAGE('Att 9a1-2019 Actual'!K11,'Att 9a2 - 2018 actual'!K11),2)</f>
        <v>0.01</v>
      </c>
      <c r="J11" s="1505">
        <f>ROUND(AVERAGE('Att 9a1-2019 Actual'!L11,'Att 9a2 - 2018 actual'!L11,'Att 9a3 - 2017 actual'!L11),2)</f>
        <v>18.420000000000002</v>
      </c>
      <c r="K11" s="1505">
        <f>ROUND(AVERAGE('Att 9a1-2019 Actual'!M11,'Att 9a2 - 2018 actual'!M11,'Att 9a3 - 2017 actual'!M11),2)</f>
        <v>17.5</v>
      </c>
      <c r="L11" s="1505">
        <f>ROUND(AVERAGE('Att 9a1-2019 Actual'!N11,'Att 9a2 - 2018 actual'!N11,'Att 9a3 - 2017 actual'!N11),2)</f>
        <v>11.26</v>
      </c>
      <c r="M11" s="1505">
        <f>ROUND(AVERAGE('Att 9a1-2019 Actual'!O11,'Att 9a2 - 2018 actual'!O11,'Att 9a3 - 2017 actual'!O11),2)</f>
        <v>52.04</v>
      </c>
      <c r="N11" s="1505">
        <f>ROUND(AVERAGE('Att 9a1-2019 Actual'!P11,'Att 9a2 - 2018 actual'!P11,'Att 9a3 - 2017 actual'!P11),2)</f>
        <v>0</v>
      </c>
      <c r="O11" s="1505">
        <f>ROUND(AVERAGE('Att 9a1-2019 Actual'!Q11,'Att 9a2 - 2018 actual'!Q11,'Att 9a3 - 2017 actual'!Q11),2)</f>
        <v>0.01</v>
      </c>
      <c r="P11" s="1505">
        <f>ROUND(AVERAGE('Att 9a1-2019 Actual'!R11,'Att 9a2 - 2018 actual'!R11,'Att 9a3 - 2017 actual'!R11),2)</f>
        <v>28.13</v>
      </c>
      <c r="Q11" s="1505">
        <f>ROUND(AVERAGE('Att 9a1-2019 Actual'!S11,'Att 9a2 - 2018 actual'!S11,'Att 9a3 - 2017 actual'!S11),2)</f>
        <v>0.28000000000000003</v>
      </c>
      <c r="R11" s="1505">
        <f>ROUND(AVERAGE('Att 9a1-2019 Actual'!T11,'Att 9a2 - 2018 actual'!T11,'Att 9a3 - 2017 actual'!T11),2)</f>
        <v>260.77</v>
      </c>
      <c r="S11" s="1505">
        <f>ROUND(AVERAGE('Att 9a1-2019 Actual'!U11,'Att 9a2 - 2018 actual'!U11,'Att 9a3 - 2017 actual'!U11),2)</f>
        <v>96.67</v>
      </c>
      <c r="T11" s="1505">
        <f>ROUND(AVERAGE('Att 9a1-2019 Actual'!V11,'Att 9a2 - 2018 actual'!V11),2)</f>
        <v>0.03</v>
      </c>
      <c r="U11" s="1505">
        <f>ROUND(AVERAGE('Att 9a1-2019 Actual'!W11,'Att 9a2 - 2018 actual'!W11),2)</f>
        <v>2.42</v>
      </c>
      <c r="V11" s="1505">
        <v>2</v>
      </c>
      <c r="W11" s="2202"/>
      <c r="X11" s="1498">
        <f t="shared" ref="X11:X21" si="0">SUM(D11:W11)</f>
        <v>536.81999999999994</v>
      </c>
      <c r="Y11" s="1465"/>
      <c r="Z11" s="1506">
        <f>AVERAGE('Att 9a1-2019 Actual'!E32,'Att 9a2 - 2018 actual'!E32,'Att 9a3 - 2017 actual'!E32)</f>
        <v>393.41799999999995</v>
      </c>
      <c r="AA11" s="1507">
        <f>AVERAGE('Att 9a1-2019 Actual'!F32,'Att 9a2 - 2018 actual'!F32,'Att 9a3 - 2017 actual'!F32)</f>
        <v>69.686999999999998</v>
      </c>
      <c r="AB11" s="1507">
        <f>AVERAGE('Att 9a1-2019 Actual'!G32,'Att 9a2 - 2018 actual'!G32,'Att 9a3 - 2017 actual'!G32)</f>
        <v>80.101666666666674</v>
      </c>
      <c r="AC11" s="1507">
        <f>AVERAGE('Att 9a1-2019 Actual'!H32,'Att 9a2 - 2018 actual'!H32,'Att 9a3 - 2017 actual'!H32)</f>
        <v>309.33333333333331</v>
      </c>
      <c r="AD11" s="1508"/>
      <c r="AE11" s="1502">
        <f t="shared" ref="AE11:AE21" si="1">SUM(Z11:AD11)</f>
        <v>852.54</v>
      </c>
      <c r="AF11" s="1503"/>
      <c r="AG11" s="1460"/>
      <c r="AH11" s="1460"/>
      <c r="AI11" s="1460"/>
      <c r="AJ11" s="1460"/>
      <c r="AK11" s="1460"/>
    </row>
    <row r="12" spans="1:37" ht="15.75">
      <c r="A12" s="1460"/>
      <c r="B12" s="1472" t="s">
        <v>1024</v>
      </c>
      <c r="C12" s="1504">
        <f>ROUND(AVERAGE('Att 9a1-2019 Actual'!E12,'Att 9a2 - 2018 actual'!E12,'Att 9a3 - 2017 actual'!E12),2)</f>
        <v>7934.43</v>
      </c>
      <c r="D12" s="2249">
        <f>ROUND(AVERAGE('Att 9a1-2019 Actual'!F12,'Att 9a2 - 2018 actual'!F12,'Att 9a3 - 2017 actual'!F12),2)</f>
        <v>8.18</v>
      </c>
      <c r="E12" s="1505">
        <f>ROUND(AVERAGE('Att 9a1-2019 Actual'!G12,'Att 9a2 - 2018 actual'!G12,'Att 9a3 - 2017 actual'!G12),2)</f>
        <v>3.22</v>
      </c>
      <c r="F12" s="1505">
        <f>ROUND(AVERAGE('Att 9a1-2019 Actual'!H12,'Att 9a2 - 2018 actual'!H12,'Att 9a3 - 2017 actual'!H12),2)</f>
        <v>28.88</v>
      </c>
      <c r="G12" s="1505">
        <f>ROUND(AVERAGE('Att 9a1-2019 Actual'!I12,'Att 9a2 - 2018 actual'!I12,'Att 9a3 - 2017 actual'!I12),2)</f>
        <v>1.3</v>
      </c>
      <c r="H12" s="1505">
        <f>ROUND(AVERAGE('Att 9a1-2019 Actual'!J12,'Att 9a2 - 2018 actual'!J12,'Att 9a3 - 2017 actual'!J12),2)</f>
        <v>0.15</v>
      </c>
      <c r="I12" s="1505">
        <f>ROUND(AVERAGE('Att 9a1-2019 Actual'!K12,'Att 9a2 - 2018 actual'!K12),2)</f>
        <v>0.01</v>
      </c>
      <c r="J12" s="1505">
        <f>ROUND(AVERAGE('Att 9a1-2019 Actual'!L12,'Att 9a2 - 2018 actual'!L12,'Att 9a3 - 2017 actual'!L12),2)</f>
        <v>19.53</v>
      </c>
      <c r="K12" s="1505">
        <f>ROUND(AVERAGE('Att 9a1-2019 Actual'!M12,'Att 9a2 - 2018 actual'!M12,'Att 9a3 - 2017 actual'!M12),2)</f>
        <v>15.39</v>
      </c>
      <c r="L12" s="1505">
        <f>ROUND(AVERAGE('Att 9a1-2019 Actual'!N12,'Att 9a2 - 2018 actual'!N12,'Att 9a3 - 2017 actual'!N12),2)</f>
        <v>10.3</v>
      </c>
      <c r="M12" s="1505">
        <f>ROUND(AVERAGE('Att 9a1-2019 Actual'!O12,'Att 9a2 - 2018 actual'!O12,'Att 9a3 - 2017 actual'!O12),2)</f>
        <v>46.57</v>
      </c>
      <c r="N12" s="1505">
        <f>ROUND(AVERAGE('Att 9a1-2019 Actual'!P12,'Att 9a2 - 2018 actual'!P12,'Att 9a3 - 2017 actual'!P12),2)</f>
        <v>0</v>
      </c>
      <c r="O12" s="1505">
        <f>ROUND(AVERAGE('Att 9a1-2019 Actual'!Q12,'Att 9a2 - 2018 actual'!Q12,'Att 9a3 - 2017 actual'!Q12),2)</f>
        <v>0</v>
      </c>
      <c r="P12" s="1505">
        <f>ROUND(AVERAGE('Att 9a1-2019 Actual'!R12,'Att 9a2 - 2018 actual'!R12,'Att 9a3 - 2017 actual'!R12),2)</f>
        <v>28.77</v>
      </c>
      <c r="Q12" s="1505">
        <f>ROUND(AVERAGE('Att 9a1-2019 Actual'!S12,'Att 9a2 - 2018 actual'!S12,'Att 9a3 - 2017 actual'!S12),2)</f>
        <v>0.27</v>
      </c>
      <c r="R12" s="1505">
        <f>ROUND(AVERAGE('Att 9a1-2019 Actual'!T12,'Att 9a2 - 2018 actual'!T12,'Att 9a3 - 2017 actual'!T12),2)</f>
        <v>252.54</v>
      </c>
      <c r="S12" s="1505">
        <f>ROUND(AVERAGE('Att 9a1-2019 Actual'!U12,'Att 9a2 - 2018 actual'!U12,'Att 9a3 - 2017 actual'!U12),2)</f>
        <v>87.78</v>
      </c>
      <c r="T12" s="1505">
        <f>ROUND(AVERAGE('Att 9a1-2019 Actual'!V12,'Att 9a2 - 2018 actual'!V12),2)</f>
        <v>0.03</v>
      </c>
      <c r="U12" s="1505">
        <f>ROUND(AVERAGE('Att 9a1-2019 Actual'!W12,'Att 9a2 - 2018 actual'!W12),2)</f>
        <v>2.34</v>
      </c>
      <c r="V12" s="1505">
        <v>2</v>
      </c>
      <c r="W12" s="2202"/>
      <c r="X12" s="1498">
        <f t="shared" si="0"/>
        <v>507.25999999999993</v>
      </c>
      <c r="Y12" s="1465"/>
      <c r="Z12" s="1506">
        <f>AVERAGE('Att 9a1-2019 Actual'!E33,'Att 9a2 - 2018 actual'!E33,'Att 9a3 - 2017 actual'!E33)</f>
        <v>348.17</v>
      </c>
      <c r="AA12" s="1507">
        <f>AVERAGE('Att 9a1-2019 Actual'!F33,'Att 9a2 - 2018 actual'!F33,'Att 9a3 - 2017 actual'!F33)</f>
        <v>56.362666666666662</v>
      </c>
      <c r="AB12" s="1507">
        <f>AVERAGE('Att 9a1-2019 Actual'!G33,'Att 9a2 - 2018 actual'!G33,'Att 9a3 - 2017 actual'!G33)</f>
        <v>64.75233333333334</v>
      </c>
      <c r="AC12" s="1507">
        <f>AVERAGE('Att 9a1-2019 Actual'!H33,'Att 9a2 - 2018 actual'!H33,'Att 9a3 - 2017 actual'!H33)</f>
        <v>298.33333333333331</v>
      </c>
      <c r="AD12" s="1508"/>
      <c r="AE12" s="1502">
        <f t="shared" si="1"/>
        <v>767.61833333333334</v>
      </c>
      <c r="AF12" s="1503"/>
      <c r="AG12" s="1460"/>
      <c r="AH12" s="1460"/>
      <c r="AI12" s="1460"/>
      <c r="AJ12" s="1460"/>
      <c r="AK12" s="1460"/>
    </row>
    <row r="13" spans="1:37" ht="15.75">
      <c r="A13" s="1460"/>
      <c r="B13" s="1472" t="s">
        <v>1025</v>
      </c>
      <c r="C13" s="1504">
        <f>ROUND(AVERAGE('Att 9a1-2019 Actual'!E13,'Att 9a2 - 2018 actual'!E13,'Att 9a3 - 2017 actual'!E13),2)</f>
        <v>7256.54</v>
      </c>
      <c r="D13" s="2249">
        <f>ROUND(AVERAGE('Att 9a1-2019 Actual'!F13,'Att 9a2 - 2018 actual'!F13,'Att 9a3 - 2017 actual'!F13),2)</f>
        <v>6.87</v>
      </c>
      <c r="E13" s="1505">
        <f>ROUND(AVERAGE('Att 9a1-2019 Actual'!G13,'Att 9a2 - 2018 actual'!G13,'Att 9a3 - 2017 actual'!G13),2)</f>
        <v>3.23</v>
      </c>
      <c r="F13" s="1505">
        <f>ROUND(AVERAGE('Att 9a1-2019 Actual'!H13,'Att 9a2 - 2018 actual'!H13,'Att 9a3 - 2017 actual'!H13),2)</f>
        <v>23.1</v>
      </c>
      <c r="G13" s="1505">
        <f>ROUND(AVERAGE('Att 9a1-2019 Actual'!I13,'Att 9a2 - 2018 actual'!I13,'Att 9a3 - 2017 actual'!I13),2)</f>
        <v>1.1000000000000001</v>
      </c>
      <c r="H13" s="1505">
        <f>ROUND(AVERAGE('Att 9a1-2019 Actual'!J13,'Att 9a2 - 2018 actual'!J13,'Att 9a3 - 2017 actual'!J13),2)</f>
        <v>0.02</v>
      </c>
      <c r="I13" s="1505">
        <f>ROUND(AVERAGE('Att 9a1-2019 Actual'!K13,'Att 9a2 - 2018 actual'!K13),2)</f>
        <v>0</v>
      </c>
      <c r="J13" s="1505">
        <f>ROUND(AVERAGE('Att 9a1-2019 Actual'!L13,'Att 9a2 - 2018 actual'!L13,'Att 9a3 - 2017 actual'!L13),2)</f>
        <v>19.239999999999998</v>
      </c>
      <c r="K13" s="1505">
        <f>ROUND(AVERAGE('Att 9a1-2019 Actual'!M13,'Att 9a2 - 2018 actual'!M13,'Att 9a3 - 2017 actual'!M13),2)</f>
        <v>16.239999999999998</v>
      </c>
      <c r="L13" s="1505">
        <f>ROUND(AVERAGE('Att 9a1-2019 Actual'!N13,'Att 9a2 - 2018 actual'!N13,'Att 9a3 - 2017 actual'!N13),2)</f>
        <v>8.9600000000000009</v>
      </c>
      <c r="M13" s="1505">
        <f>ROUND(AVERAGE('Att 9a1-2019 Actual'!O13,'Att 9a2 - 2018 actual'!O13,'Att 9a3 - 2017 actual'!O13),2)</f>
        <v>39.840000000000003</v>
      </c>
      <c r="N13" s="1505">
        <f>ROUND(AVERAGE('Att 9a1-2019 Actual'!P13,'Att 9a2 - 2018 actual'!P13,'Att 9a3 - 2017 actual'!P13),2)</f>
        <v>0.27</v>
      </c>
      <c r="O13" s="1505">
        <f>ROUND(AVERAGE('Att 9a1-2019 Actual'!Q13,'Att 9a2 - 2018 actual'!Q13,'Att 9a3 - 2017 actual'!Q13),2)</f>
        <v>0</v>
      </c>
      <c r="P13" s="1505">
        <f>ROUND(AVERAGE('Att 9a1-2019 Actual'!R13,'Att 9a2 - 2018 actual'!R13,'Att 9a3 - 2017 actual'!R13),2)</f>
        <v>28.8</v>
      </c>
      <c r="Q13" s="1505">
        <f>ROUND(AVERAGE('Att 9a1-2019 Actual'!S13,'Att 9a2 - 2018 actual'!S13,'Att 9a3 - 2017 actual'!S13),2)</f>
        <v>0.82</v>
      </c>
      <c r="R13" s="1505">
        <f>ROUND(AVERAGE('Att 9a1-2019 Actual'!T13,'Att 9a2 - 2018 actual'!T13,'Att 9a3 - 2017 actual'!T13),2)</f>
        <v>194.94</v>
      </c>
      <c r="S13" s="1505">
        <f>ROUND(AVERAGE('Att 9a1-2019 Actual'!U13,'Att 9a2 - 2018 actual'!U13,'Att 9a3 - 2017 actual'!U13),2)</f>
        <v>50.35</v>
      </c>
      <c r="T13" s="1505">
        <f>ROUND(AVERAGE('Att 9a1-2019 Actual'!V13,'Att 9a2 - 2018 actual'!V13),2)</f>
        <v>0.04</v>
      </c>
      <c r="U13" s="1505">
        <f>ROUND(AVERAGE('Att 9a1-2019 Actual'!W13,'Att 9a2 - 2018 actual'!W13),2)</f>
        <v>1.87</v>
      </c>
      <c r="V13" s="1505">
        <v>2</v>
      </c>
      <c r="W13" s="2202"/>
      <c r="X13" s="1498">
        <f t="shared" si="0"/>
        <v>397.69</v>
      </c>
      <c r="Y13" s="1465"/>
      <c r="Z13" s="1506">
        <f>AVERAGE('Att 9a1-2019 Actual'!E34,'Att 9a2 - 2018 actual'!E34,'Att 9a3 - 2017 actual'!E34)</f>
        <v>343.90166666666664</v>
      </c>
      <c r="AA13" s="1507">
        <f>AVERAGE('Att 9a1-2019 Actual'!F34,'Att 9a2 - 2018 actual'!F34,'Att 9a3 - 2017 actual'!F34)</f>
        <v>32.18866666666667</v>
      </c>
      <c r="AB13" s="1507">
        <f>AVERAGE('Att 9a1-2019 Actual'!G34,'Att 9a2 - 2018 actual'!G34,'Att 9a3 - 2017 actual'!G34)</f>
        <v>72.171999999999997</v>
      </c>
      <c r="AC13" s="1507">
        <f>AVERAGE('Att 9a1-2019 Actual'!H34,'Att 9a2 - 2018 actual'!H34,'Att 9a3 - 2017 actual'!H34)</f>
        <v>282.33333333333331</v>
      </c>
      <c r="AD13" s="1508"/>
      <c r="AE13" s="1502">
        <f t="shared" si="1"/>
        <v>730.5956666666666</v>
      </c>
      <c r="AF13" s="1503"/>
      <c r="AG13" s="1460"/>
      <c r="AH13" s="1460"/>
      <c r="AI13" s="1460"/>
      <c r="AJ13" s="1460"/>
      <c r="AK13" s="1460"/>
    </row>
    <row r="14" spans="1:37" ht="15.75">
      <c r="A14" s="1509"/>
      <c r="B14" s="1472" t="s">
        <v>1026</v>
      </c>
      <c r="C14" s="1504">
        <f>ROUND(AVERAGE('Att 9a1-2019 Actual'!E14,'Att 9a2 - 2018 actual'!E14,'Att 9a3 - 2017 actual'!E14),2)</f>
        <v>7710.14</v>
      </c>
      <c r="D14" s="2249">
        <f>ROUND(AVERAGE('Att 9a1-2019 Actual'!F14,'Att 9a2 - 2018 actual'!F14,'Att 9a3 - 2017 actual'!F14),2)</f>
        <v>6.05</v>
      </c>
      <c r="E14" s="1505">
        <f>ROUND(AVERAGE('Att 9a1-2019 Actual'!G14,'Att 9a2 - 2018 actual'!G14,'Att 9a3 - 2017 actual'!G14),2)</f>
        <v>2.92</v>
      </c>
      <c r="F14" s="1505">
        <f>ROUND(AVERAGE('Att 9a1-2019 Actual'!H14,'Att 9a2 - 2018 actual'!H14,'Att 9a3 - 2017 actual'!H14),2)</f>
        <v>11.43</v>
      </c>
      <c r="G14" s="1505">
        <f>ROUND(AVERAGE('Att 9a1-2019 Actual'!I14,'Att 9a2 - 2018 actual'!I14,'Att 9a3 - 2017 actual'!I14),2)</f>
        <v>0.21</v>
      </c>
      <c r="H14" s="1505">
        <f>ROUND(AVERAGE('Att 9a1-2019 Actual'!J14,'Att 9a2 - 2018 actual'!J14,'Att 9a3 - 2017 actual'!J14),2)</f>
        <v>0</v>
      </c>
      <c r="I14" s="1505">
        <f>ROUND(AVERAGE('Att 9a1-2019 Actual'!K14,'Att 9a2 - 2018 actual'!K14),2)</f>
        <v>0</v>
      </c>
      <c r="J14" s="1505">
        <f>ROUND(AVERAGE('Att 9a1-2019 Actual'!L14,'Att 9a2 - 2018 actual'!L14,'Att 9a3 - 2017 actual'!L14),2)</f>
        <v>15.49</v>
      </c>
      <c r="K14" s="1505">
        <f>ROUND(AVERAGE('Att 9a1-2019 Actual'!M14,'Att 9a2 - 2018 actual'!M14,'Att 9a3 - 2017 actual'!M14),2)</f>
        <v>18.47</v>
      </c>
      <c r="L14" s="1505">
        <f>ROUND(AVERAGE('Att 9a1-2019 Actual'!N14,'Att 9a2 - 2018 actual'!N14,'Att 9a3 - 2017 actual'!N14),2)</f>
        <v>8.0500000000000007</v>
      </c>
      <c r="M14" s="1505">
        <f>ROUND(AVERAGE('Att 9a1-2019 Actual'!O14,'Att 9a2 - 2018 actual'!O14,'Att 9a3 - 2017 actual'!O14),2)</f>
        <v>34.520000000000003</v>
      </c>
      <c r="N14" s="1505">
        <f>ROUND(AVERAGE('Att 9a1-2019 Actual'!P14,'Att 9a2 - 2018 actual'!P14,'Att 9a3 - 2017 actual'!P14),2)</f>
        <v>0.54</v>
      </c>
      <c r="O14" s="1505">
        <f>ROUND(AVERAGE('Att 9a1-2019 Actual'!Q14,'Att 9a2 - 2018 actual'!Q14,'Att 9a3 - 2017 actual'!Q14),2)</f>
        <v>2.13</v>
      </c>
      <c r="P14" s="1505">
        <f>ROUND(AVERAGE('Att 9a1-2019 Actual'!R14,'Att 9a2 - 2018 actual'!R14,'Att 9a3 - 2017 actual'!R14),2)</f>
        <v>29.78</v>
      </c>
      <c r="Q14" s="1505">
        <f>ROUND(AVERAGE('Att 9a1-2019 Actual'!S14,'Att 9a2 - 2018 actual'!S14,'Att 9a3 - 2017 actual'!S14),2)</f>
        <v>1.42</v>
      </c>
      <c r="R14" s="1505">
        <f>ROUND(AVERAGE('Att 9a1-2019 Actual'!T14,'Att 9a2 - 2018 actual'!T14,'Att 9a3 - 2017 actual'!T14),2)</f>
        <v>118.4</v>
      </c>
      <c r="S14" s="1505">
        <f>ROUND(AVERAGE('Att 9a1-2019 Actual'!U14,'Att 9a2 - 2018 actual'!U14,'Att 9a3 - 2017 actual'!U14),2)</f>
        <v>70.760000000000005</v>
      </c>
      <c r="T14" s="1505">
        <f>ROUND(AVERAGE('Att 9a1-2019 Actual'!V14,'Att 9a2 - 2018 actual'!V14),2)</f>
        <v>0.05</v>
      </c>
      <c r="U14" s="1505">
        <f>ROUND(AVERAGE('Att 9a1-2019 Actual'!W14,'Att 9a2 - 2018 actual'!W14),2)</f>
        <v>1.77</v>
      </c>
      <c r="V14" s="1505">
        <v>2</v>
      </c>
      <c r="W14" s="2202"/>
      <c r="X14" s="1498">
        <f t="shared" si="0"/>
        <v>323.99</v>
      </c>
      <c r="Y14" s="1465"/>
      <c r="Z14" s="1506">
        <f>AVERAGE('Att 9a1-2019 Actual'!E35,'Att 9a2 - 2018 actual'!E35,'Att 9a3 - 2017 actual'!E35)</f>
        <v>481.63733333333334</v>
      </c>
      <c r="AA14" s="1507">
        <f>AVERAGE('Att 9a1-2019 Actual'!F35,'Att 9a2 - 2018 actual'!F35,'Att 9a3 - 2017 actual'!F35)</f>
        <v>65.436333333333337</v>
      </c>
      <c r="AB14" s="1507">
        <f>AVERAGE('Att 9a1-2019 Actual'!G35,'Att 9a2 - 2018 actual'!G35,'Att 9a3 - 2017 actual'!G35)</f>
        <v>88.87466666666667</v>
      </c>
      <c r="AC14" s="1507">
        <f>AVERAGE('Att 9a1-2019 Actual'!H35,'Att 9a2 - 2018 actual'!H35,'Att 9a3 - 2017 actual'!H35)</f>
        <v>305</v>
      </c>
      <c r="AD14" s="1508"/>
      <c r="AE14" s="1502">
        <f t="shared" si="1"/>
        <v>940.94833333333338</v>
      </c>
      <c r="AF14" s="1503"/>
      <c r="AG14" s="1460"/>
      <c r="AH14" s="1460"/>
      <c r="AI14" s="1460"/>
      <c r="AJ14" s="1460"/>
      <c r="AK14" s="1460"/>
    </row>
    <row r="15" spans="1:37" ht="15.75">
      <c r="A15" s="1460"/>
      <c r="B15" s="1472" t="s">
        <v>1230</v>
      </c>
      <c r="C15" s="1504">
        <f>ROUND(AVERAGE('Att 9a1-2019 Actual'!E15,'Att 9a2 - 2018 actual'!E15,'Att 9a3 - 2017 actual'!E15),2)</f>
        <v>9317.41</v>
      </c>
      <c r="D15" s="2249">
        <f>ROUND(AVERAGE('Att 9a1-2019 Actual'!F15,'Att 9a2 - 2018 actual'!F15,'Att 9a3 - 2017 actual'!F15),2)</f>
        <v>5.8</v>
      </c>
      <c r="E15" s="1505">
        <f>ROUND(AVERAGE('Att 9a1-2019 Actual'!G15,'Att 9a2 - 2018 actual'!G15,'Att 9a3 - 2017 actual'!G15),2)</f>
        <v>3.26</v>
      </c>
      <c r="F15" s="1505">
        <f>ROUND(AVERAGE('Att 9a1-2019 Actual'!H15,'Att 9a2 - 2018 actual'!H15,'Att 9a3 - 2017 actual'!H15),2)</f>
        <v>11.51</v>
      </c>
      <c r="G15" s="1505">
        <f>ROUND(AVERAGE('Att 9a1-2019 Actual'!I15,'Att 9a2 - 2018 actual'!I15,'Att 9a3 - 2017 actual'!I15),2)</f>
        <v>0.37</v>
      </c>
      <c r="H15" s="1505">
        <f>ROUND(AVERAGE('Att 9a1-2019 Actual'!J15,'Att 9a2 - 2018 actual'!J15,'Att 9a3 - 2017 actual'!J15),2)</f>
        <v>0</v>
      </c>
      <c r="I15" s="1505">
        <f>ROUND(AVERAGE('Att 9a1-2019 Actual'!K15,'Att 9a2 - 2018 actual'!K15),2)</f>
        <v>0</v>
      </c>
      <c r="J15" s="1505">
        <f>ROUND(AVERAGE('Att 9a1-2019 Actual'!L15,'Att 9a2 - 2018 actual'!L15,'Att 9a3 - 2017 actual'!L15),2)</f>
        <v>18.100000000000001</v>
      </c>
      <c r="K15" s="1505">
        <f>ROUND(AVERAGE('Att 9a1-2019 Actual'!M15,'Att 9a2 - 2018 actual'!M15,'Att 9a3 - 2017 actual'!M15),2)</f>
        <v>19.399999999999999</v>
      </c>
      <c r="L15" s="1505">
        <f>ROUND(AVERAGE('Att 9a1-2019 Actual'!N15,'Att 9a2 - 2018 actual'!N15,'Att 9a3 - 2017 actual'!N15),2)</f>
        <v>9.52</v>
      </c>
      <c r="M15" s="1505">
        <f>ROUND(AVERAGE('Att 9a1-2019 Actual'!O15,'Att 9a2 - 2018 actual'!O15,'Att 9a3 - 2017 actual'!O15),2)</f>
        <v>46.56</v>
      </c>
      <c r="N15" s="1505">
        <f>ROUND(AVERAGE('Att 9a1-2019 Actual'!P15,'Att 9a2 - 2018 actual'!P15,'Att 9a3 - 2017 actual'!P15),2)</f>
        <v>0.55000000000000004</v>
      </c>
      <c r="O15" s="1505">
        <f>ROUND(AVERAGE('Att 9a1-2019 Actual'!Q15,'Att 9a2 - 2018 actual'!Q15,'Att 9a3 - 2017 actual'!Q15),2)</f>
        <v>3.41</v>
      </c>
      <c r="P15" s="1505">
        <f>ROUND(AVERAGE('Att 9a1-2019 Actual'!R15,'Att 9a2 - 2018 actual'!R15,'Att 9a3 - 2017 actual'!R15),2)</f>
        <v>30.4</v>
      </c>
      <c r="Q15" s="1505">
        <f>ROUND(AVERAGE('Att 9a1-2019 Actual'!S15,'Att 9a2 - 2018 actual'!S15,'Att 9a3 - 2017 actual'!S15),2)</f>
        <v>0.66</v>
      </c>
      <c r="R15" s="1505">
        <f>ROUND(AVERAGE('Att 9a1-2019 Actual'!T15,'Att 9a2 - 2018 actual'!T15,'Att 9a3 - 2017 actual'!T15),2)</f>
        <v>162.93</v>
      </c>
      <c r="S15" s="1505">
        <f>ROUND(AVERAGE('Att 9a1-2019 Actual'!U15,'Att 9a2 - 2018 actual'!U15,'Att 9a3 - 2017 actual'!U15),2)</f>
        <v>77.03</v>
      </c>
      <c r="T15" s="1505">
        <f>ROUND(AVERAGE('Att 9a1-2019 Actual'!V15,'Att 9a2 - 2018 actual'!V15),2)</f>
        <v>0.06</v>
      </c>
      <c r="U15" s="1505">
        <f>ROUND(AVERAGE('Att 9a1-2019 Actual'!W15,'Att 9a2 - 2018 actual'!W15),2)</f>
        <v>1.93</v>
      </c>
      <c r="V15" s="1505">
        <v>2</v>
      </c>
      <c r="W15" s="2202"/>
      <c r="X15" s="1498">
        <f t="shared" si="0"/>
        <v>393.49</v>
      </c>
      <c r="Y15" s="1465"/>
      <c r="Z15" s="1506">
        <f>AVERAGE('Att 9a1-2019 Actual'!E36,'Att 9a2 - 2018 actual'!E36,'Att 9a3 - 2017 actual'!E36)</f>
        <v>692.3846666666667</v>
      </c>
      <c r="AA15" s="1507">
        <f>AVERAGE('Att 9a1-2019 Actual'!F36,'Att 9a2 - 2018 actual'!F36,'Att 9a3 - 2017 actual'!F36)</f>
        <v>133.22900000000001</v>
      </c>
      <c r="AB15" s="1507">
        <f>AVERAGE('Att 9a1-2019 Actual'!G36,'Att 9a2 - 2018 actual'!G36,'Att 9a3 - 2017 actual'!G36)</f>
        <v>125.66833333333334</v>
      </c>
      <c r="AC15" s="1507">
        <f>AVERAGE('Att 9a1-2019 Actual'!H36,'Att 9a2 - 2018 actual'!H36,'Att 9a3 - 2017 actual'!H36)</f>
        <v>320.66666666666669</v>
      </c>
      <c r="AD15" s="1508"/>
      <c r="AE15" s="1502">
        <f t="shared" si="1"/>
        <v>1271.9486666666667</v>
      </c>
      <c r="AF15" s="1503"/>
      <c r="AG15" s="1460"/>
      <c r="AH15" s="1460"/>
      <c r="AI15" s="1460"/>
      <c r="AJ15" s="1460"/>
      <c r="AK15" s="1460"/>
    </row>
    <row r="16" spans="1:37" ht="15.75">
      <c r="A16" s="1460"/>
      <c r="B16" s="1472" t="s">
        <v>1390</v>
      </c>
      <c r="C16" s="1504">
        <f>ROUND(AVERAGE('Att 9a1-2019 Actual'!E16,'Att 9a2 - 2018 actual'!E16,'Att 9a3 - 2017 actual'!E16),2)</f>
        <v>10364.950000000001</v>
      </c>
      <c r="D16" s="2249">
        <f>ROUND(AVERAGE('Att 9a1-2019 Actual'!F16,'Att 9a2 - 2018 actual'!F16,'Att 9a3 - 2017 actual'!F16),2)</f>
        <v>6.28</v>
      </c>
      <c r="E16" s="1505">
        <f>ROUND(AVERAGE('Att 9a1-2019 Actual'!G16,'Att 9a2 - 2018 actual'!G16,'Att 9a3 - 2017 actual'!G16),2)</f>
        <v>3.59</v>
      </c>
      <c r="F16" s="1505">
        <f>ROUND(AVERAGE('Att 9a1-2019 Actual'!H16,'Att 9a2 - 2018 actual'!H16,'Att 9a3 - 2017 actual'!H16),2)</f>
        <v>15.17</v>
      </c>
      <c r="G16" s="1505">
        <f>ROUND(AVERAGE('Att 9a1-2019 Actual'!I16,'Att 9a2 - 2018 actual'!I16,'Att 9a3 - 2017 actual'!I16),2)</f>
        <v>0.39</v>
      </c>
      <c r="H16" s="1505">
        <f>ROUND(AVERAGE('Att 9a1-2019 Actual'!J16,'Att 9a2 - 2018 actual'!J16,'Att 9a3 - 2017 actual'!J16),2)</f>
        <v>0.09</v>
      </c>
      <c r="I16" s="1505">
        <f>ROUND(AVERAGE('Att 9a1-2019 Actual'!K16,'Att 9a2 - 2018 actual'!K16,'Att 9a3 - 2017 actual'!K16),2)</f>
        <v>0</v>
      </c>
      <c r="J16" s="1505">
        <f>ROUND(AVERAGE('Att 9a1-2019 Actual'!L16,'Att 9a2 - 2018 actual'!L16,'Att 9a3 - 2017 actual'!L16),2)</f>
        <v>13.92</v>
      </c>
      <c r="K16" s="1505">
        <f>ROUND(AVERAGE('Att 9a1-2019 Actual'!M16,'Att 9a2 - 2018 actual'!M16,'Att 9a3 - 2017 actual'!M16),2)</f>
        <v>22.51</v>
      </c>
      <c r="L16" s="1505">
        <f>ROUND(AVERAGE('Att 9a1-2019 Actual'!N16,'Att 9a2 - 2018 actual'!N16,'Att 9a3 - 2017 actual'!N16),2)</f>
        <v>10.68</v>
      </c>
      <c r="M16" s="1505">
        <f>ROUND(AVERAGE('Att 9a1-2019 Actual'!O16,'Att 9a2 - 2018 actual'!O16,'Att 9a3 - 2017 actual'!O16),2)</f>
        <v>51.43</v>
      </c>
      <c r="N16" s="1505">
        <f>ROUND(AVERAGE('Att 9a1-2019 Actual'!P16,'Att 9a2 - 2018 actual'!P16,'Att 9a3 - 2017 actual'!P16),2)</f>
        <v>0.65</v>
      </c>
      <c r="O16" s="1505">
        <f>ROUND(AVERAGE('Att 9a1-2019 Actual'!Q16,'Att 9a2 - 2018 actual'!Q16,'Att 9a3 - 2017 actual'!Q16),2)</f>
        <v>3.42</v>
      </c>
      <c r="P16" s="1505">
        <f>ROUND(AVERAGE('Att 9a1-2019 Actual'!R16,'Att 9a2 - 2018 actual'!R16,'Att 9a3 - 2017 actual'!R16),2)</f>
        <v>29.44</v>
      </c>
      <c r="Q16" s="1505">
        <f>ROUND(AVERAGE('Att 9a1-2019 Actual'!S16,'Att 9a2 - 2018 actual'!S16,'Att 9a3 - 2017 actual'!S16),2)</f>
        <v>0.67</v>
      </c>
      <c r="R16" s="1505">
        <f>ROUND(AVERAGE('Att 9a1-2019 Actual'!T16,'Att 9a2 - 2018 actual'!T16,'Att 9a3 - 2017 actual'!T16),2)</f>
        <v>184.26</v>
      </c>
      <c r="S16" s="1505">
        <f>ROUND(AVERAGE('Att 9a1-2019 Actual'!U16,'Att 9a2 - 2018 actual'!U16,'Att 9a3 - 2017 actual'!U16),2)</f>
        <v>99.02</v>
      </c>
      <c r="T16" s="1505">
        <f>ROUND(AVERAGE('Att 9a1-2019 Actual'!V16,'Att 9a2 - 2018 actual'!V16),2)</f>
        <v>0.08</v>
      </c>
      <c r="U16" s="1505">
        <f>ROUND(AVERAGE('Att 9a1-2019 Actual'!W16,'Att 9a2 - 2018 actual'!W16),2)</f>
        <v>2.61</v>
      </c>
      <c r="V16" s="1505">
        <v>2</v>
      </c>
      <c r="W16" s="2202"/>
      <c r="X16" s="1498">
        <f t="shared" si="0"/>
        <v>446.21</v>
      </c>
      <c r="Y16" s="1465"/>
      <c r="Z16" s="1506">
        <f>AVERAGE('Att 9a1-2019 Actual'!E37,'Att 9a2 - 2018 actual'!E37,'Att 9a3 - 2017 actual'!E37)</f>
        <v>789.82166666666672</v>
      </c>
      <c r="AA16" s="1507">
        <f>AVERAGE('Att 9a1-2019 Actual'!F37,'Att 9a2 - 2018 actual'!F37,'Att 9a3 - 2017 actual'!F37)</f>
        <v>160.91200000000001</v>
      </c>
      <c r="AB16" s="1507">
        <f>AVERAGE('Att 9a1-2019 Actual'!G37,'Att 9a2 - 2018 actual'!G37,'Att 9a3 - 2017 actual'!G37)</f>
        <v>140.72133333333332</v>
      </c>
      <c r="AC16" s="1507">
        <f>AVERAGE('Att 9a1-2019 Actual'!H37,'Att 9a2 - 2018 actual'!H37,'Att 9a3 - 2017 actual'!H37)</f>
        <v>326.66666666666669</v>
      </c>
      <c r="AD16" s="1508"/>
      <c r="AE16" s="1502">
        <f t="shared" si="1"/>
        <v>1418.1216666666669</v>
      </c>
      <c r="AF16" s="1503"/>
      <c r="AG16" s="1460"/>
      <c r="AH16" s="1460"/>
      <c r="AI16" s="1460"/>
      <c r="AJ16" s="1460"/>
      <c r="AK16" s="1460"/>
    </row>
    <row r="17" spans="1:38" ht="15.75">
      <c r="A17" s="1460"/>
      <c r="B17" s="1472" t="s">
        <v>1232</v>
      </c>
      <c r="C17" s="1504">
        <f>ROUND(AVERAGE('Att 9a1-2019 Actual'!E17,'Att 9a2 - 2018 actual'!E17,'Att 9a3 - 2017 actual'!E17),2)</f>
        <v>10272.450000000001</v>
      </c>
      <c r="D17" s="2249">
        <f>ROUND(AVERAGE('Att 9a1-2019 Actual'!F17,'Att 9a2 - 2018 actual'!F17,'Att 9a3 - 2017 actual'!F17),2)</f>
        <v>6.9</v>
      </c>
      <c r="E17" s="1505">
        <f>ROUND(AVERAGE('Att 9a1-2019 Actual'!G17,'Att 9a2 - 2018 actual'!G17,'Att 9a3 - 2017 actual'!G17),2)</f>
        <v>3.71</v>
      </c>
      <c r="F17" s="1505">
        <f>ROUND(AVERAGE('Att 9a1-2019 Actual'!H17,'Att 9a2 - 2018 actual'!H17,'Att 9a3 - 2017 actual'!H17),2)</f>
        <v>16.54</v>
      </c>
      <c r="G17" s="1505">
        <f>ROUND(AVERAGE('Att 9a1-2019 Actual'!I17,'Att 9a2 - 2018 actual'!I17,'Att 9a3 - 2017 actual'!I17),2)</f>
        <v>0.37</v>
      </c>
      <c r="H17" s="1505">
        <f>ROUND(AVERAGE('Att 9a1-2019 Actual'!J17,'Att 9a2 - 2018 actual'!J17,'Att 9a3 - 2017 actual'!J17),2)</f>
        <v>0.14000000000000001</v>
      </c>
      <c r="I17" s="1505">
        <f>ROUND(AVERAGE('Att 9a1-2019 Actual'!K17,'Att 9a2 - 2018 actual'!K17,'Att 9a3 - 2017 actual'!K17),2)</f>
        <v>0</v>
      </c>
      <c r="J17" s="1505">
        <f>ROUND(AVERAGE('Att 9a1-2019 Actual'!L17,'Att 9a2 - 2018 actual'!L17,'Att 9a3 - 2017 actual'!L17),2)</f>
        <v>15.7</v>
      </c>
      <c r="K17" s="1505">
        <f>ROUND(AVERAGE('Att 9a1-2019 Actual'!M17,'Att 9a2 - 2018 actual'!M17,'Att 9a3 - 2017 actual'!M17),2)</f>
        <v>25.29</v>
      </c>
      <c r="L17" s="1505">
        <f>ROUND(AVERAGE('Att 9a1-2019 Actual'!N17,'Att 9a2 - 2018 actual'!N17,'Att 9a3 - 2017 actual'!N17),2)</f>
        <v>8.6199999999999992</v>
      </c>
      <c r="M17" s="1505">
        <f>ROUND(AVERAGE('Att 9a1-2019 Actual'!O17,'Att 9a2 - 2018 actual'!O17,'Att 9a3 - 2017 actual'!O17),2)</f>
        <v>53.54</v>
      </c>
      <c r="N17" s="1505">
        <f>ROUND(AVERAGE('Att 9a1-2019 Actual'!P17,'Att 9a2 - 2018 actual'!P17,'Att 9a3 - 2017 actual'!P17),2)</f>
        <v>0.62</v>
      </c>
      <c r="O17" s="1505">
        <f>ROUND(AVERAGE('Att 9a1-2019 Actual'!Q17,'Att 9a2 - 2018 actual'!Q17,'Att 9a3 - 2017 actual'!Q17),2)</f>
        <v>3.32</v>
      </c>
      <c r="P17" s="1505">
        <f>ROUND(AVERAGE('Att 9a1-2019 Actual'!R17,'Att 9a2 - 2018 actual'!R17,'Att 9a3 - 2017 actual'!R17),2)</f>
        <v>30.92</v>
      </c>
      <c r="Q17" s="1505">
        <f>ROUND(AVERAGE('Att 9a1-2019 Actual'!S17,'Att 9a2 - 2018 actual'!S17,'Att 9a3 - 2017 actual'!S17),2)</f>
        <v>0.46</v>
      </c>
      <c r="R17" s="1505">
        <f>ROUND(AVERAGE('Att 9a1-2019 Actual'!T17,'Att 9a2 - 2018 actual'!T17,'Att 9a3 - 2017 actual'!T17),2)</f>
        <v>162.54</v>
      </c>
      <c r="S17" s="1505">
        <f>ROUND(AVERAGE('Att 9a1-2019 Actual'!U17,'Att 9a2 - 2018 actual'!U17,'Att 9a3 - 2017 actual'!U17),2)</f>
        <v>93.6</v>
      </c>
      <c r="T17" s="1505">
        <f>ROUND(AVERAGE('Att 9a1-2019 Actual'!V17,'Att 9a2 - 2018 actual'!V17),2)</f>
        <v>0.11</v>
      </c>
      <c r="U17" s="1505">
        <f>ROUND(AVERAGE('Att 9a1-2019 Actual'!W17,'Att 9a2 - 2018 actual'!W17),2)</f>
        <v>2.5099999999999998</v>
      </c>
      <c r="V17" s="1505">
        <v>2</v>
      </c>
      <c r="W17" s="2202"/>
      <c r="X17" s="1498">
        <f t="shared" si="0"/>
        <v>426.89</v>
      </c>
      <c r="Y17" s="1465"/>
      <c r="Z17" s="1506">
        <f>AVERAGE('Att 9a1-2019 Actual'!E38,'Att 9a2 - 2018 actual'!E38,'Att 9a3 - 2017 actual'!E38)</f>
        <v>780.82266666666658</v>
      </c>
      <c r="AA17" s="1507">
        <f>AVERAGE('Att 9a1-2019 Actual'!F38,'Att 9a2 - 2018 actual'!F38,'Att 9a3 - 2017 actual'!F38)</f>
        <v>145.994</v>
      </c>
      <c r="AB17" s="1507">
        <f>AVERAGE('Att 9a1-2019 Actual'!G38,'Att 9a2 - 2018 actual'!G38,'Att 9a3 - 2017 actual'!G38)</f>
        <v>115.70533333333333</v>
      </c>
      <c r="AC17" s="1507">
        <f>AVERAGE('Att 9a1-2019 Actual'!H38,'Att 9a2 - 2018 actual'!H38,'Att 9a3 - 2017 actual'!H38)</f>
        <v>328.33333333333331</v>
      </c>
      <c r="AD17" s="1508"/>
      <c r="AE17" s="1502">
        <f t="shared" si="1"/>
        <v>1370.8553333333332</v>
      </c>
      <c r="AF17" s="1503"/>
      <c r="AG17" s="1460"/>
      <c r="AH17" s="1460"/>
      <c r="AI17" s="1460"/>
      <c r="AJ17" s="1460"/>
      <c r="AK17" s="1460"/>
    </row>
    <row r="18" spans="1:38" ht="15.75">
      <c r="A18" s="1460"/>
      <c r="B18" s="1472" t="s">
        <v>1391</v>
      </c>
      <c r="C18" s="1504">
        <f>ROUND(AVERAGE('Att 9a1-2019 Actual'!E18,'Att 9a2 - 2018 actual'!E18,'Att 9a3 - 2017 actual'!E18),2)</f>
        <v>9347.16</v>
      </c>
      <c r="D18" s="2249">
        <f>ROUND(AVERAGE('Att 9a1-2019 Actual'!F18,'Att 9a2 - 2018 actual'!F18,'Att 9a3 - 2017 actual'!F18),2)</f>
        <v>6.05</v>
      </c>
      <c r="E18" s="1505">
        <f>ROUND(AVERAGE('Att 9a1-2019 Actual'!G18,'Att 9a2 - 2018 actual'!G18,'Att 9a3 - 2017 actual'!G18),2)</f>
        <v>3.42</v>
      </c>
      <c r="F18" s="1505">
        <f>ROUND(AVERAGE('Att 9a1-2019 Actual'!H18,'Att 9a2 - 2018 actual'!H18,'Att 9a3 - 2017 actual'!H18),2)</f>
        <v>13.59</v>
      </c>
      <c r="G18" s="1505">
        <f>ROUND(AVERAGE('Att 9a1-2019 Actual'!I18,'Att 9a2 - 2018 actual'!I18,'Att 9a3 - 2017 actual'!I18),2)</f>
        <v>0.3</v>
      </c>
      <c r="H18" s="1505">
        <f>ROUND(AVERAGE('Att 9a1-2019 Actual'!J18,'Att 9a2 - 2018 actual'!J18,'Att 9a3 - 2017 actual'!J18),2)</f>
        <v>0.01</v>
      </c>
      <c r="I18" s="1505">
        <f>ROUND(AVERAGE('Att 9a1-2019 Actual'!K18,'Att 9a2 - 2018 actual'!K18,'Att 9a3 - 2017 actual'!K18),2)</f>
        <v>0</v>
      </c>
      <c r="J18" s="1505">
        <f>ROUND(AVERAGE('Att 9a1-2019 Actual'!L18,'Att 9a2 - 2018 actual'!L18,'Att 9a3 - 2017 actual'!L18),2)</f>
        <v>14.33</v>
      </c>
      <c r="K18" s="1505">
        <f>ROUND(AVERAGE('Att 9a1-2019 Actual'!M18,'Att 9a2 - 2018 actual'!M18,'Att 9a3 - 2017 actual'!M18),2)</f>
        <v>22.63</v>
      </c>
      <c r="L18" s="1505">
        <f>ROUND(AVERAGE('Att 9a1-2019 Actual'!N18,'Att 9a2 - 2018 actual'!N18,'Att 9a3 - 2017 actual'!N18),2)</f>
        <v>9.68</v>
      </c>
      <c r="M18" s="1505">
        <f>ROUND(AVERAGE('Att 9a1-2019 Actual'!O18,'Att 9a2 - 2018 actual'!O18,'Att 9a3 - 2017 actual'!O18),2)</f>
        <v>42.15</v>
      </c>
      <c r="N18" s="1505">
        <f>ROUND(AVERAGE('Att 9a1-2019 Actual'!P18,'Att 9a2 - 2018 actual'!P18,'Att 9a3 - 2017 actual'!P18),2)</f>
        <v>0.53</v>
      </c>
      <c r="O18" s="1505">
        <f>ROUND(AVERAGE('Att 9a1-2019 Actual'!Q18,'Att 9a2 - 2018 actual'!Q18,'Att 9a3 - 2017 actual'!Q18),2)</f>
        <v>3.15</v>
      </c>
      <c r="P18" s="1505">
        <f>ROUND(AVERAGE('Att 9a1-2019 Actual'!R18,'Att 9a2 - 2018 actual'!R18,'Att 9a3 - 2017 actual'!R18),2)</f>
        <v>30.6</v>
      </c>
      <c r="Q18" s="1505">
        <f>ROUND(AVERAGE('Att 9a1-2019 Actual'!S18,'Att 9a2 - 2018 actual'!S18,'Att 9a3 - 2017 actual'!S18),2)</f>
        <v>0.6</v>
      </c>
      <c r="R18" s="1505">
        <f>ROUND(AVERAGE('Att 9a1-2019 Actual'!T18,'Att 9a2 - 2018 actual'!T18,'Att 9a3 - 2017 actual'!T18),2)</f>
        <v>133.63</v>
      </c>
      <c r="S18" s="1505">
        <f>ROUND(AVERAGE('Att 9a1-2019 Actual'!U18,'Att 9a2 - 2018 actual'!U18,'Att 9a3 - 2017 actual'!U18),2)</f>
        <v>84.94</v>
      </c>
      <c r="T18" s="1505">
        <f>ROUND(AVERAGE('Att 9a1-2019 Actual'!V18,'Att 9a2 - 2018 actual'!V18),2)</f>
        <v>0.08</v>
      </c>
      <c r="U18" s="1505">
        <f>ROUND(AVERAGE('Att 9a1-2019 Actual'!W18,'Att 9a2 - 2018 actual'!W18),2)</f>
        <v>2.0499999999999998</v>
      </c>
      <c r="V18" s="1505">
        <v>2</v>
      </c>
      <c r="W18" s="2202">
        <v>2</v>
      </c>
      <c r="X18" s="1498">
        <f t="shared" si="0"/>
        <v>371.73999999999995</v>
      </c>
      <c r="Y18" s="1465"/>
      <c r="Z18" s="1506">
        <f>AVERAGE('Att 9a1-2019 Actual'!E39,'Att 9a2 - 2018 actual'!E39,'Att 9a3 - 2017 actual'!E39)</f>
        <v>714.48366666666664</v>
      </c>
      <c r="AA18" s="1507">
        <f>AVERAGE('Att 9a1-2019 Actual'!F39,'Att 9a2 - 2018 actual'!F39,'Att 9a3 - 2017 actual'!F39)</f>
        <v>166.59366666666665</v>
      </c>
      <c r="AB18" s="1507">
        <f>AVERAGE('Att 9a1-2019 Actual'!G39,'Att 9a2 - 2018 actual'!G39,'Att 9a3 - 2017 actual'!G39)</f>
        <v>105.82166666666666</v>
      </c>
      <c r="AC18" s="1507">
        <f>AVERAGE('Att 9a1-2019 Actual'!H39,'Att 9a2 - 2018 actual'!H39,'Att 9a3 - 2017 actual'!H39)</f>
        <v>302.66666666666669</v>
      </c>
      <c r="AD18" s="1508"/>
      <c r="AE18" s="1502">
        <f t="shared" si="1"/>
        <v>1289.5656666666666</v>
      </c>
      <c r="AF18" s="1503"/>
      <c r="AG18" s="1460"/>
      <c r="AH18" s="1460"/>
      <c r="AI18" s="1460"/>
      <c r="AJ18" s="1460"/>
      <c r="AK18" s="1460"/>
    </row>
    <row r="19" spans="1:38" ht="15.75">
      <c r="A19" s="1460"/>
      <c r="B19" s="1472" t="s">
        <v>1234</v>
      </c>
      <c r="C19" s="1504">
        <f>ROUND(AVERAGE('Att 9a1-2019 Actual'!E19,'Att 9a2 - 2018 actual'!E19,'Att 9a3 - 2017 actual'!E19),2)</f>
        <v>7603.6</v>
      </c>
      <c r="D19" s="2249">
        <f>ROUND(AVERAGE('Att 9a1-2019 Actual'!F19,'Att 9a2 - 2018 actual'!F19,'Att 9a3 - 2017 actual'!F19),2)</f>
        <v>6.77</v>
      </c>
      <c r="E19" s="1505">
        <f>ROUND(AVERAGE('Att 9a1-2019 Actual'!G19,'Att 9a2 - 2018 actual'!G19,'Att 9a3 - 2017 actual'!G19),2)</f>
        <v>3.04</v>
      </c>
      <c r="F19" s="1505">
        <f>ROUND(AVERAGE('Att 9a1-2019 Actual'!H19,'Att 9a2 - 2018 actual'!H19,'Att 9a3 - 2017 actual'!H19),2)</f>
        <v>19.61</v>
      </c>
      <c r="G19" s="1505">
        <f>ROUND(AVERAGE('Att 9a1-2019 Actual'!I19,'Att 9a2 - 2018 actual'!I19,'Att 9a3 - 2017 actual'!I19),2)</f>
        <v>0.55000000000000004</v>
      </c>
      <c r="H19" s="1505">
        <f>ROUND(AVERAGE('Att 9a1-2019 Actual'!J19,'Att 9a2 - 2018 actual'!J19,'Att 9a3 - 2017 actual'!J19),2)</f>
        <v>0.12</v>
      </c>
      <c r="I19" s="1505">
        <f>ROUND(AVERAGE('Att 9a1-2019 Actual'!K19,'Att 9a2 - 2018 actual'!K19,'Att 9a3 - 2017 actual'!K19),2)</f>
        <v>0.05</v>
      </c>
      <c r="J19" s="1505">
        <f>ROUND(AVERAGE('Att 9a1-2019 Actual'!L19,'Att 9a2 - 2018 actual'!L19,'Att 9a3 - 2017 actual'!L19),2)</f>
        <v>14.86</v>
      </c>
      <c r="K19" s="1505">
        <f>ROUND(AVERAGE('Att 9a1-2019 Actual'!M19,'Att 9a2 - 2018 actual'!M19,'Att 9a3 - 2017 actual'!M19),2)</f>
        <v>18.05</v>
      </c>
      <c r="L19" s="1505">
        <f>ROUND(AVERAGE('Att 9a1-2019 Actual'!N19,'Att 9a2 - 2018 actual'!N19,'Att 9a3 - 2017 actual'!N19),2)</f>
        <v>9.65</v>
      </c>
      <c r="M19" s="1505">
        <f>ROUND(AVERAGE('Att 9a1-2019 Actual'!O19,'Att 9a2 - 2018 actual'!O19,'Att 9a3 - 2017 actual'!O19),2)</f>
        <v>40.17</v>
      </c>
      <c r="N19" s="1505">
        <f>ROUND(AVERAGE('Att 9a1-2019 Actual'!P19,'Att 9a2 - 2018 actual'!P19,'Att 9a3 - 2017 actual'!P19),2)</f>
        <v>0.13</v>
      </c>
      <c r="O19" s="1505">
        <f>ROUND(AVERAGE('Att 9a1-2019 Actual'!Q19,'Att 9a2 - 2018 actual'!Q19,'Att 9a3 - 2017 actual'!Q19),2)</f>
        <v>0.68</v>
      </c>
      <c r="P19" s="1505">
        <f>ROUND(AVERAGE('Att 9a1-2019 Actual'!R19,'Att 9a2 - 2018 actual'!R19,'Att 9a3 - 2017 actual'!R19),2)</f>
        <v>30.66</v>
      </c>
      <c r="Q19" s="1505">
        <f>ROUND(AVERAGE('Att 9a1-2019 Actual'!S19,'Att 9a2 - 2018 actual'!S19,'Att 9a3 - 2017 actual'!S19),2)</f>
        <v>0.61</v>
      </c>
      <c r="R19" s="1505">
        <f>ROUND(AVERAGE('Att 9a1-2019 Actual'!T19,'Att 9a2 - 2018 actual'!T19,'Att 9a3 - 2017 actual'!T19),2)</f>
        <v>201.99</v>
      </c>
      <c r="S19" s="1505">
        <f>ROUND(AVERAGE('Att 9a1-2019 Actual'!U19,'Att 9a2 - 2018 actual'!U19,'Att 9a3 - 2017 actual'!U19),2)</f>
        <v>75.97</v>
      </c>
      <c r="T19" s="1505">
        <f>ROUND(AVERAGE('Att 9a1-2019 Actual'!V19,'Att 9a2 - 2018 actual'!V19),2)</f>
        <v>0.04</v>
      </c>
      <c r="U19" s="1505">
        <f>ROUND(AVERAGE('Att 9a1-2019 Actual'!W19,'Att 9a2 - 2018 actual'!W19),2)</f>
        <v>1.99</v>
      </c>
      <c r="V19" s="1505">
        <v>2</v>
      </c>
      <c r="W19" s="2202">
        <v>2</v>
      </c>
      <c r="X19" s="1498">
        <f t="shared" si="0"/>
        <v>428.94000000000011</v>
      </c>
      <c r="Y19" s="1465"/>
      <c r="Z19" s="1506">
        <f>AVERAGE('Att 9a1-2019 Actual'!E40,'Att 9a2 - 2018 actual'!E40,'Att 9a3 - 2017 actual'!E40)</f>
        <v>392.32166666666666</v>
      </c>
      <c r="AA19" s="1507">
        <f>AVERAGE('Att 9a1-2019 Actual'!F40,'Att 9a2 - 2018 actual'!F40,'Att 9a3 - 2017 actual'!F40)</f>
        <v>79.555666666666667</v>
      </c>
      <c r="AB19" s="1507">
        <f>AVERAGE('Att 9a1-2019 Actual'!G40,'Att 9a2 - 2018 actual'!G40,'Att 9a3 - 2017 actual'!G40)</f>
        <v>80.814333333333323</v>
      </c>
      <c r="AC19" s="1507">
        <f>AVERAGE('Att 9a1-2019 Actual'!H40,'Att 9a2 - 2018 actual'!H40,'Att 9a3 - 2017 actual'!H40)</f>
        <v>289.33333333333331</v>
      </c>
      <c r="AD19" s="1508"/>
      <c r="AE19" s="1502">
        <f t="shared" si="1"/>
        <v>842.02500000000009</v>
      </c>
      <c r="AF19" s="1503"/>
      <c r="AG19" s="1460"/>
      <c r="AH19" s="1460"/>
      <c r="AI19" s="1460"/>
      <c r="AJ19" s="1460"/>
      <c r="AK19" s="1460"/>
    </row>
    <row r="20" spans="1:38" ht="15.75">
      <c r="A20" s="1460"/>
      <c r="B20" s="1472" t="s">
        <v>1235</v>
      </c>
      <c r="C20" s="1504">
        <f>ROUND(AVERAGE('Att 9a1-2019 Actual'!E20,'Att 9a2 - 2018 actual'!E20,'Att 9a3 - 2017 actual'!E20),2)</f>
        <v>7852.08</v>
      </c>
      <c r="D20" s="2249">
        <f>ROUND(AVERAGE('Att 9a1-2019 Actual'!F20,'Att 9a2 - 2018 actual'!F20,'Att 9a3 - 2017 actual'!F20),2)</f>
        <v>5.95</v>
      </c>
      <c r="E20" s="1505">
        <f>ROUND(AVERAGE('Att 9a1-2019 Actual'!G20,'Att 9a2 - 2018 actual'!G20,'Att 9a3 - 2017 actual'!G20),2)</f>
        <v>3.33</v>
      </c>
      <c r="F20" s="1505">
        <f>ROUND(AVERAGE('Att 9a1-2019 Actual'!H20,'Att 9a2 - 2018 actual'!H20,'Att 9a3 - 2017 actual'!H20),2)</f>
        <v>23.32</v>
      </c>
      <c r="G20" s="1505">
        <f>ROUND(AVERAGE('Att 9a1-2019 Actual'!I20,'Att 9a2 - 2018 actual'!I20,'Att 9a3 - 2017 actual'!I20),2)</f>
        <v>1.07</v>
      </c>
      <c r="H20" s="1505">
        <f>ROUND(AVERAGE('Att 9a1-2019 Actual'!J20,'Att 9a2 - 2018 actual'!J20,'Att 9a3 - 2017 actual'!J20),2)</f>
        <v>0.11</v>
      </c>
      <c r="I20" s="1505">
        <f>ROUND(AVERAGE('Att 9a1-2019 Actual'!K20,'Att 9a2 - 2018 actual'!K20,'Att 9a3 - 2017 actual'!K20),2)</f>
        <v>0.16</v>
      </c>
      <c r="J20" s="1505">
        <f>ROUND(AVERAGE('Att 9a1-2019 Actual'!L20,'Att 9a2 - 2018 actual'!L20,'Att 9a3 - 2017 actual'!L20),2)</f>
        <v>15.48</v>
      </c>
      <c r="K20" s="1505">
        <f>ROUND(AVERAGE('Att 9a1-2019 Actual'!M20,'Att 9a2 - 2018 actual'!M20,'Att 9a3 - 2017 actual'!M20),2)</f>
        <v>15.01</v>
      </c>
      <c r="L20" s="1505">
        <f>ROUND(AVERAGE('Att 9a1-2019 Actual'!N20,'Att 9a2 - 2018 actual'!N20,'Att 9a3 - 2017 actual'!N20),2)</f>
        <v>9.83</v>
      </c>
      <c r="M20" s="1505">
        <f>ROUND(AVERAGE('Att 9a1-2019 Actual'!O20,'Att 9a2 - 2018 actual'!O20,'Att 9a3 - 2017 actual'!O20),2)</f>
        <v>41.4</v>
      </c>
      <c r="N20" s="1505">
        <f>ROUND(AVERAGE('Att 9a1-2019 Actual'!P20,'Att 9a2 - 2018 actual'!P20,'Att 9a3 - 2017 actual'!P20),2)</f>
        <v>0.01</v>
      </c>
      <c r="O20" s="1505">
        <f>ROUND(AVERAGE('Att 9a1-2019 Actual'!Q20,'Att 9a2 - 2018 actual'!Q20,'Att 9a3 - 2017 actual'!Q20),2)</f>
        <v>0</v>
      </c>
      <c r="P20" s="1505">
        <f>ROUND(AVERAGE('Att 9a1-2019 Actual'!R20,'Att 9a2 - 2018 actual'!R20,'Att 9a3 - 2017 actual'!R20),2)</f>
        <v>30.45</v>
      </c>
      <c r="Q20" s="1505">
        <f>ROUND(AVERAGE('Att 9a1-2019 Actual'!S20,'Att 9a2 - 2018 actual'!S20,'Att 9a3 - 2017 actual'!S20),2)</f>
        <v>0.53</v>
      </c>
      <c r="R20" s="1505">
        <f>ROUND(AVERAGE('Att 9a1-2019 Actual'!T20,'Att 9a2 - 2018 actual'!T20,'Att 9a3 - 2017 actual'!T20),2)</f>
        <v>224.95</v>
      </c>
      <c r="S20" s="1505">
        <f>ROUND(AVERAGE('Att 9a1-2019 Actual'!U20,'Att 9a2 - 2018 actual'!U20,'Att 9a3 - 2017 actual'!U20),2)</f>
        <v>74.5</v>
      </c>
      <c r="T20" s="1505">
        <f>ROUND(AVERAGE('Att 9a1-2019 Actual'!V20,'Att 9a2 - 2018 actual'!V20),2)</f>
        <v>0.04</v>
      </c>
      <c r="U20" s="1505">
        <f>ROUND(AVERAGE('Att 9a1-2019 Actual'!W20,'Att 9a2 - 2018 actual'!W20),2)</f>
        <v>2.2000000000000002</v>
      </c>
      <c r="V20" s="1505">
        <v>2</v>
      </c>
      <c r="W20" s="2202">
        <v>2</v>
      </c>
      <c r="X20" s="1498">
        <f t="shared" si="0"/>
        <v>452.34000000000003</v>
      </c>
      <c r="Y20" s="1465"/>
      <c r="Z20" s="1506">
        <f>AVERAGE('Att 9a1-2019 Actual'!E41,'Att 9a2 - 2018 actual'!E41,'Att 9a3 - 2017 actual'!E41)</f>
        <v>388.4973333333333</v>
      </c>
      <c r="AA20" s="1507">
        <f>AVERAGE('Att 9a1-2019 Actual'!F41,'Att 9a2 - 2018 actual'!F41,'Att 9a3 - 2017 actual'!F41)</f>
        <v>59.786000000000001</v>
      </c>
      <c r="AB20" s="1507">
        <f>AVERAGE('Att 9a1-2019 Actual'!G41,'Att 9a2 - 2018 actual'!G41,'Att 9a3 - 2017 actual'!G41)</f>
        <v>66.986999999999981</v>
      </c>
      <c r="AC20" s="1507">
        <f>AVERAGE('Att 9a1-2019 Actual'!H41,'Att 9a2 - 2018 actual'!H41,'Att 9a3 - 2017 actual'!H41)</f>
        <v>313</v>
      </c>
      <c r="AD20" s="1508"/>
      <c r="AE20" s="1502">
        <f t="shared" si="1"/>
        <v>828.27033333333327</v>
      </c>
      <c r="AF20" s="1503"/>
      <c r="AG20" s="1460"/>
      <c r="AH20" s="1460"/>
      <c r="AI20" s="1460"/>
      <c r="AJ20" s="1460"/>
      <c r="AK20" s="1460"/>
    </row>
    <row r="21" spans="1:38" ht="16.5" thickBot="1">
      <c r="A21" s="1460"/>
      <c r="B21" s="1490" t="s">
        <v>1236</v>
      </c>
      <c r="C21" s="1510">
        <f>ROUND(AVERAGE('Att 9a1-2019 Actual'!E21,'Att 9a2 - 2018 actual'!E21,'Att 9a3 - 2017 actual'!E21),2)</f>
        <v>8366.51</v>
      </c>
      <c r="D21" s="2250">
        <f>ROUND(AVERAGE('Att 9a1-2019 Actual'!F21,'Att 9a2 - 2018 actual'!F21,'Att 9a3 - 2017 actual'!F21),2)</f>
        <v>5.39</v>
      </c>
      <c r="E21" s="1511">
        <f>ROUND(AVERAGE('Att 9a1-2019 Actual'!G21,'Att 9a2 - 2018 actual'!G21,'Att 9a3 - 2017 actual'!G21),2)</f>
        <v>3.26</v>
      </c>
      <c r="F21" s="1511">
        <f>ROUND(AVERAGE('Att 9a1-2019 Actual'!H21,'Att 9a2 - 2018 actual'!H21,'Att 9a3 - 2017 actual'!H21),2)</f>
        <v>26.22</v>
      </c>
      <c r="G21" s="1511">
        <f>ROUND(AVERAGE('Att 9a1-2019 Actual'!I21,'Att 9a2 - 2018 actual'!I21,'Att 9a3 - 2017 actual'!I21),2)</f>
        <v>1.1100000000000001</v>
      </c>
      <c r="H21" s="1511">
        <f>ROUND(AVERAGE('Att 9a1-2019 Actual'!J21,'Att 9a2 - 2018 actual'!J21,'Att 9a3 - 2017 actual'!J21),2)</f>
        <v>7.0000000000000007E-2</v>
      </c>
      <c r="I21" s="1505">
        <f>ROUND(AVERAGE('Att 9a1-2019 Actual'!K21,'Att 9a2 - 2018 actual'!K21,'Att 9a3 - 2017 actual'!K21),2)</f>
        <v>0.16</v>
      </c>
      <c r="J21" s="1505">
        <f>ROUND(AVERAGE('Att 9a1-2019 Actual'!L21,'Att 9a2 - 2018 actual'!L21,'Att 9a3 - 2017 actual'!L21),2)</f>
        <v>16.22</v>
      </c>
      <c r="K21" s="1511">
        <f>ROUND(AVERAGE('Att 9a1-2019 Actual'!M21,'Att 9a2 - 2018 actual'!M21,'Att 9a3 - 2017 actual'!M21),2)</f>
        <v>16.239999999999998</v>
      </c>
      <c r="L21" s="1511">
        <f>ROUND(AVERAGE('Att 9a1-2019 Actual'!N21,'Att 9a2 - 2018 actual'!N21,'Att 9a3 - 2017 actual'!N21),2)</f>
        <v>10.07</v>
      </c>
      <c r="M21" s="1511">
        <f>ROUND(AVERAGE('Att 9a1-2019 Actual'!O21,'Att 9a2 - 2018 actual'!O21,'Att 9a3 - 2017 actual'!O21),2)</f>
        <v>45.81</v>
      </c>
      <c r="N21" s="1511">
        <f>ROUND(AVERAGE('Att 9a1-2019 Actual'!P21,'Att 9a2 - 2018 actual'!P21,'Att 9a3 - 2017 actual'!P21),2)</f>
        <v>0.01</v>
      </c>
      <c r="O21" s="1511">
        <f>ROUND(AVERAGE('Att 9a1-2019 Actual'!Q21,'Att 9a2 - 2018 actual'!Q21,'Att 9a3 - 2017 actual'!Q21),2)</f>
        <v>0.01</v>
      </c>
      <c r="P21" s="1511">
        <f>ROUND(AVERAGE('Att 9a1-2019 Actual'!R21,'Att 9a2 - 2018 actual'!R21,'Att 9a3 - 2017 actual'!R21),2)</f>
        <v>30.87</v>
      </c>
      <c r="Q21" s="1511">
        <f>ROUND(AVERAGE('Att 9a1-2019 Actual'!S21,'Att 9a2 - 2018 actual'!S21,'Att 9a3 - 2017 actual'!S21),2)</f>
        <v>0.57999999999999996</v>
      </c>
      <c r="R21" s="1511">
        <f>ROUND(AVERAGE('Att 9a1-2019 Actual'!T21,'Att 9a2 - 2018 actual'!T21,'Att 9a3 - 2017 actual'!T21),2)</f>
        <v>271.67</v>
      </c>
      <c r="S21" s="1511">
        <f>ROUND(AVERAGE('Att 9a1-2019 Actual'!U21,'Att 9a2 - 2018 actual'!U21,'Att 9a3 - 2017 actual'!U21),2)</f>
        <v>81.540000000000006</v>
      </c>
      <c r="T21" s="1511">
        <f>ROUND(AVERAGE('Att 9a1-2019 Actual'!V21,'Att 9a2 - 2018 actual'!V21),2)</f>
        <v>0.05</v>
      </c>
      <c r="U21" s="1511">
        <f>ROUND(AVERAGE('Att 9a1-2019 Actual'!W21,'Att 9a2 - 2018 actual'!W21),2)</f>
        <v>2.6</v>
      </c>
      <c r="V21" s="1511">
        <f>ROUND(AVERAGE('Att 9a1-2019 Actual'!X21,'Att 9a2 - 2018 actual'!X21),2)</f>
        <v>0.24</v>
      </c>
      <c r="W21" s="2202">
        <v>2</v>
      </c>
      <c r="X21" s="1498">
        <f t="shared" si="0"/>
        <v>514.12000000000012</v>
      </c>
      <c r="Y21" s="1465"/>
      <c r="Z21" s="1512">
        <f>AVERAGE('Att 9a1-2019 Actual'!E42,'Att 9a2 - 2018 actual'!E42,'Att 9a3 - 2017 actual'!E42)</f>
        <v>446.07333333333327</v>
      </c>
      <c r="AA21" s="1513">
        <f>AVERAGE('Att 9a1-2019 Actual'!F42,'Att 9a2 - 2018 actual'!F42,'Att 9a3 - 2017 actual'!F42)</f>
        <v>68.846333333333334</v>
      </c>
      <c r="AB21" s="1513">
        <f>AVERAGE('Att 9a1-2019 Actual'!G42,'Att 9a2 - 2018 actual'!G42,'Att 9a3 - 2017 actual'!G42)</f>
        <v>74.023333333333326</v>
      </c>
      <c r="AC21" s="1513">
        <f>AVERAGE('Att 9a1-2019 Actual'!H42,'Att 9a2 - 2018 actual'!H42,'Att 9a3 - 2017 actual'!H42)</f>
        <v>322.33333333333331</v>
      </c>
      <c r="AD21" s="1514"/>
      <c r="AE21" s="1496">
        <f t="shared" si="1"/>
        <v>911.27633333333324</v>
      </c>
      <c r="AF21" s="1503"/>
      <c r="AG21" s="1460"/>
      <c r="AH21" s="1460"/>
      <c r="AI21" s="1460"/>
      <c r="AJ21" s="1460"/>
      <c r="AK21" s="1460"/>
    </row>
    <row r="22" spans="1:38" ht="16.5" thickBot="1">
      <c r="A22" s="1465"/>
      <c r="B22" s="1515" t="s">
        <v>115</v>
      </c>
      <c r="C22" s="1496">
        <f t="shared" ref="C22:J22" si="2">SUM(C10:C21)</f>
        <v>102957</v>
      </c>
      <c r="D22" s="2200">
        <f t="shared" si="2"/>
        <v>83.77</v>
      </c>
      <c r="E22" s="1624">
        <f t="shared" si="2"/>
        <v>39.729999999999997</v>
      </c>
      <c r="F22" s="1624">
        <f t="shared" si="2"/>
        <v>253.54</v>
      </c>
      <c r="G22" s="1624">
        <f t="shared" si="2"/>
        <v>9.52</v>
      </c>
      <c r="H22" s="1624">
        <f t="shared" si="2"/>
        <v>1.2600000000000002</v>
      </c>
      <c r="I22" s="1624">
        <f t="shared" si="2"/>
        <v>0.47</v>
      </c>
      <c r="J22" s="1624">
        <f t="shared" si="2"/>
        <v>199.77999999999997</v>
      </c>
      <c r="K22" s="1624">
        <f t="shared" ref="K22:W22" si="3">SUM(K10:K21)</f>
        <v>223.92000000000002</v>
      </c>
      <c r="L22" s="1624">
        <f t="shared" si="3"/>
        <v>117.77000000000001</v>
      </c>
      <c r="M22" s="1624">
        <f t="shared" si="3"/>
        <v>542.89</v>
      </c>
      <c r="N22" s="1624">
        <f t="shared" si="3"/>
        <v>3.3099999999999996</v>
      </c>
      <c r="O22" s="1624">
        <f t="shared" si="3"/>
        <v>16.140000000000004</v>
      </c>
      <c r="P22" s="1624">
        <f t="shared" si="3"/>
        <v>355.79</v>
      </c>
      <c r="Q22" s="1624">
        <f t="shared" si="3"/>
        <v>7.1800000000000006</v>
      </c>
      <c r="R22" s="1624">
        <f t="shared" si="3"/>
        <v>2481.6600000000003</v>
      </c>
      <c r="S22" s="1624">
        <f t="shared" si="3"/>
        <v>989.49</v>
      </c>
      <c r="T22" s="1624">
        <f t="shared" si="3"/>
        <v>0.62000000000000011</v>
      </c>
      <c r="U22" s="1624">
        <f t="shared" si="3"/>
        <v>26.929999999999996</v>
      </c>
      <c r="V22" s="1624">
        <f t="shared" si="3"/>
        <v>22.24</v>
      </c>
      <c r="W22" s="1516">
        <f t="shared" si="3"/>
        <v>8</v>
      </c>
      <c r="X22" s="1594">
        <f>SUM(D22:W22)</f>
        <v>5384.01</v>
      </c>
      <c r="Y22" s="1465"/>
      <c r="Z22" s="1518">
        <f t="shared" ref="Z22:AE22" si="4">SUM(Z10:Z21)</f>
        <v>6164.0410000000011</v>
      </c>
      <c r="AA22" s="1519">
        <f t="shared" si="4"/>
        <v>1109.5193333333334</v>
      </c>
      <c r="AB22" s="1519">
        <f t="shared" si="4"/>
        <v>1104.44</v>
      </c>
      <c r="AC22" s="1519">
        <f t="shared" si="4"/>
        <v>3736.3333333333335</v>
      </c>
      <c r="AD22" s="1519">
        <f t="shared" si="4"/>
        <v>0</v>
      </c>
      <c r="AE22" s="1496">
        <f t="shared" si="4"/>
        <v>12114.333666666667</v>
      </c>
      <c r="AF22" s="1503"/>
      <c r="AG22" s="1460"/>
      <c r="AH22" s="1460"/>
      <c r="AI22" s="1520"/>
      <c r="AJ22" s="1460"/>
      <c r="AK22" s="1460"/>
    </row>
    <row r="23" spans="1:38" ht="16.5" thickBot="1">
      <c r="A23" s="1465"/>
      <c r="B23" s="1521" t="s">
        <v>1392</v>
      </c>
      <c r="C23" s="1522">
        <f t="shared" ref="C23:X23" si="5">+C22/12</f>
        <v>8579.75</v>
      </c>
      <c r="D23" s="1523">
        <f t="shared" si="5"/>
        <v>6.980833333333333</v>
      </c>
      <c r="E23" s="1523">
        <f t="shared" si="5"/>
        <v>3.3108333333333331</v>
      </c>
      <c r="F23" s="1523">
        <f t="shared" si="5"/>
        <v>21.128333333333334</v>
      </c>
      <c r="G23" s="1523">
        <f t="shared" si="5"/>
        <v>0.79333333333333333</v>
      </c>
      <c r="H23" s="1523">
        <f t="shared" si="5"/>
        <v>0.10500000000000002</v>
      </c>
      <c r="I23" s="1523">
        <f t="shared" si="5"/>
        <v>3.9166666666666662E-2</v>
      </c>
      <c r="J23" s="1523">
        <f t="shared" si="5"/>
        <v>16.64833333333333</v>
      </c>
      <c r="K23" s="1523">
        <f t="shared" si="5"/>
        <v>18.66</v>
      </c>
      <c r="L23" s="1523">
        <f t="shared" si="5"/>
        <v>9.8141666666666669</v>
      </c>
      <c r="M23" s="1523">
        <f t="shared" si="5"/>
        <v>45.240833333333335</v>
      </c>
      <c r="N23" s="1523">
        <f t="shared" si="5"/>
        <v>0.27583333333333332</v>
      </c>
      <c r="O23" s="1523">
        <f t="shared" si="5"/>
        <v>1.3450000000000004</v>
      </c>
      <c r="P23" s="1523">
        <f t="shared" si="5"/>
        <v>29.64916666666667</v>
      </c>
      <c r="Q23" s="1523">
        <f t="shared" si="5"/>
        <v>0.59833333333333338</v>
      </c>
      <c r="R23" s="1523">
        <f t="shared" si="5"/>
        <v>206.80500000000004</v>
      </c>
      <c r="S23" s="1523">
        <f t="shared" si="5"/>
        <v>82.457499999999996</v>
      </c>
      <c r="T23" s="1523">
        <f t="shared" si="5"/>
        <v>5.1666666666666673E-2</v>
      </c>
      <c r="U23" s="1523">
        <f t="shared" si="5"/>
        <v>2.2441666666666662</v>
      </c>
      <c r="V23" s="1523">
        <f t="shared" si="5"/>
        <v>1.8533333333333333</v>
      </c>
      <c r="W23" s="1523">
        <f t="shared" si="5"/>
        <v>0.66666666666666663</v>
      </c>
      <c r="X23" s="1522">
        <f t="shared" si="5"/>
        <v>448.66750000000002</v>
      </c>
      <c r="Y23" s="1465"/>
      <c r="Z23" s="1524">
        <f t="shared" ref="Z23:AE23" si="6">+Z22/12</f>
        <v>513.67008333333342</v>
      </c>
      <c r="AA23" s="1525">
        <f t="shared" si="6"/>
        <v>92.459944444444446</v>
      </c>
      <c r="AB23" s="1525">
        <f t="shared" si="6"/>
        <v>92.036666666666676</v>
      </c>
      <c r="AC23" s="1525">
        <f t="shared" si="6"/>
        <v>311.36111111111114</v>
      </c>
      <c r="AD23" s="1525">
        <f t="shared" si="6"/>
        <v>0</v>
      </c>
      <c r="AE23" s="1522">
        <f t="shared" si="6"/>
        <v>1009.5278055555556</v>
      </c>
      <c r="AF23" s="1503"/>
      <c r="AG23" s="1460"/>
      <c r="AH23" s="1460"/>
      <c r="AI23" s="1460"/>
      <c r="AJ23" s="1460"/>
      <c r="AK23" s="1460"/>
    </row>
    <row r="24" spans="1:38" ht="16.5" thickBot="1">
      <c r="A24" s="1460"/>
      <c r="B24" s="1460"/>
      <c r="C24" s="1465"/>
      <c r="D24" s="1527"/>
      <c r="E24" s="1527"/>
      <c r="F24" s="1527"/>
      <c r="G24" s="1527"/>
      <c r="H24" s="1527"/>
      <c r="I24" s="1527"/>
      <c r="J24" s="1527"/>
      <c r="K24" s="1527"/>
      <c r="L24" s="1527"/>
      <c r="M24" s="1527"/>
      <c r="N24" s="1527"/>
      <c r="O24" s="1527"/>
      <c r="P24" s="1527"/>
      <c r="Q24" s="1527"/>
      <c r="R24" s="1465"/>
      <c r="S24" s="1465"/>
      <c r="T24" s="1465"/>
      <c r="U24" s="1465"/>
      <c r="V24" s="1465"/>
      <c r="W24" s="1465"/>
      <c r="X24" s="1465"/>
      <c r="Y24" s="1465"/>
      <c r="Z24" s="1465"/>
      <c r="AA24" s="1520"/>
      <c r="AB24" s="1460"/>
      <c r="AC24" s="1460"/>
      <c r="AD24" s="1460"/>
      <c r="AE24" s="1460"/>
      <c r="AF24" s="1460"/>
      <c r="AG24" s="1460"/>
      <c r="AH24" s="1460"/>
    </row>
    <row r="25" spans="1:38" ht="16.5" thickBot="1">
      <c r="A25" s="1460"/>
      <c r="B25" s="1469"/>
      <c r="C25" s="2464" t="s">
        <v>1393</v>
      </c>
      <c r="D25" s="2465"/>
      <c r="E25" s="2465"/>
      <c r="F25" s="2465"/>
      <c r="G25" s="2465"/>
      <c r="H25" s="2465"/>
      <c r="I25" s="2465"/>
      <c r="J25" s="2465"/>
      <c r="K25" s="2465"/>
      <c r="L25" s="2465"/>
      <c r="M25" s="2465"/>
      <c r="N25" s="2465"/>
      <c r="O25" s="2465"/>
      <c r="P25" s="2465"/>
      <c r="Q25" s="2465"/>
      <c r="R25" s="2465"/>
      <c r="S25" s="2465"/>
      <c r="T25" s="2465"/>
      <c r="U25" s="2465"/>
      <c r="V25" s="2465"/>
      <c r="W25" s="2465"/>
      <c r="X25" s="2465"/>
      <c r="Y25" s="2465"/>
      <c r="Z25" s="2471"/>
      <c r="AA25" s="2471"/>
      <c r="AB25" s="2471"/>
      <c r="AC25" s="2472"/>
      <c r="AD25" s="1465"/>
      <c r="AE25" s="1460"/>
      <c r="AF25" s="1460"/>
      <c r="AG25" s="1460"/>
      <c r="AH25" s="1460"/>
    </row>
    <row r="26" spans="1:38" ht="16.5" thickBot="1">
      <c r="A26" s="1460"/>
      <c r="B26" s="1472" t="s">
        <v>912</v>
      </c>
      <c r="C26" s="1528" t="s">
        <v>1394</v>
      </c>
      <c r="D26" s="1529" t="s">
        <v>1395</v>
      </c>
      <c r="E26" s="1529" t="s">
        <v>1396</v>
      </c>
      <c r="F26" s="1529" t="s">
        <v>1397</v>
      </c>
      <c r="G26" s="1529" t="s">
        <v>1398</v>
      </c>
      <c r="H26" s="1529" t="s">
        <v>1399</v>
      </c>
      <c r="I26" s="1529" t="s">
        <v>1400</v>
      </c>
      <c r="J26" s="1529" t="s">
        <v>1401</v>
      </c>
      <c r="K26" s="1529" t="s">
        <v>1402</v>
      </c>
      <c r="L26" s="1529" t="s">
        <v>1403</v>
      </c>
      <c r="M26" s="1529" t="s">
        <v>1404</v>
      </c>
      <c r="N26" s="1529" t="s">
        <v>1405</v>
      </c>
      <c r="O26" s="1529" t="s">
        <v>1406</v>
      </c>
      <c r="P26" s="1529" t="s">
        <v>1407</v>
      </c>
      <c r="Q26" s="1529" t="s">
        <v>1408</v>
      </c>
      <c r="R26" s="1529" t="s">
        <v>1409</v>
      </c>
      <c r="S26" s="1529" t="s">
        <v>1410</v>
      </c>
      <c r="T26" s="1529" t="s">
        <v>1411</v>
      </c>
      <c r="U26" s="1529" t="s">
        <v>1412</v>
      </c>
      <c r="V26" s="1529" t="s">
        <v>1413</v>
      </c>
      <c r="W26" s="1529" t="s">
        <v>1414</v>
      </c>
      <c r="X26" s="1529" t="s">
        <v>1415</v>
      </c>
      <c r="Y26" s="1529" t="s">
        <v>1901</v>
      </c>
      <c r="Z26" s="1529" t="s">
        <v>1905</v>
      </c>
      <c r="AA26" s="1529" t="s">
        <v>1906</v>
      </c>
      <c r="AB26" s="2253" t="s">
        <v>2256</v>
      </c>
      <c r="AC26" s="2254" t="s">
        <v>1416</v>
      </c>
      <c r="AD26" s="1465"/>
      <c r="AE26" s="1465"/>
      <c r="AF26" s="1465"/>
      <c r="AG26" s="1465"/>
      <c r="AH26" s="1465"/>
      <c r="AI26" s="1465"/>
      <c r="AJ26" s="1465"/>
      <c r="AK26" s="1460"/>
      <c r="AL26" s="1460"/>
    </row>
    <row r="27" spans="1:38" ht="58.5" customHeight="1" thickBot="1">
      <c r="A27" s="1460"/>
      <c r="B27" s="1478" t="s">
        <v>1374</v>
      </c>
      <c r="C27" s="2314" t="s">
        <v>2</v>
      </c>
      <c r="D27" s="2315" t="s">
        <v>2530</v>
      </c>
      <c r="E27" s="2315" t="s">
        <v>2531</v>
      </c>
      <c r="F27" s="2315" t="s">
        <v>2531</v>
      </c>
      <c r="G27" s="2315" t="s">
        <v>2532</v>
      </c>
      <c r="H27" s="2315" t="s">
        <v>2533</v>
      </c>
      <c r="I27" s="2315" t="s">
        <v>2534</v>
      </c>
      <c r="J27" s="2315" t="s">
        <v>2535</v>
      </c>
      <c r="K27" s="2315" t="s">
        <v>2536</v>
      </c>
      <c r="L27" s="2315" t="s">
        <v>2537</v>
      </c>
      <c r="M27" s="2315" t="s">
        <v>2538</v>
      </c>
      <c r="N27" s="2315" t="s">
        <v>2539</v>
      </c>
      <c r="O27" s="2315" t="s">
        <v>2540</v>
      </c>
      <c r="P27" s="2315" t="s">
        <v>2541</v>
      </c>
      <c r="Q27" s="2315" t="s">
        <v>2542</v>
      </c>
      <c r="R27" s="2315" t="s">
        <v>2543</v>
      </c>
      <c r="S27" s="2315" t="s">
        <v>2544</v>
      </c>
      <c r="T27" s="2315" t="s">
        <v>2545</v>
      </c>
      <c r="U27" s="2315" t="s">
        <v>2546</v>
      </c>
      <c r="V27" s="2315" t="s">
        <v>2535</v>
      </c>
      <c r="W27" s="2315" t="s">
        <v>2535</v>
      </c>
      <c r="X27" s="2315" t="s">
        <v>2535</v>
      </c>
      <c r="Y27" s="2315" t="s">
        <v>2535</v>
      </c>
      <c r="Z27" s="2315" t="s">
        <v>2535</v>
      </c>
      <c r="AA27" s="2315" t="s">
        <v>2547</v>
      </c>
      <c r="AB27" s="2316" t="s">
        <v>2548</v>
      </c>
      <c r="AC27" s="2313"/>
      <c r="AD27" s="1460"/>
      <c r="AE27" s="1460"/>
      <c r="AF27" s="1460"/>
      <c r="AG27" s="1460"/>
      <c r="AH27" s="1460"/>
      <c r="AI27" s="1465"/>
      <c r="AJ27" s="1531" t="s">
        <v>305</v>
      </c>
      <c r="AK27" s="1465"/>
      <c r="AL27" s="1460"/>
    </row>
    <row r="28" spans="1:38" ht="31.5">
      <c r="A28" s="1460"/>
      <c r="B28" s="1485" t="s">
        <v>1379</v>
      </c>
      <c r="C28" s="1532" t="s">
        <v>1417</v>
      </c>
      <c r="D28" s="1533" t="s">
        <v>1417</v>
      </c>
      <c r="E28" s="1533" t="s">
        <v>1417</v>
      </c>
      <c r="F28" s="1533" t="s">
        <v>1417</v>
      </c>
      <c r="G28" s="1533" t="s">
        <v>1417</v>
      </c>
      <c r="H28" s="1533" t="s">
        <v>1417</v>
      </c>
      <c r="I28" s="1533" t="s">
        <v>1417</v>
      </c>
      <c r="J28" s="1533" t="s">
        <v>1417</v>
      </c>
      <c r="K28" s="1533" t="s">
        <v>1417</v>
      </c>
      <c r="L28" s="1533" t="s">
        <v>1417</v>
      </c>
      <c r="M28" s="1533" t="s">
        <v>1417</v>
      </c>
      <c r="N28" s="1534" t="s">
        <v>1417</v>
      </c>
      <c r="O28" s="1534" t="s">
        <v>1417</v>
      </c>
      <c r="P28" s="1534" t="s">
        <v>1417</v>
      </c>
      <c r="Q28" s="1534" t="s">
        <v>1417</v>
      </c>
      <c r="R28" s="1534" t="s">
        <v>1417</v>
      </c>
      <c r="S28" s="1534" t="s">
        <v>1417</v>
      </c>
      <c r="T28" s="1534" t="s">
        <v>1417</v>
      </c>
      <c r="U28" s="1534" t="s">
        <v>1417</v>
      </c>
      <c r="V28" s="1534" t="s">
        <v>1417</v>
      </c>
      <c r="W28" s="1534" t="s">
        <v>1417</v>
      </c>
      <c r="X28" s="1534" t="s">
        <v>1417</v>
      </c>
      <c r="Y28" s="1534" t="s">
        <v>1417</v>
      </c>
      <c r="Z28" s="1534" t="s">
        <v>1417</v>
      </c>
      <c r="AA28" s="1534" t="s">
        <v>1417</v>
      </c>
      <c r="AB28" s="2256" t="s">
        <v>1417</v>
      </c>
      <c r="AC28" s="2255" t="s">
        <v>1418</v>
      </c>
      <c r="AD28" s="1460"/>
      <c r="AE28" s="1535" t="s">
        <v>1419</v>
      </c>
      <c r="AF28" s="1536">
        <v>0.01</v>
      </c>
      <c r="AG28" s="1535" t="s">
        <v>1420</v>
      </c>
      <c r="AH28" s="1535" t="s">
        <v>1421</v>
      </c>
      <c r="AI28" s="1465"/>
      <c r="AJ28" s="2467" t="s">
        <v>1422</v>
      </c>
      <c r="AK28" s="1465"/>
      <c r="AL28" s="1460"/>
    </row>
    <row r="29" spans="1:38" ht="16.5" thickBot="1">
      <c r="A29" s="1460"/>
      <c r="B29" s="1490" t="s">
        <v>1385</v>
      </c>
      <c r="C29" s="1537" t="s">
        <v>1423</v>
      </c>
      <c r="D29" s="1538" t="s">
        <v>2549</v>
      </c>
      <c r="E29" s="1538" t="s">
        <v>2550</v>
      </c>
      <c r="F29" s="1538" t="s">
        <v>2551</v>
      </c>
      <c r="G29" s="1538" t="s">
        <v>2552</v>
      </c>
      <c r="H29" s="1538" t="s">
        <v>2553</v>
      </c>
      <c r="I29" s="1538" t="s">
        <v>2554</v>
      </c>
      <c r="J29" s="1538" t="s">
        <v>2555</v>
      </c>
      <c r="K29" s="1538" t="s">
        <v>2556</v>
      </c>
      <c r="L29" s="1538" t="s">
        <v>2557</v>
      </c>
      <c r="M29" s="1538" t="s">
        <v>2558</v>
      </c>
      <c r="N29" s="1538" t="s">
        <v>2559</v>
      </c>
      <c r="O29" s="1538" t="s">
        <v>2560</v>
      </c>
      <c r="P29" s="1538" t="s">
        <v>2561</v>
      </c>
      <c r="Q29" s="1538" t="s">
        <v>2562</v>
      </c>
      <c r="R29" s="1538" t="s">
        <v>2563</v>
      </c>
      <c r="S29" s="1538" t="s">
        <v>2564</v>
      </c>
      <c r="T29" s="1538" t="s">
        <v>2565</v>
      </c>
      <c r="U29" s="1538">
        <v>0</v>
      </c>
      <c r="V29" s="1538" t="s">
        <v>2566</v>
      </c>
      <c r="W29" s="1538" t="s">
        <v>2567</v>
      </c>
      <c r="X29" s="1538" t="s">
        <v>2568</v>
      </c>
      <c r="Y29" s="1538" t="s">
        <v>2569</v>
      </c>
      <c r="Z29" s="1538" t="s">
        <v>2570</v>
      </c>
      <c r="AA29" s="1538" t="s">
        <v>2571</v>
      </c>
      <c r="AB29" s="2300" t="s">
        <v>2572</v>
      </c>
      <c r="AC29" s="2258"/>
      <c r="AD29" s="1460"/>
      <c r="AE29" s="1540" t="s">
        <v>1424</v>
      </c>
      <c r="AF29" s="1540" t="s">
        <v>1425</v>
      </c>
      <c r="AG29" s="1541" t="s">
        <v>1426</v>
      </c>
      <c r="AH29" s="1541" t="s">
        <v>1427</v>
      </c>
      <c r="AI29" s="1465"/>
      <c r="AJ29" s="2468"/>
      <c r="AK29" s="1465"/>
      <c r="AL29" s="1460"/>
    </row>
    <row r="30" spans="1:38" ht="15.75">
      <c r="A30" s="1460"/>
      <c r="B30" s="1472" t="s">
        <v>1226</v>
      </c>
      <c r="C30" s="1542">
        <v>2446</v>
      </c>
      <c r="D30" s="1543">
        <v>50</v>
      </c>
      <c r="E30" s="1543">
        <v>18</v>
      </c>
      <c r="F30" s="1543">
        <v>56</v>
      </c>
      <c r="G30" s="1543">
        <v>0</v>
      </c>
      <c r="H30" s="1543">
        <v>30</v>
      </c>
      <c r="I30" s="1543">
        <v>11</v>
      </c>
      <c r="J30" s="1543">
        <v>80</v>
      </c>
      <c r="K30" s="1543">
        <v>99</v>
      </c>
      <c r="L30" s="1543">
        <v>4</v>
      </c>
      <c r="M30" s="1543">
        <v>19</v>
      </c>
      <c r="N30" s="1543">
        <v>25</v>
      </c>
      <c r="O30" s="1543">
        <v>15</v>
      </c>
      <c r="P30" s="1543">
        <v>10</v>
      </c>
      <c r="Q30" s="1543">
        <v>10</v>
      </c>
      <c r="R30" s="1543">
        <v>50</v>
      </c>
      <c r="S30" s="1543">
        <v>25</v>
      </c>
      <c r="T30" s="1543">
        <v>5</v>
      </c>
      <c r="U30" s="1543">
        <v>131</v>
      </c>
      <c r="V30" s="1543">
        <v>100</v>
      </c>
      <c r="W30" s="1543">
        <v>100</v>
      </c>
      <c r="X30" s="1543">
        <v>100</v>
      </c>
      <c r="Y30" s="1543">
        <v>50</v>
      </c>
      <c r="Z30" s="1543">
        <v>150</v>
      </c>
      <c r="AA30" s="1543">
        <v>50</v>
      </c>
      <c r="AB30" s="1544">
        <v>0</v>
      </c>
      <c r="AC30" s="1545">
        <f t="shared" ref="AC30:AC41" si="7">SUM(C30:AB30)</f>
        <v>3634</v>
      </c>
      <c r="AD30" s="1460"/>
      <c r="AE30" s="1546">
        <f t="shared" ref="AE30:AE41" si="8">+C10+X10+AE10</f>
        <v>10012.768333333333</v>
      </c>
      <c r="AF30" s="1546">
        <f>(AE30*1.01)+(AG30*0.01)</f>
        <v>10115.111996666668</v>
      </c>
      <c r="AG30" s="1547">
        <v>221.59799999999998</v>
      </c>
      <c r="AH30" s="1548">
        <f>AF30+AG30</f>
        <v>10336.709996666668</v>
      </c>
      <c r="AI30" s="1465"/>
      <c r="AJ30" s="1549">
        <f t="shared" ref="AJ30:AJ41" si="9">+AH30+AC30</f>
        <v>13970.709996666668</v>
      </c>
      <c r="AK30" s="1465"/>
      <c r="AL30" s="1460"/>
    </row>
    <row r="31" spans="1:38" ht="15.75">
      <c r="A31" s="1460"/>
      <c r="B31" s="1472" t="s">
        <v>1227</v>
      </c>
      <c r="C31" s="1550">
        <v>2446</v>
      </c>
      <c r="D31" s="1551">
        <v>50</v>
      </c>
      <c r="E31" s="1551">
        <v>18</v>
      </c>
      <c r="F31" s="1551">
        <v>56</v>
      </c>
      <c r="G31" s="1551">
        <v>0</v>
      </c>
      <c r="H31" s="1551">
        <v>30</v>
      </c>
      <c r="I31" s="1551">
        <v>11</v>
      </c>
      <c r="J31" s="1551">
        <v>80</v>
      </c>
      <c r="K31" s="1551">
        <v>99</v>
      </c>
      <c r="L31" s="1551">
        <v>4</v>
      </c>
      <c r="M31" s="1551">
        <v>19</v>
      </c>
      <c r="N31" s="1551">
        <v>25</v>
      </c>
      <c r="O31" s="1551">
        <v>15</v>
      </c>
      <c r="P31" s="1551">
        <v>10</v>
      </c>
      <c r="Q31" s="1551">
        <v>10</v>
      </c>
      <c r="R31" s="1551">
        <v>50</v>
      </c>
      <c r="S31" s="1551">
        <v>25</v>
      </c>
      <c r="T31" s="1551">
        <v>5</v>
      </c>
      <c r="U31" s="1551">
        <v>131</v>
      </c>
      <c r="V31" s="1551">
        <v>100</v>
      </c>
      <c r="W31" s="1551">
        <v>100</v>
      </c>
      <c r="X31" s="1551">
        <v>100</v>
      </c>
      <c r="Y31" s="1551">
        <v>50</v>
      </c>
      <c r="Z31" s="1551">
        <v>150</v>
      </c>
      <c r="AA31" s="1551">
        <v>50</v>
      </c>
      <c r="AB31" s="1552">
        <v>0</v>
      </c>
      <c r="AC31" s="1545">
        <f t="shared" si="7"/>
        <v>3634</v>
      </c>
      <c r="AD31" s="1460"/>
      <c r="AE31" s="1553">
        <f t="shared" si="8"/>
        <v>9783.41</v>
      </c>
      <c r="AF31" s="1553">
        <f t="shared" ref="AF31:AF41" si="10">(AE31*1.01)+(AG31*0.01)</f>
        <v>9883.4153499999993</v>
      </c>
      <c r="AG31" s="1554">
        <v>217.125</v>
      </c>
      <c r="AH31" s="1549">
        <f t="shared" ref="AH31:AH41" si="11">AF31+AG31</f>
        <v>10100.540349999999</v>
      </c>
      <c r="AI31" s="1465"/>
      <c r="AJ31" s="1549">
        <f t="shared" si="9"/>
        <v>13734.540349999999</v>
      </c>
      <c r="AK31" s="1465"/>
      <c r="AL31" s="1460"/>
    </row>
    <row r="32" spans="1:38" ht="15.75">
      <c r="A32" s="1460"/>
      <c r="B32" s="1472" t="s">
        <v>1024</v>
      </c>
      <c r="C32" s="1550">
        <v>2446</v>
      </c>
      <c r="D32" s="1551">
        <v>50</v>
      </c>
      <c r="E32" s="1551">
        <v>18</v>
      </c>
      <c r="F32" s="1551">
        <v>56</v>
      </c>
      <c r="G32" s="1551">
        <v>0</v>
      </c>
      <c r="H32" s="1551">
        <v>30</v>
      </c>
      <c r="I32" s="1551">
        <v>11</v>
      </c>
      <c r="J32" s="1551">
        <v>80</v>
      </c>
      <c r="K32" s="1551">
        <v>99</v>
      </c>
      <c r="L32" s="1551">
        <v>4</v>
      </c>
      <c r="M32" s="1551">
        <v>19</v>
      </c>
      <c r="N32" s="1551">
        <v>25</v>
      </c>
      <c r="O32" s="1551">
        <v>15</v>
      </c>
      <c r="P32" s="1551">
        <v>10</v>
      </c>
      <c r="Q32" s="1551">
        <v>10</v>
      </c>
      <c r="R32" s="1551">
        <v>50</v>
      </c>
      <c r="S32" s="1551">
        <v>25</v>
      </c>
      <c r="T32" s="1551">
        <v>5</v>
      </c>
      <c r="U32" s="1551">
        <v>131</v>
      </c>
      <c r="V32" s="1551">
        <v>100</v>
      </c>
      <c r="W32" s="1551">
        <v>100</v>
      </c>
      <c r="X32" s="1551">
        <v>100</v>
      </c>
      <c r="Y32" s="1551">
        <v>50</v>
      </c>
      <c r="Z32" s="1551">
        <v>150</v>
      </c>
      <c r="AA32" s="1551">
        <v>50</v>
      </c>
      <c r="AB32" s="1552">
        <v>0</v>
      </c>
      <c r="AC32" s="1545">
        <f t="shared" si="7"/>
        <v>3634</v>
      </c>
      <c r="AD32" s="1460"/>
      <c r="AE32" s="1553">
        <f t="shared" si="8"/>
        <v>9209.3083333333343</v>
      </c>
      <c r="AF32" s="1553">
        <f t="shared" si="10"/>
        <v>9303.9349200000015</v>
      </c>
      <c r="AG32" s="1554">
        <v>253.35033333333331</v>
      </c>
      <c r="AH32" s="1549">
        <f t="shared" si="11"/>
        <v>9557.2852533333353</v>
      </c>
      <c r="AI32" s="1465"/>
      <c r="AJ32" s="1549">
        <f t="shared" si="9"/>
        <v>13191.285253333335</v>
      </c>
      <c r="AK32" s="1465"/>
      <c r="AL32" s="1460"/>
    </row>
    <row r="33" spans="1:38" ht="15.75">
      <c r="A33" s="1460"/>
      <c r="B33" s="1472" t="s">
        <v>1025</v>
      </c>
      <c r="C33" s="1550">
        <v>2446</v>
      </c>
      <c r="D33" s="1551">
        <v>50</v>
      </c>
      <c r="E33" s="1551">
        <v>18</v>
      </c>
      <c r="F33" s="1551">
        <v>56</v>
      </c>
      <c r="G33" s="1551">
        <v>0</v>
      </c>
      <c r="H33" s="1551">
        <v>30</v>
      </c>
      <c r="I33" s="1551">
        <v>11</v>
      </c>
      <c r="J33" s="1551">
        <v>80</v>
      </c>
      <c r="K33" s="1551">
        <v>99</v>
      </c>
      <c r="L33" s="1551">
        <v>4</v>
      </c>
      <c r="M33" s="1551">
        <v>19</v>
      </c>
      <c r="N33" s="1551">
        <v>25</v>
      </c>
      <c r="O33" s="1551">
        <v>15</v>
      </c>
      <c r="P33" s="1551">
        <v>10</v>
      </c>
      <c r="Q33" s="1551">
        <v>10</v>
      </c>
      <c r="R33" s="1551">
        <v>50</v>
      </c>
      <c r="S33" s="1551">
        <v>25</v>
      </c>
      <c r="T33" s="1551">
        <v>5</v>
      </c>
      <c r="U33" s="1551">
        <v>131</v>
      </c>
      <c r="V33" s="1551">
        <v>100</v>
      </c>
      <c r="W33" s="1551">
        <v>100</v>
      </c>
      <c r="X33" s="1551">
        <v>100</v>
      </c>
      <c r="Y33" s="1551">
        <v>50</v>
      </c>
      <c r="Z33" s="1551">
        <v>150</v>
      </c>
      <c r="AA33" s="1551">
        <v>50</v>
      </c>
      <c r="AB33" s="1552">
        <v>0</v>
      </c>
      <c r="AC33" s="1545">
        <f t="shared" si="7"/>
        <v>3634</v>
      </c>
      <c r="AD33" s="1460"/>
      <c r="AE33" s="1553">
        <f t="shared" si="8"/>
        <v>8384.8256666666657</v>
      </c>
      <c r="AF33" s="1553">
        <f t="shared" si="10"/>
        <v>8470.7323599999982</v>
      </c>
      <c r="AG33" s="1554">
        <v>205.84366666666665</v>
      </c>
      <c r="AH33" s="1549">
        <f t="shared" si="11"/>
        <v>8676.5760266666657</v>
      </c>
      <c r="AI33" s="1465"/>
      <c r="AJ33" s="1549">
        <f t="shared" si="9"/>
        <v>12310.576026666666</v>
      </c>
      <c r="AK33" s="1465"/>
      <c r="AL33" s="1460"/>
    </row>
    <row r="34" spans="1:38" ht="15.75">
      <c r="A34" s="1460"/>
      <c r="B34" s="1472" t="s">
        <v>1026</v>
      </c>
      <c r="C34" s="1550">
        <v>2446</v>
      </c>
      <c r="D34" s="1551">
        <v>50</v>
      </c>
      <c r="E34" s="1551">
        <v>18</v>
      </c>
      <c r="F34" s="1551">
        <v>56</v>
      </c>
      <c r="G34" s="1551">
        <v>0</v>
      </c>
      <c r="H34" s="1551">
        <v>30</v>
      </c>
      <c r="I34" s="1551">
        <v>11</v>
      </c>
      <c r="J34" s="1551">
        <v>80</v>
      </c>
      <c r="K34" s="1551">
        <v>99</v>
      </c>
      <c r="L34" s="1551">
        <v>4</v>
      </c>
      <c r="M34" s="1551">
        <v>19</v>
      </c>
      <c r="N34" s="1551">
        <v>25</v>
      </c>
      <c r="O34" s="1551">
        <v>15</v>
      </c>
      <c r="P34" s="1551">
        <v>10</v>
      </c>
      <c r="Q34" s="1551">
        <v>10</v>
      </c>
      <c r="R34" s="1551">
        <v>50</v>
      </c>
      <c r="S34" s="1551">
        <v>25</v>
      </c>
      <c r="T34" s="1551">
        <v>5</v>
      </c>
      <c r="U34" s="1551">
        <v>131</v>
      </c>
      <c r="V34" s="1551">
        <v>100</v>
      </c>
      <c r="W34" s="1551">
        <v>100</v>
      </c>
      <c r="X34" s="1551">
        <v>100</v>
      </c>
      <c r="Y34" s="1551">
        <v>50</v>
      </c>
      <c r="Z34" s="1551">
        <v>150</v>
      </c>
      <c r="AA34" s="1551">
        <v>50</v>
      </c>
      <c r="AB34" s="1552">
        <v>0</v>
      </c>
      <c r="AC34" s="1545">
        <f t="shared" si="7"/>
        <v>3634</v>
      </c>
      <c r="AD34" s="1460"/>
      <c r="AE34" s="1553">
        <f t="shared" si="8"/>
        <v>8975.0783333333329</v>
      </c>
      <c r="AF34" s="1553">
        <f t="shared" si="10"/>
        <v>9066.6651499999989</v>
      </c>
      <c r="AG34" s="1554">
        <v>183.60333333333332</v>
      </c>
      <c r="AH34" s="1549">
        <f t="shared" si="11"/>
        <v>9250.2684833333315</v>
      </c>
      <c r="AI34" s="1465"/>
      <c r="AJ34" s="1549">
        <f t="shared" si="9"/>
        <v>12884.268483333331</v>
      </c>
      <c r="AK34" s="1465"/>
      <c r="AL34" s="1460"/>
    </row>
    <row r="35" spans="1:38" ht="15.75">
      <c r="A35" s="1460"/>
      <c r="B35" s="1472" t="s">
        <v>1230</v>
      </c>
      <c r="C35" s="1550">
        <v>2541</v>
      </c>
      <c r="D35" s="1551">
        <v>50</v>
      </c>
      <c r="E35" s="1551">
        <v>18</v>
      </c>
      <c r="F35" s="1551">
        <v>56</v>
      </c>
      <c r="G35" s="1551">
        <v>50</v>
      </c>
      <c r="H35" s="1551">
        <v>30</v>
      </c>
      <c r="I35" s="1551">
        <v>11</v>
      </c>
      <c r="J35" s="1551">
        <v>80</v>
      </c>
      <c r="K35" s="1551">
        <v>80</v>
      </c>
      <c r="L35" s="1551">
        <v>4</v>
      </c>
      <c r="M35" s="1551">
        <v>19</v>
      </c>
      <c r="N35" s="1551">
        <v>25</v>
      </c>
      <c r="O35" s="1551">
        <v>15</v>
      </c>
      <c r="P35" s="1551">
        <v>10</v>
      </c>
      <c r="Q35" s="1551">
        <v>10</v>
      </c>
      <c r="R35" s="1551">
        <v>50</v>
      </c>
      <c r="S35" s="1551">
        <v>25</v>
      </c>
      <c r="T35" s="1551">
        <v>5</v>
      </c>
      <c r="U35" s="1551">
        <v>137</v>
      </c>
      <c r="V35" s="1551">
        <v>100</v>
      </c>
      <c r="W35" s="1551">
        <v>100</v>
      </c>
      <c r="X35" s="1551">
        <v>100</v>
      </c>
      <c r="Y35" s="1551">
        <v>50</v>
      </c>
      <c r="Z35" s="1551">
        <v>150</v>
      </c>
      <c r="AA35" s="1551">
        <v>50</v>
      </c>
      <c r="AB35" s="1552">
        <v>0</v>
      </c>
      <c r="AC35" s="1545">
        <f t="shared" si="7"/>
        <v>3766</v>
      </c>
      <c r="AD35" s="1460"/>
      <c r="AE35" s="1553">
        <f t="shared" si="8"/>
        <v>10982.848666666667</v>
      </c>
      <c r="AF35" s="1553">
        <f t="shared" si="10"/>
        <v>11094.938310000001</v>
      </c>
      <c r="AG35" s="1554">
        <v>226.11566666666667</v>
      </c>
      <c r="AH35" s="1549">
        <f t="shared" si="11"/>
        <v>11321.053976666668</v>
      </c>
      <c r="AI35" s="1465"/>
      <c r="AJ35" s="1549">
        <f t="shared" si="9"/>
        <v>15087.053976666668</v>
      </c>
      <c r="AK35" s="1465"/>
      <c r="AL35" s="1460"/>
    </row>
    <row r="36" spans="1:38" ht="15.75">
      <c r="A36" s="1460"/>
      <c r="B36" s="1472" t="s">
        <v>1390</v>
      </c>
      <c r="C36" s="1550">
        <v>2541</v>
      </c>
      <c r="D36" s="1551">
        <v>50</v>
      </c>
      <c r="E36" s="1551">
        <v>18</v>
      </c>
      <c r="F36" s="1551">
        <v>56</v>
      </c>
      <c r="G36" s="1551">
        <v>50</v>
      </c>
      <c r="H36" s="1551">
        <v>30</v>
      </c>
      <c r="I36" s="1551">
        <v>11</v>
      </c>
      <c r="J36" s="1551">
        <v>80</v>
      </c>
      <c r="K36" s="1551">
        <v>80</v>
      </c>
      <c r="L36" s="1551">
        <v>4</v>
      </c>
      <c r="M36" s="1551">
        <v>19</v>
      </c>
      <c r="N36" s="1551">
        <v>25</v>
      </c>
      <c r="O36" s="1551">
        <v>15</v>
      </c>
      <c r="P36" s="1551">
        <v>10</v>
      </c>
      <c r="Q36" s="1551">
        <v>10</v>
      </c>
      <c r="R36" s="1551">
        <v>50</v>
      </c>
      <c r="S36" s="1551">
        <v>25</v>
      </c>
      <c r="T36" s="1551">
        <v>1</v>
      </c>
      <c r="U36" s="1551">
        <v>137</v>
      </c>
      <c r="V36" s="1551">
        <v>100</v>
      </c>
      <c r="W36" s="1551">
        <v>100</v>
      </c>
      <c r="X36" s="1551">
        <v>100</v>
      </c>
      <c r="Y36" s="1551">
        <v>50</v>
      </c>
      <c r="Z36" s="1551">
        <v>150</v>
      </c>
      <c r="AA36" s="1551">
        <v>50</v>
      </c>
      <c r="AB36" s="1552">
        <v>0</v>
      </c>
      <c r="AC36" s="1545">
        <f t="shared" si="7"/>
        <v>3762</v>
      </c>
      <c r="AD36" s="1460"/>
      <c r="AE36" s="1553">
        <f t="shared" si="8"/>
        <v>12229.281666666666</v>
      </c>
      <c r="AF36" s="1553">
        <f t="shared" si="10"/>
        <v>12353.299103333333</v>
      </c>
      <c r="AG36" s="1554">
        <v>172.46199999999999</v>
      </c>
      <c r="AH36" s="1549">
        <f t="shared" si="11"/>
        <v>12525.761103333332</v>
      </c>
      <c r="AI36" s="1465"/>
      <c r="AJ36" s="1549">
        <f t="shared" si="9"/>
        <v>16287.761103333332</v>
      </c>
      <c r="AK36" s="1465"/>
      <c r="AL36" s="1460"/>
    </row>
    <row r="37" spans="1:38" ht="15.75">
      <c r="A37" s="1460"/>
      <c r="B37" s="1472" t="s">
        <v>1232</v>
      </c>
      <c r="C37" s="1550">
        <v>2541</v>
      </c>
      <c r="D37" s="1551">
        <v>50</v>
      </c>
      <c r="E37" s="1551">
        <v>18</v>
      </c>
      <c r="F37" s="1551">
        <v>56</v>
      </c>
      <c r="G37" s="1551">
        <v>50</v>
      </c>
      <c r="H37" s="1551">
        <v>30</v>
      </c>
      <c r="I37" s="1551">
        <v>11</v>
      </c>
      <c r="J37" s="1551">
        <v>80</v>
      </c>
      <c r="K37" s="1551">
        <v>80</v>
      </c>
      <c r="L37" s="1551">
        <v>4</v>
      </c>
      <c r="M37" s="1551">
        <v>19</v>
      </c>
      <c r="N37" s="1551">
        <v>25</v>
      </c>
      <c r="O37" s="1551">
        <v>15</v>
      </c>
      <c r="P37" s="1551">
        <v>10</v>
      </c>
      <c r="Q37" s="1551">
        <v>10</v>
      </c>
      <c r="R37" s="1551">
        <v>50</v>
      </c>
      <c r="S37" s="1551">
        <v>25</v>
      </c>
      <c r="T37" s="1551">
        <v>1</v>
      </c>
      <c r="U37" s="1551">
        <v>137</v>
      </c>
      <c r="V37" s="1551">
        <v>100</v>
      </c>
      <c r="W37" s="1551">
        <v>100</v>
      </c>
      <c r="X37" s="1551">
        <v>100</v>
      </c>
      <c r="Y37" s="1551">
        <v>50</v>
      </c>
      <c r="Z37" s="1551">
        <v>150</v>
      </c>
      <c r="AA37" s="1551">
        <v>50</v>
      </c>
      <c r="AB37" s="1552">
        <v>0</v>
      </c>
      <c r="AC37" s="1545">
        <f t="shared" si="7"/>
        <v>3762</v>
      </c>
      <c r="AD37" s="1460"/>
      <c r="AE37" s="1553">
        <f t="shared" si="8"/>
        <v>12070.195333333333</v>
      </c>
      <c r="AF37" s="1553">
        <f t="shared" si="10"/>
        <v>12192.817613333333</v>
      </c>
      <c r="AG37" s="1554">
        <v>192.03266666666664</v>
      </c>
      <c r="AH37" s="1549">
        <f t="shared" si="11"/>
        <v>12384.850279999999</v>
      </c>
      <c r="AI37" s="1465"/>
      <c r="AJ37" s="1549">
        <f t="shared" si="9"/>
        <v>16146.850279999999</v>
      </c>
      <c r="AK37" s="1465"/>
      <c r="AL37" s="1460"/>
    </row>
    <row r="38" spans="1:38" ht="15.75">
      <c r="A38" s="1460"/>
      <c r="B38" s="1472" t="s">
        <v>1391</v>
      </c>
      <c r="C38" s="1550">
        <v>2541</v>
      </c>
      <c r="D38" s="1551">
        <v>50</v>
      </c>
      <c r="E38" s="1551">
        <v>18</v>
      </c>
      <c r="F38" s="1551">
        <v>56</v>
      </c>
      <c r="G38" s="1551">
        <v>50</v>
      </c>
      <c r="H38" s="1551">
        <v>30</v>
      </c>
      <c r="I38" s="1551">
        <v>11</v>
      </c>
      <c r="J38" s="1551">
        <v>80</v>
      </c>
      <c r="K38" s="1551">
        <v>80</v>
      </c>
      <c r="L38" s="1551">
        <v>4</v>
      </c>
      <c r="M38" s="1551">
        <v>19</v>
      </c>
      <c r="N38" s="1551">
        <v>25</v>
      </c>
      <c r="O38" s="1551">
        <v>15</v>
      </c>
      <c r="P38" s="1551">
        <v>10</v>
      </c>
      <c r="Q38" s="1551">
        <v>10</v>
      </c>
      <c r="R38" s="1551">
        <v>50</v>
      </c>
      <c r="S38" s="1551">
        <v>25</v>
      </c>
      <c r="T38" s="1551">
        <v>3</v>
      </c>
      <c r="U38" s="1551">
        <v>137</v>
      </c>
      <c r="V38" s="1551">
        <v>100</v>
      </c>
      <c r="W38" s="1551">
        <v>100</v>
      </c>
      <c r="X38" s="1551">
        <v>100</v>
      </c>
      <c r="Y38" s="1551">
        <v>50</v>
      </c>
      <c r="Z38" s="1551">
        <v>150</v>
      </c>
      <c r="AA38" s="1551">
        <v>50</v>
      </c>
      <c r="AB38" s="1552">
        <v>0</v>
      </c>
      <c r="AC38" s="1545">
        <f t="shared" si="7"/>
        <v>3764</v>
      </c>
      <c r="AD38" s="1460"/>
      <c r="AE38" s="1553">
        <f t="shared" si="8"/>
        <v>11008.465666666667</v>
      </c>
      <c r="AF38" s="1553">
        <f t="shared" si="10"/>
        <v>11120.674136666667</v>
      </c>
      <c r="AG38" s="1554">
        <v>212.38133333333334</v>
      </c>
      <c r="AH38" s="1549">
        <f t="shared" si="11"/>
        <v>11333.055469999999</v>
      </c>
      <c r="AI38" s="1465"/>
      <c r="AJ38" s="1549">
        <f t="shared" si="9"/>
        <v>15097.055469999999</v>
      </c>
      <c r="AK38" s="1465"/>
      <c r="AL38" s="1460"/>
    </row>
    <row r="39" spans="1:38" ht="15.75">
      <c r="A39" s="1460"/>
      <c r="B39" s="1472" t="s">
        <v>1234</v>
      </c>
      <c r="C39" s="1550">
        <v>2541</v>
      </c>
      <c r="D39" s="1551">
        <v>50</v>
      </c>
      <c r="E39" s="1551">
        <v>18</v>
      </c>
      <c r="F39" s="1551">
        <v>56</v>
      </c>
      <c r="G39" s="1551">
        <v>50</v>
      </c>
      <c r="H39" s="1551">
        <v>30</v>
      </c>
      <c r="I39" s="1551">
        <v>11</v>
      </c>
      <c r="J39" s="1551">
        <v>80</v>
      </c>
      <c r="K39" s="1551">
        <v>80</v>
      </c>
      <c r="L39" s="1551">
        <v>4</v>
      </c>
      <c r="M39" s="1551">
        <v>19</v>
      </c>
      <c r="N39" s="1551">
        <v>25</v>
      </c>
      <c r="O39" s="1551">
        <v>15</v>
      </c>
      <c r="P39" s="1551">
        <v>10</v>
      </c>
      <c r="Q39" s="1551">
        <v>10</v>
      </c>
      <c r="R39" s="1551">
        <v>50</v>
      </c>
      <c r="S39" s="1551">
        <v>25</v>
      </c>
      <c r="T39" s="1551">
        <v>5</v>
      </c>
      <c r="U39" s="1551">
        <v>137</v>
      </c>
      <c r="V39" s="1551">
        <v>100</v>
      </c>
      <c r="W39" s="1551">
        <v>100</v>
      </c>
      <c r="X39" s="1551">
        <v>100</v>
      </c>
      <c r="Y39" s="1551">
        <v>50</v>
      </c>
      <c r="Z39" s="1551">
        <v>150</v>
      </c>
      <c r="AA39" s="1551">
        <v>50</v>
      </c>
      <c r="AB39" s="1552">
        <v>0</v>
      </c>
      <c r="AC39" s="1545">
        <f t="shared" si="7"/>
        <v>3766</v>
      </c>
      <c r="AD39" s="1460"/>
      <c r="AE39" s="1553">
        <f t="shared" si="8"/>
        <v>8874.5650000000005</v>
      </c>
      <c r="AF39" s="1553">
        <f t="shared" si="10"/>
        <v>8965.2163733333346</v>
      </c>
      <c r="AG39" s="1554">
        <v>190.57233333333332</v>
      </c>
      <c r="AH39" s="1549">
        <f t="shared" si="11"/>
        <v>9155.7887066666681</v>
      </c>
      <c r="AI39" s="1465"/>
      <c r="AJ39" s="1549">
        <f t="shared" si="9"/>
        <v>12921.788706666668</v>
      </c>
      <c r="AK39" s="1465"/>
      <c r="AL39" s="1460"/>
    </row>
    <row r="40" spans="1:38" ht="15.75">
      <c r="A40" s="1460"/>
      <c r="B40" s="1472" t="s">
        <v>1235</v>
      </c>
      <c r="C40" s="1550">
        <v>2446</v>
      </c>
      <c r="D40" s="1551">
        <v>50</v>
      </c>
      <c r="E40" s="1551">
        <v>18</v>
      </c>
      <c r="F40" s="1551">
        <v>56</v>
      </c>
      <c r="G40" s="1551">
        <v>0</v>
      </c>
      <c r="H40" s="1551">
        <v>30</v>
      </c>
      <c r="I40" s="1551">
        <v>11</v>
      </c>
      <c r="J40" s="1551">
        <v>80</v>
      </c>
      <c r="K40" s="1551">
        <v>99</v>
      </c>
      <c r="L40" s="1551">
        <v>4</v>
      </c>
      <c r="M40" s="1551">
        <v>19</v>
      </c>
      <c r="N40" s="1551">
        <v>25</v>
      </c>
      <c r="O40" s="1551">
        <v>15</v>
      </c>
      <c r="P40" s="1551">
        <v>10</v>
      </c>
      <c r="Q40" s="1551">
        <v>10</v>
      </c>
      <c r="R40" s="1551">
        <v>50</v>
      </c>
      <c r="S40" s="1551">
        <v>25</v>
      </c>
      <c r="T40" s="1551">
        <v>5</v>
      </c>
      <c r="U40" s="1551">
        <v>131</v>
      </c>
      <c r="V40" s="1551">
        <v>100</v>
      </c>
      <c r="W40" s="1551">
        <v>100</v>
      </c>
      <c r="X40" s="1551">
        <v>100</v>
      </c>
      <c r="Y40" s="1551">
        <v>50</v>
      </c>
      <c r="Z40" s="1551">
        <v>150</v>
      </c>
      <c r="AA40" s="1551">
        <v>50</v>
      </c>
      <c r="AB40" s="1552">
        <v>40</v>
      </c>
      <c r="AC40" s="1545">
        <f t="shared" si="7"/>
        <v>3674</v>
      </c>
      <c r="AD40" s="1460"/>
      <c r="AE40" s="1553">
        <f t="shared" si="8"/>
        <v>9132.6903333333339</v>
      </c>
      <c r="AF40" s="1553">
        <f t="shared" si="10"/>
        <v>9226.6482799999994</v>
      </c>
      <c r="AG40" s="1554">
        <v>263.10433333333333</v>
      </c>
      <c r="AH40" s="1549">
        <f t="shared" si="11"/>
        <v>9489.7526133333322</v>
      </c>
      <c r="AI40" s="1465"/>
      <c r="AJ40" s="1549">
        <f t="shared" si="9"/>
        <v>13163.752613333332</v>
      </c>
      <c r="AK40" s="1465"/>
      <c r="AL40" s="1460"/>
    </row>
    <row r="41" spans="1:38" ht="16.5" thickBot="1">
      <c r="A41" s="1460"/>
      <c r="B41" s="1472" t="s">
        <v>1236</v>
      </c>
      <c r="C41" s="1555">
        <v>2446</v>
      </c>
      <c r="D41" s="1556">
        <v>50</v>
      </c>
      <c r="E41" s="1556">
        <v>18</v>
      </c>
      <c r="F41" s="1556">
        <v>56</v>
      </c>
      <c r="G41" s="1556">
        <v>0</v>
      </c>
      <c r="H41" s="1556">
        <v>30</v>
      </c>
      <c r="I41" s="1556">
        <v>11</v>
      </c>
      <c r="J41" s="1556">
        <v>80</v>
      </c>
      <c r="K41" s="1556">
        <v>99</v>
      </c>
      <c r="L41" s="1556">
        <v>4</v>
      </c>
      <c r="M41" s="1556">
        <v>19</v>
      </c>
      <c r="N41" s="1556">
        <v>25</v>
      </c>
      <c r="O41" s="1556">
        <v>15</v>
      </c>
      <c r="P41" s="1556">
        <v>10</v>
      </c>
      <c r="Q41" s="1556">
        <v>10</v>
      </c>
      <c r="R41" s="1556">
        <v>50</v>
      </c>
      <c r="S41" s="1556">
        <v>25</v>
      </c>
      <c r="T41" s="1556">
        <v>5</v>
      </c>
      <c r="U41" s="1556">
        <v>131</v>
      </c>
      <c r="V41" s="1556">
        <v>100</v>
      </c>
      <c r="W41" s="1556">
        <v>100</v>
      </c>
      <c r="X41" s="1556">
        <v>100</v>
      </c>
      <c r="Y41" s="1556">
        <v>50</v>
      </c>
      <c r="Z41" s="1556">
        <v>150</v>
      </c>
      <c r="AA41" s="1556">
        <v>50</v>
      </c>
      <c r="AB41" s="1557">
        <v>40</v>
      </c>
      <c r="AC41" s="1545">
        <f t="shared" si="7"/>
        <v>3674</v>
      </c>
      <c r="AD41" s="1460"/>
      <c r="AE41" s="1558">
        <f t="shared" si="8"/>
        <v>9791.9063333333343</v>
      </c>
      <c r="AF41" s="1558">
        <f t="shared" si="10"/>
        <v>9892.1633300000012</v>
      </c>
      <c r="AG41" s="1559">
        <v>233.79333333333332</v>
      </c>
      <c r="AH41" s="1560">
        <f t="shared" si="11"/>
        <v>10125.956663333334</v>
      </c>
      <c r="AI41" s="1465"/>
      <c r="AJ41" s="1549">
        <f t="shared" si="9"/>
        <v>13799.956663333334</v>
      </c>
      <c r="AK41" s="1465"/>
      <c r="AL41" s="1460"/>
    </row>
    <row r="42" spans="1:38" ht="16.5" thickBot="1">
      <c r="A42" s="1460"/>
      <c r="B42" s="1490" t="s">
        <v>115</v>
      </c>
      <c r="C42" s="1561">
        <f t="shared" ref="C42:M42" si="12">SUM(C30:C41)</f>
        <v>29827</v>
      </c>
      <c r="D42" s="1562">
        <f t="shared" si="12"/>
        <v>600</v>
      </c>
      <c r="E42" s="1562">
        <f t="shared" si="12"/>
        <v>216</v>
      </c>
      <c r="F42" s="1562">
        <f t="shared" si="12"/>
        <v>672</v>
      </c>
      <c r="G42" s="1562">
        <f t="shared" si="12"/>
        <v>250</v>
      </c>
      <c r="H42" s="1562">
        <f t="shared" si="12"/>
        <v>360</v>
      </c>
      <c r="I42" s="1562">
        <f t="shared" si="12"/>
        <v>132</v>
      </c>
      <c r="J42" s="1562">
        <f t="shared" si="12"/>
        <v>960</v>
      </c>
      <c r="K42" s="1562">
        <f t="shared" si="12"/>
        <v>1093</v>
      </c>
      <c r="L42" s="1562">
        <f t="shared" si="12"/>
        <v>48</v>
      </c>
      <c r="M42" s="1562">
        <f t="shared" si="12"/>
        <v>228</v>
      </c>
      <c r="N42" s="1562">
        <f t="shared" ref="N42:AC42" si="13">SUM(N30:N41)</f>
        <v>300</v>
      </c>
      <c r="O42" s="1562">
        <f t="shared" si="13"/>
        <v>180</v>
      </c>
      <c r="P42" s="1562">
        <f t="shared" si="13"/>
        <v>120</v>
      </c>
      <c r="Q42" s="1562">
        <f>SUM(Q30:Q41)</f>
        <v>120</v>
      </c>
      <c r="R42" s="1562">
        <f>SUM(R30:R41)</f>
        <v>600</v>
      </c>
      <c r="S42" s="1562">
        <f>SUM(S30:S41)</f>
        <v>300</v>
      </c>
      <c r="T42" s="1562">
        <f t="shared" si="13"/>
        <v>50</v>
      </c>
      <c r="U42" s="1562">
        <f t="shared" si="13"/>
        <v>1602</v>
      </c>
      <c r="V42" s="1562">
        <f t="shared" si="13"/>
        <v>1200</v>
      </c>
      <c r="W42" s="1562">
        <f t="shared" si="13"/>
        <v>1200</v>
      </c>
      <c r="X42" s="1562">
        <f t="shared" si="13"/>
        <v>1200</v>
      </c>
      <c r="Y42" s="1562">
        <f t="shared" si="13"/>
        <v>600</v>
      </c>
      <c r="Z42" s="1562">
        <f t="shared" si="13"/>
        <v>1800</v>
      </c>
      <c r="AA42" s="1562">
        <f t="shared" ref="AA42:AB42" si="14">SUM(AA30:AA41)</f>
        <v>600</v>
      </c>
      <c r="AB42" s="1562">
        <f t="shared" si="14"/>
        <v>80</v>
      </c>
      <c r="AC42" s="1563">
        <f t="shared" si="13"/>
        <v>44338</v>
      </c>
      <c r="AD42" s="1460"/>
      <c r="AE42" s="1517">
        <f>SUM(AE30:AE41)</f>
        <v>120455.34366666667</v>
      </c>
      <c r="AF42" s="1517">
        <f>SUM(AF30:AF41)</f>
        <v>121685.61692333332</v>
      </c>
      <c r="AG42" s="1517">
        <f>SUM(AG30:AG41)</f>
        <v>2571.982</v>
      </c>
      <c r="AH42" s="1517">
        <f>SUM(AH30:AH41)</f>
        <v>124257.59892333334</v>
      </c>
      <c r="AI42" s="1465"/>
      <c r="AJ42" s="1517">
        <f>SUM(AJ30:AJ41)</f>
        <v>168595.59892333337</v>
      </c>
      <c r="AK42" s="1465"/>
      <c r="AL42" s="1460"/>
    </row>
    <row r="43" spans="1:38" ht="16.5" thickBot="1">
      <c r="A43" s="1460"/>
      <c r="B43" s="1515" t="s">
        <v>1392</v>
      </c>
      <c r="C43" s="1524">
        <f t="shared" ref="C43:AC43" si="15">+C42/12</f>
        <v>2485.5833333333335</v>
      </c>
      <c r="D43" s="1525">
        <f t="shared" si="15"/>
        <v>50</v>
      </c>
      <c r="E43" s="1525">
        <f t="shared" si="15"/>
        <v>18</v>
      </c>
      <c r="F43" s="1525">
        <f t="shared" si="15"/>
        <v>56</v>
      </c>
      <c r="G43" s="1525">
        <f t="shared" si="15"/>
        <v>20.833333333333332</v>
      </c>
      <c r="H43" s="1525">
        <f t="shared" si="15"/>
        <v>30</v>
      </c>
      <c r="I43" s="1525">
        <f t="shared" si="15"/>
        <v>11</v>
      </c>
      <c r="J43" s="1525">
        <f t="shared" si="15"/>
        <v>80</v>
      </c>
      <c r="K43" s="1525">
        <f t="shared" si="15"/>
        <v>91.083333333333329</v>
      </c>
      <c r="L43" s="1525">
        <f t="shared" si="15"/>
        <v>4</v>
      </c>
      <c r="M43" s="1525">
        <f t="shared" si="15"/>
        <v>19</v>
      </c>
      <c r="N43" s="1525">
        <f t="shared" si="15"/>
        <v>25</v>
      </c>
      <c r="O43" s="1525">
        <f t="shared" si="15"/>
        <v>15</v>
      </c>
      <c r="P43" s="1525">
        <f t="shared" si="15"/>
        <v>10</v>
      </c>
      <c r="Q43" s="1525">
        <f>+Q42/12</f>
        <v>10</v>
      </c>
      <c r="R43" s="1525">
        <f>+R42/12</f>
        <v>50</v>
      </c>
      <c r="S43" s="1525">
        <f>+S42/12</f>
        <v>25</v>
      </c>
      <c r="T43" s="1525">
        <f t="shared" si="15"/>
        <v>4.166666666666667</v>
      </c>
      <c r="U43" s="1525">
        <f t="shared" si="15"/>
        <v>133.5</v>
      </c>
      <c r="V43" s="1525">
        <f t="shared" si="15"/>
        <v>100</v>
      </c>
      <c r="W43" s="1525">
        <f t="shared" si="15"/>
        <v>100</v>
      </c>
      <c r="X43" s="1525">
        <f t="shared" si="15"/>
        <v>100</v>
      </c>
      <c r="Y43" s="1525">
        <f t="shared" si="15"/>
        <v>50</v>
      </c>
      <c r="Z43" s="1525">
        <f t="shared" si="15"/>
        <v>150</v>
      </c>
      <c r="AA43" s="1525">
        <f t="shared" ref="AA43:AB43" si="16">+AA42/12</f>
        <v>50</v>
      </c>
      <c r="AB43" s="1525">
        <f t="shared" si="16"/>
        <v>6.666666666666667</v>
      </c>
      <c r="AC43" s="1564">
        <f t="shared" si="15"/>
        <v>3694.8333333333335</v>
      </c>
      <c r="AD43" s="1460"/>
      <c r="AE43" s="1522">
        <f>+AE42/12</f>
        <v>10037.945305555555</v>
      </c>
      <c r="AF43" s="1522">
        <f>+AF42/12</f>
        <v>10140.468076944444</v>
      </c>
      <c r="AG43" s="1522">
        <f>+AG42/12</f>
        <v>214.33183333333332</v>
      </c>
      <c r="AH43" s="1522">
        <f>+AH42/12</f>
        <v>10354.799910277778</v>
      </c>
      <c r="AI43" s="1465"/>
      <c r="AJ43" s="1522">
        <f>+AJ42/12</f>
        <v>14049.633243611113</v>
      </c>
      <c r="AK43" s="1465"/>
      <c r="AL43" s="1460"/>
    </row>
    <row r="44" spans="1:38" ht="15.75">
      <c r="A44" s="1460"/>
      <c r="B44" s="1460"/>
      <c r="C44" s="1460"/>
      <c r="D44" s="1460"/>
      <c r="E44" s="1460"/>
      <c r="F44" s="1460"/>
      <c r="G44" s="1460"/>
      <c r="H44" s="1460"/>
      <c r="I44" s="1460"/>
      <c r="J44" s="1460"/>
      <c r="K44" s="1460"/>
      <c r="L44" s="1460"/>
      <c r="M44" s="1460"/>
      <c r="N44" s="1460"/>
      <c r="O44" s="1460"/>
      <c r="P44" s="1460"/>
      <c r="Q44" s="1460"/>
      <c r="R44" s="1460"/>
      <c r="S44" s="1460"/>
      <c r="T44" s="1460"/>
      <c r="U44" s="1460"/>
      <c r="V44" s="1460"/>
      <c r="W44" s="1460"/>
      <c r="X44" s="1465"/>
      <c r="Y44" s="1460"/>
      <c r="Z44" s="1460"/>
      <c r="AA44" s="1460"/>
      <c r="AB44" s="1460"/>
      <c r="AC44" s="1460"/>
      <c r="AD44" s="1460"/>
      <c r="AE44" s="1460"/>
      <c r="AF44" s="1460"/>
      <c r="AG44" s="1460"/>
      <c r="AH44" s="1460"/>
    </row>
    <row r="45" spans="1:38" ht="15.75">
      <c r="A45" s="1460"/>
      <c r="B45" s="1460"/>
      <c r="C45" s="1520"/>
      <c r="D45" s="1520"/>
      <c r="E45" s="1520"/>
      <c r="F45" s="1520"/>
      <c r="G45" s="1520"/>
      <c r="H45" s="1520"/>
      <c r="I45" s="1520"/>
      <c r="J45" s="1520"/>
      <c r="K45" s="1520"/>
      <c r="L45" s="1520"/>
      <c r="M45" s="1520"/>
      <c r="N45" s="1520"/>
      <c r="O45" s="1520"/>
      <c r="P45" s="1520"/>
      <c r="Q45" s="1520"/>
      <c r="R45" s="1520"/>
      <c r="S45" s="1520"/>
      <c r="T45" s="1520"/>
      <c r="U45" s="1520"/>
      <c r="V45" s="1520"/>
      <c r="W45" s="1520"/>
      <c r="X45" s="1520"/>
      <c r="Y45" s="1520"/>
      <c r="Z45" s="1520"/>
      <c r="AA45" s="1520"/>
      <c r="AB45" s="1520"/>
      <c r="AC45" s="1460"/>
      <c r="AD45" s="1460"/>
      <c r="AE45" s="1460"/>
      <c r="AF45" s="1460"/>
      <c r="AG45" s="1460"/>
      <c r="AH45" s="1460"/>
      <c r="AI45" s="1460"/>
    </row>
    <row r="46" spans="1:38" ht="15.75">
      <c r="A46" s="1460"/>
      <c r="B46" s="1460"/>
      <c r="C46" s="1460"/>
      <c r="D46" s="1460"/>
      <c r="E46" s="1460"/>
      <c r="F46" s="1460"/>
      <c r="G46" s="1460"/>
      <c r="H46" s="1460"/>
      <c r="I46" s="1460"/>
      <c r="J46" s="1460"/>
      <c r="K46" s="1460"/>
      <c r="L46" s="1460"/>
      <c r="M46" s="1460"/>
      <c r="N46" s="1460"/>
      <c r="O46" s="1460"/>
      <c r="P46" s="1565"/>
      <c r="Q46" s="1460"/>
      <c r="R46" s="1460"/>
      <c r="S46" s="1460"/>
      <c r="T46" s="1460"/>
      <c r="U46" s="1460"/>
      <c r="V46" s="1460"/>
      <c r="W46" s="1460"/>
      <c r="X46" s="1465"/>
      <c r="Y46" s="1460"/>
      <c r="Z46" s="1460"/>
      <c r="AA46" s="1460"/>
      <c r="AB46" s="1460"/>
      <c r="AC46" s="1460"/>
      <c r="AD46" s="1460"/>
      <c r="AE46" s="1460"/>
      <c r="AF46" s="1460"/>
      <c r="AG46" s="1460"/>
      <c r="AH46" s="1460"/>
      <c r="AI46" s="2206"/>
    </row>
    <row r="47" spans="1:38" ht="15.75">
      <c r="A47" s="1460"/>
      <c r="B47" s="1460"/>
      <c r="C47" s="1460"/>
      <c r="D47" s="1460"/>
      <c r="E47" s="1460"/>
      <c r="F47" s="1460"/>
      <c r="G47" s="1460"/>
      <c r="H47" s="1460"/>
      <c r="I47" s="1460"/>
      <c r="J47" s="1460"/>
      <c r="K47" s="1460"/>
      <c r="L47" s="1460"/>
      <c r="M47" s="1460"/>
      <c r="N47" s="1460"/>
      <c r="O47" s="1460"/>
      <c r="P47" s="1460"/>
      <c r="Q47" s="1460"/>
      <c r="R47" s="1460"/>
      <c r="S47" s="1460"/>
      <c r="T47" s="1460"/>
      <c r="U47" s="1460"/>
      <c r="V47" s="1460"/>
      <c r="W47" s="1460"/>
      <c r="X47" s="1465"/>
      <c r="Y47" s="1460"/>
      <c r="Z47" s="1460"/>
      <c r="AA47" s="1460"/>
      <c r="AB47" s="1460"/>
      <c r="AC47" s="1460"/>
      <c r="AD47" s="1460"/>
      <c r="AE47" s="1460"/>
      <c r="AF47" s="1460"/>
      <c r="AG47" s="1460"/>
      <c r="AH47" s="1460"/>
    </row>
    <row r="48" spans="1:38" ht="15.75">
      <c r="A48" s="1460"/>
      <c r="B48" s="1460"/>
      <c r="C48" s="1460"/>
      <c r="D48" s="1460"/>
      <c r="E48" s="1460"/>
      <c r="F48" s="1460"/>
      <c r="G48" s="1460"/>
      <c r="H48" s="1460"/>
      <c r="I48" s="1460"/>
      <c r="J48" s="1460"/>
      <c r="K48" s="1460"/>
      <c r="L48" s="1460"/>
      <c r="M48" s="1460"/>
      <c r="N48" s="1460"/>
      <c r="O48" s="1460"/>
      <c r="P48" s="1520"/>
      <c r="Q48" s="1460"/>
      <c r="R48" s="1460"/>
      <c r="S48" s="1460"/>
      <c r="T48" s="1460"/>
      <c r="U48" s="1460"/>
      <c r="V48" s="1460"/>
      <c r="W48" s="1460"/>
      <c r="X48" s="1465"/>
      <c r="Y48" s="1460"/>
      <c r="Z48" s="1460"/>
      <c r="AA48" s="1460"/>
      <c r="AB48" s="1460"/>
      <c r="AC48" s="1460"/>
      <c r="AD48" s="1460"/>
      <c r="AE48" s="1460"/>
      <c r="AF48" s="1460"/>
      <c r="AG48" s="1460"/>
      <c r="AH48" s="1460"/>
    </row>
    <row r="49" spans="1:34" ht="15.75">
      <c r="A49" s="1460"/>
      <c r="B49" s="1460"/>
      <c r="C49" s="1460"/>
      <c r="D49" s="1460"/>
      <c r="E49" s="1460"/>
      <c r="F49" s="1460"/>
      <c r="G49" s="1460"/>
      <c r="H49" s="1460"/>
      <c r="I49" s="1460"/>
      <c r="J49" s="1460"/>
      <c r="K49" s="1460"/>
      <c r="L49" s="1460"/>
      <c r="M49" s="1460"/>
      <c r="N49" s="1460"/>
      <c r="O49" s="1460"/>
      <c r="P49" s="1566"/>
      <c r="Q49" s="1460"/>
      <c r="R49" s="1460"/>
      <c r="S49" s="1460"/>
      <c r="T49" s="1460"/>
      <c r="U49" s="1460"/>
      <c r="V49" s="1460"/>
      <c r="W49" s="1460"/>
      <c r="X49" s="1465"/>
      <c r="Y49" s="1460"/>
      <c r="Z49" s="1460"/>
      <c r="AA49" s="1460"/>
      <c r="AB49" s="1460"/>
      <c r="AC49" s="1460"/>
      <c r="AD49" s="1460"/>
      <c r="AE49" s="1460"/>
      <c r="AF49" s="1460"/>
      <c r="AG49" s="1460"/>
      <c r="AH49" s="1460"/>
    </row>
    <row r="50" spans="1:34" ht="15.75">
      <c r="A50" s="1460"/>
      <c r="B50" s="1460"/>
      <c r="C50" s="1460"/>
      <c r="D50" s="1460"/>
      <c r="E50" s="1460"/>
      <c r="F50" s="1460"/>
      <c r="G50" s="1460"/>
      <c r="H50" s="1460"/>
      <c r="I50" s="1460"/>
      <c r="J50" s="1460"/>
      <c r="K50" s="1460"/>
      <c r="L50" s="1460"/>
      <c r="M50" s="1460"/>
      <c r="N50" s="1460"/>
      <c r="O50" s="1460"/>
      <c r="P50" s="1460"/>
      <c r="Q50" s="1460"/>
      <c r="R50" s="1460"/>
      <c r="S50" s="1460"/>
      <c r="T50" s="1460"/>
      <c r="U50" s="1460"/>
      <c r="V50" s="1460"/>
      <c r="W50" s="1460"/>
      <c r="X50" s="1465"/>
      <c r="Y50" s="1460"/>
      <c r="Z50" s="1460"/>
      <c r="AA50" s="1460"/>
      <c r="AB50" s="1460"/>
      <c r="AC50" s="1460"/>
      <c r="AD50" s="1460"/>
      <c r="AE50" s="1460"/>
      <c r="AF50" s="1460"/>
      <c r="AG50" s="1460"/>
      <c r="AH50" s="1460"/>
    </row>
    <row r="51" spans="1:34" ht="15.75">
      <c r="A51" s="1460"/>
      <c r="B51" s="1460"/>
      <c r="C51" s="1460"/>
      <c r="D51" s="1460"/>
      <c r="E51" s="1460"/>
      <c r="F51" s="1460"/>
      <c r="G51" s="1460"/>
      <c r="H51" s="1460"/>
      <c r="I51" s="1460"/>
      <c r="J51" s="1460"/>
      <c r="K51" s="1460"/>
      <c r="L51" s="1460"/>
      <c r="M51" s="1460"/>
      <c r="N51" s="1460"/>
      <c r="O51" s="1460"/>
      <c r="P51" s="1460"/>
      <c r="Q51" s="1460"/>
      <c r="R51" s="1460"/>
      <c r="S51" s="1460"/>
      <c r="T51" s="1460"/>
      <c r="U51" s="1460"/>
      <c r="V51" s="1460"/>
      <c r="W51" s="1460"/>
      <c r="X51" s="1465"/>
      <c r="Y51" s="1460"/>
      <c r="Z51" s="1460"/>
      <c r="AA51" s="1460"/>
      <c r="AB51" s="1460"/>
      <c r="AC51" s="1460"/>
      <c r="AD51" s="1460"/>
      <c r="AE51" s="1460"/>
      <c r="AF51" s="1460"/>
      <c r="AG51" s="1460"/>
      <c r="AH51" s="1460"/>
    </row>
    <row r="52" spans="1:34" ht="15.75">
      <c r="A52" s="1460"/>
      <c r="B52" s="1460"/>
      <c r="C52" s="1460"/>
      <c r="D52" s="1460"/>
      <c r="E52" s="1460"/>
      <c r="F52" s="1460"/>
      <c r="G52" s="1460"/>
      <c r="H52" s="1460"/>
      <c r="I52" s="1460"/>
      <c r="J52" s="1460"/>
      <c r="K52" s="1460"/>
      <c r="L52" s="1460"/>
      <c r="M52" s="1460"/>
      <c r="N52" s="1460"/>
      <c r="O52" s="1460"/>
      <c r="P52" s="1460"/>
      <c r="Q52" s="1460"/>
      <c r="R52" s="1460"/>
      <c r="S52" s="1460"/>
      <c r="T52" s="1460"/>
      <c r="U52" s="1460"/>
      <c r="V52" s="1460"/>
      <c r="W52" s="1460"/>
      <c r="X52" s="1465"/>
      <c r="Y52" s="1460"/>
      <c r="Z52" s="1460"/>
      <c r="AA52" s="1460"/>
      <c r="AB52" s="1460"/>
      <c r="AC52" s="1460"/>
      <c r="AD52" s="1460"/>
      <c r="AE52" s="1460"/>
      <c r="AF52" s="1460"/>
      <c r="AG52" s="1460"/>
      <c r="AH52" s="1460"/>
    </row>
    <row r="53" spans="1:34" ht="15.75">
      <c r="A53" s="1460"/>
      <c r="B53" s="1460"/>
      <c r="C53" s="1460"/>
      <c r="D53" s="1460"/>
      <c r="E53" s="1460"/>
      <c r="F53" s="1460"/>
      <c r="G53" s="1460"/>
      <c r="H53" s="1460"/>
      <c r="I53" s="1460"/>
      <c r="J53" s="1460"/>
      <c r="K53" s="1460"/>
      <c r="L53" s="1460"/>
      <c r="M53" s="1460"/>
      <c r="N53" s="1460"/>
      <c r="O53" s="1460"/>
      <c r="P53" s="1460"/>
      <c r="Q53" s="1460"/>
      <c r="R53" s="1460"/>
      <c r="S53" s="1460"/>
      <c r="T53" s="1460"/>
      <c r="U53" s="1460"/>
      <c r="V53" s="1460"/>
      <c r="W53" s="1460"/>
      <c r="X53" s="1465"/>
      <c r="Y53" s="1460"/>
      <c r="Z53" s="1460"/>
      <c r="AA53" s="1460"/>
      <c r="AB53" s="1460"/>
      <c r="AC53" s="1460"/>
      <c r="AD53" s="1460"/>
      <c r="AE53" s="1460"/>
      <c r="AF53" s="1460"/>
      <c r="AG53" s="1460"/>
      <c r="AH53" s="1460"/>
    </row>
    <row r="54" spans="1:34" ht="15.75">
      <c r="A54" s="1460"/>
      <c r="B54" s="1460"/>
      <c r="C54" s="1460"/>
      <c r="D54" s="1460"/>
      <c r="E54" s="1460"/>
      <c r="F54" s="1460"/>
      <c r="G54" s="1460"/>
      <c r="H54" s="1460"/>
      <c r="I54" s="1460"/>
      <c r="J54" s="1460"/>
      <c r="K54" s="1460"/>
      <c r="L54" s="1460"/>
      <c r="M54" s="1460"/>
      <c r="N54" s="1460"/>
      <c r="O54" s="1460"/>
      <c r="P54" s="1460"/>
      <c r="Q54" s="1460"/>
      <c r="R54" s="1460"/>
      <c r="S54" s="1460"/>
      <c r="T54" s="1460"/>
      <c r="U54" s="1460"/>
      <c r="V54" s="1460"/>
      <c r="W54" s="1460"/>
      <c r="X54" s="1465"/>
      <c r="Y54" s="1460"/>
      <c r="Z54" s="1460"/>
      <c r="AA54" s="1460"/>
      <c r="AB54" s="1460"/>
      <c r="AC54" s="1460"/>
      <c r="AD54" s="1460"/>
      <c r="AE54" s="1460"/>
      <c r="AF54" s="1460"/>
      <c r="AG54" s="1460"/>
      <c r="AH54" s="1460"/>
    </row>
    <row r="55" spans="1:34" ht="15.75">
      <c r="A55" s="1460"/>
      <c r="B55" s="1460"/>
      <c r="C55" s="1460"/>
      <c r="D55" s="1460"/>
      <c r="E55" s="1460"/>
      <c r="F55" s="1460"/>
      <c r="G55" s="1460"/>
      <c r="H55" s="1460"/>
      <c r="I55" s="1460"/>
      <c r="J55" s="1460"/>
      <c r="K55" s="1460"/>
      <c r="L55" s="1460"/>
      <c r="M55" s="1460"/>
      <c r="N55" s="1460"/>
      <c r="O55" s="1460"/>
      <c r="P55" s="1460"/>
      <c r="Q55" s="1460"/>
      <c r="R55" s="1460"/>
      <c r="S55" s="1460"/>
      <c r="T55" s="1460"/>
      <c r="U55" s="1460"/>
      <c r="V55" s="1460"/>
      <c r="W55" s="1460"/>
      <c r="X55" s="1465"/>
      <c r="Y55" s="1460"/>
      <c r="Z55" s="1460"/>
      <c r="AA55" s="1460"/>
      <c r="AB55" s="1460"/>
      <c r="AC55" s="1460"/>
      <c r="AD55" s="1460"/>
      <c r="AE55" s="1460"/>
      <c r="AF55" s="1460"/>
      <c r="AG55" s="1460"/>
      <c r="AH55" s="1460"/>
    </row>
    <row r="56" spans="1:34" ht="15.75">
      <c r="A56" s="1460"/>
      <c r="B56" s="1460"/>
      <c r="C56" s="1460"/>
      <c r="D56" s="1460"/>
      <c r="E56" s="1460"/>
      <c r="F56" s="1460"/>
      <c r="G56" s="1460"/>
      <c r="H56" s="1460"/>
      <c r="I56" s="1460"/>
      <c r="J56" s="1460"/>
      <c r="K56" s="1460"/>
      <c r="L56" s="1460"/>
      <c r="M56" s="1460"/>
      <c r="N56" s="1460"/>
      <c r="O56" s="1460"/>
      <c r="P56" s="1460"/>
      <c r="Q56" s="1460"/>
      <c r="R56" s="1460"/>
      <c r="S56" s="1460"/>
      <c r="T56" s="1460"/>
      <c r="U56" s="1460"/>
      <c r="V56" s="1460"/>
      <c r="W56" s="1460"/>
      <c r="X56" s="1465"/>
      <c r="Y56" s="1460"/>
      <c r="Z56" s="1460"/>
      <c r="AA56" s="1460"/>
      <c r="AB56" s="1460"/>
      <c r="AC56" s="1460"/>
      <c r="AD56" s="1460"/>
      <c r="AE56" s="1460"/>
      <c r="AF56" s="1460"/>
      <c r="AG56" s="1460"/>
      <c r="AH56" s="1460"/>
    </row>
    <row r="57" spans="1:34" ht="15.75">
      <c r="A57" s="1460"/>
      <c r="B57" s="1460"/>
      <c r="C57" s="1460"/>
      <c r="D57" s="1460"/>
      <c r="E57" s="1460"/>
      <c r="F57" s="1460"/>
      <c r="G57" s="1460"/>
      <c r="H57" s="1460"/>
      <c r="I57" s="1460"/>
      <c r="J57" s="1460"/>
      <c r="K57" s="1460"/>
      <c r="L57" s="1460"/>
      <c r="M57" s="1460"/>
      <c r="N57" s="1460"/>
      <c r="O57" s="1460"/>
      <c r="P57" s="1460"/>
      <c r="Q57" s="1460"/>
      <c r="R57" s="1460"/>
      <c r="S57" s="1460"/>
      <c r="T57" s="1460"/>
      <c r="U57" s="1460"/>
      <c r="V57" s="1460"/>
      <c r="W57" s="1460"/>
      <c r="X57" s="1465"/>
      <c r="Y57" s="1460"/>
      <c r="Z57" s="1460"/>
      <c r="AA57" s="1460"/>
      <c r="AB57" s="1460"/>
      <c r="AC57" s="1460"/>
      <c r="AD57" s="1460"/>
      <c r="AE57" s="1460"/>
      <c r="AF57" s="1460"/>
      <c r="AG57" s="1460"/>
      <c r="AH57" s="1460"/>
    </row>
    <row r="58" spans="1:34" ht="15.75">
      <c r="A58" s="1460"/>
      <c r="B58" s="1460"/>
      <c r="C58" s="1460"/>
      <c r="D58" s="1460"/>
      <c r="E58" s="1460"/>
      <c r="F58" s="1460"/>
      <c r="G58" s="1460"/>
      <c r="H58" s="1460"/>
      <c r="I58" s="1460"/>
      <c r="J58" s="1460"/>
      <c r="K58" s="1460"/>
      <c r="L58" s="1460"/>
      <c r="M58" s="1460"/>
      <c r="N58" s="1460"/>
      <c r="O58" s="1460"/>
      <c r="P58" s="1460"/>
      <c r="Q58" s="1460"/>
      <c r="R58" s="1460"/>
      <c r="S58" s="1460"/>
      <c r="T58" s="1460"/>
      <c r="U58" s="1460"/>
      <c r="V58" s="1460"/>
      <c r="W58" s="1460"/>
      <c r="X58" s="1465"/>
      <c r="Y58" s="1460"/>
      <c r="Z58" s="1460"/>
      <c r="AA58" s="1460"/>
      <c r="AB58" s="1460"/>
      <c r="AC58" s="1460"/>
      <c r="AD58" s="1460"/>
      <c r="AE58" s="1460"/>
      <c r="AF58" s="1460"/>
      <c r="AG58" s="1460"/>
      <c r="AH58" s="1460"/>
    </row>
    <row r="59" spans="1:34" ht="15.75">
      <c r="A59" s="1460"/>
      <c r="B59" s="1460"/>
      <c r="C59" s="1460"/>
      <c r="D59" s="1460"/>
      <c r="E59" s="1460"/>
      <c r="F59" s="1460"/>
      <c r="G59" s="1460"/>
      <c r="H59" s="1460"/>
      <c r="I59" s="1460"/>
      <c r="J59" s="1460"/>
      <c r="K59" s="1460"/>
      <c r="L59" s="1460"/>
      <c r="M59" s="1460"/>
      <c r="N59" s="1460"/>
      <c r="O59" s="1460"/>
      <c r="P59" s="1460"/>
      <c r="Q59" s="1460"/>
      <c r="R59" s="1460"/>
      <c r="S59" s="1460"/>
      <c r="T59" s="1460"/>
      <c r="U59" s="1460"/>
      <c r="V59" s="1460"/>
      <c r="W59" s="1460"/>
      <c r="X59" s="1465"/>
      <c r="Y59" s="1460"/>
      <c r="Z59" s="1460"/>
      <c r="AA59" s="1460"/>
      <c r="AB59" s="1460"/>
      <c r="AC59" s="1460"/>
      <c r="AD59" s="1460"/>
      <c r="AE59" s="1460"/>
      <c r="AF59" s="1460"/>
      <c r="AG59" s="1460"/>
      <c r="AH59" s="1460"/>
    </row>
    <row r="60" spans="1:34" ht="15.75">
      <c r="A60" s="1460"/>
      <c r="B60" s="1460"/>
      <c r="C60" s="1460"/>
      <c r="D60" s="1460"/>
      <c r="E60" s="1460"/>
      <c r="F60" s="1460"/>
      <c r="G60" s="1460"/>
      <c r="H60" s="1460"/>
      <c r="I60" s="1460"/>
      <c r="J60" s="1460"/>
      <c r="K60" s="1460"/>
      <c r="L60" s="1460"/>
      <c r="M60" s="1460"/>
      <c r="N60" s="1460"/>
      <c r="O60" s="1460"/>
      <c r="P60" s="1460"/>
      <c r="Q60" s="1460"/>
      <c r="R60" s="1460"/>
      <c r="S60" s="1460"/>
      <c r="T60" s="1460"/>
      <c r="U60" s="1460"/>
      <c r="V60" s="1460"/>
      <c r="W60" s="1460"/>
      <c r="X60" s="1465"/>
      <c r="Y60" s="1460"/>
      <c r="Z60" s="1460"/>
      <c r="AA60" s="1460"/>
      <c r="AB60" s="1460"/>
      <c r="AC60" s="1460"/>
      <c r="AD60" s="1460"/>
      <c r="AE60" s="1460"/>
      <c r="AF60" s="1460"/>
      <c r="AG60" s="1460"/>
      <c r="AH60" s="1460"/>
    </row>
    <row r="61" spans="1:34" ht="15.75">
      <c r="A61" s="1460"/>
      <c r="B61" s="1460"/>
      <c r="C61" s="1460"/>
      <c r="D61" s="1460"/>
      <c r="E61" s="1460"/>
      <c r="F61" s="1460"/>
      <c r="G61" s="1460"/>
      <c r="H61" s="1460"/>
      <c r="I61" s="1460"/>
      <c r="J61" s="1460"/>
      <c r="K61" s="1460"/>
      <c r="L61" s="1460"/>
      <c r="M61" s="1460"/>
      <c r="N61" s="1460"/>
      <c r="O61" s="1460"/>
      <c r="P61" s="1460"/>
      <c r="Q61" s="1460"/>
      <c r="R61" s="1460"/>
      <c r="S61" s="1460"/>
      <c r="T61" s="1460"/>
      <c r="U61" s="1460"/>
      <c r="V61" s="1460"/>
      <c r="W61" s="1460"/>
      <c r="X61" s="1465"/>
      <c r="Y61" s="1460"/>
      <c r="Z61" s="1460"/>
      <c r="AA61" s="1460"/>
      <c r="AB61" s="1460"/>
      <c r="AC61" s="1460"/>
      <c r="AD61" s="1460"/>
      <c r="AE61" s="1460"/>
      <c r="AF61" s="1460"/>
      <c r="AG61" s="1460"/>
      <c r="AH61" s="1460"/>
    </row>
    <row r="62" spans="1:34" ht="15.75">
      <c r="A62" s="1460"/>
      <c r="B62" s="1460"/>
      <c r="C62" s="1460"/>
      <c r="D62" s="1460"/>
      <c r="E62" s="1460"/>
      <c r="F62" s="1460"/>
      <c r="G62" s="1460"/>
      <c r="H62" s="1460"/>
      <c r="I62" s="1460"/>
      <c r="J62" s="1460"/>
      <c r="K62" s="1460"/>
      <c r="L62" s="1460"/>
      <c r="M62" s="1460"/>
      <c r="N62" s="1460"/>
      <c r="O62" s="1460"/>
      <c r="P62" s="1460"/>
      <c r="Q62" s="1460"/>
      <c r="R62" s="1460"/>
      <c r="S62" s="1460"/>
      <c r="T62" s="1460"/>
      <c r="U62" s="1460"/>
      <c r="V62" s="1460"/>
      <c r="W62" s="1460"/>
      <c r="X62" s="1465"/>
      <c r="Y62" s="1460"/>
      <c r="Z62" s="1460"/>
      <c r="AA62" s="1460"/>
      <c r="AB62" s="1460"/>
      <c r="AC62" s="1460"/>
      <c r="AD62" s="1460"/>
      <c r="AE62" s="1460"/>
      <c r="AF62" s="1460"/>
      <c r="AG62" s="1460"/>
      <c r="AH62" s="1460"/>
    </row>
    <row r="63" spans="1:34" ht="15.75">
      <c r="A63" s="1460"/>
      <c r="B63" s="1460"/>
      <c r="C63" s="1460"/>
      <c r="D63" s="1460"/>
      <c r="E63" s="1460"/>
      <c r="F63" s="1460"/>
      <c r="G63" s="1460"/>
      <c r="H63" s="1460"/>
      <c r="I63" s="1460"/>
      <c r="J63" s="1460"/>
      <c r="K63" s="1460"/>
      <c r="L63" s="1460"/>
      <c r="M63" s="1460"/>
      <c r="N63" s="1460"/>
      <c r="O63" s="1460"/>
      <c r="P63" s="1460"/>
      <c r="Q63" s="1460"/>
      <c r="R63" s="1460"/>
      <c r="S63" s="1460"/>
      <c r="T63" s="1460"/>
      <c r="U63" s="1460"/>
      <c r="V63" s="1460"/>
      <c r="W63" s="1460"/>
      <c r="X63" s="1465"/>
      <c r="Y63" s="1460"/>
      <c r="Z63" s="1460"/>
      <c r="AA63" s="1460"/>
      <c r="AB63" s="1460"/>
      <c r="AC63" s="1460"/>
      <c r="AD63" s="1460"/>
      <c r="AE63" s="1460"/>
      <c r="AF63" s="1460"/>
      <c r="AG63" s="1460"/>
      <c r="AH63" s="1460"/>
    </row>
    <row r="64" spans="1:34" ht="15.75">
      <c r="A64" s="1460"/>
      <c r="B64" s="1460"/>
      <c r="C64" s="1460"/>
      <c r="D64" s="1460"/>
      <c r="E64" s="1460"/>
      <c r="F64" s="1460"/>
      <c r="G64" s="1460"/>
      <c r="H64" s="1460"/>
      <c r="I64" s="1460"/>
      <c r="J64" s="1460"/>
      <c r="K64" s="1460"/>
      <c r="L64" s="1460"/>
      <c r="M64" s="1460"/>
      <c r="N64" s="1460"/>
      <c r="O64" s="1460"/>
      <c r="P64" s="1460"/>
      <c r="Q64" s="1460"/>
      <c r="R64" s="1460"/>
      <c r="S64" s="1460"/>
      <c r="T64" s="1460"/>
      <c r="U64" s="1460"/>
      <c r="V64" s="1460"/>
      <c r="W64" s="1460"/>
      <c r="X64" s="1465"/>
      <c r="Y64" s="1460"/>
      <c r="Z64" s="1460"/>
      <c r="AA64" s="1460"/>
      <c r="AB64" s="1460"/>
      <c r="AC64" s="1460"/>
      <c r="AD64" s="1460"/>
      <c r="AE64" s="1460"/>
      <c r="AF64" s="1460"/>
      <c r="AG64" s="1460"/>
      <c r="AH64" s="1460"/>
    </row>
    <row r="65" spans="1:34" ht="15.75">
      <c r="A65" s="1460"/>
      <c r="B65" s="1460"/>
      <c r="C65" s="1460"/>
      <c r="D65" s="1460"/>
      <c r="E65" s="1460"/>
      <c r="F65" s="1460"/>
      <c r="G65" s="1460"/>
      <c r="H65" s="1460"/>
      <c r="I65" s="1460"/>
      <c r="J65" s="1460"/>
      <c r="K65" s="1460"/>
      <c r="L65" s="1460"/>
      <c r="M65" s="1460"/>
      <c r="N65" s="1460"/>
      <c r="O65" s="1460"/>
      <c r="P65" s="1460"/>
      <c r="Q65" s="1460"/>
      <c r="R65" s="1460"/>
      <c r="S65" s="1460"/>
      <c r="T65" s="1460"/>
      <c r="U65" s="1460"/>
      <c r="V65" s="1460"/>
      <c r="W65" s="1460"/>
      <c r="X65" s="1465"/>
      <c r="Y65" s="1460"/>
      <c r="Z65" s="1460"/>
      <c r="AA65" s="1460"/>
      <c r="AB65" s="1460"/>
      <c r="AC65" s="1460"/>
      <c r="AD65" s="1460"/>
      <c r="AE65" s="1460"/>
      <c r="AF65" s="1460"/>
      <c r="AG65" s="1460"/>
      <c r="AH65" s="1460"/>
    </row>
    <row r="66" spans="1:34" ht="15.75">
      <c r="A66" s="1460"/>
      <c r="B66" s="1460"/>
      <c r="C66" s="1460"/>
      <c r="D66" s="1460"/>
      <c r="E66" s="1460"/>
      <c r="F66" s="1460"/>
      <c r="G66" s="1460"/>
      <c r="H66" s="1460"/>
      <c r="I66" s="1460"/>
      <c r="J66" s="1460"/>
      <c r="K66" s="1460"/>
      <c r="L66" s="1460"/>
      <c r="M66" s="1460"/>
      <c r="N66" s="1460"/>
      <c r="O66" s="1460"/>
      <c r="P66" s="1460"/>
      <c r="Q66" s="1460"/>
      <c r="R66" s="1460"/>
      <c r="S66" s="1460"/>
      <c r="T66" s="1460"/>
      <c r="U66" s="1460"/>
      <c r="V66" s="1460"/>
      <c r="W66" s="1460"/>
      <c r="X66" s="1465"/>
      <c r="Y66" s="1460"/>
      <c r="Z66" s="1460"/>
      <c r="AA66" s="1460"/>
      <c r="AB66" s="1460"/>
      <c r="AC66" s="1460"/>
      <c r="AD66" s="1460"/>
      <c r="AE66" s="1460"/>
      <c r="AF66" s="1460"/>
      <c r="AG66" s="1460"/>
      <c r="AH66" s="1460"/>
    </row>
    <row r="67" spans="1:34" ht="15.75">
      <c r="A67" s="1460"/>
      <c r="B67" s="1460"/>
      <c r="C67" s="1460"/>
      <c r="D67" s="1460"/>
      <c r="E67" s="1460"/>
      <c r="F67" s="1460"/>
      <c r="G67" s="1460"/>
      <c r="H67" s="1460"/>
      <c r="I67" s="1460"/>
      <c r="J67" s="1460"/>
      <c r="K67" s="1460"/>
      <c r="L67" s="1460"/>
      <c r="M67" s="1460"/>
      <c r="N67" s="1460"/>
      <c r="O67" s="1460"/>
      <c r="P67" s="1460"/>
      <c r="Q67" s="1460"/>
      <c r="R67" s="1460"/>
      <c r="S67" s="1460"/>
      <c r="T67" s="1460"/>
      <c r="U67" s="1460"/>
      <c r="V67" s="1460"/>
      <c r="W67" s="1460"/>
      <c r="X67" s="1465"/>
      <c r="Y67" s="1460"/>
      <c r="Z67" s="1460"/>
      <c r="AA67" s="1460"/>
      <c r="AB67" s="1460"/>
      <c r="AC67" s="1460"/>
      <c r="AD67" s="1460"/>
      <c r="AE67" s="1460"/>
      <c r="AF67" s="1460"/>
      <c r="AG67" s="1460"/>
      <c r="AH67" s="1460"/>
    </row>
    <row r="68" spans="1:34" ht="15.75">
      <c r="A68" s="1460"/>
      <c r="B68" s="1460"/>
      <c r="C68" s="1460"/>
      <c r="D68" s="1460"/>
      <c r="E68" s="1460"/>
      <c r="F68" s="1460"/>
      <c r="G68" s="1460"/>
      <c r="H68" s="1460"/>
      <c r="I68" s="1460"/>
      <c r="J68" s="1460"/>
      <c r="K68" s="1460"/>
      <c r="L68" s="1460"/>
      <c r="M68" s="1460"/>
      <c r="N68" s="1460"/>
      <c r="O68" s="1460"/>
      <c r="P68" s="1460"/>
      <c r="Q68" s="1460"/>
      <c r="R68" s="1460"/>
      <c r="S68" s="1460"/>
      <c r="T68" s="1460"/>
      <c r="U68" s="1460"/>
      <c r="V68" s="1460"/>
      <c r="W68" s="1460"/>
      <c r="X68" s="1465"/>
      <c r="Y68" s="1460"/>
      <c r="Z68" s="1460"/>
      <c r="AA68" s="1460"/>
      <c r="AB68" s="1460"/>
      <c r="AC68" s="1460"/>
      <c r="AD68" s="1460"/>
      <c r="AE68" s="1460"/>
      <c r="AF68" s="1460"/>
      <c r="AG68" s="1460"/>
      <c r="AH68" s="1460"/>
    </row>
    <row r="69" spans="1:34" ht="15.75">
      <c r="A69" s="1460"/>
      <c r="B69" s="1460"/>
      <c r="C69" s="1460"/>
      <c r="D69" s="1460"/>
      <c r="E69" s="1460"/>
      <c r="F69" s="1460"/>
      <c r="G69" s="1460"/>
      <c r="H69" s="1460"/>
      <c r="I69" s="1460"/>
      <c r="J69" s="1460"/>
      <c r="K69" s="1460"/>
      <c r="L69" s="1460"/>
      <c r="M69" s="1460"/>
      <c r="N69" s="1460"/>
      <c r="O69" s="1460"/>
      <c r="P69" s="1460"/>
      <c r="Q69" s="1460"/>
      <c r="R69" s="1460"/>
      <c r="S69" s="1460"/>
      <c r="T69" s="1460"/>
      <c r="U69" s="1460"/>
      <c r="V69" s="1460"/>
      <c r="W69" s="1460"/>
      <c r="X69" s="1465"/>
      <c r="Y69" s="1460"/>
      <c r="Z69" s="1460"/>
      <c r="AA69" s="1460"/>
      <c r="AB69" s="1460"/>
      <c r="AC69" s="1460"/>
      <c r="AD69" s="1460"/>
      <c r="AE69" s="1460"/>
      <c r="AF69" s="1460"/>
      <c r="AG69" s="1460"/>
      <c r="AH69" s="1460"/>
    </row>
    <row r="70" spans="1:34" ht="15.75">
      <c r="A70" s="1460"/>
      <c r="B70" s="1460"/>
      <c r="C70" s="1460"/>
      <c r="D70" s="1460"/>
      <c r="E70" s="1460"/>
      <c r="F70" s="1460"/>
      <c r="G70" s="1460"/>
      <c r="H70" s="1460"/>
      <c r="I70" s="1460"/>
      <c r="J70" s="1460"/>
      <c r="K70" s="1460"/>
      <c r="L70" s="1460"/>
      <c r="M70" s="1460"/>
      <c r="N70" s="1460"/>
      <c r="O70" s="1460"/>
      <c r="P70" s="1460"/>
      <c r="Q70" s="1460"/>
      <c r="R70" s="1460"/>
      <c r="S70" s="1460"/>
      <c r="T70" s="1460"/>
      <c r="U70" s="1460"/>
      <c r="V70" s="1460"/>
      <c r="W70" s="1460"/>
      <c r="X70" s="1465"/>
      <c r="Y70" s="1460"/>
      <c r="Z70" s="1460"/>
      <c r="AA70" s="1460"/>
      <c r="AB70" s="1460"/>
      <c r="AC70" s="1460"/>
      <c r="AD70" s="1460"/>
      <c r="AE70" s="1460"/>
      <c r="AF70" s="1460"/>
      <c r="AG70" s="1460"/>
      <c r="AH70" s="1460"/>
    </row>
    <row r="71" spans="1:34" ht="15.75">
      <c r="A71" s="1460"/>
      <c r="B71" s="1460"/>
      <c r="C71" s="1460"/>
      <c r="D71" s="1460"/>
      <c r="E71" s="1460"/>
      <c r="F71" s="1460"/>
      <c r="G71" s="1460"/>
      <c r="H71" s="1460"/>
      <c r="I71" s="1460"/>
      <c r="J71" s="1460"/>
      <c r="K71" s="1460"/>
      <c r="L71" s="1460"/>
      <c r="M71" s="1460"/>
      <c r="N71" s="1460"/>
      <c r="O71" s="1460"/>
      <c r="P71" s="1460"/>
      <c r="Q71" s="1460"/>
      <c r="R71" s="1460"/>
      <c r="S71" s="1460"/>
      <c r="T71" s="1460"/>
      <c r="U71" s="1460"/>
      <c r="V71" s="1460"/>
      <c r="W71" s="1460"/>
      <c r="X71" s="1465"/>
      <c r="Y71" s="1460"/>
      <c r="Z71" s="1460"/>
      <c r="AA71" s="1460"/>
      <c r="AB71" s="1460"/>
      <c r="AC71" s="1460"/>
      <c r="AD71" s="1460"/>
      <c r="AE71" s="1460"/>
      <c r="AF71" s="1460"/>
      <c r="AG71" s="1460"/>
      <c r="AH71" s="1460"/>
    </row>
    <row r="72" spans="1:34" ht="15.75">
      <c r="A72" s="1460"/>
      <c r="B72" s="1460"/>
      <c r="C72" s="1460"/>
      <c r="D72" s="1460"/>
      <c r="E72" s="1460"/>
      <c r="F72" s="1460"/>
      <c r="G72" s="1460"/>
      <c r="H72" s="1460"/>
      <c r="I72" s="1460"/>
      <c r="J72" s="1460"/>
      <c r="K72" s="1460"/>
      <c r="L72" s="1460"/>
      <c r="M72" s="1460"/>
      <c r="N72" s="1460"/>
      <c r="O72" s="1460"/>
      <c r="P72" s="1460"/>
      <c r="Q72" s="1460"/>
      <c r="R72" s="1460"/>
      <c r="S72" s="1460"/>
      <c r="T72" s="1460"/>
      <c r="U72" s="1460"/>
      <c r="V72" s="1460"/>
      <c r="W72" s="1460"/>
      <c r="X72" s="1465"/>
      <c r="Y72" s="1460"/>
      <c r="Z72" s="1460"/>
      <c r="AA72" s="1460"/>
      <c r="AB72" s="1460"/>
      <c r="AC72" s="1460"/>
      <c r="AD72" s="1460"/>
      <c r="AE72" s="1460"/>
      <c r="AF72" s="1460"/>
      <c r="AG72" s="1460"/>
      <c r="AH72" s="1460"/>
    </row>
    <row r="73" spans="1:34" ht="15.75">
      <c r="A73" s="1460"/>
      <c r="B73" s="1460"/>
      <c r="C73" s="1460"/>
      <c r="D73" s="1460"/>
      <c r="E73" s="1460"/>
      <c r="F73" s="1460"/>
      <c r="G73" s="1460"/>
      <c r="H73" s="1460"/>
      <c r="I73" s="1460"/>
      <c r="J73" s="1460"/>
      <c r="K73" s="1460"/>
      <c r="L73" s="1460"/>
      <c r="M73" s="1460"/>
      <c r="N73" s="1460"/>
      <c r="O73" s="1460"/>
      <c r="P73" s="1460"/>
      <c r="Q73" s="1460"/>
      <c r="R73" s="1460"/>
      <c r="S73" s="1460"/>
      <c r="T73" s="1460"/>
      <c r="U73" s="1460"/>
      <c r="V73" s="1460"/>
      <c r="W73" s="1460"/>
      <c r="X73" s="1465"/>
      <c r="Y73" s="1460"/>
      <c r="Z73" s="1460"/>
      <c r="AA73" s="1460"/>
      <c r="AB73" s="1460"/>
      <c r="AC73" s="1460"/>
      <c r="AD73" s="1460"/>
      <c r="AE73" s="1460"/>
      <c r="AF73" s="1460"/>
      <c r="AG73" s="1460"/>
      <c r="AH73" s="1460"/>
    </row>
    <row r="74" spans="1:34" ht="15.75">
      <c r="A74" s="1460"/>
      <c r="B74" s="1460"/>
      <c r="C74" s="1460"/>
      <c r="D74" s="1460"/>
      <c r="E74" s="1460"/>
      <c r="F74" s="1460"/>
      <c r="G74" s="1460"/>
      <c r="H74" s="1460"/>
      <c r="I74" s="1460"/>
      <c r="J74" s="1460"/>
      <c r="K74" s="1460"/>
      <c r="L74" s="1460"/>
      <c r="M74" s="1460"/>
      <c r="N74" s="1460"/>
      <c r="O74" s="1460"/>
      <c r="P74" s="1460"/>
      <c r="Q74" s="1460"/>
      <c r="R74" s="1460"/>
      <c r="S74" s="1460"/>
      <c r="T74" s="1460"/>
      <c r="U74" s="1460"/>
      <c r="V74" s="1460"/>
      <c r="W74" s="1460"/>
      <c r="X74" s="1465"/>
      <c r="Y74" s="1460"/>
      <c r="Z74" s="1460"/>
      <c r="AA74" s="1460"/>
      <c r="AB74" s="1460"/>
      <c r="AC74" s="1460"/>
      <c r="AD74" s="1460"/>
      <c r="AE74" s="1460"/>
      <c r="AF74" s="1460"/>
      <c r="AG74" s="1460"/>
      <c r="AH74" s="1460"/>
    </row>
    <row r="75" spans="1:34" ht="15.75">
      <c r="A75" s="1460"/>
      <c r="B75" s="1460"/>
      <c r="C75" s="1460"/>
      <c r="D75" s="1460"/>
      <c r="E75" s="1460"/>
      <c r="F75" s="1460"/>
      <c r="G75" s="1460"/>
      <c r="H75" s="1460"/>
      <c r="I75" s="1460"/>
      <c r="J75" s="1460"/>
      <c r="K75" s="1460"/>
      <c r="L75" s="1460"/>
      <c r="M75" s="1460"/>
      <c r="N75" s="1460"/>
      <c r="O75" s="1460"/>
      <c r="P75" s="1460"/>
      <c r="Q75" s="1460"/>
      <c r="R75" s="1460"/>
      <c r="S75" s="1460"/>
      <c r="T75" s="1460"/>
      <c r="U75" s="1460"/>
      <c r="V75" s="1460"/>
      <c r="W75" s="1460"/>
      <c r="X75" s="1465"/>
      <c r="Y75" s="1460"/>
      <c r="Z75" s="1460"/>
      <c r="AA75" s="1460"/>
      <c r="AB75" s="1460"/>
      <c r="AC75" s="1460"/>
      <c r="AD75" s="1460"/>
      <c r="AE75" s="1460"/>
      <c r="AF75" s="1460"/>
      <c r="AG75" s="1460"/>
      <c r="AH75" s="1460"/>
    </row>
    <row r="76" spans="1:34" ht="15.75">
      <c r="A76" s="1460"/>
      <c r="B76" s="1460"/>
      <c r="C76" s="1460"/>
      <c r="D76" s="1460"/>
      <c r="E76" s="1460"/>
      <c r="F76" s="1460"/>
      <c r="G76" s="1460"/>
      <c r="H76" s="1460"/>
      <c r="I76" s="1460"/>
      <c r="J76" s="1460"/>
      <c r="K76" s="1460"/>
      <c r="L76" s="1460"/>
      <c r="M76" s="1460"/>
      <c r="N76" s="1460"/>
      <c r="O76" s="1460"/>
      <c r="P76" s="1460"/>
      <c r="Q76" s="1460"/>
      <c r="R76" s="1460"/>
      <c r="S76" s="1460"/>
      <c r="T76" s="1460"/>
      <c r="U76" s="1460"/>
      <c r="V76" s="1460"/>
      <c r="W76" s="1460"/>
      <c r="X76" s="1465"/>
      <c r="Y76" s="1460"/>
      <c r="Z76" s="1460"/>
      <c r="AA76" s="1460"/>
      <c r="AB76" s="1460"/>
      <c r="AC76" s="1460"/>
      <c r="AD76" s="1460"/>
      <c r="AE76" s="1460"/>
      <c r="AF76" s="1460"/>
      <c r="AG76" s="1460"/>
      <c r="AH76" s="1460"/>
    </row>
  </sheetData>
  <mergeCells count="5">
    <mergeCell ref="B2:AB2"/>
    <mergeCell ref="C5:T5"/>
    <mergeCell ref="AJ28:AJ29"/>
    <mergeCell ref="Z5:AE5"/>
    <mergeCell ref="C25:AC25"/>
  </mergeCells>
  <pageMargins left="0.7" right="0.7" top="0.75" bottom="0.75" header="0.3" footer="0.3"/>
  <pageSetup scale="31" orientation="landscape"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3"/>
  <sheetViews>
    <sheetView topLeftCell="A13" workbookViewId="0">
      <selection activeCell="B1" sqref="B1:Y43"/>
    </sheetView>
  </sheetViews>
  <sheetFormatPr defaultRowHeight="15"/>
  <cols>
    <col min="1" max="1" width="4.7109375" customWidth="1"/>
    <col min="2" max="2" width="14.28515625" customWidth="1"/>
    <col min="3" max="4" width="6" customWidth="1"/>
    <col min="5" max="7" width="11.5703125" customWidth="1"/>
    <col min="8" max="8" width="12.7109375" customWidth="1"/>
    <col min="9" max="19" width="11.5703125" customWidth="1"/>
    <col min="20" max="20" width="9.140625" customWidth="1"/>
    <col min="21" max="25" width="11.7109375" customWidth="1"/>
  </cols>
  <sheetData>
    <row r="1" spans="1:26" ht="15.75">
      <c r="A1" s="1456"/>
      <c r="B1" s="2463" t="s">
        <v>2</v>
      </c>
      <c r="C1" s="2463"/>
      <c r="D1" s="2463"/>
      <c r="E1" s="2463"/>
      <c r="F1" s="2463"/>
      <c r="G1" s="2463"/>
      <c r="H1" s="2463"/>
      <c r="I1" s="2463"/>
      <c r="J1" s="2463"/>
      <c r="K1" s="2463"/>
      <c r="L1" s="2463"/>
      <c r="M1" s="2463"/>
      <c r="N1" s="2463"/>
      <c r="O1" s="2463"/>
      <c r="P1" s="2463"/>
      <c r="Q1" s="2463"/>
      <c r="R1" s="2463"/>
      <c r="S1" s="2463"/>
      <c r="T1" s="1461"/>
      <c r="U1" s="1461"/>
      <c r="V1" s="1461"/>
      <c r="W1" s="1461"/>
      <c r="X1" s="1461"/>
      <c r="Y1" s="1461"/>
    </row>
    <row r="2" spans="1:26" ht="15.75">
      <c r="A2" s="1568"/>
      <c r="B2" s="2473" t="s">
        <v>1428</v>
      </c>
      <c r="C2" s="2473"/>
      <c r="D2" s="2473"/>
      <c r="E2" s="2473"/>
      <c r="F2" s="2473"/>
      <c r="G2" s="2473"/>
      <c r="H2" s="2473"/>
      <c r="I2" s="2473"/>
      <c r="J2" s="2473"/>
      <c r="K2" s="2473"/>
      <c r="L2" s="2473"/>
      <c r="M2" s="2473"/>
      <c r="N2" s="2473"/>
      <c r="O2" s="2473"/>
      <c r="P2" s="2473"/>
      <c r="Q2" s="2473"/>
      <c r="R2" s="2473"/>
      <c r="S2" s="2473"/>
      <c r="T2" s="1569"/>
      <c r="U2" s="1569"/>
      <c r="V2" s="1569"/>
      <c r="W2" s="1569"/>
      <c r="X2" s="1569"/>
      <c r="Y2" s="1569"/>
    </row>
    <row r="3" spans="1:26" ht="15.75">
      <c r="A3" s="1456"/>
      <c r="B3" s="1462"/>
      <c r="C3" s="1457"/>
      <c r="D3" s="1457"/>
      <c r="E3" s="1463"/>
      <c r="F3" s="1463"/>
      <c r="G3" s="1463"/>
      <c r="H3" s="1463"/>
      <c r="I3" s="1463"/>
      <c r="J3" s="1464"/>
      <c r="K3" s="1570">
        <v>2019</v>
      </c>
      <c r="L3" s="1459"/>
      <c r="M3" s="1459"/>
      <c r="N3" s="1460"/>
      <c r="O3" s="1459"/>
      <c r="P3" s="1459"/>
      <c r="Q3" s="1459"/>
      <c r="R3" s="1459"/>
      <c r="S3" s="1459"/>
      <c r="T3" s="1465"/>
      <c r="U3" s="1459"/>
      <c r="V3" s="1459"/>
      <c r="W3" s="1459"/>
      <c r="X3" s="1459"/>
      <c r="Y3" s="1459"/>
    </row>
    <row r="4" spans="1:26" ht="16.5" thickBot="1">
      <c r="A4" s="1460"/>
      <c r="B4" s="1460"/>
      <c r="C4" s="1571"/>
      <c r="D4" s="1571"/>
      <c r="E4" s="1460"/>
      <c r="F4" s="1460"/>
      <c r="G4" s="1460"/>
      <c r="H4" s="1460"/>
      <c r="I4" s="1460"/>
      <c r="J4" s="1460"/>
      <c r="K4" s="1460"/>
      <c r="L4" s="1460"/>
      <c r="M4" s="1460"/>
      <c r="N4" s="1460"/>
      <c r="O4" s="1460"/>
      <c r="P4" s="1460"/>
      <c r="Q4" s="1460"/>
      <c r="R4" s="1460"/>
      <c r="S4" s="1460"/>
      <c r="T4" s="1465"/>
      <c r="U4" s="1459"/>
      <c r="V4" s="1459"/>
      <c r="W4" s="1459"/>
      <c r="X4" s="1459"/>
      <c r="Y4" s="1459"/>
    </row>
    <row r="5" spans="1:26" ht="16.5" thickBot="1">
      <c r="A5" s="1460"/>
      <c r="B5" s="1469"/>
      <c r="C5" s="1572"/>
      <c r="D5" s="1572"/>
      <c r="E5" s="2464" t="s">
        <v>1429</v>
      </c>
      <c r="F5" s="2465"/>
      <c r="G5" s="2465"/>
      <c r="H5" s="2465"/>
      <c r="I5" s="2465"/>
      <c r="J5" s="2465"/>
      <c r="K5" s="2465"/>
      <c r="L5" s="2465"/>
      <c r="M5" s="2465"/>
      <c r="N5" s="2465"/>
      <c r="O5" s="2465"/>
      <c r="P5" s="2465"/>
      <c r="Q5" s="2465"/>
      <c r="R5" s="2465"/>
      <c r="S5" s="2465"/>
      <c r="T5" s="2471"/>
      <c r="U5" s="2471"/>
      <c r="V5" s="2471"/>
      <c r="W5" s="2471"/>
      <c r="X5" s="2471"/>
      <c r="Y5" s="2472"/>
    </row>
    <row r="6" spans="1:26" ht="16.5" thickBot="1">
      <c r="A6" s="1460"/>
      <c r="B6" s="1472" t="s">
        <v>912</v>
      </c>
      <c r="C6" s="1572"/>
      <c r="D6" s="1572"/>
      <c r="E6" s="1567" t="s">
        <v>1350</v>
      </c>
      <c r="F6" s="1573" t="s">
        <v>1351</v>
      </c>
      <c r="G6" s="1574" t="s">
        <v>1352</v>
      </c>
      <c r="H6" s="1574" t="s">
        <v>1353</v>
      </c>
      <c r="I6" s="1574" t="s">
        <v>1354</v>
      </c>
      <c r="J6" s="1574" t="s">
        <v>1355</v>
      </c>
      <c r="K6" s="1574" t="s">
        <v>1356</v>
      </c>
      <c r="L6" s="1574" t="s">
        <v>1357</v>
      </c>
      <c r="M6" s="1574" t="s">
        <v>1358</v>
      </c>
      <c r="N6" s="1574" t="s">
        <v>1359</v>
      </c>
      <c r="O6" s="1574" t="s">
        <v>1360</v>
      </c>
      <c r="P6" s="1574" t="s">
        <v>1361</v>
      </c>
      <c r="Q6" s="1574" t="s">
        <v>1362</v>
      </c>
      <c r="R6" s="1574" t="s">
        <v>1363</v>
      </c>
      <c r="S6" s="1574" t="s">
        <v>1364</v>
      </c>
      <c r="T6" s="1574" t="s">
        <v>1365</v>
      </c>
      <c r="U6" s="1574" t="s">
        <v>1366</v>
      </c>
      <c r="V6" s="1574" t="s">
        <v>1367</v>
      </c>
      <c r="W6" s="1574" t="s">
        <v>1904</v>
      </c>
      <c r="X6" s="1574" t="s">
        <v>2286</v>
      </c>
      <c r="Y6" s="1476" t="s">
        <v>1368</v>
      </c>
      <c r="Z6" s="1465"/>
    </row>
    <row r="7" spans="1:26" ht="63">
      <c r="A7" s="1460"/>
      <c r="B7" s="1478" t="s">
        <v>1374</v>
      </c>
      <c r="C7" s="1478"/>
      <c r="D7" s="1575"/>
      <c r="E7" s="1576" t="str">
        <f>'Att 9b - 2019 True-up'!E7</f>
        <v>PacifiCorp</v>
      </c>
      <c r="F7" s="1480" t="str">
        <f>'Att 9b - 2019 True-up'!F7</f>
        <v>BPA Yakama</v>
      </c>
      <c r="G7" s="1481" t="str">
        <f>'Att 9b - 2019 True-up'!G7</f>
        <v>BPA Gazley</v>
      </c>
      <c r="H7" s="1481" t="str">
        <f>'Att 9b - 2019 True-up'!H7</f>
        <v>BPA Clarke PUD</v>
      </c>
      <c r="I7" s="1481" t="str">
        <f>'Att 9b - 2019 True-up'!I7</f>
        <v>BPA: Benton REA</v>
      </c>
      <c r="J7" s="1481" t="str">
        <f>'Att 9b - 2019 True-up'!J7</f>
        <v>BPA Oregon Wind</v>
      </c>
      <c r="K7" s="1481" t="str">
        <f>'Att 9b - 2019 True-up'!K7</f>
        <v>BPA CEC</v>
      </c>
      <c r="L7" s="1481" t="str">
        <f>'Att 9b - 2019 True-up'!L7</f>
        <v xml:space="preserve"> Tri-State</v>
      </c>
      <c r="M7" s="1481" t="str">
        <f>'Att 9b - 2019 True-up'!M7</f>
        <v>Calpine Energy Solutions LLC</v>
      </c>
      <c r="N7" s="1481" t="str">
        <f>'Att 9b - 2019 True-up'!N7</f>
        <v>Basin Electric</v>
      </c>
      <c r="O7" s="1481" t="str">
        <f>'Att 9b - 2019 True-up'!O7</f>
        <v>Black Hills</v>
      </c>
      <c r="P7" s="1481" t="str">
        <f>'Att 9b - 2019 True-up'!P7</f>
        <v xml:space="preserve">USBR </v>
      </c>
      <c r="Q7" s="1481" t="str">
        <f>'Att 9b - 2019 True-up'!Q7</f>
        <v>WAPA</v>
      </c>
      <c r="R7" s="1481" t="str">
        <f>'Att 9b - 2019 True-up'!R7</f>
        <v>Avangrid Renewables, LLC</v>
      </c>
      <c r="S7" s="1481" t="str">
        <f>'Att 9b - 2019 True-up'!S7</f>
        <v>Exelon</v>
      </c>
      <c r="T7" s="1481" t="str">
        <f>'Att 9b - 2019 True-up'!T7</f>
        <v>BPA South East Idaho</v>
      </c>
      <c r="U7" s="1481" t="str">
        <f>'Att 9b - 2019 True-up'!U7</f>
        <v>BPA Idaho Falls</v>
      </c>
      <c r="V7" s="1481" t="str">
        <f>'Att 9b - 2019 True-up'!V7</f>
        <v>3 Phases Renewables Inc.</v>
      </c>
      <c r="W7" s="1481" t="str">
        <f>'Att 9b - 2019 True-up'!W7</f>
        <v>NTUA</v>
      </c>
      <c r="X7" s="1481" t="str">
        <f>'Att 9b - 2019 True-up'!X7</f>
        <v>BPA Airport Solar</v>
      </c>
      <c r="Y7" s="1577"/>
      <c r="Z7" s="1465"/>
    </row>
    <row r="8" spans="1:26" ht="15.75">
      <c r="A8" s="1460"/>
      <c r="B8" s="1485" t="s">
        <v>1379</v>
      </c>
      <c r="C8" s="1485"/>
      <c r="D8" s="1578"/>
      <c r="E8" s="1579" t="str">
        <f>'Att 9b - 2019 True-up'!E8</f>
        <v>NFS</v>
      </c>
      <c r="F8" s="1487" t="s">
        <v>1381</v>
      </c>
      <c r="G8" s="1483" t="s">
        <v>1381</v>
      </c>
      <c r="H8" s="1483" t="s">
        <v>1381</v>
      </c>
      <c r="I8" s="1483" t="s">
        <v>1381</v>
      </c>
      <c r="J8" s="1483" t="s">
        <v>1381</v>
      </c>
      <c r="K8" s="1483" t="s">
        <v>1381</v>
      </c>
      <c r="L8" s="1483" t="s">
        <v>1381</v>
      </c>
      <c r="M8" s="1483" t="s">
        <v>1381</v>
      </c>
      <c r="N8" s="1483" t="s">
        <v>1381</v>
      </c>
      <c r="O8" s="1483" t="s">
        <v>1381</v>
      </c>
      <c r="P8" s="1483" t="s">
        <v>1381</v>
      </c>
      <c r="Q8" s="1483" t="s">
        <v>1381</v>
      </c>
      <c r="R8" s="1483" t="s">
        <v>1381</v>
      </c>
      <c r="S8" s="1483" t="s">
        <v>1381</v>
      </c>
      <c r="T8" s="1483" t="s">
        <v>1381</v>
      </c>
      <c r="U8" s="1483" t="s">
        <v>1381</v>
      </c>
      <c r="V8" s="1483" t="s">
        <v>1381</v>
      </c>
      <c r="W8" s="1483" t="s">
        <v>1381</v>
      </c>
      <c r="X8" s="1483" t="s">
        <v>1381</v>
      </c>
      <c r="Y8" s="1580" t="s">
        <v>1382</v>
      </c>
      <c r="Z8" s="1465"/>
    </row>
    <row r="9" spans="1:26" ht="16.5" thickBot="1">
      <c r="A9" s="1460"/>
      <c r="B9" s="1490" t="s">
        <v>1385</v>
      </c>
      <c r="C9" s="1581" t="s">
        <v>1430</v>
      </c>
      <c r="D9" s="1581" t="s">
        <v>1431</v>
      </c>
      <c r="E9" s="1582"/>
      <c r="F9" s="1492" t="str">
        <f>'Att 9b - 2019 True-up'!F9</f>
        <v>SA 328</v>
      </c>
      <c r="G9" s="1493" t="str">
        <f>'Att 9b - 2019 True-up'!G9</f>
        <v>SA 229</v>
      </c>
      <c r="H9" s="1493" t="str">
        <f>'Att 9b - 2019 True-up'!H9</f>
        <v>SA 735</v>
      </c>
      <c r="I9" s="1493" t="str">
        <f>'Att 9b - 2019 True-up'!I9</f>
        <v>SA 539</v>
      </c>
      <c r="J9" s="1493" t="str">
        <f>'Att 9b - 2019 True-up'!J9</f>
        <v>SA 538</v>
      </c>
      <c r="K9" s="1493" t="str">
        <f>'Att 9b - 2019 True-up'!K9</f>
        <v>SA 827</v>
      </c>
      <c r="L9" s="1493" t="str">
        <f>'Att 9b - 2019 True-up'!L9</f>
        <v>SA 628</v>
      </c>
      <c r="M9" s="1493" t="str">
        <f>'Att 9b - 2019 True-up'!M9</f>
        <v>SA 299</v>
      </c>
      <c r="N9" s="1493" t="str">
        <f>'Att 9b - 2019 True-up'!N9</f>
        <v>SA 505</v>
      </c>
      <c r="O9" s="1493" t="str">
        <f>'Att 9b - 2019 True-up'!O9</f>
        <v>SA 347</v>
      </c>
      <c r="P9" s="1493" t="str">
        <f>'Att 9b - 2019 True-up'!P9</f>
        <v>SA 506</v>
      </c>
      <c r="Q9" s="1493" t="str">
        <f>'Att 9b - 2019 True-up'!Q9</f>
        <v>SA 175</v>
      </c>
      <c r="R9" s="1493" t="str">
        <f>'Att 9b - 2019 True-up'!R9</f>
        <v>SA 742</v>
      </c>
      <c r="S9" s="1493" t="str">
        <f>'Att 9b - 2019 True-up'!S9</f>
        <v>SA 943</v>
      </c>
      <c r="T9" s="1493" t="str">
        <f>'Att 9b - 2019 True-up'!T9</f>
        <v>SA 746</v>
      </c>
      <c r="U9" s="1493" t="str">
        <f>'Att 9b - 2019 True-up'!U9</f>
        <v>SA 747</v>
      </c>
      <c r="V9" s="1493" t="str">
        <f>'Att 9b - 2019 True-up'!V9</f>
        <v>SA 876</v>
      </c>
      <c r="W9" s="1493" t="str">
        <f>'Att 9b - 2019 True-up'!W9</f>
        <v>SA 894</v>
      </c>
      <c r="X9" s="1493" t="str">
        <f>'Att 9b - 2019 True-up'!X9</f>
        <v>SA 836</v>
      </c>
      <c r="Y9" s="1583"/>
      <c r="Z9" s="1465"/>
    </row>
    <row r="10" spans="1:26" ht="15.75">
      <c r="A10" s="1460"/>
      <c r="B10" s="1472" t="s">
        <v>1226</v>
      </c>
      <c r="C10" s="1584">
        <f>'Att 9b - 2019 True-up'!C10</f>
        <v>2</v>
      </c>
      <c r="D10" s="2244">
        <f>'Att 9b - 2019 True-up'!D10</f>
        <v>0.375</v>
      </c>
      <c r="E10" s="1504">
        <f>'Att 9b - 2019 True-up'!E10</f>
        <v>8233.2999999999993</v>
      </c>
      <c r="F10" s="1585">
        <f>'Att 9b - 2019 True-up'!F10</f>
        <v>6.8769999999999998</v>
      </c>
      <c r="G10" s="1586">
        <f>'Att 9b - 2019 True-up'!G10</f>
        <v>3.5990000000000002</v>
      </c>
      <c r="H10" s="1586">
        <f>'Att 9b - 2019 True-up'!H10</f>
        <v>28.753</v>
      </c>
      <c r="I10" s="1586">
        <f>'Att 9b - 2019 True-up'!I10</f>
        <v>1.34</v>
      </c>
      <c r="J10" s="1586">
        <f>'Att 9b - 2019 True-up'!J10</f>
        <v>0.30299999999999999</v>
      </c>
      <c r="K10" s="1586">
        <f>'Att 9b - 2019 True-up'!K10</f>
        <v>0</v>
      </c>
      <c r="L10" s="1586">
        <f>'Att 9b - 2019 True-up'!L10</f>
        <v>19.776</v>
      </c>
      <c r="M10" s="1586">
        <f>'Att 9b - 2019 True-up'!M10</f>
        <v>15.445</v>
      </c>
      <c r="N10" s="1586">
        <f>'Att 9b - 2019 True-up'!N10</f>
        <v>10.472</v>
      </c>
      <c r="O10" s="1586">
        <f>'Att 9b - 2019 True-up'!O10</f>
        <v>45.55</v>
      </c>
      <c r="P10" s="1586">
        <f>'Att 9b - 2019 True-up'!P10</f>
        <v>5.0000000000000001E-3</v>
      </c>
      <c r="Q10" s="1586">
        <f>'Att 9b - 2019 True-up'!Q10</f>
        <v>8.0000000000000002E-3</v>
      </c>
      <c r="R10" s="1586">
        <f>'Att 9b - 2019 True-up'!R10</f>
        <v>30.812999999999999</v>
      </c>
      <c r="S10" s="1586">
        <f>'Att 9b - 2019 True-up'!S10</f>
        <v>0.753</v>
      </c>
      <c r="T10" s="1586">
        <f>'Att 9b - 2019 True-up'!T10</f>
        <v>330.21899999999999</v>
      </c>
      <c r="U10" s="1586">
        <f>'Att 9b - 2019 True-up'!U10</f>
        <v>97.004000000000005</v>
      </c>
      <c r="V10" s="1586">
        <f>'Att 9b - 2019 True-up'!V10</f>
        <v>1.4E-2</v>
      </c>
      <c r="W10" s="1586">
        <f>'Att 9b - 2019 True-up'!W10</f>
        <v>2.6389999999999998</v>
      </c>
      <c r="X10" s="1586">
        <f>'Att 9b - 2019 True-up'!X10</f>
        <v>0</v>
      </c>
      <c r="Y10" s="1502">
        <f t="shared" ref="Y10:Y22" si="0">SUM(F10:X10)</f>
        <v>593.56999999999994</v>
      </c>
      <c r="Z10" s="1465"/>
    </row>
    <row r="11" spans="1:26" ht="15.75">
      <c r="A11" s="1460"/>
      <c r="B11" s="1472" t="s">
        <v>1227</v>
      </c>
      <c r="C11" s="1584">
        <f>'Att 9b - 2019 True-up'!C11</f>
        <v>7</v>
      </c>
      <c r="D11" s="2244">
        <f>'Att 9b - 2019 True-up'!D11</f>
        <v>0.33333333333333331</v>
      </c>
      <c r="E11" s="1504">
        <f>'Att 9b - 2019 True-up'!E11</f>
        <v>8603.86</v>
      </c>
      <c r="F11" s="1587">
        <f>'Att 9b - 2019 True-up'!F11</f>
        <v>7.6749999999999998</v>
      </c>
      <c r="G11" s="1588">
        <f>'Att 9b - 2019 True-up'!G11</f>
        <v>3.556</v>
      </c>
      <c r="H11" s="1588">
        <f>'Att 9b - 2019 True-up'!H11</f>
        <v>35.604999999999997</v>
      </c>
      <c r="I11" s="1588">
        <f>'Att 9b - 2019 True-up'!I11</f>
        <v>1.355</v>
      </c>
      <c r="J11" s="1588">
        <f>'Att 9b - 2019 True-up'!J11</f>
        <v>0.503</v>
      </c>
      <c r="K11" s="1588">
        <f>'Att 9b - 2019 True-up'!K11</f>
        <v>2.5000000000000001E-2</v>
      </c>
      <c r="L11" s="1588">
        <f>'Att 9b - 2019 True-up'!L11</f>
        <v>18.859000000000002</v>
      </c>
      <c r="M11" s="1588">
        <f>'Att 9b - 2019 True-up'!M11</f>
        <v>16.138999999999999</v>
      </c>
      <c r="N11" s="1588">
        <f>'Att 9b - 2019 True-up'!N11</f>
        <v>11.805</v>
      </c>
      <c r="O11" s="1588">
        <f>'Att 9b - 2019 True-up'!O11</f>
        <v>55.25</v>
      </c>
      <c r="P11" s="1588">
        <f>'Att 9b - 2019 True-up'!P11</f>
        <v>5.0000000000000001E-3</v>
      </c>
      <c r="Q11" s="1588">
        <f>'Att 9b - 2019 True-up'!Q11</f>
        <v>6.0000000000000001E-3</v>
      </c>
      <c r="R11" s="1588">
        <f>'Att 9b - 2019 True-up'!R11</f>
        <v>31.821999999999999</v>
      </c>
      <c r="S11" s="1588">
        <f>'Att 9b - 2019 True-up'!S11</f>
        <v>0.79400000000000004</v>
      </c>
      <c r="T11" s="1588">
        <f>'Att 9b - 2019 True-up'!T11</f>
        <v>280.10599999999999</v>
      </c>
      <c r="U11" s="1588">
        <f>'Att 9b - 2019 True-up'!U11</f>
        <v>96.004000000000005</v>
      </c>
      <c r="V11" s="1588">
        <f>'Att 9b - 2019 True-up'!V11</f>
        <v>6.0999999999999999E-2</v>
      </c>
      <c r="W11" s="1588">
        <f>'Att 9b - 2019 True-up'!W11</f>
        <v>2.423</v>
      </c>
      <c r="X11" s="1588">
        <f>'Att 9b - 2019 True-up'!X11</f>
        <v>0</v>
      </c>
      <c r="Y11" s="1502">
        <f t="shared" si="0"/>
        <v>561.99300000000005</v>
      </c>
      <c r="Z11" s="1465"/>
    </row>
    <row r="12" spans="1:26" ht="15.75">
      <c r="A12" s="1460"/>
      <c r="B12" s="1472" t="s">
        <v>1024</v>
      </c>
      <c r="C12" s="1584">
        <f>'Att 9b - 2019 True-up'!C12</f>
        <v>4</v>
      </c>
      <c r="D12" s="2244">
        <f>'Att 9b - 2019 True-up'!D12</f>
        <v>0.33333333333333331</v>
      </c>
      <c r="E12" s="1504">
        <f>'Att 9b - 2019 True-up'!E12</f>
        <v>8217.5040000000008</v>
      </c>
      <c r="F12" s="1587">
        <f>'Att 9b - 2019 True-up'!F12</f>
        <v>7.3410000000000002</v>
      </c>
      <c r="G12" s="1588">
        <f>'Att 9b - 2019 True-up'!G12</f>
        <v>3.2450000000000001</v>
      </c>
      <c r="H12" s="1588">
        <f>'Att 9b - 2019 True-up'!H12</f>
        <v>35.183</v>
      </c>
      <c r="I12" s="1588">
        <f>'Att 9b - 2019 True-up'!I12</f>
        <v>1.518</v>
      </c>
      <c r="J12" s="1588">
        <f>'Att 9b - 2019 True-up'!J12</f>
        <v>0.113</v>
      </c>
      <c r="K12" s="1588">
        <f>'Att 9b - 2019 True-up'!K12</f>
        <v>2.1000000000000001E-2</v>
      </c>
      <c r="L12" s="1588">
        <f>'Att 9b - 2019 True-up'!L12</f>
        <v>21.934999999999999</v>
      </c>
      <c r="M12" s="1588">
        <f>'Att 9b - 2019 True-up'!M12</f>
        <v>14.33</v>
      </c>
      <c r="N12" s="1588">
        <f>'Att 9b - 2019 True-up'!N12</f>
        <v>11.125</v>
      </c>
      <c r="O12" s="1588">
        <f>'Att 9b - 2019 True-up'!O12</f>
        <v>54.2</v>
      </c>
      <c r="P12" s="1588">
        <f>'Att 9b - 2019 True-up'!P12</f>
        <v>5.0000000000000001E-3</v>
      </c>
      <c r="Q12" s="1588">
        <f>'Att 9b - 2019 True-up'!Q12</f>
        <v>8.9999999999999993E-3</v>
      </c>
      <c r="R12" s="1588">
        <f>'Att 9b - 2019 True-up'!R12</f>
        <v>31.632999999999999</v>
      </c>
      <c r="S12" s="1588">
        <f>'Att 9b - 2019 True-up'!S12</f>
        <v>0.77100000000000002</v>
      </c>
      <c r="T12" s="1588">
        <f>'Att 9b - 2019 True-up'!T12</f>
        <v>284.053</v>
      </c>
      <c r="U12" s="1588">
        <f>'Att 9b - 2019 True-up'!U12</f>
        <v>94.344999999999999</v>
      </c>
      <c r="V12" s="1588">
        <f>'Att 9b - 2019 True-up'!V12</f>
        <v>5.1999999999999998E-2</v>
      </c>
      <c r="W12" s="1588">
        <f>'Att 9b - 2019 True-up'!W12</f>
        <v>2.343</v>
      </c>
      <c r="X12" s="1588">
        <f>'Att 9b - 2019 True-up'!X12</f>
        <v>0</v>
      </c>
      <c r="Y12" s="1502">
        <f t="shared" si="0"/>
        <v>562.22199999999998</v>
      </c>
      <c r="Z12" s="1465"/>
    </row>
    <row r="13" spans="1:26" ht="15.75">
      <c r="A13" s="1460"/>
      <c r="B13" s="1472" t="s">
        <v>1025</v>
      </c>
      <c r="C13" s="1584">
        <f>'Att 9b - 2019 True-up'!C13</f>
        <v>10</v>
      </c>
      <c r="D13" s="2244">
        <f>'Att 9b - 2019 True-up'!D13</f>
        <v>0.33333333333333331</v>
      </c>
      <c r="E13" s="1504">
        <f>'Att 9b - 2019 True-up'!E13</f>
        <v>7167.3419999999996</v>
      </c>
      <c r="F13" s="1587">
        <f>'Att 9b - 2019 True-up'!F13</f>
        <v>5.6929999999999996</v>
      </c>
      <c r="G13" s="1588">
        <f>'Att 9b - 2019 True-up'!G13</f>
        <v>3.1840000000000002</v>
      </c>
      <c r="H13" s="1588">
        <f>'Att 9b - 2019 True-up'!H13</f>
        <v>19.137</v>
      </c>
      <c r="I13" s="1588">
        <f>'Att 9b - 2019 True-up'!I13</f>
        <v>1.101</v>
      </c>
      <c r="J13" s="1588">
        <f>'Att 9b - 2019 True-up'!J13</f>
        <v>0</v>
      </c>
      <c r="K13" s="1588">
        <f>'Att 9b - 2019 True-up'!K13</f>
        <v>0</v>
      </c>
      <c r="L13" s="1588">
        <f>'Att 9b - 2019 True-up'!L13</f>
        <v>16.228999999999999</v>
      </c>
      <c r="M13" s="1588">
        <f>'Att 9b - 2019 True-up'!M13</f>
        <v>13.705</v>
      </c>
      <c r="N13" s="1588">
        <f>'Att 9b - 2019 True-up'!N13</f>
        <v>8.5410000000000004</v>
      </c>
      <c r="O13" s="1588">
        <f>'Att 9b - 2019 True-up'!O13</f>
        <v>37.79</v>
      </c>
      <c r="P13" s="1588">
        <f>'Att 9b - 2019 True-up'!P13</f>
        <v>0.23899999999999999</v>
      </c>
      <c r="Q13" s="1588">
        <f>'Att 9b - 2019 True-up'!Q13</f>
        <v>6.0000000000000001E-3</v>
      </c>
      <c r="R13" s="1588">
        <f>'Att 9b - 2019 True-up'!R13</f>
        <v>31.207000000000001</v>
      </c>
      <c r="S13" s="1588">
        <f>'Att 9b - 2019 True-up'!S13</f>
        <v>0.69499999999999995</v>
      </c>
      <c r="T13" s="1588">
        <f>'Att 9b - 2019 True-up'!T13</f>
        <v>176.91300000000001</v>
      </c>
      <c r="U13" s="1588">
        <f>'Att 9b - 2019 True-up'!U13</f>
        <v>68.051000000000002</v>
      </c>
      <c r="V13" s="1588">
        <f>'Att 9b - 2019 True-up'!V13</f>
        <v>6.5000000000000002E-2</v>
      </c>
      <c r="W13" s="1588">
        <f>'Att 9b - 2019 True-up'!W13</f>
        <v>1.8720000000000001</v>
      </c>
      <c r="X13" s="1588">
        <f>'Att 9b - 2019 True-up'!X13</f>
        <v>0</v>
      </c>
      <c r="Y13" s="1502">
        <f t="shared" si="0"/>
        <v>384.428</v>
      </c>
      <c r="Z13" s="1465"/>
    </row>
    <row r="14" spans="1:26" ht="15.75">
      <c r="A14" s="1509"/>
      <c r="B14" s="1472" t="s">
        <v>1026</v>
      </c>
      <c r="C14" s="1584">
        <f>'Att 9b - 2019 True-up'!C14</f>
        <v>13</v>
      </c>
      <c r="D14" s="2244">
        <f>'Att 9b - 2019 True-up'!D14</f>
        <v>0.75</v>
      </c>
      <c r="E14" s="1504">
        <f>'Att 9b - 2019 True-up'!E14</f>
        <v>7310.8540000000003</v>
      </c>
      <c r="F14" s="1587">
        <f>'Att 9b - 2019 True-up'!F14</f>
        <v>5.0140000000000002</v>
      </c>
      <c r="G14" s="1588">
        <f>'Att 9b - 2019 True-up'!G14</f>
        <v>2.9359999999999999</v>
      </c>
      <c r="H14" s="1588">
        <f>'Att 9b - 2019 True-up'!H14</f>
        <v>11.548</v>
      </c>
      <c r="I14" s="1588">
        <f>'Att 9b - 2019 True-up'!I14</f>
        <v>0</v>
      </c>
      <c r="J14" s="1588">
        <f>'Att 9b - 2019 True-up'!J14</f>
        <v>0</v>
      </c>
      <c r="K14" s="1588">
        <f>'Att 9b - 2019 True-up'!K14</f>
        <v>0</v>
      </c>
      <c r="L14" s="1588">
        <f>'Att 9b - 2019 True-up'!L14</f>
        <v>11.205</v>
      </c>
      <c r="M14" s="1588">
        <f>'Att 9b - 2019 True-up'!M14</f>
        <v>15.436</v>
      </c>
      <c r="N14" s="1588">
        <f>'Att 9b - 2019 True-up'!N14</f>
        <v>6.6879999999999997</v>
      </c>
      <c r="O14" s="1588">
        <f>'Att 9b - 2019 True-up'!O14</f>
        <v>32.18</v>
      </c>
      <c r="P14" s="1588">
        <f>'Att 9b - 2019 True-up'!P14</f>
        <v>0.54100000000000004</v>
      </c>
      <c r="Q14" s="1588">
        <f>'Att 9b - 2019 True-up'!Q14</f>
        <v>1.9910000000000001</v>
      </c>
      <c r="R14" s="1588">
        <f>'Att 9b - 2019 True-up'!R14</f>
        <v>32.057000000000002</v>
      </c>
      <c r="S14" s="1588">
        <f>'Att 9b - 2019 True-up'!S14</f>
        <v>0.78700000000000003</v>
      </c>
      <c r="T14" s="1588">
        <f>'Att 9b - 2019 True-up'!T14</f>
        <v>120.639</v>
      </c>
      <c r="U14" s="1588">
        <f>'Att 9b - 2019 True-up'!U14</f>
        <v>95.292000000000002</v>
      </c>
      <c r="V14" s="1588">
        <f>'Att 9b - 2019 True-up'!V14</f>
        <v>7.6999999999999999E-2</v>
      </c>
      <c r="W14" s="1588">
        <f>'Att 9b - 2019 True-up'!W14</f>
        <v>1.772</v>
      </c>
      <c r="X14" s="1588">
        <f>'Att 9b - 2019 True-up'!X14</f>
        <v>0</v>
      </c>
      <c r="Y14" s="1502">
        <f t="shared" si="0"/>
        <v>338.16299999999995</v>
      </c>
      <c r="Z14" s="1465"/>
    </row>
    <row r="15" spans="1:26" ht="15.75">
      <c r="A15" s="1460"/>
      <c r="B15" s="1472" t="s">
        <v>1230</v>
      </c>
      <c r="C15" s="1584">
        <f>'Att 9b - 2019 True-up'!C15</f>
        <v>28</v>
      </c>
      <c r="D15" s="2244">
        <f>'Att 9b - 2019 True-up'!D15</f>
        <v>0.75</v>
      </c>
      <c r="E15" s="1504">
        <f>'Att 9b - 2019 True-up'!E15</f>
        <v>8681.4220000000005</v>
      </c>
      <c r="F15" s="1587">
        <f>'Att 9b - 2019 True-up'!F15</f>
        <v>4.2770000000000001</v>
      </c>
      <c r="G15" s="1588">
        <f>'Att 9b - 2019 True-up'!G15</f>
        <v>3.306</v>
      </c>
      <c r="H15" s="1588">
        <f>'Att 9b - 2019 True-up'!H15</f>
        <v>11.268000000000001</v>
      </c>
      <c r="I15" s="1588">
        <f>'Att 9b - 2019 True-up'!I15</f>
        <v>0.42699999999999999</v>
      </c>
      <c r="J15" s="1588">
        <f>'Att 9b - 2019 True-up'!J15</f>
        <v>0</v>
      </c>
      <c r="K15" s="1588">
        <f>'Att 9b - 2019 True-up'!K15</f>
        <v>0</v>
      </c>
      <c r="L15" s="1588">
        <f>'Att 9b - 2019 True-up'!L15</f>
        <v>14.356</v>
      </c>
      <c r="M15" s="1588">
        <f>'Att 9b - 2019 True-up'!M15</f>
        <v>15.396000000000001</v>
      </c>
      <c r="N15" s="1588">
        <f>'Att 9b - 2019 True-up'!N15</f>
        <v>9.6189999999999998</v>
      </c>
      <c r="O15" s="1588">
        <f>'Att 9b - 2019 True-up'!O15</f>
        <v>44.89</v>
      </c>
      <c r="P15" s="1588">
        <f>'Att 9b - 2019 True-up'!P15</f>
        <v>0.54500000000000004</v>
      </c>
      <c r="Q15" s="1588">
        <f>'Att 9b - 2019 True-up'!Q15</f>
        <v>3.1949999999999998</v>
      </c>
      <c r="R15" s="1588">
        <f>'Att 9b - 2019 True-up'!R15</f>
        <v>31.974</v>
      </c>
      <c r="S15" s="1588">
        <f>'Att 9b - 2019 True-up'!S15</f>
        <v>0.873</v>
      </c>
      <c r="T15" s="1588">
        <f>'Att 9b - 2019 True-up'!T15</f>
        <v>168.54599999999999</v>
      </c>
      <c r="U15" s="1588">
        <f>'Att 9b - 2019 True-up'!U15</f>
        <v>96.090999999999994</v>
      </c>
      <c r="V15" s="1588">
        <f>'Att 9b - 2019 True-up'!V15</f>
        <v>0.105</v>
      </c>
      <c r="W15" s="1588">
        <f>'Att 9b - 2019 True-up'!W15</f>
        <v>1.93</v>
      </c>
      <c r="X15" s="1588">
        <f>'Att 9b - 2019 True-up'!X15</f>
        <v>0</v>
      </c>
      <c r="Y15" s="1502">
        <f t="shared" si="0"/>
        <v>406.798</v>
      </c>
      <c r="Z15" s="1465"/>
    </row>
    <row r="16" spans="1:26" ht="15.75">
      <c r="A16" s="1460"/>
      <c r="B16" s="1472" t="s">
        <v>1390</v>
      </c>
      <c r="C16" s="1584">
        <f>'Att 9b - 2019 True-up'!C16</f>
        <v>22</v>
      </c>
      <c r="D16" s="2244">
        <f>'Att 9b - 2019 True-up'!D16</f>
        <v>0.70833333333333337</v>
      </c>
      <c r="E16" s="1504">
        <f>'Att 9b - 2019 True-up'!E16</f>
        <v>10333.540000000001</v>
      </c>
      <c r="F16" s="1587">
        <f>'Att 9b - 2019 True-up'!F16</f>
        <v>5.4969999999999999</v>
      </c>
      <c r="G16" s="1588">
        <f>'Att 9b - 2019 True-up'!G16</f>
        <v>3.4239999999999999</v>
      </c>
      <c r="H16" s="1588">
        <f>'Att 9b - 2019 True-up'!H16</f>
        <v>13.914999999999999</v>
      </c>
      <c r="I16" s="1588">
        <f>'Att 9b - 2019 True-up'!I16</f>
        <v>0.39500000000000002</v>
      </c>
      <c r="J16" s="1588">
        <f>'Att 9b - 2019 True-up'!J16</f>
        <v>0</v>
      </c>
      <c r="K16" s="1588">
        <f>'Att 9b - 2019 True-up'!K16</f>
        <v>0</v>
      </c>
      <c r="L16" s="1588">
        <f>'Att 9b - 2019 True-up'!L16</f>
        <v>12.675000000000001</v>
      </c>
      <c r="M16" s="1588">
        <f>'Att 9b - 2019 True-up'!M16</f>
        <v>17.43</v>
      </c>
      <c r="N16" s="1588">
        <f>'Att 9b - 2019 True-up'!N16</f>
        <v>11.281000000000001</v>
      </c>
      <c r="O16" s="1588">
        <f>'Att 9b - 2019 True-up'!O16</f>
        <v>53.47</v>
      </c>
      <c r="P16" s="1588">
        <f>'Att 9b - 2019 True-up'!P16</f>
        <v>0.61299999999999999</v>
      </c>
      <c r="Q16" s="1588">
        <f>'Att 9b - 2019 True-up'!Q16</f>
        <v>3.093</v>
      </c>
      <c r="R16" s="1588">
        <f>'Att 9b - 2019 True-up'!R16</f>
        <v>32.036000000000001</v>
      </c>
      <c r="S16" s="1588">
        <f>'Att 9b - 2019 True-up'!S16</f>
        <v>0.72099999999999997</v>
      </c>
      <c r="T16" s="1588">
        <f>'Att 9b - 2019 True-up'!T16</f>
        <v>191.32300000000001</v>
      </c>
      <c r="U16" s="1588">
        <f>'Att 9b - 2019 True-up'!U16</f>
        <v>122.045</v>
      </c>
      <c r="V16" s="1588">
        <f>'Att 9b - 2019 True-up'!V16</f>
        <v>0.13900000000000001</v>
      </c>
      <c r="W16" s="1588">
        <f>'Att 9b - 2019 True-up'!W16</f>
        <v>2.6139999999999999</v>
      </c>
      <c r="X16" s="1588">
        <f>'Att 9b - 2019 True-up'!X16</f>
        <v>0</v>
      </c>
      <c r="Y16" s="1502">
        <f t="shared" si="0"/>
        <v>470.67100000000005</v>
      </c>
      <c r="Z16" s="1465"/>
    </row>
    <row r="17" spans="1:26" ht="15.75">
      <c r="A17" s="1460"/>
      <c r="B17" s="1472" t="s">
        <v>1232</v>
      </c>
      <c r="C17" s="1584">
        <f>'Att 9b - 2019 True-up'!C17</f>
        <v>5</v>
      </c>
      <c r="D17" s="2244">
        <f>'Att 9b - 2019 True-up'!D17</f>
        <v>0.70833333333333337</v>
      </c>
      <c r="E17" s="1504">
        <f>'Att 9b - 2019 True-up'!E17</f>
        <v>10220.49</v>
      </c>
      <c r="F17" s="1587">
        <f>'Att 9b - 2019 True-up'!F17</f>
        <v>5.8230000000000004</v>
      </c>
      <c r="G17" s="1588">
        <f>'Att 9b - 2019 True-up'!G17</f>
        <v>3.6259999999999999</v>
      </c>
      <c r="H17" s="1588">
        <f>'Att 9b - 2019 True-up'!H17</f>
        <v>16.11</v>
      </c>
      <c r="I17" s="1588">
        <f>'Att 9b - 2019 True-up'!I17</f>
        <v>0.372</v>
      </c>
      <c r="J17" s="1588">
        <f>'Att 9b - 2019 True-up'!J17</f>
        <v>0</v>
      </c>
      <c r="K17" s="1588">
        <f>'Att 9b - 2019 True-up'!K17</f>
        <v>0</v>
      </c>
      <c r="L17" s="1588">
        <f>'Att 9b - 2019 True-up'!L17</f>
        <v>13.948</v>
      </c>
      <c r="M17" s="1588">
        <f>'Att 9b - 2019 True-up'!M17</f>
        <v>17.571000000000002</v>
      </c>
      <c r="N17" s="1588">
        <f>'Att 9b - 2019 True-up'!N17</f>
        <v>10.9</v>
      </c>
      <c r="O17" s="1588">
        <f>'Att 9b - 2019 True-up'!O17</f>
        <v>50.13</v>
      </c>
      <c r="P17" s="1588">
        <f>'Att 9b - 2019 True-up'!P17</f>
        <v>0.626</v>
      </c>
      <c r="Q17" s="1588">
        <f>'Att 9b - 2019 True-up'!Q17</f>
        <v>2.9319999999999999</v>
      </c>
      <c r="R17" s="1588">
        <f>'Att 9b - 2019 True-up'!R17</f>
        <v>32.271000000000001</v>
      </c>
      <c r="S17" s="1588">
        <f>'Att 9b - 2019 True-up'!S17</f>
        <v>0.33700000000000002</v>
      </c>
      <c r="T17" s="1588">
        <f>'Att 9b - 2019 True-up'!T17</f>
        <v>166.87</v>
      </c>
      <c r="U17" s="1588">
        <f>'Att 9b - 2019 True-up'!U17</f>
        <v>106.803</v>
      </c>
      <c r="V17" s="1588">
        <f>'Att 9b - 2019 True-up'!V17</f>
        <v>0.183</v>
      </c>
      <c r="W17" s="1588">
        <f>'Att 9b - 2019 True-up'!W17</f>
        <v>2.4220000000000002</v>
      </c>
      <c r="X17" s="1588">
        <f>'Att 9b - 2019 True-up'!X17</f>
        <v>0</v>
      </c>
      <c r="Y17" s="1502">
        <f t="shared" si="0"/>
        <v>430.92400000000004</v>
      </c>
      <c r="Z17" s="1465"/>
    </row>
    <row r="18" spans="1:26" ht="15.75">
      <c r="A18" s="1460"/>
      <c r="B18" s="1472" t="s">
        <v>1391</v>
      </c>
      <c r="C18" s="1584">
        <f>'Att 9b - 2019 True-up'!C18</f>
        <v>5</v>
      </c>
      <c r="D18" s="2244">
        <f>'Att 9b - 2019 True-up'!D18</f>
        <v>0.70833333333333337</v>
      </c>
      <c r="E18" s="1504">
        <f>'Att 9b - 2019 True-up'!E18</f>
        <v>9721.6689999999999</v>
      </c>
      <c r="F18" s="1587">
        <f>'Att 9b - 2019 True-up'!F18</f>
        <v>5.3620000000000001</v>
      </c>
      <c r="G18" s="1588">
        <f>'Att 9b - 2019 True-up'!G18</f>
        <v>3.7250000000000001</v>
      </c>
      <c r="H18" s="1588">
        <f>'Att 9b - 2019 True-up'!H18</f>
        <v>13.048</v>
      </c>
      <c r="I18" s="1588">
        <f>'Att 9b - 2019 True-up'!I18</f>
        <v>0.29499999999999998</v>
      </c>
      <c r="J18" s="1588">
        <f>'Att 9b - 2019 True-up'!J18</f>
        <v>0</v>
      </c>
      <c r="K18" s="1588">
        <f>'Att 9b - 2019 True-up'!K18</f>
        <v>0</v>
      </c>
      <c r="L18" s="1588">
        <f>'Att 9b - 2019 True-up'!L18</f>
        <v>16.111999999999998</v>
      </c>
      <c r="M18" s="1588">
        <f>'Att 9b - 2019 True-up'!M18</f>
        <v>17.344999999999999</v>
      </c>
      <c r="N18" s="1588">
        <f>'Att 9b - 2019 True-up'!N18</f>
        <v>10.949</v>
      </c>
      <c r="O18" s="1588">
        <f>'Att 9b - 2019 True-up'!O18</f>
        <v>51.58</v>
      </c>
      <c r="P18" s="1588">
        <f>'Att 9b - 2019 True-up'!P18</f>
        <v>0.499</v>
      </c>
      <c r="Q18" s="1588">
        <f>'Att 9b - 2019 True-up'!Q18</f>
        <v>3.173</v>
      </c>
      <c r="R18" s="1588">
        <f>'Att 9b - 2019 True-up'!R18</f>
        <v>31.797999999999998</v>
      </c>
      <c r="S18" s="1588">
        <f>'Att 9b - 2019 True-up'!S18</f>
        <v>0.70599999999999996</v>
      </c>
      <c r="T18" s="1588">
        <f>'Att 9b - 2019 True-up'!T18</f>
        <v>144.22900000000001</v>
      </c>
      <c r="U18" s="1588">
        <f>'Att 9b - 2019 True-up'!U18</f>
        <v>107.834</v>
      </c>
      <c r="V18" s="1588">
        <f>'Att 9b - 2019 True-up'!V18</f>
        <v>0.13700000000000001</v>
      </c>
      <c r="W18" s="1588">
        <f>'Att 9b - 2019 True-up'!W18</f>
        <v>2.1139999999999999</v>
      </c>
      <c r="X18" s="1588">
        <f>'Att 9b - 2019 True-up'!X18</f>
        <v>0</v>
      </c>
      <c r="Y18" s="1502">
        <f t="shared" si="0"/>
        <v>408.90600000000001</v>
      </c>
      <c r="Z18" s="1465"/>
    </row>
    <row r="19" spans="1:26" ht="15.75">
      <c r="A19" s="1460"/>
      <c r="B19" s="1472" t="s">
        <v>1234</v>
      </c>
      <c r="C19" s="1584">
        <f>'Att 9b - 2019 True-up'!C19</f>
        <v>30</v>
      </c>
      <c r="D19" s="2244">
        <f>'Att 9b - 2019 True-up'!D19</f>
        <v>0.33333333333333331</v>
      </c>
      <c r="E19" s="1504">
        <f>'Att 9b - 2019 True-up'!E19</f>
        <v>8274.4179999999997</v>
      </c>
      <c r="F19" s="1587">
        <f>'Att 9b - 2019 True-up'!F19</f>
        <v>6.5739999999999998</v>
      </c>
      <c r="G19" s="1588">
        <f>'Att 9b - 2019 True-up'!G19</f>
        <v>3.5030000000000001</v>
      </c>
      <c r="H19" s="1588">
        <f>'Att 9b - 2019 True-up'!H19</f>
        <v>26.582999999999998</v>
      </c>
      <c r="I19" s="1588">
        <f>'Att 9b - 2019 True-up'!I19</f>
        <v>1.266</v>
      </c>
      <c r="J19" s="1588">
        <f>'Att 9b - 2019 True-up'!J19</f>
        <v>0.373</v>
      </c>
      <c r="K19" s="1588">
        <f>'Att 9b - 2019 True-up'!K19</f>
        <v>0.125</v>
      </c>
      <c r="L19" s="1588">
        <f>'Att 9b - 2019 True-up'!L19</f>
        <v>18.170000000000002</v>
      </c>
      <c r="M19" s="1588">
        <f>'Att 9b - 2019 True-up'!M19</f>
        <v>14.16</v>
      </c>
      <c r="N19" s="1588">
        <f>'Att 9b - 2019 True-up'!N19</f>
        <v>11.595000000000001</v>
      </c>
      <c r="O19" s="1588">
        <f>'Att 9b - 2019 True-up'!O19</f>
        <v>48.47</v>
      </c>
      <c r="P19" s="1588">
        <f>'Att 9b - 2019 True-up'!P19</f>
        <v>6.0000000000000001E-3</v>
      </c>
      <c r="Q19" s="1588">
        <f>'Att 9b - 2019 True-up'!Q19</f>
        <v>8.0000000000000002E-3</v>
      </c>
      <c r="R19" s="1588">
        <f>'Att 9b - 2019 True-up'!R19</f>
        <v>32.055</v>
      </c>
      <c r="S19" s="1588">
        <f>'Att 9b - 2019 True-up'!S19</f>
        <v>0.77500000000000002</v>
      </c>
      <c r="T19" s="1588">
        <f>'Att 9b - 2019 True-up'!T19</f>
        <v>298.05599999999998</v>
      </c>
      <c r="U19" s="1588">
        <f>'Att 9b - 2019 True-up'!U19</f>
        <v>92.897999999999996</v>
      </c>
      <c r="V19" s="1588">
        <f>'Att 9b - 2019 True-up'!V19</f>
        <v>7.1999999999999995E-2</v>
      </c>
      <c r="W19" s="1588">
        <f>'Att 9b - 2019 True-up'!W19</f>
        <v>2.4940000000000002</v>
      </c>
      <c r="X19" s="1588">
        <f>'Att 9b - 2019 True-up'!X19</f>
        <v>0</v>
      </c>
      <c r="Y19" s="1502">
        <f t="shared" si="0"/>
        <v>557.18299999999999</v>
      </c>
      <c r="Z19" s="1465"/>
    </row>
    <row r="20" spans="1:26" ht="15.75">
      <c r="A20" s="1460"/>
      <c r="B20" s="1472" t="s">
        <v>1235</v>
      </c>
      <c r="C20" s="1584">
        <f>'Att 9b - 2019 True-up'!C20</f>
        <v>26</v>
      </c>
      <c r="D20" s="2244">
        <f>'Att 9b - 2019 True-up'!D20</f>
        <v>0.75</v>
      </c>
      <c r="E20" s="1504">
        <f>'Att 9b - 2019 True-up'!E20</f>
        <v>8081.3959999999997</v>
      </c>
      <c r="F20" s="1587">
        <f>'Att 9b - 2019 True-up'!F20</f>
        <v>4.4539999999999997</v>
      </c>
      <c r="G20" s="1588">
        <f>'Att 9b - 2019 True-up'!G20</f>
        <v>3.3610000000000002</v>
      </c>
      <c r="H20" s="1588">
        <f>'Att 9b - 2019 True-up'!H20</f>
        <v>25.318999999999999</v>
      </c>
      <c r="I20" s="1588">
        <f>'Att 9b - 2019 True-up'!I20</f>
        <v>1.163</v>
      </c>
      <c r="J20" s="1588">
        <f>'Att 9b - 2019 True-up'!J20</f>
        <v>0</v>
      </c>
      <c r="K20" s="1588">
        <f>'Att 9b - 2019 True-up'!K20</f>
        <v>0.182</v>
      </c>
      <c r="L20" s="1588">
        <f>'Att 9b - 2019 True-up'!L20</f>
        <v>17.03</v>
      </c>
      <c r="M20" s="1588">
        <f>'Att 9b - 2019 True-up'!M20</f>
        <v>13.842000000000001</v>
      </c>
      <c r="N20" s="1588">
        <f>'Att 9b - 2019 True-up'!N20</f>
        <v>11.057</v>
      </c>
      <c r="O20" s="1588">
        <f>'Att 9b - 2019 True-up'!O20</f>
        <v>43.68</v>
      </c>
      <c r="P20" s="1588">
        <f>'Att 9b - 2019 True-up'!P20</f>
        <v>5.0000000000000001E-3</v>
      </c>
      <c r="Q20" s="1588">
        <f>'Att 9b - 2019 True-up'!Q20</f>
        <v>7.0000000000000001E-3</v>
      </c>
      <c r="R20" s="1588">
        <f>'Att 9b - 2019 True-up'!R20</f>
        <v>32.271000000000001</v>
      </c>
      <c r="S20" s="1588">
        <f>'Att 9b - 2019 True-up'!S20</f>
        <v>0.55300000000000005</v>
      </c>
      <c r="T20" s="1588">
        <f>'Att 9b - 2019 True-up'!T20</f>
        <v>247.43600000000001</v>
      </c>
      <c r="U20" s="1588">
        <f>'Att 9b - 2019 True-up'!U20</f>
        <v>78.494</v>
      </c>
      <c r="V20" s="1588">
        <f>'Att 9b - 2019 True-up'!V20</f>
        <v>7.2999999999999995E-2</v>
      </c>
      <c r="W20" s="1588">
        <f>'Att 9b - 2019 True-up'!W20</f>
        <v>2.1640000000000001</v>
      </c>
      <c r="X20" s="1588">
        <f>'Att 9b - 2019 True-up'!X20</f>
        <v>0</v>
      </c>
      <c r="Y20" s="1502">
        <f t="shared" si="0"/>
        <v>481.09100000000001</v>
      </c>
      <c r="Z20" s="1465"/>
    </row>
    <row r="21" spans="1:26" ht="16.5" thickBot="1">
      <c r="A21" s="1460"/>
      <c r="B21" s="1490" t="s">
        <v>1236</v>
      </c>
      <c r="C21" s="1584">
        <f>'Att 9b - 2019 True-up'!C21</f>
        <v>17</v>
      </c>
      <c r="D21" s="2244">
        <f>'Att 9b - 2019 True-up'!D21</f>
        <v>0.75</v>
      </c>
      <c r="E21" s="1504">
        <f>'Att 9b - 2019 True-up'!E21</f>
        <v>8498.134</v>
      </c>
      <c r="F21" s="1590">
        <f>'Att 9b - 2019 True-up'!F21</f>
        <v>4.806</v>
      </c>
      <c r="G21" s="1588">
        <f>'Att 9b - 2019 True-up'!G21</f>
        <v>3.1680000000000001</v>
      </c>
      <c r="H21" s="1588">
        <f>'Att 9b - 2019 True-up'!H21</f>
        <v>24.416</v>
      </c>
      <c r="I21" s="1588">
        <f>'Att 9b - 2019 True-up'!I21</f>
        <v>0.89500000000000002</v>
      </c>
      <c r="J21" s="1588">
        <f>'Att 9b - 2019 True-up'!J21</f>
        <v>0</v>
      </c>
      <c r="K21" s="1588">
        <f>'Att 9b - 2019 True-up'!K21</f>
        <v>0.182</v>
      </c>
      <c r="L21" s="1588">
        <f>'Att 9b - 2019 True-up'!L21</f>
        <v>17.09</v>
      </c>
      <c r="M21" s="1588">
        <f>'Att 9b - 2019 True-up'!M21</f>
        <v>13.906000000000001</v>
      </c>
      <c r="N21" s="1588">
        <f>'Att 9b - 2019 True-up'!N21</f>
        <v>9.7929999999999993</v>
      </c>
      <c r="O21" s="1588">
        <f>'Att 9b - 2019 True-up'!O21</f>
        <v>43.64</v>
      </c>
      <c r="P21" s="1588">
        <f>'Att 9b - 2019 True-up'!P21</f>
        <v>5.0000000000000001E-3</v>
      </c>
      <c r="Q21" s="1588">
        <f>'Att 9b - 2019 True-up'!Q21</f>
        <v>7.0000000000000001E-3</v>
      </c>
      <c r="R21" s="1588">
        <f>'Att 9b - 2019 True-up'!R21</f>
        <v>32.604999999999997</v>
      </c>
      <c r="S21" s="1588">
        <f>'Att 9b - 2019 True-up'!S21</f>
        <v>0.71599999999999997</v>
      </c>
      <c r="T21" s="1588">
        <f>'Att 9b - 2019 True-up'!T21</f>
        <v>290.964</v>
      </c>
      <c r="U21" s="1588">
        <f>'Att 9b - 2019 True-up'!U21</f>
        <v>65.626000000000005</v>
      </c>
      <c r="V21" s="1588">
        <f>'Att 9b - 2019 True-up'!V21</f>
        <v>8.3000000000000004E-2</v>
      </c>
      <c r="W21" s="1588">
        <f>'Att 9b - 2019 True-up'!W21</f>
        <v>2.6480000000000001</v>
      </c>
      <c r="X21" s="1588">
        <f>'Att 9b - 2019 True-up'!X21</f>
        <v>0.23499999999999999</v>
      </c>
      <c r="Y21" s="1502">
        <f t="shared" si="0"/>
        <v>510.78500000000003</v>
      </c>
      <c r="Z21" s="1465"/>
    </row>
    <row r="22" spans="1:26" ht="16.5" thickBot="1">
      <c r="A22" s="1465"/>
      <c r="B22" s="1515" t="s">
        <v>115</v>
      </c>
      <c r="C22" s="1592"/>
      <c r="D22" s="1593"/>
      <c r="E22" s="1517">
        <f t="shared" ref="E22:V22" si="1">SUM(E10:E21)</f>
        <v>103343.929</v>
      </c>
      <c r="F22" s="2241">
        <f t="shared" si="1"/>
        <v>69.393000000000001</v>
      </c>
      <c r="G22" s="2242">
        <f t="shared" si="1"/>
        <v>40.632999999999996</v>
      </c>
      <c r="H22" s="2242">
        <f t="shared" si="1"/>
        <v>260.88499999999999</v>
      </c>
      <c r="I22" s="2242">
        <f t="shared" si="1"/>
        <v>10.126999999999999</v>
      </c>
      <c r="J22" s="2242">
        <f t="shared" si="1"/>
        <v>1.292</v>
      </c>
      <c r="K22" s="2242">
        <f t="shared" si="1"/>
        <v>0.53499999999999992</v>
      </c>
      <c r="L22" s="2242">
        <f t="shared" si="1"/>
        <v>197.38499999999999</v>
      </c>
      <c r="M22" s="2242">
        <f t="shared" si="1"/>
        <v>184.70500000000001</v>
      </c>
      <c r="N22" s="2242">
        <f t="shared" si="1"/>
        <v>123.82500000000002</v>
      </c>
      <c r="O22" s="2242">
        <f t="shared" si="1"/>
        <v>560.82999999999993</v>
      </c>
      <c r="P22" s="2242">
        <f t="shared" si="1"/>
        <v>3.0939999999999999</v>
      </c>
      <c r="Q22" s="2242">
        <f t="shared" si="1"/>
        <v>14.434999999999999</v>
      </c>
      <c r="R22" s="2242">
        <f t="shared" si="1"/>
        <v>382.54200000000003</v>
      </c>
      <c r="S22" s="2242">
        <f t="shared" si="1"/>
        <v>8.4809999999999999</v>
      </c>
      <c r="T22" s="2242">
        <f t="shared" si="1"/>
        <v>2699.3540000000003</v>
      </c>
      <c r="U22" s="2242">
        <f t="shared" si="1"/>
        <v>1120.4870000000001</v>
      </c>
      <c r="V22" s="2242">
        <f t="shared" si="1"/>
        <v>1.0609999999999999</v>
      </c>
      <c r="W22" s="2242">
        <f t="shared" ref="W22:X22" si="2">SUM(W10:W21)</f>
        <v>27.435000000000002</v>
      </c>
      <c r="X22" s="2242">
        <f t="shared" si="2"/>
        <v>0.23499999999999999</v>
      </c>
      <c r="Y22" s="1517">
        <f t="shared" si="0"/>
        <v>5706.7340000000004</v>
      </c>
      <c r="Z22" s="1465"/>
    </row>
    <row r="23" spans="1:26" ht="15.75">
      <c r="A23" s="1460"/>
      <c r="B23" s="1460"/>
      <c r="C23" s="1572"/>
      <c r="D23" s="1460"/>
      <c r="E23" s="1465"/>
      <c r="F23" s="1465"/>
      <c r="G23" s="1465"/>
      <c r="H23" s="1465"/>
      <c r="I23" s="1465"/>
      <c r="J23" s="1465"/>
      <c r="K23" s="1465"/>
      <c r="L23" s="1465"/>
      <c r="M23" s="1465"/>
      <c r="N23" s="1465"/>
      <c r="O23" s="1465"/>
      <c r="P23" s="1465"/>
      <c r="Q23" s="1465"/>
      <c r="R23" s="1465"/>
      <c r="S23" s="1465"/>
      <c r="T23" s="1465"/>
      <c r="U23" s="1465"/>
      <c r="V23" s="1465"/>
      <c r="W23" s="1465"/>
      <c r="X23" s="1465"/>
      <c r="Y23" s="1465"/>
    </row>
    <row r="24" spans="1:26" ht="15.75">
      <c r="A24" s="1460"/>
      <c r="B24" s="1460"/>
      <c r="C24" s="1572"/>
      <c r="D24" s="1460"/>
      <c r="E24" s="1465"/>
      <c r="F24" s="1465"/>
      <c r="G24" s="1465"/>
      <c r="H24" s="1465"/>
      <c r="I24" s="1465"/>
      <c r="J24" s="1465"/>
      <c r="K24" s="1465"/>
      <c r="L24" s="1465"/>
      <c r="M24" s="1465"/>
      <c r="N24" s="1465"/>
      <c r="O24" s="1465"/>
      <c r="P24" s="1465"/>
      <c r="Q24" s="1465"/>
      <c r="R24" s="1465"/>
      <c r="S24" s="1465"/>
      <c r="T24" s="1465"/>
      <c r="U24" s="1465"/>
      <c r="V24" s="1465"/>
      <c r="W24" s="1465"/>
      <c r="X24" s="1465"/>
      <c r="Y24" s="1465"/>
    </row>
    <row r="25" spans="1:26" ht="16.5" thickBot="1">
      <c r="A25" s="1460"/>
      <c r="B25" s="1460"/>
      <c r="C25" s="1572"/>
      <c r="D25" s="1460"/>
      <c r="E25" s="1465"/>
      <c r="F25" s="1465"/>
      <c r="G25" s="1465"/>
      <c r="H25" s="1465"/>
      <c r="I25" s="1465"/>
      <c r="J25" s="1465"/>
      <c r="K25" s="1465"/>
      <c r="L25" s="1465"/>
      <c r="M25" s="1465"/>
      <c r="N25" s="1465"/>
      <c r="O25" s="1465"/>
      <c r="P25" s="1465"/>
      <c r="Q25" s="1465"/>
      <c r="R25" s="1465"/>
      <c r="S25" s="1465"/>
      <c r="T25" s="1465"/>
      <c r="U25" s="1465"/>
      <c r="V25" s="1465"/>
      <c r="W25" s="1465"/>
      <c r="X25" s="1465"/>
      <c r="Y25" s="1465"/>
    </row>
    <row r="26" spans="1:26" ht="16.5" thickBot="1">
      <c r="A26" s="1460"/>
      <c r="B26" s="1469"/>
      <c r="C26" s="1595"/>
      <c r="D26" s="1596"/>
      <c r="E26" s="2474" t="s">
        <v>1349</v>
      </c>
      <c r="F26" s="2475"/>
      <c r="G26" s="2475"/>
      <c r="H26" s="2475"/>
      <c r="I26" s="2475"/>
      <c r="J26" s="2476"/>
      <c r="K26" s="1460"/>
      <c r="L26" s="1460"/>
      <c r="M26" s="1460"/>
      <c r="N26" s="1460"/>
      <c r="O26" s="1460"/>
      <c r="P26" s="1460"/>
      <c r="Q26" s="1460"/>
      <c r="R26" s="1460"/>
      <c r="S26" s="1460"/>
      <c r="T26" s="1460"/>
      <c r="U26" s="1460"/>
      <c r="V26" s="1460"/>
      <c r="W26" s="1460"/>
      <c r="X26" s="1460"/>
      <c r="Y26" s="1460"/>
    </row>
    <row r="27" spans="1:26" ht="16.5" thickBot="1">
      <c r="A27" s="1460"/>
      <c r="B27" s="1490" t="s">
        <v>912</v>
      </c>
      <c r="C27" s="1571"/>
      <c r="D27" s="1597"/>
      <c r="E27" s="1474" t="s">
        <v>1369</v>
      </c>
      <c r="F27" s="1475" t="s">
        <v>1370</v>
      </c>
      <c r="G27" s="1475" t="s">
        <v>1371</v>
      </c>
      <c r="H27" s="1475" t="s">
        <v>1372</v>
      </c>
      <c r="I27" s="1477" t="s">
        <v>1435</v>
      </c>
      <c r="J27" s="1476" t="s">
        <v>1373</v>
      </c>
      <c r="K27" s="1460"/>
      <c r="L27" s="1460"/>
      <c r="M27" s="1460"/>
      <c r="N27" s="1460"/>
      <c r="O27" s="1460"/>
      <c r="P27" s="1460"/>
      <c r="Q27" s="1460"/>
      <c r="R27" s="1460"/>
      <c r="S27" s="1460"/>
      <c r="T27" s="1460"/>
      <c r="U27" s="1460"/>
      <c r="V27" s="1460"/>
      <c r="W27" s="1460"/>
      <c r="X27" s="1460"/>
      <c r="Y27" s="1460"/>
    </row>
    <row r="28" spans="1:26" ht="50.25" customHeight="1">
      <c r="A28" s="1460"/>
      <c r="B28" s="1478" t="s">
        <v>1374</v>
      </c>
      <c r="C28" s="1478"/>
      <c r="D28" s="1575"/>
      <c r="E28" s="1480" t="str">
        <f>'Att 9b - 2019 True-up'!AA7</f>
        <v>UAMPS</v>
      </c>
      <c r="F28" s="1481" t="str">
        <f>'Att 9b - 2019 True-up'!AB7</f>
        <v>UMPA</v>
      </c>
      <c r="G28" s="1481" t="str">
        <f>'Att 9b - 2019 True-up'!AC7</f>
        <v>Deseret</v>
      </c>
      <c r="H28" s="1481" t="str">
        <f>'Att 9b - 2019 True-up'!AD7</f>
        <v>Western Area Power Administration</v>
      </c>
      <c r="I28" s="1481"/>
      <c r="J28" s="1484"/>
      <c r="K28" s="1460"/>
      <c r="L28" s="1460"/>
      <c r="M28" s="1460"/>
      <c r="N28" s="1460"/>
      <c r="O28" s="1460"/>
      <c r="P28" s="1460"/>
      <c r="Q28" s="1460"/>
      <c r="R28" s="1460"/>
      <c r="S28" s="1460"/>
      <c r="T28" s="1460"/>
      <c r="U28" s="1460"/>
      <c r="V28" s="1460"/>
      <c r="W28" s="1460"/>
      <c r="X28" s="1460"/>
      <c r="Y28" s="1460"/>
    </row>
    <row r="29" spans="1:26" ht="15.75">
      <c r="A29" s="1460"/>
      <c r="B29" s="1485" t="s">
        <v>1379</v>
      </c>
      <c r="C29" s="1485"/>
      <c r="D29" s="1578"/>
      <c r="E29" s="1487" t="str">
        <f>'Att 9b - 2019 True-up'!AA8</f>
        <v>OS</v>
      </c>
      <c r="F29" s="1483" t="str">
        <f>'Att 9b - 2019 True-up'!AB8</f>
        <v>OS</v>
      </c>
      <c r="G29" s="1483" t="str">
        <f>'Att 9b - 2019 True-up'!AC8</f>
        <v>OS</v>
      </c>
      <c r="H29" s="1483" t="str">
        <f>'Att 9b - 2019 True-up'!AD8</f>
        <v>OS</v>
      </c>
      <c r="I29" s="1483"/>
      <c r="J29" s="1484" t="s">
        <v>1384</v>
      </c>
      <c r="K29" s="1460"/>
      <c r="L29" s="1460"/>
      <c r="M29" s="1460"/>
      <c r="N29" s="1460"/>
      <c r="O29" s="1460"/>
      <c r="P29" s="1460"/>
      <c r="Q29" s="1460"/>
      <c r="R29" s="1460"/>
      <c r="S29" s="1460"/>
      <c r="T29" s="1460"/>
      <c r="U29" s="1460"/>
      <c r="V29" s="1460"/>
      <c r="W29" s="1460"/>
      <c r="X29" s="1460"/>
      <c r="Y29" s="1460"/>
    </row>
    <row r="30" spans="1:26" ht="16.5" thickBot="1">
      <c r="A30" s="1460"/>
      <c r="B30" s="1490" t="s">
        <v>1385</v>
      </c>
      <c r="C30" s="1581" t="s">
        <v>1430</v>
      </c>
      <c r="D30" s="1581" t="s">
        <v>1431</v>
      </c>
      <c r="E30" s="1492" t="str">
        <f>'Att 9b - 2019 True-up'!AA9</f>
        <v>RS 297</v>
      </c>
      <c r="F30" s="1493" t="str">
        <f>'Att 9b - 2019 True-up'!AB9</f>
        <v>RS 637</v>
      </c>
      <c r="G30" s="1493" t="str">
        <f>'Att 9b - 2019 True-up'!AC9</f>
        <v>RS 280</v>
      </c>
      <c r="H30" s="1493" t="str">
        <f>'Att 9b - 2019 True-up'!AD9</f>
        <v>RS 262/263</v>
      </c>
      <c r="I30" s="1493"/>
      <c r="J30" s="1496"/>
      <c r="K30" s="1460"/>
      <c r="L30" s="1460"/>
      <c r="M30" s="1460"/>
      <c r="N30" s="1460"/>
      <c r="O30" s="1460"/>
      <c r="P30" s="1460"/>
      <c r="Q30" s="1460"/>
      <c r="R30" s="1460"/>
      <c r="S30" s="1460"/>
      <c r="T30" s="1460"/>
      <c r="U30" s="1460"/>
      <c r="V30" s="1460"/>
      <c r="W30" s="1460"/>
      <c r="X30" s="1460"/>
      <c r="Y30" s="1460"/>
    </row>
    <row r="31" spans="1:26" ht="15.75">
      <c r="A31" s="1460"/>
      <c r="B31" s="1472" t="s">
        <v>1226</v>
      </c>
      <c r="C31" s="1584">
        <f t="shared" ref="C31:D42" si="3">C10</f>
        <v>2</v>
      </c>
      <c r="D31" s="2318">
        <f t="shared" si="3"/>
        <v>0.375</v>
      </c>
      <c r="E31" s="1499">
        <f>'Att 9b - 2019 True-up'!AA10</f>
        <v>407.613</v>
      </c>
      <c r="F31" s="1500">
        <f>'Att 9b - 2019 True-up'!AB10</f>
        <v>63.523000000000003</v>
      </c>
      <c r="G31" s="1500">
        <f>'Att 9b - 2019 True-up'!AC10</f>
        <v>148.273</v>
      </c>
      <c r="H31" s="1500">
        <f>'Att 9b - 2019 True-up'!AD10</f>
        <v>324</v>
      </c>
      <c r="I31" s="1501"/>
      <c r="J31" s="1502">
        <f t="shared" ref="J31:J42" si="4">SUM(E31:I31)</f>
        <v>943.40899999999999</v>
      </c>
      <c r="K31" s="1460"/>
      <c r="L31" s="1460"/>
      <c r="M31" s="1460"/>
      <c r="N31" s="1460"/>
      <c r="O31" s="1460"/>
      <c r="P31" s="1460"/>
      <c r="Q31" s="1460"/>
      <c r="R31" s="1565"/>
      <c r="S31" s="1460"/>
      <c r="T31" s="1566"/>
      <c r="U31" s="1460"/>
      <c r="V31" s="1460"/>
      <c r="W31" s="1460"/>
      <c r="X31" s="1460"/>
      <c r="Y31" s="1460"/>
    </row>
    <row r="32" spans="1:26" ht="15.75">
      <c r="A32" s="1460"/>
      <c r="B32" s="1472" t="s">
        <v>1227</v>
      </c>
      <c r="C32" s="1584">
        <f t="shared" si="3"/>
        <v>7</v>
      </c>
      <c r="D32" s="2318">
        <f t="shared" si="3"/>
        <v>0.33333333333333331</v>
      </c>
      <c r="E32" s="1506">
        <f>'Att 9b - 2019 True-up'!AA11</f>
        <v>382.96100000000001</v>
      </c>
      <c r="F32" s="1507">
        <f>'Att 9b - 2019 True-up'!AB11</f>
        <v>63.997999999999998</v>
      </c>
      <c r="G32" s="1507">
        <f>'Att 9b - 2019 True-up'!AC11</f>
        <v>81.326999999999998</v>
      </c>
      <c r="H32" s="1507">
        <f>'Att 9b - 2019 True-up'!AD11</f>
        <v>340</v>
      </c>
      <c r="I32" s="1508"/>
      <c r="J32" s="1502">
        <f t="shared" si="4"/>
        <v>868.28600000000006</v>
      </c>
      <c r="K32" s="1460"/>
      <c r="L32" s="1460"/>
      <c r="M32" s="1460"/>
      <c r="N32" s="1460"/>
      <c r="O32" s="1460"/>
      <c r="P32" s="1460"/>
      <c r="Q32" s="1460"/>
      <c r="R32" s="1565"/>
      <c r="S32" s="1460"/>
      <c r="T32" s="1460"/>
      <c r="U32" s="1460"/>
      <c r="V32" s="1460"/>
      <c r="W32" s="1460"/>
      <c r="X32" s="1460"/>
      <c r="Y32" s="1460"/>
    </row>
    <row r="33" spans="1:25" ht="15.75">
      <c r="A33" s="1460"/>
      <c r="B33" s="1472" t="s">
        <v>1024</v>
      </c>
      <c r="C33" s="1584">
        <f t="shared" si="3"/>
        <v>4</v>
      </c>
      <c r="D33" s="2318">
        <f t="shared" si="3"/>
        <v>0.33333333333333331</v>
      </c>
      <c r="E33" s="1506">
        <f>'Att 9b - 2019 True-up'!AA12</f>
        <v>313.50900000000001</v>
      </c>
      <c r="F33" s="1507">
        <f>'Att 9b - 2019 True-up'!AB12</f>
        <v>33.095999999999997</v>
      </c>
      <c r="G33" s="1507">
        <f>'Att 9b - 2019 True-up'!AC12</f>
        <v>57.692999999999998</v>
      </c>
      <c r="H33" s="1507">
        <f>'Att 9b - 2019 True-up'!AD12</f>
        <v>320</v>
      </c>
      <c r="I33" s="1508"/>
      <c r="J33" s="1502">
        <f t="shared" si="4"/>
        <v>724.298</v>
      </c>
      <c r="K33" s="1460"/>
      <c r="L33" s="1460"/>
      <c r="M33" s="1460"/>
      <c r="N33" s="1460"/>
      <c r="O33" s="1460"/>
      <c r="P33" s="1460"/>
      <c r="Q33" s="1460"/>
      <c r="R33" s="1460"/>
      <c r="S33" s="1460"/>
      <c r="T33" s="1460"/>
      <c r="U33" s="1460"/>
      <c r="V33" s="1460"/>
      <c r="W33" s="1460"/>
      <c r="X33" s="1460"/>
      <c r="Y33" s="1460"/>
    </row>
    <row r="34" spans="1:25" ht="15.75">
      <c r="A34" s="1460"/>
      <c r="B34" s="1472" t="s">
        <v>1025</v>
      </c>
      <c r="C34" s="1584">
        <f t="shared" si="3"/>
        <v>10</v>
      </c>
      <c r="D34" s="2318">
        <f t="shared" si="3"/>
        <v>0.33333333333333331</v>
      </c>
      <c r="E34" s="1506">
        <f>'Att 9b - 2019 True-up'!AA13</f>
        <v>338.38499999999999</v>
      </c>
      <c r="F34" s="1507">
        <f>'Att 9b - 2019 True-up'!AB13</f>
        <v>17.893000000000001</v>
      </c>
      <c r="G34" s="1507">
        <f>'Att 9b - 2019 True-up'!AC13</f>
        <v>60.143999999999998</v>
      </c>
      <c r="H34" s="1507">
        <f>'Att 9b - 2019 True-up'!AD13</f>
        <v>290</v>
      </c>
      <c r="I34" s="1508"/>
      <c r="J34" s="1502">
        <f t="shared" si="4"/>
        <v>706.42200000000003</v>
      </c>
      <c r="K34" s="1460"/>
      <c r="L34" s="1460"/>
      <c r="M34" s="1460"/>
      <c r="N34" s="1460"/>
      <c r="O34" s="1460"/>
      <c r="P34" s="1460"/>
      <c r="Q34" s="1460"/>
      <c r="R34" s="1520"/>
      <c r="S34" s="1460"/>
      <c r="T34" s="1460"/>
      <c r="U34" s="1460"/>
      <c r="V34" s="1460"/>
      <c r="W34" s="1460"/>
      <c r="X34" s="1460"/>
      <c r="Y34" s="1460"/>
    </row>
    <row r="35" spans="1:25" ht="15.75">
      <c r="A35" s="1460"/>
      <c r="B35" s="1472" t="s">
        <v>1026</v>
      </c>
      <c r="C35" s="1584">
        <f t="shared" si="3"/>
        <v>13</v>
      </c>
      <c r="D35" s="2318">
        <f t="shared" si="3"/>
        <v>0.75</v>
      </c>
      <c r="E35" s="1506">
        <f>'Att 9b - 2019 True-up'!AA14</f>
        <v>405.12900000000002</v>
      </c>
      <c r="F35" s="1507">
        <f>'Att 9b - 2019 True-up'!AB14</f>
        <v>32.351999999999997</v>
      </c>
      <c r="G35" s="1507">
        <f>'Att 9b - 2019 True-up'!AC14</f>
        <v>98.933999999999997</v>
      </c>
      <c r="H35" s="1507">
        <f>'Att 9b - 2019 True-up'!AD14</f>
        <v>295</v>
      </c>
      <c r="I35" s="1508"/>
      <c r="J35" s="1502">
        <f t="shared" si="4"/>
        <v>831.41499999999996</v>
      </c>
      <c r="K35" s="1460"/>
      <c r="L35" s="1460"/>
      <c r="M35" s="1460"/>
      <c r="N35" s="1460"/>
      <c r="O35" s="1460"/>
      <c r="P35" s="1460"/>
      <c r="Q35" s="1460"/>
      <c r="R35" s="1566"/>
      <c r="S35" s="1460"/>
      <c r="T35" s="1460"/>
      <c r="U35" s="1460"/>
      <c r="V35" s="1460"/>
      <c r="W35" s="1460"/>
      <c r="X35" s="1460"/>
      <c r="Y35" s="1460"/>
    </row>
    <row r="36" spans="1:25" ht="15.75">
      <c r="A36" s="1460"/>
      <c r="B36" s="1472" t="s">
        <v>1230</v>
      </c>
      <c r="C36" s="1584">
        <f t="shared" si="3"/>
        <v>28</v>
      </c>
      <c r="D36" s="2318">
        <f t="shared" si="3"/>
        <v>0.75</v>
      </c>
      <c r="E36" s="1506">
        <f>'Att 9b - 2019 True-up'!AA15</f>
        <v>616.85599999999999</v>
      </c>
      <c r="F36" s="1507">
        <f>'Att 9b - 2019 True-up'!AB15</f>
        <v>95.206000000000003</v>
      </c>
      <c r="G36" s="1507">
        <f>'Att 9b - 2019 True-up'!AC15</f>
        <v>120.69499999999999</v>
      </c>
      <c r="H36" s="1507">
        <f>'Att 9b - 2019 True-up'!AD15</f>
        <v>317</v>
      </c>
      <c r="I36" s="1508"/>
      <c r="J36" s="1502">
        <f t="shared" si="4"/>
        <v>1149.7570000000001</v>
      </c>
      <c r="K36" s="1460"/>
      <c r="L36" s="1460"/>
      <c r="M36" s="1460"/>
      <c r="N36" s="1460"/>
      <c r="O36" s="1460"/>
      <c r="P36" s="1460"/>
      <c r="Q36" s="1460"/>
      <c r="R36" s="1460"/>
      <c r="S36" s="1460"/>
      <c r="T36" s="1460"/>
      <c r="U36" s="1460"/>
      <c r="V36" s="1460"/>
      <c r="W36" s="1460"/>
      <c r="X36" s="1460"/>
      <c r="Y36" s="1460"/>
    </row>
    <row r="37" spans="1:25" ht="15.75">
      <c r="A37" s="1460"/>
      <c r="B37" s="1472" t="s">
        <v>1390</v>
      </c>
      <c r="C37" s="1584">
        <f t="shared" si="3"/>
        <v>22</v>
      </c>
      <c r="D37" s="2318">
        <f t="shared" si="3"/>
        <v>0.70833333333333337</v>
      </c>
      <c r="E37" s="1506">
        <f>'Att 9b - 2019 True-up'!AA16</f>
        <v>771.96499999999992</v>
      </c>
      <c r="F37" s="1507">
        <f>'Att 9b - 2019 True-up'!AB16</f>
        <v>150.96700000000001</v>
      </c>
      <c r="G37" s="1507">
        <f>'Att 9b - 2019 True-up'!AC16</f>
        <v>147.77000000000001</v>
      </c>
      <c r="H37" s="1507">
        <f>'Att 9b - 2019 True-up'!AD16</f>
        <v>318</v>
      </c>
      <c r="I37" s="1508"/>
      <c r="J37" s="1502">
        <f t="shared" si="4"/>
        <v>1388.702</v>
      </c>
      <c r="K37" s="1460"/>
      <c r="L37" s="1460"/>
      <c r="M37" s="1460"/>
      <c r="N37" s="1460"/>
      <c r="O37" s="1460"/>
      <c r="P37" s="1460"/>
      <c r="Q37" s="1460"/>
      <c r="R37" s="1460"/>
      <c r="S37" s="1460"/>
      <c r="T37" s="1460"/>
      <c r="U37" s="1460"/>
      <c r="V37" s="1460"/>
      <c r="W37" s="1460"/>
      <c r="X37" s="1460"/>
      <c r="Y37" s="1460"/>
    </row>
    <row r="38" spans="1:25" ht="15.75">
      <c r="A38" s="1460"/>
      <c r="B38" s="1472" t="s">
        <v>1232</v>
      </c>
      <c r="C38" s="1584">
        <f t="shared" si="3"/>
        <v>5</v>
      </c>
      <c r="D38" s="2318">
        <f t="shared" si="3"/>
        <v>0.70833333333333337</v>
      </c>
      <c r="E38" s="1506">
        <f>'Att 9b - 2019 True-up'!AA17</f>
        <v>805.29100000000005</v>
      </c>
      <c r="F38" s="1507">
        <f>'Att 9b - 2019 True-up'!AB17</f>
        <v>152.48599999999999</v>
      </c>
      <c r="G38" s="1507">
        <f>'Att 9b - 2019 True-up'!AC17</f>
        <v>86.76</v>
      </c>
      <c r="H38" s="1507">
        <f>'Att 9b - 2019 True-up'!AD17</f>
        <v>318</v>
      </c>
      <c r="I38" s="1508"/>
      <c r="J38" s="1502">
        <f t="shared" si="4"/>
        <v>1362.537</v>
      </c>
      <c r="K38" s="1460"/>
      <c r="L38" s="1460"/>
      <c r="M38" s="1460"/>
      <c r="N38" s="1460"/>
      <c r="O38" s="1460"/>
      <c r="P38" s="1460"/>
      <c r="Q38" s="1460"/>
      <c r="R38" s="1460"/>
      <c r="S38" s="1460"/>
      <c r="T38" s="1460"/>
      <c r="U38" s="1460"/>
      <c r="V38" s="1460"/>
      <c r="W38" s="1460"/>
      <c r="X38" s="1460"/>
      <c r="Y38" s="1460"/>
    </row>
    <row r="39" spans="1:25" ht="15.75">
      <c r="A39" s="1460"/>
      <c r="B39" s="1472" t="s">
        <v>1391</v>
      </c>
      <c r="C39" s="1584">
        <f t="shared" si="3"/>
        <v>5</v>
      </c>
      <c r="D39" s="2318">
        <f t="shared" si="3"/>
        <v>0.70833333333333337</v>
      </c>
      <c r="E39" s="1506">
        <f>'Att 9b - 2019 True-up'!AA18</f>
        <v>758.15200000000004</v>
      </c>
      <c r="F39" s="1507">
        <f>'Att 9b - 2019 True-up'!AB18</f>
        <v>165.869</v>
      </c>
      <c r="G39" s="1507">
        <f>'Att 9b - 2019 True-up'!AC18</f>
        <v>92.82</v>
      </c>
      <c r="H39" s="1507">
        <f>'Att 9b - 2019 True-up'!AD18</f>
        <v>288</v>
      </c>
      <c r="I39" s="1508"/>
      <c r="J39" s="1502">
        <f t="shared" si="4"/>
        <v>1304.8410000000001</v>
      </c>
      <c r="K39" s="1460"/>
      <c r="L39" s="1460"/>
      <c r="M39" s="1460"/>
      <c r="N39" s="1460"/>
      <c r="O39" s="1460"/>
      <c r="P39" s="1460"/>
      <c r="Q39" s="1460"/>
      <c r="R39" s="1460"/>
      <c r="S39" s="1460"/>
      <c r="T39" s="1460"/>
      <c r="U39" s="1460"/>
      <c r="V39" s="1460"/>
      <c r="W39" s="1460"/>
      <c r="X39" s="1460"/>
      <c r="Y39" s="1460"/>
    </row>
    <row r="40" spans="1:25" ht="15.75">
      <c r="A40" s="1460"/>
      <c r="B40" s="1472" t="s">
        <v>1234</v>
      </c>
      <c r="C40" s="1584">
        <f t="shared" si="3"/>
        <v>30</v>
      </c>
      <c r="D40" s="2318">
        <f t="shared" si="3"/>
        <v>0.33333333333333331</v>
      </c>
      <c r="E40" s="1506">
        <f>'Att 9b - 2019 True-up'!AA19</f>
        <v>384.322</v>
      </c>
      <c r="F40" s="1507">
        <f>'Att 9b - 2019 True-up'!AB19</f>
        <v>43.625999999999998</v>
      </c>
      <c r="G40" s="1507">
        <f>'Att 9b - 2019 True-up'!AC19</f>
        <v>69.167000000000002</v>
      </c>
      <c r="H40" s="1507">
        <f>'Att 9b - 2019 True-up'!AD19</f>
        <v>334</v>
      </c>
      <c r="I40" s="1508"/>
      <c r="J40" s="1502">
        <f t="shared" si="4"/>
        <v>831.11500000000001</v>
      </c>
      <c r="K40" s="1460"/>
      <c r="L40" s="1460"/>
      <c r="M40" s="1460"/>
      <c r="N40" s="1460"/>
      <c r="O40" s="1460"/>
      <c r="P40" s="1460"/>
      <c r="Q40" s="1460"/>
      <c r="R40" s="1460"/>
      <c r="S40" s="1460"/>
      <c r="T40" s="1460"/>
      <c r="U40" s="1460"/>
      <c r="V40" s="1460"/>
      <c r="W40" s="1460"/>
      <c r="X40" s="1460"/>
      <c r="Y40" s="1460"/>
    </row>
    <row r="41" spans="1:25" ht="15.75">
      <c r="A41" s="1460"/>
      <c r="B41" s="1472" t="s">
        <v>1235</v>
      </c>
      <c r="C41" s="1584">
        <f t="shared" si="3"/>
        <v>26</v>
      </c>
      <c r="D41" s="2318">
        <f t="shared" si="3"/>
        <v>0.75</v>
      </c>
      <c r="E41" s="1506">
        <f>'Att 9b - 2019 True-up'!AA20</f>
        <v>431.18899999999996</v>
      </c>
      <c r="F41" s="1507">
        <f>'Att 9b - 2019 True-up'!AB20</f>
        <v>47.886000000000003</v>
      </c>
      <c r="G41" s="1507">
        <f>'Att 9b - 2019 True-up'!AC20</f>
        <v>74.197999999999993</v>
      </c>
      <c r="H41" s="1507">
        <f>'Att 9b - 2019 True-up'!AD20</f>
        <v>299</v>
      </c>
      <c r="I41" s="1508"/>
      <c r="J41" s="1502">
        <f t="shared" si="4"/>
        <v>852.27300000000002</v>
      </c>
      <c r="K41" s="1460"/>
      <c r="L41" s="1460"/>
      <c r="M41" s="1460"/>
      <c r="N41" s="1460"/>
      <c r="O41" s="1460"/>
      <c r="P41" s="1460"/>
      <c r="Q41" s="1460"/>
      <c r="R41" s="1460"/>
      <c r="S41" s="1460"/>
      <c r="T41" s="1460"/>
      <c r="U41" s="1460"/>
      <c r="V41" s="1460"/>
      <c r="W41" s="1460"/>
      <c r="X41" s="1460"/>
      <c r="Y41" s="1460"/>
    </row>
    <row r="42" spans="1:25" ht="16.5" thickBot="1">
      <c r="A42" s="1460"/>
      <c r="B42" s="1490" t="s">
        <v>1236</v>
      </c>
      <c r="C42" s="2319">
        <f t="shared" si="3"/>
        <v>17</v>
      </c>
      <c r="D42" s="2320">
        <f t="shared" si="3"/>
        <v>0.75</v>
      </c>
      <c r="E42" s="1512">
        <f>'Att 9b - 2019 True-up'!AA21</f>
        <v>464.39800000000002</v>
      </c>
      <c r="F42" s="1513">
        <f>'Att 9b - 2019 True-up'!AB21</f>
        <v>60.265999999999998</v>
      </c>
      <c r="G42" s="1513">
        <f>'Att 9b - 2019 True-up'!AC21</f>
        <v>85.158000000000001</v>
      </c>
      <c r="H42" s="1513">
        <f>'Att 9b - 2019 True-up'!AD21</f>
        <v>314</v>
      </c>
      <c r="I42" s="1514"/>
      <c r="J42" s="1496">
        <f t="shared" si="4"/>
        <v>923.822</v>
      </c>
      <c r="K42" s="1460"/>
      <c r="L42" s="1460"/>
      <c r="M42" s="1460"/>
      <c r="N42" s="1460"/>
      <c r="O42" s="1460"/>
      <c r="P42" s="1460"/>
      <c r="Q42" s="1460"/>
      <c r="R42" s="1460"/>
      <c r="S42" s="1460"/>
      <c r="T42" s="1460"/>
      <c r="U42" s="1460"/>
      <c r="V42" s="1460"/>
      <c r="W42" s="1460"/>
      <c r="X42" s="1460"/>
      <c r="Y42" s="1460"/>
    </row>
    <row r="43" spans="1:25" ht="16.5" thickBot="1">
      <c r="A43" s="1460"/>
      <c r="B43" s="1515" t="s">
        <v>115</v>
      </c>
      <c r="C43" s="1592"/>
      <c r="D43" s="1593"/>
      <c r="E43" s="1518">
        <f t="shared" ref="E43:J43" si="5">SUM(E31:E42)</f>
        <v>6079.7700000000013</v>
      </c>
      <c r="F43" s="1519">
        <f t="shared" si="5"/>
        <v>927.16799999999989</v>
      </c>
      <c r="G43" s="1519">
        <f t="shared" si="5"/>
        <v>1122.9389999999999</v>
      </c>
      <c r="H43" s="1519">
        <f t="shared" si="5"/>
        <v>3757</v>
      </c>
      <c r="I43" s="1519">
        <f t="shared" si="5"/>
        <v>0</v>
      </c>
      <c r="J43" s="1496">
        <f t="shared" si="5"/>
        <v>11886.877</v>
      </c>
      <c r="K43" s="1460"/>
      <c r="L43" s="1460"/>
      <c r="M43" s="1460"/>
      <c r="N43" s="1460"/>
      <c r="O43" s="1460"/>
      <c r="P43" s="1460"/>
      <c r="Q43" s="1460"/>
      <c r="R43" s="1460"/>
      <c r="S43" s="1460"/>
      <c r="T43" s="1460"/>
      <c r="U43" s="1460"/>
      <c r="V43" s="1460"/>
      <c r="W43" s="1460"/>
      <c r="X43" s="1460"/>
      <c r="Y43" s="1460"/>
    </row>
  </sheetData>
  <mergeCells count="4">
    <mergeCell ref="B1:S1"/>
    <mergeCell ref="B2:S2"/>
    <mergeCell ref="E26:J26"/>
    <mergeCell ref="E5:Y5"/>
  </mergeCells>
  <pageMargins left="0.7" right="0.7" top="0.75" bottom="0.75" header="0.3" footer="0.3"/>
  <pageSetup scale="46"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3"/>
  <sheetViews>
    <sheetView workbookViewId="0">
      <selection activeCell="B1" sqref="B1:Y43"/>
    </sheetView>
  </sheetViews>
  <sheetFormatPr defaultRowHeight="15" outlineLevelCol="1"/>
  <cols>
    <col min="1" max="1" width="4.7109375" customWidth="1"/>
    <col min="2" max="2" width="14.28515625" customWidth="1"/>
    <col min="3" max="4" width="6" customWidth="1"/>
    <col min="5" max="7" width="11.5703125" customWidth="1"/>
    <col min="8" max="8" width="13.28515625" customWidth="1"/>
    <col min="9" max="20" width="11.5703125" customWidth="1"/>
    <col min="21" max="21" width="10.5703125" bestFit="1" customWidth="1"/>
    <col min="22" max="22" width="11.85546875" customWidth="1"/>
    <col min="23" max="23" width="10.5703125" customWidth="1"/>
    <col min="24" max="24" width="10.85546875" hidden="1" customWidth="1" outlineLevel="1"/>
    <col min="25" max="25" width="10.5703125" bestFit="1" customWidth="1" collapsed="1"/>
    <col min="26" max="26" width="11.5703125" bestFit="1" customWidth="1"/>
  </cols>
  <sheetData>
    <row r="1" spans="1:27" ht="15.75">
      <c r="A1" s="1598"/>
      <c r="B1" s="1599" t="s">
        <v>2</v>
      </c>
      <c r="C1" s="1600"/>
      <c r="D1" s="1599"/>
      <c r="E1" s="1601"/>
      <c r="F1" s="1601"/>
      <c r="G1" s="1601"/>
      <c r="H1" s="1601"/>
      <c r="I1" s="1601"/>
      <c r="J1" s="1601"/>
      <c r="K1" s="1601"/>
      <c r="L1" s="1601"/>
      <c r="M1" s="1601"/>
      <c r="N1" s="1601"/>
      <c r="O1" s="1601"/>
      <c r="P1" s="1601"/>
      <c r="Q1" s="1601"/>
      <c r="R1" s="1601"/>
      <c r="S1" s="1602"/>
      <c r="T1" s="1601"/>
      <c r="U1" s="1603"/>
      <c r="V1" s="1603"/>
      <c r="W1" s="1603"/>
      <c r="X1" s="1603"/>
      <c r="Y1" s="1603"/>
      <c r="Z1" s="1603"/>
    </row>
    <row r="2" spans="1:27" ht="15.75">
      <c r="A2" s="1598"/>
      <c r="B2" s="1599" t="s">
        <v>1432</v>
      </c>
      <c r="C2" s="1599"/>
      <c r="D2" s="1599"/>
      <c r="E2" s="1601"/>
      <c r="F2" s="1601"/>
      <c r="G2" s="1601"/>
      <c r="H2" s="1601"/>
      <c r="I2" s="1601"/>
      <c r="J2" s="1601"/>
      <c r="K2" s="1601"/>
      <c r="L2" s="1601"/>
      <c r="M2" s="1601"/>
      <c r="N2" s="1601"/>
      <c r="O2" s="1604"/>
      <c r="P2" s="1601"/>
      <c r="Q2" s="1601"/>
      <c r="R2" s="1601"/>
      <c r="S2" s="1602"/>
      <c r="T2" s="1601"/>
      <c r="U2" s="1603"/>
      <c r="V2" s="1603"/>
      <c r="W2" s="1603"/>
      <c r="X2" s="1603"/>
      <c r="Y2" s="1603"/>
      <c r="Z2" s="1603"/>
    </row>
    <row r="3" spans="1:27">
      <c r="A3" s="1598"/>
      <c r="B3" s="487"/>
      <c r="C3" s="487"/>
      <c r="D3" s="487"/>
      <c r="E3" s="487"/>
      <c r="F3" s="487"/>
      <c r="G3" s="487"/>
      <c r="H3" s="487"/>
      <c r="I3" s="487"/>
      <c r="J3" s="487"/>
      <c r="K3" s="1605">
        <v>2018</v>
      </c>
      <c r="L3" s="474"/>
      <c r="M3" s="1603"/>
      <c r="N3" s="487"/>
      <c r="O3" s="493"/>
      <c r="P3" s="487"/>
      <c r="Q3" s="487"/>
      <c r="R3" s="487"/>
      <c r="S3" s="487"/>
      <c r="T3" s="487"/>
      <c r="U3" s="1603"/>
      <c r="V3" s="1603"/>
      <c r="W3" s="1603"/>
      <c r="X3" s="1603"/>
      <c r="Y3" s="1603"/>
      <c r="Z3" s="1603"/>
    </row>
    <row r="4" spans="1:27" ht="16.5" thickBot="1">
      <c r="A4" s="1598"/>
      <c r="B4" s="1460"/>
      <c r="C4" s="1460"/>
      <c r="D4" s="1460"/>
      <c r="E4" s="1606"/>
      <c r="F4" s="1606"/>
      <c r="G4" s="1606"/>
      <c r="H4" s="1606"/>
      <c r="I4" s="1606"/>
      <c r="J4" s="1606"/>
      <c r="K4" s="1606"/>
      <c r="L4" s="1606"/>
      <c r="M4" s="1606"/>
      <c r="N4" s="1606"/>
      <c r="O4" s="1606"/>
      <c r="P4" s="1606"/>
      <c r="Q4" s="1606"/>
      <c r="R4" s="1606"/>
      <c r="S4" s="1565"/>
      <c r="T4" s="1606"/>
      <c r="U4" s="1603"/>
      <c r="V4" s="1603"/>
      <c r="W4" s="1603"/>
      <c r="X4" s="1603"/>
      <c r="Y4" s="1603"/>
      <c r="Z4" s="1603"/>
    </row>
    <row r="5" spans="1:27" ht="16.5" thickBot="1">
      <c r="A5" s="1598"/>
      <c r="B5" s="1469"/>
      <c r="C5" s="1595"/>
      <c r="D5" s="1596"/>
      <c r="E5" s="2477" t="s">
        <v>1429</v>
      </c>
      <c r="F5" s="2478"/>
      <c r="G5" s="2478"/>
      <c r="H5" s="2478"/>
      <c r="I5" s="2478"/>
      <c r="J5" s="2478"/>
      <c r="K5" s="2478"/>
      <c r="L5" s="2478"/>
      <c r="M5" s="2478"/>
      <c r="N5" s="2478"/>
      <c r="O5" s="2478"/>
      <c r="P5" s="2478"/>
      <c r="Q5" s="2478"/>
      <c r="R5" s="2478"/>
      <c r="S5" s="2478"/>
      <c r="T5" s="2471"/>
      <c r="U5" s="2471"/>
      <c r="V5" s="2471"/>
      <c r="W5" s="2471"/>
      <c r="X5" s="2471"/>
      <c r="Y5" s="2472"/>
      <c r="Z5" s="1603"/>
    </row>
    <row r="6" spans="1:27" ht="16.5" thickBot="1">
      <c r="A6" s="1598"/>
      <c r="B6" s="1490" t="s">
        <v>912</v>
      </c>
      <c r="C6" s="1571"/>
      <c r="D6" s="1597"/>
      <c r="E6" s="2214" t="s">
        <v>1350</v>
      </c>
      <c r="F6" s="1573" t="s">
        <v>1351</v>
      </c>
      <c r="G6" s="1574" t="s">
        <v>1352</v>
      </c>
      <c r="H6" s="1574" t="s">
        <v>1353</v>
      </c>
      <c r="I6" s="1574" t="s">
        <v>1354</v>
      </c>
      <c r="J6" s="1574" t="s">
        <v>1355</v>
      </c>
      <c r="K6" s="1574" t="s">
        <v>1356</v>
      </c>
      <c r="L6" s="1574" t="s">
        <v>1357</v>
      </c>
      <c r="M6" s="1574" t="s">
        <v>1358</v>
      </c>
      <c r="N6" s="1574" t="s">
        <v>1359</v>
      </c>
      <c r="O6" s="1574" t="s">
        <v>1360</v>
      </c>
      <c r="P6" s="1574" t="s">
        <v>1361</v>
      </c>
      <c r="Q6" s="1574" t="s">
        <v>1362</v>
      </c>
      <c r="R6" s="1574" t="s">
        <v>1363</v>
      </c>
      <c r="S6" s="1574" t="s">
        <v>1364</v>
      </c>
      <c r="T6" s="1574" t="s">
        <v>1365</v>
      </c>
      <c r="U6" s="1574" t="s">
        <v>1366</v>
      </c>
      <c r="V6" s="1574" t="s">
        <v>1367</v>
      </c>
      <c r="W6" s="1477" t="s">
        <v>1904</v>
      </c>
      <c r="X6" s="2297"/>
      <c r="Y6" s="1607" t="s">
        <v>1368</v>
      </c>
      <c r="Z6" s="1606"/>
      <c r="AA6" s="1603"/>
    </row>
    <row r="7" spans="1:27" ht="49.5" customHeight="1">
      <c r="A7" s="1598"/>
      <c r="B7" s="1575" t="s">
        <v>1374</v>
      </c>
      <c r="C7" s="1478"/>
      <c r="D7" s="1575"/>
      <c r="E7" s="1479" t="s">
        <v>2</v>
      </c>
      <c r="F7" s="1480" t="s">
        <v>2490</v>
      </c>
      <c r="G7" s="1481" t="s">
        <v>2491</v>
      </c>
      <c r="H7" s="1481" t="s">
        <v>2492</v>
      </c>
      <c r="I7" s="1481" t="s">
        <v>2493</v>
      </c>
      <c r="J7" s="1481" t="s">
        <v>2494</v>
      </c>
      <c r="K7" s="1481" t="s">
        <v>2495</v>
      </c>
      <c r="L7" s="1481" t="s">
        <v>2496</v>
      </c>
      <c r="M7" s="1481" t="s">
        <v>2497</v>
      </c>
      <c r="N7" s="1481" t="s">
        <v>2498</v>
      </c>
      <c r="O7" s="1481" t="s">
        <v>2499</v>
      </c>
      <c r="P7" s="1481" t="s">
        <v>2500</v>
      </c>
      <c r="Q7" s="1481" t="s">
        <v>2501</v>
      </c>
      <c r="R7" s="1481" t="s">
        <v>2502</v>
      </c>
      <c r="S7" s="1481" t="s">
        <v>2503</v>
      </c>
      <c r="T7" s="1481" t="s">
        <v>2504</v>
      </c>
      <c r="U7" s="1481" t="s">
        <v>2505</v>
      </c>
      <c r="V7" s="1481" t="s">
        <v>2506</v>
      </c>
      <c r="W7" s="2312" t="s">
        <v>2507</v>
      </c>
      <c r="X7" s="2248"/>
      <c r="Y7" s="1577"/>
      <c r="Z7" s="1606"/>
      <c r="AA7" s="1603"/>
    </row>
    <row r="8" spans="1:27" ht="15.75">
      <c r="A8" s="1598"/>
      <c r="B8" s="1578" t="s">
        <v>1379</v>
      </c>
      <c r="C8" s="1485"/>
      <c r="D8" s="1578"/>
      <c r="E8" s="1486" t="s">
        <v>1380</v>
      </c>
      <c r="F8" s="1608" t="s">
        <v>1381</v>
      </c>
      <c r="G8" s="1579" t="s">
        <v>1381</v>
      </c>
      <c r="H8" s="1579" t="s">
        <v>1381</v>
      </c>
      <c r="I8" s="1579" t="s">
        <v>1381</v>
      </c>
      <c r="J8" s="1579" t="s">
        <v>1381</v>
      </c>
      <c r="K8" s="1579" t="s">
        <v>1381</v>
      </c>
      <c r="L8" s="1579" t="s">
        <v>1381</v>
      </c>
      <c r="M8" s="1579" t="s">
        <v>1381</v>
      </c>
      <c r="N8" s="1579" t="s">
        <v>1381</v>
      </c>
      <c r="O8" s="1579" t="s">
        <v>1381</v>
      </c>
      <c r="P8" s="1579" t="s">
        <v>1381</v>
      </c>
      <c r="Q8" s="1579" t="s">
        <v>1381</v>
      </c>
      <c r="R8" s="1579" t="s">
        <v>1381</v>
      </c>
      <c r="S8" s="1579" t="s">
        <v>1381</v>
      </c>
      <c r="T8" s="1579" t="s">
        <v>1381</v>
      </c>
      <c r="U8" s="1579" t="s">
        <v>1381</v>
      </c>
      <c r="V8" s="1579" t="s">
        <v>1381</v>
      </c>
      <c r="W8" s="2260" t="s">
        <v>1381</v>
      </c>
      <c r="X8" s="2260"/>
      <c r="Y8" s="1580" t="s">
        <v>1382</v>
      </c>
      <c r="Z8" s="1606"/>
      <c r="AA8" s="1603"/>
    </row>
    <row r="9" spans="1:27" ht="16.5" thickBot="1">
      <c r="A9" s="1598"/>
      <c r="B9" s="1609" t="s">
        <v>1385</v>
      </c>
      <c r="C9" s="1581" t="s">
        <v>1430</v>
      </c>
      <c r="D9" s="1581" t="s">
        <v>1431</v>
      </c>
      <c r="E9" s="2259"/>
      <c r="F9" s="1492" t="s">
        <v>2510</v>
      </c>
      <c r="G9" s="1493" t="s">
        <v>2511</v>
      </c>
      <c r="H9" s="1493" t="s">
        <v>2512</v>
      </c>
      <c r="I9" s="1493" t="s">
        <v>2513</v>
      </c>
      <c r="J9" s="1493" t="s">
        <v>2514</v>
      </c>
      <c r="K9" s="1493" t="s">
        <v>2515</v>
      </c>
      <c r="L9" s="1493" t="s">
        <v>2516</v>
      </c>
      <c r="M9" s="1493" t="s">
        <v>2517</v>
      </c>
      <c r="N9" s="1493" t="s">
        <v>2518</v>
      </c>
      <c r="O9" s="1493" t="s">
        <v>2519</v>
      </c>
      <c r="P9" s="1493" t="s">
        <v>2520</v>
      </c>
      <c r="Q9" s="1493" t="s">
        <v>2521</v>
      </c>
      <c r="R9" s="1493" t="s">
        <v>2522</v>
      </c>
      <c r="S9" s="1493" t="s">
        <v>2523</v>
      </c>
      <c r="T9" s="1493" t="s">
        <v>2524</v>
      </c>
      <c r="U9" s="1493" t="s">
        <v>2525</v>
      </c>
      <c r="V9" s="1493" t="s">
        <v>2526</v>
      </c>
      <c r="W9" s="1493" t="s">
        <v>2527</v>
      </c>
      <c r="X9" s="1494"/>
      <c r="Y9" s="1583"/>
      <c r="Z9" s="1606"/>
      <c r="AA9" s="1603"/>
    </row>
    <row r="10" spans="1:27" ht="15.75">
      <c r="A10" s="1598"/>
      <c r="B10" s="1610" t="s">
        <v>1226</v>
      </c>
      <c r="C10" s="1584">
        <v>2</v>
      </c>
      <c r="D10" s="2244">
        <v>0.75</v>
      </c>
      <c r="E10" s="1504">
        <v>8164.088999999999</v>
      </c>
      <c r="F10" s="1587">
        <v>6.25</v>
      </c>
      <c r="G10" s="1588">
        <v>3.206</v>
      </c>
      <c r="H10" s="1588">
        <v>26.219000000000001</v>
      </c>
      <c r="I10" s="1588">
        <v>1.097</v>
      </c>
      <c r="J10" s="1588">
        <v>0</v>
      </c>
      <c r="K10" s="1588">
        <v>0.16499999999999998</v>
      </c>
      <c r="L10" s="1588">
        <v>15.654</v>
      </c>
      <c r="M10" s="1588">
        <v>17.132000000000001</v>
      </c>
      <c r="N10" s="1588">
        <v>11.477</v>
      </c>
      <c r="O10" s="1588">
        <v>48.51</v>
      </c>
      <c r="P10" s="1588">
        <v>6.0000000000000001E-3</v>
      </c>
      <c r="Q10" s="1588">
        <v>6.0000000000000001E-3</v>
      </c>
      <c r="R10" s="1588">
        <v>28.574000000000002</v>
      </c>
      <c r="S10" s="1588">
        <v>9.6000000000000002E-2</v>
      </c>
      <c r="T10" s="1588">
        <v>262.21600000000001</v>
      </c>
      <c r="U10" s="1588">
        <v>88</v>
      </c>
      <c r="V10" s="1588">
        <v>0</v>
      </c>
      <c r="W10" s="1589"/>
      <c r="X10" s="1589"/>
      <c r="Y10" s="1502">
        <f t="shared" ref="Y10:Y22" si="0">SUM(F10:W10)</f>
        <v>508.60800000000006</v>
      </c>
      <c r="Z10" s="1606"/>
      <c r="AA10" s="1603"/>
    </row>
    <row r="11" spans="1:27" ht="15.75">
      <c r="A11" s="1598"/>
      <c r="B11" s="1610" t="s">
        <v>1227</v>
      </c>
      <c r="C11" s="1584">
        <v>23</v>
      </c>
      <c r="D11" s="2244">
        <v>0.33333333333333331</v>
      </c>
      <c r="E11" s="1504">
        <v>8435.527</v>
      </c>
      <c r="F11" s="1587">
        <v>6.8120000000000003</v>
      </c>
      <c r="G11" s="1588">
        <v>3.2919999999999998</v>
      </c>
      <c r="H11" s="1588">
        <v>34.441000000000003</v>
      </c>
      <c r="I11" s="1588">
        <v>1.5720000000000001</v>
      </c>
      <c r="J11" s="1588">
        <v>0</v>
      </c>
      <c r="K11" s="1588">
        <v>1E-3</v>
      </c>
      <c r="L11" s="1588">
        <v>19.341999999999999</v>
      </c>
      <c r="M11" s="1588">
        <v>18.323</v>
      </c>
      <c r="N11" s="1588">
        <v>10.9</v>
      </c>
      <c r="O11" s="1588">
        <v>51.32</v>
      </c>
      <c r="P11" s="1588">
        <v>6.0000000000000001E-3</v>
      </c>
      <c r="Q11" s="1588">
        <v>3.0000000000000001E-3</v>
      </c>
      <c r="R11" s="1588">
        <v>29.923999999999999</v>
      </c>
      <c r="S11" s="1588">
        <v>5.1999999999999998E-2</v>
      </c>
      <c r="T11" s="1588">
        <v>263.13600000000002</v>
      </c>
      <c r="U11" s="1588">
        <v>102</v>
      </c>
      <c r="V11" s="1588">
        <v>0</v>
      </c>
      <c r="W11" s="1589"/>
      <c r="X11" s="1589"/>
      <c r="Y11" s="1502">
        <f t="shared" si="0"/>
        <v>541.12400000000002</v>
      </c>
      <c r="Z11" s="1606"/>
      <c r="AA11" s="1603"/>
    </row>
    <row r="12" spans="1:27" ht="15.75">
      <c r="A12" s="1598"/>
      <c r="B12" s="1610" t="s">
        <v>1024</v>
      </c>
      <c r="C12" s="1584">
        <v>6</v>
      </c>
      <c r="D12" s="2244">
        <v>0.33333333333333331</v>
      </c>
      <c r="E12" s="1504">
        <v>7871.5540000000001</v>
      </c>
      <c r="F12" s="1587">
        <v>6.6449999999999996</v>
      </c>
      <c r="G12" s="1588">
        <v>3.14</v>
      </c>
      <c r="H12" s="1588">
        <v>28.472999999999999</v>
      </c>
      <c r="I12" s="1588">
        <v>1.1779999999999999</v>
      </c>
      <c r="J12" s="1588">
        <v>0.32900000000000001</v>
      </c>
      <c r="K12" s="1588">
        <v>0</v>
      </c>
      <c r="L12" s="1588">
        <v>17.643999999999998</v>
      </c>
      <c r="M12" s="1588">
        <v>17.475000000000001</v>
      </c>
      <c r="N12" s="1588">
        <v>10.162000000000001</v>
      </c>
      <c r="O12" s="1588">
        <v>42.66</v>
      </c>
      <c r="P12" s="1588">
        <v>5.0000000000000001E-3</v>
      </c>
      <c r="Q12" s="1588">
        <v>0</v>
      </c>
      <c r="R12" s="1588">
        <v>29.966999999999999</v>
      </c>
      <c r="S12" s="1588">
        <v>5.2999999999999999E-2</v>
      </c>
      <c r="T12" s="1588">
        <v>226.06800000000001</v>
      </c>
      <c r="U12" s="1588">
        <v>91</v>
      </c>
      <c r="V12" s="1588">
        <v>1.2E-2</v>
      </c>
      <c r="W12" s="1589"/>
      <c r="X12" s="1589"/>
      <c r="Y12" s="1502">
        <f t="shared" si="0"/>
        <v>474.81099999999998</v>
      </c>
      <c r="Z12" s="1606"/>
      <c r="AA12" s="1603"/>
    </row>
    <row r="13" spans="1:27" ht="15.75">
      <c r="A13" s="1598"/>
      <c r="B13" s="1610" t="s">
        <v>1025</v>
      </c>
      <c r="C13" s="1584">
        <v>3</v>
      </c>
      <c r="D13" s="2244">
        <v>0.33333333333333331</v>
      </c>
      <c r="E13" s="1504">
        <v>7446.3459999999995</v>
      </c>
      <c r="F13" s="1587">
        <v>6.4059999999999997</v>
      </c>
      <c r="G13" s="1588">
        <v>3.2160000000000002</v>
      </c>
      <c r="H13" s="1588">
        <v>24.721</v>
      </c>
      <c r="I13" s="1588">
        <v>1.1259999999999999</v>
      </c>
      <c r="J13" s="1588">
        <v>5.1999999999999998E-2</v>
      </c>
      <c r="K13" s="1588">
        <v>0</v>
      </c>
      <c r="L13" s="1588">
        <v>26.26</v>
      </c>
      <c r="M13" s="1588">
        <v>18.154</v>
      </c>
      <c r="N13" s="1588">
        <v>9.7970000000000006</v>
      </c>
      <c r="O13" s="1588">
        <v>43.68</v>
      </c>
      <c r="P13" s="1588">
        <v>0.28799999999999998</v>
      </c>
      <c r="Q13" s="1588">
        <v>0</v>
      </c>
      <c r="R13" s="1588">
        <v>30.105</v>
      </c>
      <c r="S13" s="1588">
        <v>5.2999999999999999E-2</v>
      </c>
      <c r="T13" s="1588">
        <v>228.92699999999999</v>
      </c>
      <c r="U13" s="1588">
        <v>49</v>
      </c>
      <c r="V13" s="1588">
        <v>1.4E-2</v>
      </c>
      <c r="W13" s="1589"/>
      <c r="X13" s="1589"/>
      <c r="Y13" s="1502">
        <f t="shared" si="0"/>
        <v>441.79899999999998</v>
      </c>
      <c r="Z13" s="1606"/>
      <c r="AA13" s="1603"/>
    </row>
    <row r="14" spans="1:27" ht="15.75">
      <c r="A14" s="1598"/>
      <c r="B14" s="1610" t="s">
        <v>1026</v>
      </c>
      <c r="C14" s="1584">
        <v>24</v>
      </c>
      <c r="D14" s="2244">
        <v>0.70833333333333337</v>
      </c>
      <c r="E14" s="1504">
        <v>7723.6379999999999</v>
      </c>
      <c r="F14" s="1587">
        <v>6.8029999999999999</v>
      </c>
      <c r="G14" s="1588">
        <v>3.1640000000000001</v>
      </c>
      <c r="H14" s="1588">
        <v>11.207000000000001</v>
      </c>
      <c r="I14" s="1588">
        <v>0.30299999999999999</v>
      </c>
      <c r="J14" s="1588">
        <v>0</v>
      </c>
      <c r="K14" s="1588">
        <v>0</v>
      </c>
      <c r="L14" s="1588">
        <v>9.5259999999999998</v>
      </c>
      <c r="M14" s="1588">
        <v>20.481999999999999</v>
      </c>
      <c r="N14" s="1588">
        <v>9.4160000000000004</v>
      </c>
      <c r="O14" s="1588">
        <v>36.15</v>
      </c>
      <c r="P14" s="1588">
        <v>0.51100000000000001</v>
      </c>
      <c r="Q14" s="1588">
        <v>1.909</v>
      </c>
      <c r="R14" s="1588">
        <v>30.68</v>
      </c>
      <c r="S14" s="1588">
        <v>1.0840000000000001</v>
      </c>
      <c r="T14" s="1588">
        <v>111.349</v>
      </c>
      <c r="U14" s="1588">
        <v>60</v>
      </c>
      <c r="V14" s="1588">
        <v>0.02</v>
      </c>
      <c r="W14" s="1589"/>
      <c r="X14" s="1589"/>
      <c r="Y14" s="1502">
        <f t="shared" si="0"/>
        <v>302.60399999999998</v>
      </c>
      <c r="Z14" s="1606"/>
      <c r="AA14" s="1603"/>
    </row>
    <row r="15" spans="1:27" ht="15.75">
      <c r="A15" s="1598"/>
      <c r="B15" s="1610" t="s">
        <v>1230</v>
      </c>
      <c r="C15" s="1584">
        <v>27</v>
      </c>
      <c r="D15" s="2244">
        <v>0.70833333333333337</v>
      </c>
      <c r="E15" s="1504">
        <v>9584.0519999999997</v>
      </c>
      <c r="F15" s="1587">
        <v>6.524</v>
      </c>
      <c r="G15" s="1588">
        <v>3.032</v>
      </c>
      <c r="H15" s="1588">
        <v>10.733000000000001</v>
      </c>
      <c r="I15" s="1588">
        <v>0.32500000000000001</v>
      </c>
      <c r="J15" s="1588">
        <v>0</v>
      </c>
      <c r="K15" s="1588">
        <v>0</v>
      </c>
      <c r="L15" s="1588">
        <v>15.862</v>
      </c>
      <c r="M15" s="1588">
        <v>20.63</v>
      </c>
      <c r="N15" s="1588">
        <v>9.452</v>
      </c>
      <c r="O15" s="1588">
        <v>48.82</v>
      </c>
      <c r="P15" s="1588">
        <v>0.57699999999999996</v>
      </c>
      <c r="Q15" s="1588">
        <v>3.71</v>
      </c>
      <c r="R15" s="1588">
        <v>31.809000000000001</v>
      </c>
      <c r="S15" s="1588">
        <v>0.95599999999999996</v>
      </c>
      <c r="T15" s="1588">
        <v>156.45500000000001</v>
      </c>
      <c r="U15" s="1588">
        <v>65</v>
      </c>
      <c r="V15" s="1588">
        <v>2.1000000000000001E-2</v>
      </c>
      <c r="W15" s="1589"/>
      <c r="X15" s="1589"/>
      <c r="Y15" s="1502">
        <f t="shared" si="0"/>
        <v>373.90600000000001</v>
      </c>
      <c r="Z15" s="1606"/>
      <c r="AA15" s="1603"/>
    </row>
    <row r="16" spans="1:27" ht="15.75">
      <c r="A16" s="1598"/>
      <c r="B16" s="1610" t="s">
        <v>1390</v>
      </c>
      <c r="C16" s="1584">
        <v>16</v>
      </c>
      <c r="D16" s="2244">
        <v>0.70833333333333337</v>
      </c>
      <c r="E16" s="1504">
        <v>10551.085999999999</v>
      </c>
      <c r="F16" s="1587">
        <v>6.8010000000000002</v>
      </c>
      <c r="G16" s="1588">
        <v>3.7650000000000001</v>
      </c>
      <c r="H16" s="1588">
        <v>17.658000000000001</v>
      </c>
      <c r="I16" s="1588">
        <v>0.39100000000000001</v>
      </c>
      <c r="J16" s="1588">
        <v>0.24299999999999999</v>
      </c>
      <c r="K16" s="1588">
        <v>0</v>
      </c>
      <c r="L16" s="1588">
        <v>12.933</v>
      </c>
      <c r="M16" s="1588">
        <v>27.742999999999999</v>
      </c>
      <c r="N16" s="1588">
        <v>9.7200000000000006</v>
      </c>
      <c r="O16" s="1588">
        <v>49.33</v>
      </c>
      <c r="P16" s="1588">
        <v>0.69799999999999995</v>
      </c>
      <c r="Q16" s="1588">
        <v>4.2649999999999997</v>
      </c>
      <c r="R16" s="1588">
        <v>28.015000000000001</v>
      </c>
      <c r="S16" s="1588">
        <v>1.1419999999999999</v>
      </c>
      <c r="T16" s="1588">
        <v>183.48699999999999</v>
      </c>
      <c r="U16" s="1588">
        <v>88</v>
      </c>
      <c r="V16" s="1588">
        <v>2.9000000000000001E-2</v>
      </c>
      <c r="W16" s="1589"/>
      <c r="X16" s="1589"/>
      <c r="Y16" s="1502">
        <f t="shared" si="0"/>
        <v>434.22</v>
      </c>
      <c r="Z16" s="1606"/>
      <c r="AA16" s="1603"/>
    </row>
    <row r="17" spans="1:27" ht="15.75">
      <c r="A17" s="1598"/>
      <c r="B17" s="1610" t="s">
        <v>1232</v>
      </c>
      <c r="C17" s="1584">
        <v>9</v>
      </c>
      <c r="D17" s="2244">
        <v>0.66666666666666663</v>
      </c>
      <c r="E17" s="1504">
        <v>10262.566999999999</v>
      </c>
      <c r="F17" s="1587">
        <v>7.548</v>
      </c>
      <c r="G17" s="1588">
        <v>3.9</v>
      </c>
      <c r="H17" s="1588">
        <v>16.638999999999999</v>
      </c>
      <c r="I17" s="1588">
        <v>0.35899999999999999</v>
      </c>
      <c r="J17" s="1588">
        <v>0.40699999999999997</v>
      </c>
      <c r="K17" s="1588">
        <v>0</v>
      </c>
      <c r="L17" s="1588">
        <v>17.783000000000001</v>
      </c>
      <c r="M17" s="1588">
        <v>28.46</v>
      </c>
      <c r="N17" s="1588">
        <v>10.371</v>
      </c>
      <c r="O17" s="1588">
        <v>57.16</v>
      </c>
      <c r="P17" s="1588">
        <v>0.61</v>
      </c>
      <c r="Q17" s="1588">
        <v>4.032</v>
      </c>
      <c r="R17" s="1588">
        <v>32.021999999999998</v>
      </c>
      <c r="S17" s="1588">
        <v>0.89100000000000001</v>
      </c>
      <c r="T17" s="1588">
        <v>163.47200000000001</v>
      </c>
      <c r="U17" s="1588">
        <v>89</v>
      </c>
      <c r="V17" s="1588">
        <v>2.7E-2</v>
      </c>
      <c r="W17" s="1589">
        <v>2.6040000000000001</v>
      </c>
      <c r="X17" s="1589"/>
      <c r="Y17" s="1502">
        <f t="shared" si="0"/>
        <v>435.28499999999997</v>
      </c>
      <c r="Z17" s="1606"/>
      <c r="AA17" s="1603"/>
    </row>
    <row r="18" spans="1:27" ht="15.75">
      <c r="A18" s="1598"/>
      <c r="B18" s="1610" t="s">
        <v>1391</v>
      </c>
      <c r="C18" s="1584">
        <v>7</v>
      </c>
      <c r="D18" s="2244">
        <v>0.70833333333333337</v>
      </c>
      <c r="E18" s="1504">
        <v>8866.0920000000006</v>
      </c>
      <c r="F18" s="1587">
        <v>7.0979999999999999</v>
      </c>
      <c r="G18" s="1588">
        <v>3.4020000000000001</v>
      </c>
      <c r="H18" s="1588">
        <v>12.298</v>
      </c>
      <c r="I18" s="1588">
        <v>0.3</v>
      </c>
      <c r="J18" s="1588">
        <v>1.7000000000000001E-2</v>
      </c>
      <c r="K18" s="1588">
        <v>0</v>
      </c>
      <c r="L18" s="1588">
        <v>13.276999999999999</v>
      </c>
      <c r="M18" s="1588">
        <v>24.895</v>
      </c>
      <c r="N18" s="1588">
        <v>9.1170000000000009</v>
      </c>
      <c r="O18" s="1588">
        <v>39.85</v>
      </c>
      <c r="P18" s="1588">
        <v>0.54200000000000004</v>
      </c>
      <c r="Q18" s="1588">
        <v>3.6240000000000001</v>
      </c>
      <c r="R18" s="1588">
        <v>31.55</v>
      </c>
      <c r="S18" s="1588">
        <v>0.94299999999999995</v>
      </c>
      <c r="T18" s="1588">
        <v>125.32599999999999</v>
      </c>
      <c r="U18" s="1588">
        <v>71</v>
      </c>
      <c r="V18" s="1588">
        <v>2.1999999999999999E-2</v>
      </c>
      <c r="W18" s="1589">
        <v>1.9830000000000001</v>
      </c>
      <c r="X18" s="1589"/>
      <c r="Y18" s="1502">
        <f t="shared" si="0"/>
        <v>345.24400000000003</v>
      </c>
      <c r="Z18" s="1606"/>
      <c r="AA18" s="1603"/>
    </row>
    <row r="19" spans="1:27" ht="15.75">
      <c r="A19" s="1598"/>
      <c r="B19" s="1610" t="s">
        <v>1234</v>
      </c>
      <c r="C19" s="1584">
        <v>2</v>
      </c>
      <c r="D19" s="2244">
        <v>0.54166666666666663</v>
      </c>
      <c r="E19" s="1504">
        <v>7243.6659999999993</v>
      </c>
      <c r="F19" s="1587">
        <v>6.774</v>
      </c>
      <c r="G19" s="1588">
        <v>2.7930000000000001</v>
      </c>
      <c r="H19" s="1588">
        <v>10.045999999999999</v>
      </c>
      <c r="I19" s="1588">
        <v>0.36899999999999999</v>
      </c>
      <c r="J19" s="1588">
        <v>0</v>
      </c>
      <c r="K19" s="1588">
        <v>8.9999999999999993E-3</v>
      </c>
      <c r="L19" s="1588">
        <v>10.615</v>
      </c>
      <c r="M19" s="1588">
        <v>20.86</v>
      </c>
      <c r="N19" s="1588">
        <v>7.6609999999999996</v>
      </c>
      <c r="O19" s="1588">
        <v>31.08</v>
      </c>
      <c r="P19" s="1588">
        <v>0.371</v>
      </c>
      <c r="Q19" s="1588">
        <v>2.0270000000000001</v>
      </c>
      <c r="R19" s="1588">
        <v>31.300999999999998</v>
      </c>
      <c r="S19" s="1588">
        <v>0.999</v>
      </c>
      <c r="T19" s="1588">
        <v>115.816</v>
      </c>
      <c r="U19" s="1588">
        <v>72</v>
      </c>
      <c r="V19" s="1588">
        <v>1.6E-2</v>
      </c>
      <c r="W19" s="1589">
        <v>1.478</v>
      </c>
      <c r="X19" s="1589"/>
      <c r="Y19" s="1502">
        <f t="shared" si="0"/>
        <v>314.21500000000003</v>
      </c>
      <c r="Z19" s="1606"/>
      <c r="AA19" s="1603"/>
    </row>
    <row r="20" spans="1:27" ht="15.75">
      <c r="A20" s="1598"/>
      <c r="B20" s="1610" t="s">
        <v>1235</v>
      </c>
      <c r="C20" s="1584">
        <v>20</v>
      </c>
      <c r="D20" s="2244">
        <v>0.33333333333333331</v>
      </c>
      <c r="E20" s="1504">
        <v>7851.7250000000004</v>
      </c>
      <c r="F20" s="1587">
        <v>7.4269999999999996</v>
      </c>
      <c r="G20" s="1588">
        <v>3.3010000000000002</v>
      </c>
      <c r="H20" s="1588">
        <v>22.332999999999998</v>
      </c>
      <c r="I20" s="1588">
        <v>1.1599999999999999</v>
      </c>
      <c r="J20" s="1588">
        <v>0.32900000000000001</v>
      </c>
      <c r="K20" s="1588">
        <v>0.15500000000000003</v>
      </c>
      <c r="L20" s="1588">
        <v>17.218</v>
      </c>
      <c r="M20" s="1588">
        <v>17.433</v>
      </c>
      <c r="N20" s="1588">
        <v>9.2469999999999999</v>
      </c>
      <c r="O20" s="1588">
        <v>39.6</v>
      </c>
      <c r="P20" s="1588">
        <v>5.0000000000000001E-3</v>
      </c>
      <c r="Q20" s="1588">
        <v>6.0000000000000001E-3</v>
      </c>
      <c r="R20" s="1588">
        <v>30.605</v>
      </c>
      <c r="S20" s="1588">
        <v>0.93700000000000006</v>
      </c>
      <c r="T20" s="1588">
        <v>241.964</v>
      </c>
      <c r="U20" s="1588">
        <v>63.003</v>
      </c>
      <c r="V20" s="1588">
        <v>1.2E-2</v>
      </c>
      <c r="W20" s="1589">
        <v>2.2389999999999999</v>
      </c>
      <c r="X20" s="1589"/>
      <c r="Y20" s="1502">
        <f t="shared" si="0"/>
        <v>456.97399999999999</v>
      </c>
      <c r="Z20" s="1606"/>
      <c r="AA20" s="1603"/>
    </row>
    <row r="21" spans="1:27" ht="16.5" thickBot="1">
      <c r="A21" s="1598"/>
      <c r="B21" s="1610" t="s">
        <v>1236</v>
      </c>
      <c r="C21" s="1584">
        <v>6</v>
      </c>
      <c r="D21" s="2244">
        <v>0.75</v>
      </c>
      <c r="E21" s="1504">
        <v>8313.7929999999997</v>
      </c>
      <c r="F21" s="1587">
        <v>5.2990000000000004</v>
      </c>
      <c r="G21" s="1588">
        <v>3.3140000000000001</v>
      </c>
      <c r="H21" s="1588">
        <v>26.695</v>
      </c>
      <c r="I21" s="1588">
        <v>1.268</v>
      </c>
      <c r="J21" s="1588">
        <v>0</v>
      </c>
      <c r="K21" s="1588">
        <v>0.15300000000000002</v>
      </c>
      <c r="L21" s="1588">
        <v>15.801</v>
      </c>
      <c r="M21" s="1588">
        <v>17.411000000000001</v>
      </c>
      <c r="N21" s="1588">
        <v>9.952</v>
      </c>
      <c r="O21" s="1588">
        <v>47.21</v>
      </c>
      <c r="P21" s="1588">
        <v>5.0000000000000001E-3</v>
      </c>
      <c r="Q21" s="1588">
        <v>8.0000000000000002E-3</v>
      </c>
      <c r="R21" s="1588">
        <v>31.298999999999999</v>
      </c>
      <c r="S21" s="1588">
        <v>0.92600000000000005</v>
      </c>
      <c r="T21" s="1588">
        <v>275.82</v>
      </c>
      <c r="U21" s="1588">
        <v>82</v>
      </c>
      <c r="V21" s="1588">
        <v>1.0999999999999999E-2</v>
      </c>
      <c r="W21" s="1589">
        <v>2.5590000000000002</v>
      </c>
      <c r="X21" s="1589"/>
      <c r="Y21" s="1502">
        <f t="shared" si="0"/>
        <v>519.73099999999988</v>
      </c>
      <c r="Z21" s="1606"/>
      <c r="AA21" s="1603"/>
    </row>
    <row r="22" spans="1:27" ht="16.5" thickBot="1">
      <c r="A22" s="1598"/>
      <c r="B22" s="1611" t="s">
        <v>115</v>
      </c>
      <c r="C22" s="1612"/>
      <c r="D22" s="1613"/>
      <c r="E22" s="1625">
        <f t="shared" ref="E22:W22" si="1">SUM(E10:E21)</f>
        <v>102314.13499999999</v>
      </c>
      <c r="F22" s="2200">
        <f t="shared" si="1"/>
        <v>80.387</v>
      </c>
      <c r="G22" s="1624">
        <f t="shared" si="1"/>
        <v>39.525000000000006</v>
      </c>
      <c r="H22" s="1624">
        <f t="shared" si="1"/>
        <v>241.46299999999999</v>
      </c>
      <c r="I22" s="1624">
        <f t="shared" si="1"/>
        <v>9.4480000000000004</v>
      </c>
      <c r="J22" s="1624">
        <f t="shared" si="1"/>
        <v>1.3769999999999998</v>
      </c>
      <c r="K22" s="1624">
        <f t="shared" si="1"/>
        <v>0.48300000000000004</v>
      </c>
      <c r="L22" s="1624">
        <f t="shared" si="1"/>
        <v>191.91499999999994</v>
      </c>
      <c r="M22" s="1624">
        <f t="shared" si="1"/>
        <v>248.99799999999999</v>
      </c>
      <c r="N22" s="1624">
        <f t="shared" si="1"/>
        <v>117.27199999999999</v>
      </c>
      <c r="O22" s="1624">
        <f t="shared" si="1"/>
        <v>535.37</v>
      </c>
      <c r="P22" s="1624">
        <f t="shared" si="1"/>
        <v>3.6240000000000001</v>
      </c>
      <c r="Q22" s="1624">
        <f t="shared" si="1"/>
        <v>19.59</v>
      </c>
      <c r="R22" s="1624">
        <f t="shared" si="1"/>
        <v>365.851</v>
      </c>
      <c r="S22" s="1624">
        <f t="shared" si="1"/>
        <v>8.1319999999999997</v>
      </c>
      <c r="T22" s="1624">
        <f t="shared" si="1"/>
        <v>2354.0360000000005</v>
      </c>
      <c r="U22" s="1624">
        <f t="shared" si="1"/>
        <v>920.00300000000004</v>
      </c>
      <c r="V22" s="1624">
        <f t="shared" si="1"/>
        <v>0.184</v>
      </c>
      <c r="W22" s="1516">
        <f t="shared" si="1"/>
        <v>10.863</v>
      </c>
      <c r="X22" s="1516"/>
      <c r="Y22" s="1625">
        <f t="shared" si="0"/>
        <v>5148.5210000000006</v>
      </c>
      <c r="Z22" s="2243"/>
      <c r="AA22" s="1603"/>
    </row>
    <row r="23" spans="1:27">
      <c r="A23" s="1598"/>
      <c r="B23" s="1598"/>
      <c r="C23" s="1598"/>
      <c r="D23" s="1598"/>
      <c r="E23" s="1603"/>
      <c r="F23" s="1603"/>
      <c r="G23" s="1603"/>
      <c r="H23" s="1603"/>
      <c r="I23" s="1603"/>
      <c r="J23" s="1603"/>
      <c r="K23" s="1603"/>
      <c r="L23" s="1603"/>
      <c r="M23" s="1603"/>
      <c r="N23" s="1603"/>
      <c r="O23" s="1603"/>
      <c r="P23" s="1603"/>
      <c r="Q23" s="1603"/>
      <c r="R23" s="1603"/>
      <c r="S23" s="1614"/>
      <c r="T23" s="1603"/>
      <c r="U23" s="1603"/>
      <c r="V23" s="1603"/>
      <c r="W23" s="1603"/>
      <c r="X23" s="1603"/>
      <c r="Y23" s="1603"/>
      <c r="Z23" s="1603"/>
    </row>
    <row r="24" spans="1:27">
      <c r="A24" s="1598"/>
      <c r="B24" s="1598"/>
      <c r="C24" s="1598"/>
      <c r="D24" s="1598"/>
      <c r="E24" s="1603"/>
      <c r="F24" s="1603"/>
      <c r="G24" s="1603"/>
      <c r="H24" s="1603"/>
      <c r="I24" s="1603"/>
      <c r="J24" s="1603"/>
      <c r="K24" s="1603"/>
      <c r="L24" s="1603"/>
      <c r="M24" s="1603"/>
      <c r="N24" s="1603"/>
      <c r="O24" s="1603"/>
      <c r="P24" s="1603"/>
      <c r="Q24" s="1603"/>
      <c r="R24" s="1603"/>
      <c r="S24" s="1614"/>
      <c r="T24" s="1603"/>
      <c r="U24" s="1603"/>
      <c r="V24" s="1603"/>
      <c r="W24" s="1603"/>
      <c r="X24" s="1603"/>
      <c r="Y24" s="1603"/>
      <c r="Z24" s="1603"/>
    </row>
    <row r="25" spans="1:27" ht="15.75" thickBot="1">
      <c r="A25" s="1598"/>
      <c r="B25" s="1598"/>
      <c r="C25" s="1598"/>
      <c r="D25" s="1598"/>
      <c r="E25" s="1603"/>
      <c r="F25" s="1603"/>
      <c r="G25" s="1603"/>
      <c r="H25" s="1603"/>
      <c r="I25" s="1603"/>
      <c r="J25" s="1603"/>
      <c r="K25" s="1603"/>
      <c r="L25" s="1603"/>
      <c r="M25" s="1603"/>
      <c r="N25" s="1603"/>
      <c r="O25" s="1603"/>
      <c r="P25" s="1603"/>
      <c r="Q25" s="1603"/>
      <c r="R25" s="1603"/>
      <c r="S25" s="1614"/>
      <c r="T25" s="1615"/>
      <c r="U25" s="1603"/>
      <c r="V25" s="1603"/>
      <c r="W25" s="1603"/>
      <c r="X25" s="1603"/>
      <c r="Y25" s="1603"/>
      <c r="Z25" s="1603"/>
    </row>
    <row r="26" spans="1:27" ht="16.5" thickBot="1">
      <c r="A26" s="1598"/>
      <c r="B26" s="1469"/>
      <c r="C26" s="1595"/>
      <c r="D26" s="1596"/>
      <c r="E26" s="2474" t="s">
        <v>1349</v>
      </c>
      <c r="F26" s="2475"/>
      <c r="G26" s="2475"/>
      <c r="H26" s="2475"/>
      <c r="I26" s="2475"/>
      <c r="J26" s="2476"/>
      <c r="K26" s="1603"/>
      <c r="L26" s="1603"/>
      <c r="M26" s="1603"/>
      <c r="N26" s="1603"/>
      <c r="O26" s="1603"/>
      <c r="P26" s="1603"/>
      <c r="Q26" s="1603"/>
      <c r="R26" s="1603"/>
      <c r="S26" s="1614"/>
      <c r="T26" s="1615"/>
      <c r="U26" s="1603"/>
      <c r="V26" s="1603"/>
      <c r="W26" s="1603"/>
      <c r="X26" s="1603"/>
      <c r="Y26" s="1603"/>
      <c r="Z26" s="1603"/>
    </row>
    <row r="27" spans="1:27" ht="16.5" thickBot="1">
      <c r="A27" s="1598"/>
      <c r="B27" s="1490" t="s">
        <v>912</v>
      </c>
      <c r="C27" s="1571"/>
      <c r="D27" s="1597"/>
      <c r="E27" s="1474" t="s">
        <v>1369</v>
      </c>
      <c r="F27" s="1475" t="s">
        <v>1370</v>
      </c>
      <c r="G27" s="1475" t="s">
        <v>1371</v>
      </c>
      <c r="H27" s="1475" t="s">
        <v>1372</v>
      </c>
      <c r="I27" s="1477" t="s">
        <v>1435</v>
      </c>
      <c r="J27" s="1476" t="s">
        <v>1373</v>
      </c>
      <c r="K27" s="1603"/>
      <c r="L27" s="1603"/>
      <c r="M27" s="1603"/>
      <c r="N27" s="1603"/>
      <c r="O27" s="1603"/>
      <c r="P27" s="1603"/>
      <c r="Q27" s="1603"/>
      <c r="R27" s="1603"/>
      <c r="S27" s="1614"/>
      <c r="T27" s="1603"/>
      <c r="U27" s="1603"/>
      <c r="V27" s="1603"/>
      <c r="W27" s="1603"/>
      <c r="X27" s="1603"/>
      <c r="Y27" s="1603"/>
      <c r="Z27" s="1603"/>
    </row>
    <row r="28" spans="1:27" ht="47.25">
      <c r="A28" s="1598"/>
      <c r="B28" s="1575" t="s">
        <v>1374</v>
      </c>
      <c r="C28" s="1478"/>
      <c r="D28" s="1478"/>
      <c r="E28" s="1480" t="s">
        <v>1375</v>
      </c>
      <c r="F28" s="1481" t="s">
        <v>1376</v>
      </c>
      <c r="G28" s="1481" t="s">
        <v>1377</v>
      </c>
      <c r="H28" s="1481" t="s">
        <v>1378</v>
      </c>
      <c r="I28" s="1483"/>
      <c r="J28" s="1607"/>
      <c r="K28" s="1603"/>
      <c r="L28" s="1603"/>
      <c r="M28" s="1603"/>
      <c r="N28" s="1603"/>
      <c r="O28" s="1603"/>
      <c r="P28" s="1603"/>
      <c r="Q28" s="1603"/>
      <c r="R28" s="1603"/>
      <c r="S28" s="1614"/>
      <c r="T28" s="1603"/>
      <c r="U28" s="1603"/>
      <c r="V28" s="1603"/>
      <c r="W28" s="1603"/>
      <c r="X28" s="1603"/>
      <c r="Y28" s="1603"/>
      <c r="Z28" s="1603"/>
    </row>
    <row r="29" spans="1:27" ht="15.75">
      <c r="A29" s="1598"/>
      <c r="B29" s="1578" t="s">
        <v>1379</v>
      </c>
      <c r="C29" s="1485"/>
      <c r="D29" s="1485"/>
      <c r="E29" s="1487" t="s">
        <v>1383</v>
      </c>
      <c r="F29" s="1483" t="s">
        <v>1383</v>
      </c>
      <c r="G29" s="1483" t="s">
        <v>1383</v>
      </c>
      <c r="H29" s="1483" t="s">
        <v>1383</v>
      </c>
      <c r="I29" s="1483"/>
      <c r="J29" s="1484" t="s">
        <v>1384</v>
      </c>
      <c r="K29" s="1603"/>
      <c r="L29" s="1603"/>
      <c r="M29" s="1603"/>
      <c r="N29" s="1603"/>
      <c r="O29" s="1603"/>
      <c r="P29" s="1603"/>
      <c r="Q29" s="1603"/>
      <c r="R29" s="1603"/>
      <c r="S29" s="1614"/>
      <c r="T29" s="1603"/>
      <c r="U29" s="1603"/>
      <c r="V29" s="1603"/>
      <c r="W29" s="1603"/>
      <c r="X29" s="1603"/>
      <c r="Y29" s="1603"/>
      <c r="Z29" s="1603"/>
    </row>
    <row r="30" spans="1:27" ht="32.25" thickBot="1">
      <c r="A30" s="1598"/>
      <c r="B30" s="1609" t="s">
        <v>1385</v>
      </c>
      <c r="C30" s="1581" t="s">
        <v>1430</v>
      </c>
      <c r="D30" s="1581" t="s">
        <v>1431</v>
      </c>
      <c r="E30" s="1492" t="s">
        <v>1386</v>
      </c>
      <c r="F30" s="1493" t="s">
        <v>1387</v>
      </c>
      <c r="G30" s="1493" t="s">
        <v>1388</v>
      </c>
      <c r="H30" s="1493" t="s">
        <v>2294</v>
      </c>
      <c r="I30" s="1493"/>
      <c r="J30" s="1496"/>
      <c r="K30" s="1603"/>
      <c r="L30" s="1603"/>
      <c r="M30" s="1603"/>
      <c r="N30" s="1603"/>
      <c r="O30" s="1603"/>
      <c r="P30" s="1603"/>
      <c r="Q30" s="1603"/>
      <c r="R30" s="1603"/>
      <c r="S30" s="1614"/>
      <c r="T30" s="1603"/>
      <c r="U30" s="1603"/>
      <c r="V30" s="1603"/>
      <c r="W30" s="1603"/>
      <c r="X30" s="1603"/>
      <c r="Y30" s="1603"/>
      <c r="Z30" s="1603"/>
    </row>
    <row r="31" spans="1:27" ht="15.75">
      <c r="A31" s="1598"/>
      <c r="B31" s="1610" t="s">
        <v>1226</v>
      </c>
      <c r="C31" s="1584">
        <f>C10</f>
        <v>2</v>
      </c>
      <c r="D31" s="2318">
        <f>D10</f>
        <v>0.75</v>
      </c>
      <c r="E31" s="1499">
        <v>350.08700000000005</v>
      </c>
      <c r="F31" s="1500">
        <v>74.17</v>
      </c>
      <c r="G31" s="1500">
        <v>39.866999999999997</v>
      </c>
      <c r="H31" s="1500">
        <v>352</v>
      </c>
      <c r="I31" s="1507"/>
      <c r="J31" s="1502">
        <f t="shared" ref="J31:J42" si="2">SUM(E31:I31)</f>
        <v>816.12400000000002</v>
      </c>
      <c r="K31" s="1603"/>
      <c r="L31" s="1603"/>
      <c r="M31" s="1603"/>
      <c r="N31" s="1603"/>
      <c r="O31" s="1603"/>
      <c r="P31" s="1603"/>
      <c r="Q31" s="1603"/>
      <c r="R31" s="1603"/>
      <c r="S31" s="1614"/>
      <c r="T31" s="1603"/>
      <c r="U31" s="1603"/>
      <c r="V31" s="1603"/>
      <c r="W31" s="1603"/>
      <c r="X31" s="1603"/>
      <c r="Y31" s="1603"/>
      <c r="Z31" s="1603"/>
    </row>
    <row r="32" spans="1:27" ht="15.75">
      <c r="A32" s="1598"/>
      <c r="B32" s="1610" t="s">
        <v>1227</v>
      </c>
      <c r="C32" s="1584">
        <f t="shared" ref="C32:D32" si="3">C11</f>
        <v>23</v>
      </c>
      <c r="D32" s="2318">
        <f t="shared" si="3"/>
        <v>0.33333333333333331</v>
      </c>
      <c r="E32" s="1506">
        <v>401.85500000000002</v>
      </c>
      <c r="F32" s="1507">
        <v>68.781999999999996</v>
      </c>
      <c r="G32" s="1507">
        <v>66.935000000000002</v>
      </c>
      <c r="H32" s="1507">
        <v>282</v>
      </c>
      <c r="I32" s="1507"/>
      <c r="J32" s="1502">
        <f t="shared" si="2"/>
        <v>819.572</v>
      </c>
      <c r="K32" s="1603"/>
      <c r="L32" s="474"/>
      <c r="M32" s="474"/>
      <c r="N32" s="474"/>
      <c r="O32" s="1616"/>
      <c r="P32" s="1616"/>
      <c r="Q32" s="1616"/>
      <c r="R32" s="1616"/>
      <c r="S32" s="1616"/>
      <c r="T32" s="1616"/>
      <c r="U32" s="1616"/>
      <c r="V32" s="1616"/>
      <c r="W32" s="1616"/>
      <c r="X32" s="1616"/>
      <c r="Y32" s="1616"/>
      <c r="Z32" s="1616"/>
    </row>
    <row r="33" spans="1:26" ht="15.75">
      <c r="A33" s="1598"/>
      <c r="B33" s="1610" t="s">
        <v>1024</v>
      </c>
      <c r="C33" s="1584">
        <f t="shared" ref="C33:D33" si="4">C12</f>
        <v>6</v>
      </c>
      <c r="D33" s="2318">
        <f t="shared" si="4"/>
        <v>0.33333333333333331</v>
      </c>
      <c r="E33" s="1506">
        <v>391.94499999999999</v>
      </c>
      <c r="F33" s="1507">
        <v>56.546999999999997</v>
      </c>
      <c r="G33" s="1507">
        <v>76.522999999999996</v>
      </c>
      <c r="H33" s="1507">
        <v>269</v>
      </c>
      <c r="I33" s="1507"/>
      <c r="J33" s="1502">
        <f t="shared" si="2"/>
        <v>794.01499999999999</v>
      </c>
      <c r="K33" s="1603"/>
      <c r="L33" s="1603"/>
      <c r="M33" s="474"/>
      <c r="N33" s="474"/>
      <c r="O33" s="1616"/>
      <c r="P33" s="1616"/>
      <c r="Q33" s="1616"/>
      <c r="R33" s="1616"/>
      <c r="S33" s="1616"/>
      <c r="T33" s="1616"/>
      <c r="U33" s="1616"/>
      <c r="V33" s="1616"/>
      <c r="W33" s="1616"/>
      <c r="X33" s="1616"/>
      <c r="Y33" s="1616"/>
      <c r="Z33" s="1616"/>
    </row>
    <row r="34" spans="1:26" ht="15.75">
      <c r="A34" s="1598"/>
      <c r="B34" s="1610" t="s">
        <v>1025</v>
      </c>
      <c r="C34" s="1584">
        <f t="shared" ref="C34:D34" si="5">C13</f>
        <v>3</v>
      </c>
      <c r="D34" s="2318">
        <f t="shared" si="5"/>
        <v>0.33333333333333331</v>
      </c>
      <c r="E34" s="1506">
        <v>391.68199999999996</v>
      </c>
      <c r="F34" s="1507">
        <v>45.645000000000003</v>
      </c>
      <c r="G34" s="1507">
        <v>57.107999999999997</v>
      </c>
      <c r="H34" s="1507">
        <v>237</v>
      </c>
      <c r="I34" s="1507"/>
      <c r="J34" s="1502">
        <f t="shared" si="2"/>
        <v>731.43499999999995</v>
      </c>
      <c r="K34" s="1603"/>
      <c r="L34" s="1603"/>
      <c r="M34" s="1603"/>
      <c r="N34" s="1603"/>
      <c r="O34" s="1603"/>
      <c r="P34" s="1603"/>
      <c r="Q34" s="1603"/>
      <c r="R34" s="1603"/>
      <c r="S34" s="1614"/>
      <c r="T34" s="1603"/>
      <c r="U34" s="1603"/>
      <c r="V34" s="1603"/>
      <c r="W34" s="1603"/>
      <c r="X34" s="1603"/>
      <c r="Y34" s="1603"/>
      <c r="Z34" s="1603"/>
    </row>
    <row r="35" spans="1:26" ht="15.75">
      <c r="A35" s="1598"/>
      <c r="B35" s="1610" t="s">
        <v>1026</v>
      </c>
      <c r="C35" s="1584">
        <f t="shared" ref="C35:D35" si="6">C14</f>
        <v>24</v>
      </c>
      <c r="D35" s="2318">
        <f t="shared" si="6"/>
        <v>0.70833333333333337</v>
      </c>
      <c r="E35" s="1506">
        <v>534.274</v>
      </c>
      <c r="F35" s="1507">
        <v>74.453000000000003</v>
      </c>
      <c r="G35" s="1507">
        <v>89.894999999999996</v>
      </c>
      <c r="H35" s="1507">
        <v>281</v>
      </c>
      <c r="I35" s="1507"/>
      <c r="J35" s="1502">
        <f t="shared" si="2"/>
        <v>979.62199999999996</v>
      </c>
      <c r="K35" s="1603"/>
      <c r="L35" s="1603"/>
      <c r="M35" s="1603"/>
      <c r="N35" s="1603"/>
      <c r="O35" s="1603"/>
      <c r="P35" s="1603"/>
      <c r="Q35" s="1603"/>
      <c r="R35" s="1603"/>
      <c r="S35" s="1614"/>
      <c r="T35" s="1603"/>
      <c r="U35" s="1603"/>
      <c r="V35" s="1603"/>
      <c r="W35" s="1603"/>
      <c r="X35" s="1603"/>
      <c r="Y35" s="1603"/>
      <c r="Z35" s="1603"/>
    </row>
    <row r="36" spans="1:26" ht="15.75">
      <c r="A36" s="1598"/>
      <c r="B36" s="1610" t="s">
        <v>1230</v>
      </c>
      <c r="C36" s="1584">
        <f t="shared" ref="C36:D36" si="7">C15</f>
        <v>27</v>
      </c>
      <c r="D36" s="2318">
        <f t="shared" si="7"/>
        <v>0.70833333333333337</v>
      </c>
      <c r="E36" s="1506">
        <v>762.16200000000003</v>
      </c>
      <c r="F36" s="1507">
        <v>159.4</v>
      </c>
      <c r="G36" s="1507">
        <v>134.69999999999999</v>
      </c>
      <c r="H36" s="1507">
        <v>303</v>
      </c>
      <c r="I36" s="1507"/>
      <c r="J36" s="1502">
        <f t="shared" si="2"/>
        <v>1359.2619999999999</v>
      </c>
      <c r="K36" s="1603"/>
      <c r="L36" s="1603"/>
      <c r="M36" s="1603"/>
      <c r="N36" s="1603"/>
      <c r="O36" s="1603"/>
      <c r="P36" s="1603"/>
      <c r="Q36" s="1603"/>
      <c r="R36" s="1603"/>
      <c r="S36" s="1614"/>
      <c r="T36" s="1603"/>
      <c r="U36" s="1603"/>
      <c r="V36" s="1603"/>
      <c r="W36" s="1603"/>
      <c r="X36" s="1603"/>
      <c r="Y36" s="1603"/>
      <c r="Z36" s="1603"/>
    </row>
    <row r="37" spans="1:26" ht="15.75">
      <c r="A37" s="1598"/>
      <c r="B37" s="1610" t="s">
        <v>1390</v>
      </c>
      <c r="C37" s="1584">
        <f t="shared" ref="C37:D37" si="8">C16</f>
        <v>16</v>
      </c>
      <c r="D37" s="2318">
        <f t="shared" si="8"/>
        <v>0.70833333333333337</v>
      </c>
      <c r="E37" s="1506">
        <v>845.60399999999993</v>
      </c>
      <c r="F37" s="1507">
        <v>158.726</v>
      </c>
      <c r="G37" s="1507">
        <v>138.62899999999999</v>
      </c>
      <c r="H37" s="1507">
        <v>316</v>
      </c>
      <c r="I37" s="1507"/>
      <c r="J37" s="1502">
        <f t="shared" si="2"/>
        <v>1458.9589999999998</v>
      </c>
      <c r="K37" s="1603"/>
      <c r="L37" s="1603"/>
      <c r="M37" s="1603"/>
      <c r="N37" s="1603"/>
      <c r="O37" s="1603"/>
      <c r="P37" s="1603"/>
      <c r="Q37" s="1603"/>
      <c r="R37" s="1603"/>
      <c r="S37" s="1614"/>
      <c r="T37" s="1603"/>
      <c r="U37" s="1603"/>
      <c r="V37" s="1603"/>
      <c r="W37" s="1603"/>
      <c r="X37" s="1603"/>
      <c r="Y37" s="1603"/>
      <c r="Z37" s="1603"/>
    </row>
    <row r="38" spans="1:26" ht="15.75">
      <c r="A38" s="1598"/>
      <c r="B38" s="1610" t="s">
        <v>1232</v>
      </c>
      <c r="C38" s="1584">
        <f t="shared" ref="C38:D38" si="9">C17</f>
        <v>9</v>
      </c>
      <c r="D38" s="2318">
        <f t="shared" si="9"/>
        <v>0.66666666666666663</v>
      </c>
      <c r="E38" s="1506">
        <v>767.42500000000007</v>
      </c>
      <c r="F38" s="1507">
        <v>118.191</v>
      </c>
      <c r="G38" s="1507">
        <v>132.249</v>
      </c>
      <c r="H38" s="1507">
        <v>351</v>
      </c>
      <c r="I38" s="1507"/>
      <c r="J38" s="1502">
        <f t="shared" si="2"/>
        <v>1368.8650000000002</v>
      </c>
      <c r="K38" s="1603"/>
      <c r="L38" s="1603"/>
      <c r="M38" s="1603"/>
      <c r="N38" s="1603"/>
      <c r="O38" s="1603"/>
      <c r="P38" s="1603"/>
      <c r="Q38" s="1603"/>
      <c r="R38" s="1603"/>
      <c r="S38" s="1614"/>
      <c r="T38" s="1603"/>
      <c r="U38" s="1603"/>
      <c r="V38" s="1603"/>
      <c r="W38" s="1603"/>
      <c r="X38" s="1603"/>
      <c r="Y38" s="1603"/>
      <c r="Z38" s="1603"/>
    </row>
    <row r="39" spans="1:26" ht="15.75">
      <c r="A39" s="1598"/>
      <c r="B39" s="1610" t="s">
        <v>1391</v>
      </c>
      <c r="C39" s="1584">
        <f t="shared" ref="C39:D39" si="10">C18</f>
        <v>7</v>
      </c>
      <c r="D39" s="2318">
        <f t="shared" si="10"/>
        <v>0.70833333333333337</v>
      </c>
      <c r="E39" s="1506">
        <v>693.40499999999997</v>
      </c>
      <c r="F39" s="1507">
        <v>149.44399999999999</v>
      </c>
      <c r="G39" s="1507">
        <v>110.536</v>
      </c>
      <c r="H39" s="1507">
        <v>292</v>
      </c>
      <c r="I39" s="1507"/>
      <c r="J39" s="1502">
        <f t="shared" si="2"/>
        <v>1245.385</v>
      </c>
      <c r="K39" s="1603"/>
      <c r="L39" s="1603"/>
      <c r="M39" s="1603"/>
      <c r="N39" s="1603"/>
      <c r="O39" s="1603"/>
      <c r="P39" s="1603"/>
      <c r="Q39" s="1603"/>
      <c r="R39" s="1603"/>
      <c r="S39" s="1614"/>
      <c r="T39" s="1603"/>
      <c r="U39" s="1603"/>
      <c r="V39" s="1603"/>
      <c r="W39" s="1603"/>
      <c r="X39" s="1603"/>
      <c r="Y39" s="1603"/>
      <c r="Z39" s="1603"/>
    </row>
    <row r="40" spans="1:26" ht="15.75">
      <c r="A40" s="1598"/>
      <c r="B40" s="1610" t="s">
        <v>1234</v>
      </c>
      <c r="C40" s="1584">
        <f t="shared" ref="C40:D40" si="11">C19</f>
        <v>2</v>
      </c>
      <c r="D40" s="2318">
        <f t="shared" si="11"/>
        <v>0.54166666666666663</v>
      </c>
      <c r="E40" s="1506">
        <v>419.613</v>
      </c>
      <c r="F40" s="1507">
        <v>138.03399999999999</v>
      </c>
      <c r="G40" s="1507">
        <v>132.761</v>
      </c>
      <c r="H40" s="1507">
        <v>266</v>
      </c>
      <c r="I40" s="1507"/>
      <c r="J40" s="1502">
        <f t="shared" si="2"/>
        <v>956.4079999999999</v>
      </c>
      <c r="K40" s="1603"/>
      <c r="L40" s="1603"/>
      <c r="M40" s="1603"/>
      <c r="N40" s="1603"/>
      <c r="O40" s="1603"/>
      <c r="P40" s="1603"/>
      <c r="Q40" s="1603"/>
      <c r="R40" s="1603"/>
      <c r="S40" s="1614"/>
      <c r="T40" s="1603"/>
      <c r="U40" s="1603"/>
      <c r="V40" s="1603"/>
      <c r="W40" s="1603"/>
      <c r="X40" s="1603"/>
      <c r="Y40" s="1603"/>
      <c r="Z40" s="1603"/>
    </row>
    <row r="41" spans="1:26" ht="15.75">
      <c r="A41" s="1598"/>
      <c r="B41" s="1610" t="s">
        <v>1235</v>
      </c>
      <c r="C41" s="1584">
        <f t="shared" ref="C41:D41" si="12">C20</f>
        <v>20</v>
      </c>
      <c r="D41" s="2318">
        <f t="shared" si="12"/>
        <v>0.33333333333333331</v>
      </c>
      <c r="E41" s="1506">
        <v>372.274</v>
      </c>
      <c r="F41" s="1507">
        <v>67.506</v>
      </c>
      <c r="G41" s="1507">
        <v>54.94</v>
      </c>
      <c r="H41" s="1507">
        <v>325</v>
      </c>
      <c r="I41" s="1507"/>
      <c r="J41" s="1502">
        <f t="shared" si="2"/>
        <v>819.72</v>
      </c>
      <c r="K41" s="1603"/>
      <c r="L41" s="1603"/>
      <c r="M41" s="1603"/>
      <c r="N41" s="1603"/>
      <c r="O41" s="1603"/>
      <c r="P41" s="1603"/>
      <c r="Q41" s="1603"/>
      <c r="R41" s="1603"/>
      <c r="S41" s="1614"/>
      <c r="T41" s="1603"/>
      <c r="U41" s="1603"/>
      <c r="V41" s="1603"/>
      <c r="W41" s="1603"/>
      <c r="X41" s="1603"/>
      <c r="Y41" s="1603"/>
      <c r="Z41" s="1603"/>
    </row>
    <row r="42" spans="1:26" ht="16.5" thickBot="1">
      <c r="A42" s="1598"/>
      <c r="B42" s="1610" t="s">
        <v>1236</v>
      </c>
      <c r="C42" s="1584">
        <f t="shared" ref="C42:D42" si="13">C21</f>
        <v>6</v>
      </c>
      <c r="D42" s="2318">
        <f t="shared" si="13"/>
        <v>0.75</v>
      </c>
      <c r="E42" s="1512">
        <v>439.89499999999992</v>
      </c>
      <c r="F42" s="1513">
        <v>76.981999999999999</v>
      </c>
      <c r="G42" s="1513">
        <v>75.268000000000001</v>
      </c>
      <c r="H42" s="1513">
        <v>339</v>
      </c>
      <c r="I42" s="1507"/>
      <c r="J42" s="1502">
        <f t="shared" si="2"/>
        <v>931.14499999999998</v>
      </c>
      <c r="K42" s="1603"/>
      <c r="L42" s="1603"/>
      <c r="M42" s="1603"/>
      <c r="N42" s="1603"/>
      <c r="O42" s="1603"/>
      <c r="P42" s="1603"/>
      <c r="Q42" s="1603"/>
      <c r="R42" s="1603"/>
      <c r="S42" s="1614"/>
      <c r="T42" s="1603"/>
      <c r="U42" s="1603"/>
      <c r="V42" s="1603"/>
      <c r="W42" s="1603"/>
      <c r="X42" s="1603"/>
      <c r="Y42" s="1603"/>
      <c r="Z42" s="1603"/>
    </row>
    <row r="43" spans="1:26" ht="16.5" thickBot="1">
      <c r="A43" s="1598"/>
      <c r="B43" s="1611" t="s">
        <v>115</v>
      </c>
      <c r="C43" s="1612"/>
      <c r="D43" s="1613"/>
      <c r="E43" s="1561">
        <f t="shared" ref="E43:J43" si="14">SUM(E31:E42)</f>
        <v>6370.2209999999995</v>
      </c>
      <c r="F43" s="1562">
        <f t="shared" si="14"/>
        <v>1187.8799999999999</v>
      </c>
      <c r="G43" s="1562">
        <f t="shared" si="14"/>
        <v>1109.4110000000001</v>
      </c>
      <c r="H43" s="1562">
        <f t="shared" si="14"/>
        <v>3613</v>
      </c>
      <c r="I43" s="1562"/>
      <c r="J43" s="1517">
        <f t="shared" si="14"/>
        <v>12280.511999999999</v>
      </c>
      <c r="K43" s="1603"/>
      <c r="L43" s="1603"/>
      <c r="M43" s="1603"/>
      <c r="N43" s="1603"/>
      <c r="O43" s="1603"/>
      <c r="P43" s="1603"/>
      <c r="Q43" s="1603"/>
      <c r="R43" s="1603"/>
      <c r="S43" s="1614"/>
      <c r="T43" s="1603"/>
      <c r="U43" s="1603"/>
      <c r="V43" s="1603"/>
      <c r="W43" s="1603"/>
      <c r="X43" s="1603"/>
      <c r="Y43" s="1603"/>
      <c r="Z43" s="1603"/>
    </row>
  </sheetData>
  <mergeCells count="2">
    <mergeCell ref="E26:J26"/>
    <mergeCell ref="E5:Y5"/>
  </mergeCells>
  <pageMargins left="0.7" right="0.7" top="0.75" bottom="0.75" header="0.3" footer="0.3"/>
  <pageSetup scale="48"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1"/>
  <sheetViews>
    <sheetView workbookViewId="0">
      <selection activeCell="AA13" sqref="AA13"/>
    </sheetView>
  </sheetViews>
  <sheetFormatPr defaultRowHeight="15" outlineLevelCol="1"/>
  <cols>
    <col min="1" max="1" width="4.7109375" customWidth="1"/>
    <col min="2" max="2" width="14.28515625" customWidth="1"/>
    <col min="3" max="4" width="6" customWidth="1"/>
    <col min="5" max="7" width="11.5703125" customWidth="1"/>
    <col min="8" max="8" width="12.85546875" customWidth="1"/>
    <col min="9" max="12" width="11.5703125" customWidth="1"/>
    <col min="13" max="13" width="12.5703125" customWidth="1"/>
    <col min="14" max="20" width="11.5703125" customWidth="1"/>
    <col min="21" max="21" width="10.140625" bestFit="1" customWidth="1"/>
    <col min="22" max="22" width="11.28515625" hidden="1" customWidth="1" outlineLevel="1"/>
    <col min="23" max="23" width="8.7109375" hidden="1" customWidth="1" outlineLevel="1"/>
    <col min="24" max="24" width="9.42578125" hidden="1" customWidth="1" outlineLevel="1"/>
    <col min="25" max="25" width="9.140625" collapsed="1"/>
  </cols>
  <sheetData>
    <row r="1" spans="1:27" ht="15.75">
      <c r="A1" s="1456"/>
      <c r="B1" s="1599" t="s">
        <v>2</v>
      </c>
      <c r="C1" s="1600"/>
      <c r="D1" s="1599"/>
      <c r="E1" s="1601"/>
      <c r="F1" s="1601"/>
      <c r="G1" s="1601"/>
      <c r="H1" s="1601"/>
      <c r="I1" s="1601"/>
      <c r="J1" s="1601"/>
      <c r="K1" s="1601"/>
      <c r="L1" s="1601"/>
      <c r="M1" s="1601"/>
      <c r="N1" s="1601"/>
      <c r="O1" s="1601"/>
      <c r="P1" s="1601"/>
      <c r="Q1" s="1601"/>
      <c r="R1" s="1601"/>
      <c r="S1" s="1601"/>
      <c r="T1" s="1602"/>
      <c r="U1" s="1601"/>
      <c r="V1" s="474"/>
      <c r="W1" s="474"/>
      <c r="X1" s="474"/>
    </row>
    <row r="2" spans="1:27" ht="15.75">
      <c r="A2" s="1568"/>
      <c r="B2" s="1599" t="s">
        <v>1433</v>
      </c>
      <c r="C2" s="1599"/>
      <c r="D2" s="1599"/>
      <c r="E2" s="1601"/>
      <c r="F2" s="1601"/>
      <c r="G2" s="1601"/>
      <c r="H2" s="1601"/>
      <c r="I2" s="1601"/>
      <c r="J2" s="1601"/>
      <c r="K2" s="1601"/>
      <c r="L2" s="1601"/>
      <c r="M2" s="1601"/>
      <c r="N2" s="1601"/>
      <c r="O2" s="1604"/>
      <c r="P2" s="1604"/>
      <c r="Q2" s="1601"/>
      <c r="R2" s="1601"/>
      <c r="S2" s="1601"/>
      <c r="T2" s="1602"/>
      <c r="U2" s="1601"/>
      <c r="V2" s="474"/>
      <c r="W2" s="474"/>
      <c r="X2" s="474"/>
    </row>
    <row r="3" spans="1:27" ht="15.75">
      <c r="A3" s="1456"/>
      <c r="B3" s="487"/>
      <c r="C3" s="487"/>
      <c r="D3" s="487"/>
      <c r="E3" s="487"/>
      <c r="F3" s="487"/>
      <c r="G3" s="487"/>
      <c r="H3" s="487"/>
      <c r="I3" s="487"/>
      <c r="J3" s="487"/>
      <c r="K3" s="1605">
        <v>2017</v>
      </c>
      <c r="L3" s="474"/>
      <c r="M3" s="1603"/>
      <c r="N3" s="487"/>
      <c r="O3" s="493"/>
      <c r="P3" s="493"/>
      <c r="Q3" s="487"/>
      <c r="R3" s="487"/>
      <c r="S3" s="487"/>
      <c r="T3" s="487"/>
      <c r="U3" s="487"/>
      <c r="V3" s="474"/>
      <c r="W3" s="474"/>
      <c r="X3" s="474"/>
    </row>
    <row r="4" spans="1:27" ht="16.5" thickBot="1">
      <c r="A4" s="1460"/>
      <c r="B4" s="1460"/>
      <c r="C4" s="1571"/>
      <c r="D4" s="1571"/>
      <c r="E4" s="1460"/>
      <c r="F4" s="1460"/>
      <c r="G4" s="1460"/>
      <c r="H4" s="1460"/>
      <c r="I4" s="1460"/>
      <c r="J4" s="1460"/>
      <c r="K4" s="1460"/>
      <c r="L4" s="1460"/>
      <c r="M4" s="1460"/>
      <c r="N4" s="1460"/>
      <c r="O4" s="1460"/>
      <c r="P4" s="1460"/>
      <c r="Q4" s="1460"/>
      <c r="R4" s="1460"/>
      <c r="S4" s="1460"/>
      <c r="T4" s="1460"/>
      <c r="U4" s="1460"/>
      <c r="V4" s="474"/>
      <c r="W4" s="474"/>
      <c r="X4" s="474"/>
    </row>
    <row r="5" spans="1:27" ht="16.5" thickBot="1">
      <c r="A5" s="1460"/>
      <c r="B5" s="1469"/>
      <c r="C5" s="1572"/>
      <c r="D5" s="1572"/>
      <c r="E5" s="2464" t="s">
        <v>1429</v>
      </c>
      <c r="F5" s="2465"/>
      <c r="G5" s="2465"/>
      <c r="H5" s="2465"/>
      <c r="I5" s="2465"/>
      <c r="J5" s="2465"/>
      <c r="K5" s="2465"/>
      <c r="L5" s="2465"/>
      <c r="M5" s="2465"/>
      <c r="N5" s="2465"/>
      <c r="O5" s="2465"/>
      <c r="P5" s="2465"/>
      <c r="Q5" s="2465"/>
      <c r="R5" s="2465"/>
      <c r="S5" s="2465"/>
      <c r="T5" s="2471"/>
      <c r="U5" s="2471"/>
      <c r="V5" s="2471"/>
      <c r="W5" s="2471"/>
      <c r="X5" s="2471"/>
      <c r="Y5" s="2472"/>
    </row>
    <row r="6" spans="1:27" ht="16.5" thickBot="1">
      <c r="A6" s="1460"/>
      <c r="B6" s="1472" t="s">
        <v>912</v>
      </c>
      <c r="C6" s="1572"/>
      <c r="D6" s="1572"/>
      <c r="E6" s="1473" t="s">
        <v>1350</v>
      </c>
      <c r="F6" s="1573" t="s">
        <v>1351</v>
      </c>
      <c r="G6" s="1574" t="s">
        <v>1352</v>
      </c>
      <c r="H6" s="1574" t="s">
        <v>1353</v>
      </c>
      <c r="I6" s="1574" t="s">
        <v>1354</v>
      </c>
      <c r="J6" s="1574" t="s">
        <v>1355</v>
      </c>
      <c r="K6" s="1574" t="s">
        <v>1356</v>
      </c>
      <c r="L6" s="1574" t="s">
        <v>1357</v>
      </c>
      <c r="M6" s="1574" t="s">
        <v>1358</v>
      </c>
      <c r="N6" s="1574" t="s">
        <v>1359</v>
      </c>
      <c r="O6" s="1574" t="s">
        <v>1360</v>
      </c>
      <c r="P6" s="1574" t="s">
        <v>1361</v>
      </c>
      <c r="Q6" s="1574" t="s">
        <v>1362</v>
      </c>
      <c r="R6" s="1574" t="s">
        <v>1363</v>
      </c>
      <c r="S6" s="1574" t="s">
        <v>1364</v>
      </c>
      <c r="T6" s="1574" t="s">
        <v>1365</v>
      </c>
      <c r="U6" s="1477" t="s">
        <v>1366</v>
      </c>
      <c r="V6" s="1475"/>
      <c r="W6" s="1475"/>
      <c r="X6" s="2297"/>
      <c r="Y6" s="1607" t="s">
        <v>1368</v>
      </c>
      <c r="Z6" s="1460"/>
      <c r="AA6" s="1460"/>
    </row>
    <row r="7" spans="1:27" ht="55.5" customHeight="1">
      <c r="A7" s="1460"/>
      <c r="B7" s="1478" t="s">
        <v>1374</v>
      </c>
      <c r="C7" s="1478"/>
      <c r="D7" s="1575"/>
      <c r="E7" s="2252" t="s">
        <v>2</v>
      </c>
      <c r="F7" s="2252" t="s">
        <v>2490</v>
      </c>
      <c r="G7" s="1576" t="s">
        <v>2491</v>
      </c>
      <c r="H7" s="1576" t="s">
        <v>2492</v>
      </c>
      <c r="I7" s="1576" t="s">
        <v>2493</v>
      </c>
      <c r="J7" s="1576" t="s">
        <v>2494</v>
      </c>
      <c r="K7" s="1576" t="s">
        <v>2573</v>
      </c>
      <c r="L7" s="1576" t="s">
        <v>2496</v>
      </c>
      <c r="M7" s="1576" t="s">
        <v>2497</v>
      </c>
      <c r="N7" s="1576" t="s">
        <v>2498</v>
      </c>
      <c r="O7" s="1576" t="s">
        <v>2499</v>
      </c>
      <c r="P7" s="1576" t="s">
        <v>2500</v>
      </c>
      <c r="Q7" s="1576" t="s">
        <v>2501</v>
      </c>
      <c r="R7" s="1576" t="s">
        <v>2502</v>
      </c>
      <c r="S7" s="1576" t="s">
        <v>2503</v>
      </c>
      <c r="T7" s="1576" t="s">
        <v>2574</v>
      </c>
      <c r="U7" s="2248" t="s">
        <v>2505</v>
      </c>
      <c r="V7" s="1579"/>
      <c r="W7" s="1579"/>
      <c r="X7" s="2260"/>
      <c r="Y7" s="1577"/>
      <c r="Z7" s="1460"/>
      <c r="AA7" s="1460"/>
    </row>
    <row r="8" spans="1:27" ht="31.5">
      <c r="A8" s="1460"/>
      <c r="B8" s="1485" t="s">
        <v>1379</v>
      </c>
      <c r="C8" s="1485"/>
      <c r="D8" s="1578"/>
      <c r="E8" s="1608" t="s">
        <v>1380</v>
      </c>
      <c r="F8" s="1487" t="s">
        <v>1381</v>
      </c>
      <c r="G8" s="1483" t="s">
        <v>1381</v>
      </c>
      <c r="H8" s="1483" t="s">
        <v>1381</v>
      </c>
      <c r="I8" s="1483" t="s">
        <v>1381</v>
      </c>
      <c r="J8" s="1483" t="s">
        <v>1381</v>
      </c>
      <c r="K8" s="1483" t="s">
        <v>1381</v>
      </c>
      <c r="L8" s="1483" t="s">
        <v>1381</v>
      </c>
      <c r="M8" s="1483" t="s">
        <v>1381</v>
      </c>
      <c r="N8" s="1483" t="s">
        <v>1381</v>
      </c>
      <c r="O8" s="1483" t="s">
        <v>1381</v>
      </c>
      <c r="P8" s="1483" t="s">
        <v>1381</v>
      </c>
      <c r="Q8" s="1483" t="s">
        <v>1381</v>
      </c>
      <c r="R8" s="1483" t="s">
        <v>1381</v>
      </c>
      <c r="S8" s="1483" t="s">
        <v>1381</v>
      </c>
      <c r="T8" s="1483" t="s">
        <v>1381</v>
      </c>
      <c r="U8" s="1483" t="s">
        <v>1381</v>
      </c>
      <c r="V8" s="1483"/>
      <c r="W8" s="1483"/>
      <c r="X8" s="1488"/>
      <c r="Y8" s="1580" t="s">
        <v>1382</v>
      </c>
      <c r="Z8" s="1465"/>
      <c r="AA8" s="1460"/>
    </row>
    <row r="9" spans="1:27" ht="16.5" thickBot="1">
      <c r="A9" s="1460"/>
      <c r="B9" s="1490" t="s">
        <v>1385</v>
      </c>
      <c r="C9" s="1581" t="s">
        <v>1430</v>
      </c>
      <c r="D9" s="1581" t="s">
        <v>1431</v>
      </c>
      <c r="E9" s="1582" t="s">
        <v>2295</v>
      </c>
      <c r="F9" s="2257" t="s">
        <v>2510</v>
      </c>
      <c r="G9" s="1582" t="s">
        <v>2511</v>
      </c>
      <c r="H9" s="1582" t="s">
        <v>2512</v>
      </c>
      <c r="I9" s="1582" t="s">
        <v>2513</v>
      </c>
      <c r="J9" s="1582" t="s">
        <v>2514</v>
      </c>
      <c r="K9" s="1582" t="s">
        <v>2515</v>
      </c>
      <c r="L9" s="1582" t="s">
        <v>2516</v>
      </c>
      <c r="M9" s="1582" t="s">
        <v>2517</v>
      </c>
      <c r="N9" s="1582" t="s">
        <v>2518</v>
      </c>
      <c r="O9" s="1582" t="s">
        <v>2519</v>
      </c>
      <c r="P9" s="1582" t="s">
        <v>2520</v>
      </c>
      <c r="Q9" s="1582" t="s">
        <v>2521</v>
      </c>
      <c r="R9" s="1582" t="s">
        <v>2553</v>
      </c>
      <c r="S9" s="1582" t="s">
        <v>2523</v>
      </c>
      <c r="T9" s="1582" t="s">
        <v>2524</v>
      </c>
      <c r="U9" s="1582" t="s">
        <v>2525</v>
      </c>
      <c r="V9" s="1582">
        <v>0</v>
      </c>
      <c r="W9" s="1582">
        <v>0</v>
      </c>
      <c r="X9" s="2317">
        <v>0</v>
      </c>
      <c r="Y9" s="1583"/>
      <c r="Z9" s="1465"/>
      <c r="AA9" s="1460"/>
    </row>
    <row r="10" spans="1:27" ht="15.75">
      <c r="A10" s="1460"/>
      <c r="B10" s="1472" t="s">
        <v>1226</v>
      </c>
      <c r="C10" s="1584">
        <v>6</v>
      </c>
      <c r="D10" s="1617">
        <v>8</v>
      </c>
      <c r="E10" s="1506">
        <v>9215.6470000000008</v>
      </c>
      <c r="F10" s="1587">
        <v>17.64</v>
      </c>
      <c r="G10" s="1588">
        <v>3.387</v>
      </c>
      <c r="H10" s="1588">
        <v>38.701000000000001</v>
      </c>
      <c r="I10" s="1588">
        <v>1.601</v>
      </c>
      <c r="J10" s="1588">
        <v>0.40699999999999997</v>
      </c>
      <c r="K10" s="1588">
        <v>0</v>
      </c>
      <c r="L10" s="1588">
        <v>20.04</v>
      </c>
      <c r="M10" s="1588">
        <v>18.983000000000001</v>
      </c>
      <c r="N10" s="1588">
        <v>11.504</v>
      </c>
      <c r="O10" s="1588">
        <v>52.52</v>
      </c>
      <c r="P10" s="1588">
        <v>0</v>
      </c>
      <c r="Q10" s="1588">
        <v>8.0000000000000002E-3</v>
      </c>
      <c r="R10" s="1588">
        <v>21.524000000000001</v>
      </c>
      <c r="S10" s="1588">
        <v>0</v>
      </c>
      <c r="T10" s="1588">
        <v>346.685</v>
      </c>
      <c r="U10" s="1588">
        <v>107</v>
      </c>
      <c r="V10" s="1584"/>
      <c r="W10" s="1584"/>
      <c r="X10" s="1584"/>
      <c r="Y10" s="1502">
        <f t="shared" ref="Y10:Y22" si="0">SUM(F10:U10)</f>
        <v>640</v>
      </c>
      <c r="Z10" s="1465"/>
      <c r="AA10" s="1460"/>
    </row>
    <row r="11" spans="1:27" ht="15.75">
      <c r="A11" s="1460"/>
      <c r="B11" s="1472" t="s">
        <v>1227</v>
      </c>
      <c r="C11" s="1584">
        <v>1</v>
      </c>
      <c r="D11" s="1617">
        <v>19</v>
      </c>
      <c r="E11" s="1506">
        <v>8142.7520000000004</v>
      </c>
      <c r="F11" s="1587">
        <v>13.333</v>
      </c>
      <c r="G11" s="1588">
        <v>3.1920000000000002</v>
      </c>
      <c r="H11" s="1588">
        <v>28.805</v>
      </c>
      <c r="I11" s="1588">
        <v>1.258</v>
      </c>
      <c r="J11" s="1588">
        <v>0.41599999999999998</v>
      </c>
      <c r="K11" s="1588">
        <v>0</v>
      </c>
      <c r="L11" s="1588">
        <v>17.047999999999998</v>
      </c>
      <c r="M11" s="1588">
        <v>18.023</v>
      </c>
      <c r="N11" s="1588">
        <v>11.084</v>
      </c>
      <c r="O11" s="1588">
        <v>49.55</v>
      </c>
      <c r="P11" s="1588">
        <v>0</v>
      </c>
      <c r="Q11" s="1588">
        <v>6.0000000000000001E-3</v>
      </c>
      <c r="R11" s="1588">
        <v>22.643999999999998</v>
      </c>
      <c r="S11" s="1588">
        <v>0</v>
      </c>
      <c r="T11" s="1588">
        <v>239.07400000000001</v>
      </c>
      <c r="U11" s="1588">
        <v>92</v>
      </c>
      <c r="V11" s="1588"/>
      <c r="W11" s="1588"/>
      <c r="X11" s="1589"/>
      <c r="Y11" s="1502">
        <f t="shared" si="0"/>
        <v>496.43299999999999</v>
      </c>
      <c r="Z11" s="1465"/>
      <c r="AA11" s="1460"/>
    </row>
    <row r="12" spans="1:27" ht="15.75">
      <c r="A12" s="1460"/>
      <c r="B12" s="1472" t="s">
        <v>1024</v>
      </c>
      <c r="C12" s="1584">
        <v>1</v>
      </c>
      <c r="D12" s="1617">
        <v>8</v>
      </c>
      <c r="E12" s="1506">
        <v>7714.2280000000001</v>
      </c>
      <c r="F12" s="1587">
        <v>10.561999999999999</v>
      </c>
      <c r="G12" s="1588">
        <v>3.2869999999999999</v>
      </c>
      <c r="H12" s="1588">
        <v>22.995999999999999</v>
      </c>
      <c r="I12" s="1588">
        <v>1.1950000000000001</v>
      </c>
      <c r="J12" s="1588">
        <v>0</v>
      </c>
      <c r="K12" s="1588">
        <v>0</v>
      </c>
      <c r="L12" s="1588">
        <v>19.018999999999998</v>
      </c>
      <c r="M12" s="1588">
        <v>14.356999999999999</v>
      </c>
      <c r="N12" s="1588">
        <v>9.625</v>
      </c>
      <c r="O12" s="1588">
        <v>42.85</v>
      </c>
      <c r="P12" s="1588">
        <v>0</v>
      </c>
      <c r="Q12" s="1588">
        <v>0</v>
      </c>
      <c r="R12" s="1588">
        <v>24.721</v>
      </c>
      <c r="S12" s="1588">
        <v>0</v>
      </c>
      <c r="T12" s="1588">
        <v>247.49600000000001</v>
      </c>
      <c r="U12" s="1588">
        <v>78</v>
      </c>
      <c r="V12" s="1588"/>
      <c r="W12" s="1588"/>
      <c r="X12" s="1589"/>
      <c r="Y12" s="1502">
        <f t="shared" si="0"/>
        <v>474.108</v>
      </c>
      <c r="Z12" s="1465"/>
      <c r="AA12" s="1460"/>
    </row>
    <row r="13" spans="1:27" ht="15.75">
      <c r="A13" s="1460"/>
      <c r="B13" s="1472" t="s">
        <v>1025</v>
      </c>
      <c r="C13" s="1584">
        <v>3</v>
      </c>
      <c r="D13" s="1617">
        <v>8</v>
      </c>
      <c r="E13" s="1506">
        <v>7155.9219999999996</v>
      </c>
      <c r="F13" s="1587">
        <v>8.5090000000000003</v>
      </c>
      <c r="G13" s="1588">
        <v>3.2789999999999999</v>
      </c>
      <c r="H13" s="1588">
        <v>25.454000000000001</v>
      </c>
      <c r="I13" s="1588">
        <v>1.081</v>
      </c>
      <c r="J13" s="1588">
        <v>0</v>
      </c>
      <c r="K13" s="1588">
        <v>0</v>
      </c>
      <c r="L13" s="1588">
        <v>15.226000000000001</v>
      </c>
      <c r="M13" s="1588">
        <v>16.850000000000001</v>
      </c>
      <c r="N13" s="1588">
        <v>8.5370000000000008</v>
      </c>
      <c r="O13" s="1588">
        <v>38.06</v>
      </c>
      <c r="P13" s="1588">
        <v>0.28199999999999997</v>
      </c>
      <c r="Q13" s="1588">
        <v>0</v>
      </c>
      <c r="R13" s="1588">
        <v>25.08</v>
      </c>
      <c r="S13" s="1588">
        <v>1.7050000000000001</v>
      </c>
      <c r="T13" s="1588">
        <v>178.97399999999999</v>
      </c>
      <c r="U13" s="1588">
        <v>34</v>
      </c>
      <c r="V13" s="1588"/>
      <c r="W13" s="1588"/>
      <c r="X13" s="1589"/>
      <c r="Y13" s="1502">
        <f t="shared" si="0"/>
        <v>357.03700000000003</v>
      </c>
      <c r="Z13" s="1465"/>
      <c r="AA13" s="1460"/>
    </row>
    <row r="14" spans="1:27" ht="15.75">
      <c r="A14" s="1509"/>
      <c r="B14" s="1472" t="s">
        <v>1026</v>
      </c>
      <c r="C14" s="1584">
        <v>30</v>
      </c>
      <c r="D14" s="1617">
        <v>17</v>
      </c>
      <c r="E14" s="1506">
        <v>8095.9179999999997</v>
      </c>
      <c r="F14" s="1587">
        <v>6.327</v>
      </c>
      <c r="G14" s="1588">
        <v>2.6480000000000001</v>
      </c>
      <c r="H14" s="1588">
        <v>11.532999999999999</v>
      </c>
      <c r="I14" s="1588">
        <v>0.32600000000000001</v>
      </c>
      <c r="J14" s="1588">
        <v>0</v>
      </c>
      <c r="K14" s="1588">
        <v>0</v>
      </c>
      <c r="L14" s="1588">
        <v>25.74</v>
      </c>
      <c r="M14" s="1588">
        <v>19.491</v>
      </c>
      <c r="N14" s="1588">
        <v>8.0440000000000005</v>
      </c>
      <c r="O14" s="1588">
        <v>35.229999999999997</v>
      </c>
      <c r="P14" s="1588">
        <v>0.55300000000000005</v>
      </c>
      <c r="Q14" s="1588">
        <v>2.4950000000000001</v>
      </c>
      <c r="R14" s="1588">
        <v>26.6</v>
      </c>
      <c r="S14" s="1588">
        <v>2.403</v>
      </c>
      <c r="T14" s="1588">
        <v>123.224</v>
      </c>
      <c r="U14" s="1588">
        <v>57</v>
      </c>
      <c r="V14" s="1588"/>
      <c r="W14" s="1588"/>
      <c r="X14" s="1589"/>
      <c r="Y14" s="1502">
        <f t="shared" si="0"/>
        <v>321.61399999999998</v>
      </c>
      <c r="Z14" s="1465"/>
      <c r="AA14" s="1460"/>
    </row>
    <row r="15" spans="1:27" ht="15.75">
      <c r="A15" s="1460"/>
      <c r="B15" s="1472" t="s">
        <v>1230</v>
      </c>
      <c r="C15" s="1584">
        <v>26</v>
      </c>
      <c r="D15" s="1617">
        <v>17</v>
      </c>
      <c r="E15" s="1506">
        <v>9686.7669999999998</v>
      </c>
      <c r="F15" s="1587">
        <v>6.5910000000000002</v>
      </c>
      <c r="G15" s="1588">
        <v>3.4510000000000001</v>
      </c>
      <c r="H15" s="1588">
        <v>12.53</v>
      </c>
      <c r="I15" s="1588">
        <v>0.34499999999999997</v>
      </c>
      <c r="J15" s="1588">
        <v>0</v>
      </c>
      <c r="K15" s="1588">
        <v>0</v>
      </c>
      <c r="L15" s="1588">
        <v>24.09</v>
      </c>
      <c r="M15" s="1588">
        <v>22.186</v>
      </c>
      <c r="N15" s="1588">
        <v>9.4990000000000006</v>
      </c>
      <c r="O15" s="1588">
        <v>45.98</v>
      </c>
      <c r="P15" s="1588">
        <v>0.53900000000000003</v>
      </c>
      <c r="Q15" s="1588">
        <v>3.335</v>
      </c>
      <c r="R15" s="1588">
        <v>27.423999999999999</v>
      </c>
      <c r="S15" s="1588">
        <v>0.13800000000000001</v>
      </c>
      <c r="T15" s="1588">
        <v>163.779</v>
      </c>
      <c r="U15" s="1588">
        <v>70</v>
      </c>
      <c r="V15" s="1588"/>
      <c r="W15" s="1588"/>
      <c r="X15" s="1589"/>
      <c r="Y15" s="1502">
        <f t="shared" si="0"/>
        <v>389.887</v>
      </c>
      <c r="Z15" s="1465"/>
      <c r="AA15" s="1460"/>
    </row>
    <row r="16" spans="1:27" ht="15.75">
      <c r="A16" s="1460"/>
      <c r="B16" s="1472" t="s">
        <v>1390</v>
      </c>
      <c r="C16" s="1584">
        <v>6</v>
      </c>
      <c r="D16" s="1617">
        <v>17</v>
      </c>
      <c r="E16" s="1506">
        <v>10210.223</v>
      </c>
      <c r="F16" s="1587">
        <v>6.5359999999999996</v>
      </c>
      <c r="G16" s="1588">
        <v>3.5939999999999999</v>
      </c>
      <c r="H16" s="1588">
        <v>13.946</v>
      </c>
      <c r="I16" s="1588">
        <v>0.38100000000000001</v>
      </c>
      <c r="J16" s="1588">
        <v>2.5999999999999999E-2</v>
      </c>
      <c r="K16" s="1588">
        <v>0</v>
      </c>
      <c r="L16" s="1588">
        <v>16.149000000000001</v>
      </c>
      <c r="M16" s="1588">
        <v>22.367999999999999</v>
      </c>
      <c r="N16" s="1588">
        <v>11.036</v>
      </c>
      <c r="O16" s="1588">
        <v>51.49</v>
      </c>
      <c r="P16" s="1588">
        <v>0.624</v>
      </c>
      <c r="Q16" s="1588">
        <v>2.8889999999999998</v>
      </c>
      <c r="R16" s="1588">
        <v>28.28</v>
      </c>
      <c r="S16" s="1588">
        <v>0.151</v>
      </c>
      <c r="T16" s="1588">
        <v>177.96</v>
      </c>
      <c r="U16" s="1588">
        <v>87</v>
      </c>
      <c r="V16" s="1588"/>
      <c r="W16" s="1588"/>
      <c r="X16" s="1589"/>
      <c r="Y16" s="1502">
        <f t="shared" si="0"/>
        <v>422.43000000000006</v>
      </c>
      <c r="Z16" s="1465"/>
      <c r="AA16" s="1460"/>
    </row>
    <row r="17" spans="1:27" ht="15.75">
      <c r="A17" s="1460"/>
      <c r="B17" s="1472" t="s">
        <v>1232</v>
      </c>
      <c r="C17" s="1584">
        <v>1</v>
      </c>
      <c r="D17" s="1617">
        <v>17</v>
      </c>
      <c r="E17" s="1506">
        <v>10334.302</v>
      </c>
      <c r="F17" s="1587">
        <v>7.3419999999999996</v>
      </c>
      <c r="G17" s="1588">
        <v>3.5950000000000002</v>
      </c>
      <c r="H17" s="1588">
        <v>16.86</v>
      </c>
      <c r="I17" s="1588">
        <v>0.38500000000000001</v>
      </c>
      <c r="J17" s="1588">
        <v>0</v>
      </c>
      <c r="K17" s="1588">
        <v>0</v>
      </c>
      <c r="L17" s="1588">
        <v>15.379</v>
      </c>
      <c r="M17" s="1588">
        <v>29.838000000000001</v>
      </c>
      <c r="N17" s="1588">
        <v>4.5869999999999997</v>
      </c>
      <c r="O17" s="1588">
        <v>53.33</v>
      </c>
      <c r="P17" s="1588">
        <v>0.62</v>
      </c>
      <c r="Q17" s="1588">
        <v>2.9980000000000002</v>
      </c>
      <c r="R17" s="1588">
        <v>28.460999999999999</v>
      </c>
      <c r="S17" s="1588">
        <v>0.16</v>
      </c>
      <c r="T17" s="1588">
        <v>157.28800000000001</v>
      </c>
      <c r="U17" s="1588">
        <v>85</v>
      </c>
      <c r="V17" s="1588"/>
      <c r="W17" s="1588"/>
      <c r="X17" s="1589"/>
      <c r="Y17" s="1502">
        <f t="shared" si="0"/>
        <v>405.84299999999996</v>
      </c>
      <c r="Z17" s="1465"/>
      <c r="AA17" s="1460"/>
    </row>
    <row r="18" spans="1:27" ht="15.75">
      <c r="A18" s="1460"/>
      <c r="B18" s="1472" t="s">
        <v>1391</v>
      </c>
      <c r="C18" s="1584">
        <v>5</v>
      </c>
      <c r="D18" s="1617">
        <v>17</v>
      </c>
      <c r="E18" s="1506">
        <v>9453.7139999999999</v>
      </c>
      <c r="F18" s="1587">
        <v>5.702</v>
      </c>
      <c r="G18" s="1588">
        <v>3.121</v>
      </c>
      <c r="H18" s="1588">
        <v>15.417</v>
      </c>
      <c r="I18" s="1588">
        <v>0.29099999999999998</v>
      </c>
      <c r="J18" s="1588">
        <v>0</v>
      </c>
      <c r="K18" s="1588">
        <v>0</v>
      </c>
      <c r="L18" s="1588">
        <v>13.59</v>
      </c>
      <c r="M18" s="1588">
        <v>25.641999999999999</v>
      </c>
      <c r="N18" s="1588">
        <v>8.9789999999999992</v>
      </c>
      <c r="O18" s="1588">
        <v>35.01</v>
      </c>
      <c r="P18" s="1588">
        <v>0.53900000000000003</v>
      </c>
      <c r="Q18" s="1588">
        <v>2.64</v>
      </c>
      <c r="R18" s="1588">
        <v>28.442</v>
      </c>
      <c r="S18" s="1588">
        <v>0.13600000000000001</v>
      </c>
      <c r="T18" s="1588">
        <v>131.34</v>
      </c>
      <c r="U18" s="1588">
        <v>76</v>
      </c>
      <c r="V18" s="1588"/>
      <c r="W18" s="1588"/>
      <c r="X18" s="1589"/>
      <c r="Y18" s="1502">
        <f t="shared" si="0"/>
        <v>346.84900000000005</v>
      </c>
      <c r="Z18" s="1465"/>
      <c r="AA18" s="1460"/>
    </row>
    <row r="19" spans="1:27" ht="15.75">
      <c r="A19" s="1460"/>
      <c r="B19" s="1472" t="s">
        <v>1234</v>
      </c>
      <c r="C19" s="1584">
        <v>31</v>
      </c>
      <c r="D19" s="1617">
        <v>8</v>
      </c>
      <c r="E19" s="1506">
        <v>7292.7290000000003</v>
      </c>
      <c r="F19" s="1587">
        <v>6.9749999999999996</v>
      </c>
      <c r="G19" s="1588">
        <v>2.8330000000000002</v>
      </c>
      <c r="H19" s="1588">
        <v>22.198</v>
      </c>
      <c r="I19" s="1588">
        <v>0</v>
      </c>
      <c r="J19" s="1588">
        <v>0</v>
      </c>
      <c r="K19" s="1588">
        <v>8.9999999999999993E-3</v>
      </c>
      <c r="L19" s="1588">
        <v>15.798999999999999</v>
      </c>
      <c r="M19" s="1588">
        <v>19.114999999999998</v>
      </c>
      <c r="N19" s="1588">
        <v>9.6980000000000004</v>
      </c>
      <c r="O19" s="1588">
        <v>40.950000000000003</v>
      </c>
      <c r="P19" s="1588">
        <v>5.0000000000000001E-3</v>
      </c>
      <c r="Q19" s="1588">
        <v>4.0000000000000001E-3</v>
      </c>
      <c r="R19" s="1588">
        <v>28.609000000000002</v>
      </c>
      <c r="S19" s="1588">
        <v>6.8000000000000005E-2</v>
      </c>
      <c r="T19" s="1588">
        <v>192.09800000000001</v>
      </c>
      <c r="U19" s="1588">
        <v>63</v>
      </c>
      <c r="V19" s="1588"/>
      <c r="W19" s="1588"/>
      <c r="X19" s="1589"/>
      <c r="Y19" s="1502">
        <f t="shared" si="0"/>
        <v>401.36100000000005</v>
      </c>
      <c r="Z19" s="1465"/>
      <c r="AA19" s="1460"/>
    </row>
    <row r="20" spans="1:27" ht="15.75">
      <c r="A20" s="1460"/>
      <c r="B20" s="1472" t="s">
        <v>1235</v>
      </c>
      <c r="C20" s="1584">
        <v>28</v>
      </c>
      <c r="D20" s="1617">
        <v>18</v>
      </c>
      <c r="E20" s="1506">
        <v>7623.1080000000002</v>
      </c>
      <c r="F20" s="1587">
        <v>5.9589999999999996</v>
      </c>
      <c r="G20" s="1588">
        <v>3.33</v>
      </c>
      <c r="H20" s="1588">
        <v>22.297999999999998</v>
      </c>
      <c r="I20" s="1588">
        <v>0.89</v>
      </c>
      <c r="J20" s="1588">
        <v>0</v>
      </c>
      <c r="K20" s="1588">
        <v>0.15500000000000003</v>
      </c>
      <c r="L20" s="1588">
        <v>12.189</v>
      </c>
      <c r="M20" s="1588">
        <v>13.743</v>
      </c>
      <c r="N20" s="1588">
        <v>9.173</v>
      </c>
      <c r="O20" s="1588">
        <v>40.909999999999997</v>
      </c>
      <c r="P20" s="1588">
        <v>5.0000000000000001E-3</v>
      </c>
      <c r="Q20" s="1588">
        <v>0</v>
      </c>
      <c r="R20" s="1588">
        <v>28.469000000000001</v>
      </c>
      <c r="S20" s="1588">
        <v>9.7000000000000003E-2</v>
      </c>
      <c r="T20" s="1588">
        <v>185.46</v>
      </c>
      <c r="U20" s="1588">
        <v>82</v>
      </c>
      <c r="V20" s="1588"/>
      <c r="W20" s="1588"/>
      <c r="X20" s="1589"/>
      <c r="Y20" s="1502">
        <f t="shared" si="0"/>
        <v>404.678</v>
      </c>
      <c r="Z20" s="1465"/>
      <c r="AA20" s="1460"/>
    </row>
    <row r="21" spans="1:27" ht="16.5" thickBot="1">
      <c r="A21" s="1460"/>
      <c r="B21" s="1490" t="s">
        <v>1236</v>
      </c>
      <c r="C21" s="1584">
        <v>21</v>
      </c>
      <c r="D21" s="1617">
        <v>18</v>
      </c>
      <c r="E21" s="1506">
        <v>8287.6170000000002</v>
      </c>
      <c r="F21" s="1587">
        <v>6.0759999999999996</v>
      </c>
      <c r="G21" s="1588">
        <v>3.298</v>
      </c>
      <c r="H21" s="1588">
        <v>27.535</v>
      </c>
      <c r="I21" s="1588">
        <v>1.165</v>
      </c>
      <c r="J21" s="1588">
        <v>0.20799999999999999</v>
      </c>
      <c r="K21" s="1588">
        <v>0.15300000000000002</v>
      </c>
      <c r="L21" s="1588">
        <v>15.773</v>
      </c>
      <c r="M21" s="1588">
        <v>17.395</v>
      </c>
      <c r="N21" s="1588">
        <v>10.468</v>
      </c>
      <c r="O21" s="1588">
        <v>46.59</v>
      </c>
      <c r="P21" s="1588">
        <v>5.0000000000000001E-3</v>
      </c>
      <c r="Q21" s="1588">
        <v>8.0000000000000002E-3</v>
      </c>
      <c r="R21" s="1588">
        <v>28.72</v>
      </c>
      <c r="S21" s="1588">
        <v>9.6000000000000002E-2</v>
      </c>
      <c r="T21" s="1588">
        <v>248.23400000000001</v>
      </c>
      <c r="U21" s="1588">
        <v>97</v>
      </c>
      <c r="V21" s="2298"/>
      <c r="W21" s="2298"/>
      <c r="X21" s="1591"/>
      <c r="Y21" s="1502">
        <f t="shared" si="0"/>
        <v>502.72400000000005</v>
      </c>
      <c r="Z21" s="1465"/>
      <c r="AA21" s="1460"/>
    </row>
    <row r="22" spans="1:27" ht="16.5" thickBot="1">
      <c r="A22" s="1465"/>
      <c r="B22" s="1515" t="s">
        <v>115</v>
      </c>
      <c r="C22" s="1592"/>
      <c r="D22" s="1593"/>
      <c r="E22" s="1625">
        <f t="shared" ref="E22:U22" si="1">SUM(E10:E21)</f>
        <v>103212.927</v>
      </c>
      <c r="F22" s="2200">
        <f t="shared" si="1"/>
        <v>101.55199999999998</v>
      </c>
      <c r="G22" s="1624">
        <f t="shared" si="1"/>
        <v>39.015000000000001</v>
      </c>
      <c r="H22" s="1624">
        <f t="shared" si="1"/>
        <v>258.27300000000002</v>
      </c>
      <c r="I22" s="1624">
        <f t="shared" si="1"/>
        <v>8.9179999999999993</v>
      </c>
      <c r="J22" s="1624">
        <f t="shared" si="1"/>
        <v>1.0569999999999999</v>
      </c>
      <c r="K22" s="1624">
        <f t="shared" si="1"/>
        <v>0.31700000000000006</v>
      </c>
      <c r="L22" s="1624">
        <f t="shared" si="1"/>
        <v>210.042</v>
      </c>
      <c r="M22" s="1624">
        <f t="shared" si="1"/>
        <v>237.99099999999999</v>
      </c>
      <c r="N22" s="1624">
        <f t="shared" si="1"/>
        <v>112.23399999999999</v>
      </c>
      <c r="O22" s="1624">
        <f t="shared" si="1"/>
        <v>532.47</v>
      </c>
      <c r="P22" s="1624">
        <f t="shared" si="1"/>
        <v>3.1720000000000002</v>
      </c>
      <c r="Q22" s="1624">
        <f t="shared" si="1"/>
        <v>14.382999999999997</v>
      </c>
      <c r="R22" s="1624">
        <f t="shared" si="1"/>
        <v>318.97399999999993</v>
      </c>
      <c r="S22" s="1624">
        <f t="shared" si="1"/>
        <v>4.9540000000000006</v>
      </c>
      <c r="T22" s="1624">
        <f t="shared" si="1"/>
        <v>2391.6119999999996</v>
      </c>
      <c r="U22" s="1516">
        <f t="shared" si="1"/>
        <v>928</v>
      </c>
      <c r="V22" s="1516"/>
      <c r="W22" s="1516"/>
      <c r="X22" s="1516"/>
      <c r="Y22" s="1625">
        <f t="shared" si="0"/>
        <v>5162.9639999999999</v>
      </c>
      <c r="Z22" s="2251"/>
      <c r="AA22" s="1460"/>
    </row>
    <row r="23" spans="1:27" ht="15.75">
      <c r="A23" s="1465"/>
      <c r="B23" s="1618"/>
      <c r="C23" s="1618"/>
      <c r="D23" s="1618"/>
      <c r="E23" s="1503"/>
      <c r="F23" s="1503"/>
      <c r="G23" s="1503"/>
      <c r="H23" s="1503"/>
      <c r="I23" s="1503"/>
      <c r="J23" s="1503"/>
      <c r="K23" s="1503"/>
      <c r="L23" s="1503"/>
      <c r="M23" s="1503"/>
      <c r="N23" s="1503"/>
      <c r="O23" s="1503"/>
      <c r="P23" s="1503"/>
      <c r="Q23" s="1503"/>
      <c r="R23" s="1503"/>
      <c r="S23" s="1503"/>
      <c r="T23" s="1503"/>
      <c r="U23" s="1527"/>
      <c r="V23" s="1503"/>
      <c r="W23" s="1503"/>
      <c r="X23" s="1503"/>
    </row>
    <row r="24" spans="1:27" ht="15.75">
      <c r="A24" s="1465"/>
      <c r="B24" s="1618"/>
      <c r="C24" s="1618"/>
      <c r="D24" s="1618"/>
      <c r="E24" s="1503"/>
      <c r="F24" s="1526"/>
      <c r="G24" s="1503"/>
      <c r="H24" s="1503"/>
      <c r="I24" s="1503"/>
      <c r="J24" s="1503"/>
      <c r="K24" s="1503"/>
      <c r="L24" s="1503"/>
      <c r="M24" s="1503"/>
      <c r="N24" s="1503"/>
      <c r="O24" s="1503"/>
      <c r="P24" s="1503"/>
      <c r="Q24" s="1503"/>
      <c r="R24" s="1503"/>
      <c r="S24" s="1503"/>
      <c r="T24" s="1526"/>
      <c r="U24" s="1465"/>
      <c r="V24" s="1503"/>
      <c r="W24" s="1503"/>
      <c r="X24" s="1503"/>
    </row>
    <row r="25" spans="1:27" ht="16.5" thickBot="1">
      <c r="A25" s="1465"/>
      <c r="B25" s="1618"/>
      <c r="C25" s="1618"/>
      <c r="D25" s="1618"/>
      <c r="E25" s="1503"/>
      <c r="F25" s="1526"/>
      <c r="G25" s="1503"/>
      <c r="H25" s="1503"/>
      <c r="I25" s="1503"/>
      <c r="J25" s="1503"/>
      <c r="K25" s="1503"/>
      <c r="L25" s="1503"/>
      <c r="M25" s="1503"/>
      <c r="N25" s="1503"/>
      <c r="O25" s="1503"/>
      <c r="P25" s="1503"/>
      <c r="Q25" s="1503"/>
      <c r="R25" s="1503"/>
      <c r="S25" s="1503"/>
      <c r="T25" s="1526"/>
      <c r="U25" s="1465"/>
      <c r="V25" s="1503"/>
      <c r="W25" s="1503"/>
      <c r="X25" s="1503"/>
    </row>
    <row r="26" spans="1:27" ht="16.5" thickBot="1">
      <c r="A26" s="1465"/>
      <c r="B26" s="1469"/>
      <c r="C26" s="1595"/>
      <c r="D26" s="1596"/>
      <c r="E26" s="2474" t="s">
        <v>1349</v>
      </c>
      <c r="F26" s="2475"/>
      <c r="G26" s="2475"/>
      <c r="H26" s="2475"/>
      <c r="I26" s="2475"/>
      <c r="J26" s="2476"/>
      <c r="K26" s="1503"/>
      <c r="L26" s="1503"/>
      <c r="M26" s="1503"/>
      <c r="N26" s="1503"/>
      <c r="O26" s="1503"/>
      <c r="P26" s="1503"/>
      <c r="Q26" s="1503"/>
      <c r="R26" s="1503"/>
      <c r="S26" s="1503"/>
      <c r="T26" s="1526"/>
      <c r="U26" s="1465"/>
      <c r="V26" s="1503"/>
      <c r="W26" s="1503"/>
      <c r="X26" s="1503"/>
    </row>
    <row r="27" spans="1:27" ht="16.5" thickBot="1">
      <c r="A27" s="1465"/>
      <c r="B27" s="1490" t="s">
        <v>912</v>
      </c>
      <c r="C27" s="1571"/>
      <c r="D27" s="1597"/>
      <c r="E27" s="1474" t="s">
        <v>1369</v>
      </c>
      <c r="F27" s="1475" t="s">
        <v>1370</v>
      </c>
      <c r="G27" s="1475" t="s">
        <v>1371</v>
      </c>
      <c r="H27" s="1475" t="s">
        <v>1372</v>
      </c>
      <c r="I27" s="1477"/>
      <c r="J27" s="1476" t="s">
        <v>1373</v>
      </c>
      <c r="K27" s="1503"/>
      <c r="L27" s="1503"/>
      <c r="M27" s="1503"/>
      <c r="N27" s="1503"/>
      <c r="O27" s="1503"/>
      <c r="P27" s="1503"/>
      <c r="Q27" s="1503"/>
      <c r="R27" s="1503"/>
      <c r="S27" s="1503"/>
      <c r="T27" s="1526"/>
      <c r="U27" s="1465"/>
      <c r="V27" s="1503"/>
      <c r="W27" s="1503"/>
      <c r="X27" s="1503"/>
    </row>
    <row r="28" spans="1:27" ht="49.5" customHeight="1">
      <c r="A28" s="1465"/>
      <c r="B28" s="1575" t="s">
        <v>1374</v>
      </c>
      <c r="C28" s="1478"/>
      <c r="D28" s="1478"/>
      <c r="E28" s="1480" t="s">
        <v>1375</v>
      </c>
      <c r="F28" s="1481" t="s">
        <v>1376</v>
      </c>
      <c r="G28" s="1481" t="s">
        <v>1377</v>
      </c>
      <c r="H28" s="1481" t="s">
        <v>1378</v>
      </c>
      <c r="I28" s="1481"/>
      <c r="J28" s="1484"/>
      <c r="K28" s="1503"/>
      <c r="L28" s="1503"/>
      <c r="M28" s="1503"/>
      <c r="N28" s="1503"/>
      <c r="O28" s="1503"/>
      <c r="P28" s="1503"/>
      <c r="Q28" s="1503"/>
      <c r="R28" s="1503"/>
      <c r="S28" s="1503"/>
      <c r="T28" s="1526"/>
      <c r="U28" s="1465"/>
      <c r="V28" s="1503"/>
      <c r="W28" s="1503"/>
      <c r="X28" s="1503"/>
    </row>
    <row r="29" spans="1:27" ht="15.75">
      <c r="A29" s="1465"/>
      <c r="B29" s="1578" t="s">
        <v>1379</v>
      </c>
      <c r="C29" s="1485"/>
      <c r="D29" s="1485"/>
      <c r="E29" s="1487" t="s">
        <v>1383</v>
      </c>
      <c r="F29" s="1483" t="s">
        <v>1383</v>
      </c>
      <c r="G29" s="1483" t="s">
        <v>1383</v>
      </c>
      <c r="H29" s="1483" t="s">
        <v>1383</v>
      </c>
      <c r="I29" s="1483"/>
      <c r="J29" s="1484" t="s">
        <v>1384</v>
      </c>
      <c r="K29" s="1503"/>
      <c r="L29" s="1503"/>
      <c r="M29" s="1503"/>
      <c r="N29" s="1503"/>
      <c r="O29" s="1503"/>
      <c r="P29" s="1503"/>
      <c r="Q29" s="1503"/>
      <c r="R29" s="1503"/>
      <c r="S29" s="1503"/>
      <c r="T29" s="1526"/>
      <c r="U29" s="1465"/>
      <c r="V29" s="1503"/>
      <c r="W29" s="1503"/>
      <c r="X29" s="1503"/>
    </row>
    <row r="30" spans="1:27" ht="32.25" thickBot="1">
      <c r="A30" s="1465"/>
      <c r="B30" s="1609" t="s">
        <v>1385</v>
      </c>
      <c r="C30" s="1581" t="s">
        <v>1430</v>
      </c>
      <c r="D30" s="1581" t="s">
        <v>1431</v>
      </c>
      <c r="E30" s="1492" t="s">
        <v>1386</v>
      </c>
      <c r="F30" s="1493" t="s">
        <v>1387</v>
      </c>
      <c r="G30" s="1493" t="s">
        <v>1388</v>
      </c>
      <c r="H30" s="1493" t="s">
        <v>2294</v>
      </c>
      <c r="I30" s="1493"/>
      <c r="J30" s="1496"/>
      <c r="K30" s="1503"/>
      <c r="L30" s="1503"/>
      <c r="M30" s="1503"/>
      <c r="N30" s="1503"/>
      <c r="O30" s="1503"/>
      <c r="P30" s="1503"/>
      <c r="Q30" s="1503"/>
      <c r="R30" s="1503"/>
      <c r="S30" s="1503"/>
      <c r="T30" s="1526"/>
      <c r="U30" s="1465"/>
      <c r="V30" s="1503"/>
      <c r="W30" s="1503"/>
      <c r="X30" s="1503"/>
    </row>
    <row r="31" spans="1:27" ht="15.75">
      <c r="A31" s="1465"/>
      <c r="B31" s="1610" t="s">
        <v>1226</v>
      </c>
      <c r="C31" s="1584">
        <f>C10</f>
        <v>6</v>
      </c>
      <c r="D31" s="1617">
        <f>D10</f>
        <v>8</v>
      </c>
      <c r="E31" s="1499">
        <v>419.82699999999994</v>
      </c>
      <c r="F31" s="1500">
        <v>75.090999999999994</v>
      </c>
      <c r="G31" s="1500">
        <v>78.254000000000005</v>
      </c>
      <c r="H31" s="1500">
        <v>339</v>
      </c>
      <c r="I31" s="1508"/>
      <c r="J31" s="1502">
        <f t="shared" ref="J31:J42" si="2">SUM(E31:I31)</f>
        <v>912.17199999999991</v>
      </c>
      <c r="K31" s="1503"/>
      <c r="L31" s="1503"/>
      <c r="M31" s="1503"/>
      <c r="N31" s="1503"/>
      <c r="O31" s="1503"/>
      <c r="P31" s="1503"/>
      <c r="Q31" s="1503"/>
      <c r="R31" s="1503"/>
      <c r="S31" s="1503"/>
      <c r="T31" s="1526"/>
      <c r="U31" s="1465"/>
      <c r="V31" s="1503"/>
      <c r="W31" s="1503"/>
      <c r="X31" s="1503"/>
    </row>
    <row r="32" spans="1:27" ht="15.75">
      <c r="A32" s="1465"/>
      <c r="B32" s="1610" t="s">
        <v>1227</v>
      </c>
      <c r="C32" s="1584">
        <f t="shared" ref="C32:D32" si="3">C11</f>
        <v>1</v>
      </c>
      <c r="D32" s="1617">
        <f t="shared" si="3"/>
        <v>19</v>
      </c>
      <c r="E32" s="1506">
        <v>395.43799999999999</v>
      </c>
      <c r="F32" s="1507">
        <v>76.281000000000006</v>
      </c>
      <c r="G32" s="1507">
        <v>92.043000000000006</v>
      </c>
      <c r="H32" s="1507">
        <v>306</v>
      </c>
      <c r="I32" s="1508"/>
      <c r="J32" s="1502">
        <f t="shared" si="2"/>
        <v>869.76199999999994</v>
      </c>
      <c r="K32" s="1503"/>
      <c r="L32" s="1503"/>
      <c r="M32" s="1503"/>
      <c r="N32" s="1503"/>
      <c r="O32" s="1503"/>
      <c r="P32" s="1503"/>
      <c r="Q32" s="1503"/>
      <c r="R32" s="1503"/>
      <c r="S32" s="1503"/>
      <c r="T32" s="1526"/>
      <c r="U32" s="1465"/>
      <c r="V32" s="1503"/>
      <c r="W32" s="1503"/>
      <c r="X32" s="1503"/>
    </row>
    <row r="33" spans="1:24" ht="15.75">
      <c r="A33" s="1465"/>
      <c r="B33" s="1610" t="s">
        <v>1024</v>
      </c>
      <c r="C33" s="1584">
        <f t="shared" ref="C33:D33" si="4">C12</f>
        <v>1</v>
      </c>
      <c r="D33" s="1617">
        <f t="shared" si="4"/>
        <v>8</v>
      </c>
      <c r="E33" s="1506">
        <v>339.05599999999998</v>
      </c>
      <c r="F33" s="1507">
        <v>79.444999999999993</v>
      </c>
      <c r="G33" s="1507">
        <v>60.040999999999997</v>
      </c>
      <c r="H33" s="1507">
        <v>306</v>
      </c>
      <c r="I33" s="1508"/>
      <c r="J33" s="1502">
        <f t="shared" si="2"/>
        <v>784.54199999999992</v>
      </c>
      <c r="K33" s="1503"/>
      <c r="L33" s="1503"/>
      <c r="M33" s="1503"/>
      <c r="N33" s="1503"/>
      <c r="O33" s="1503"/>
      <c r="P33" s="1503"/>
      <c r="Q33" s="1503"/>
      <c r="R33" s="1503"/>
      <c r="S33" s="1503"/>
      <c r="T33" s="1526"/>
      <c r="U33" s="1465"/>
      <c r="V33" s="1503"/>
      <c r="W33" s="1503"/>
      <c r="X33" s="1503"/>
    </row>
    <row r="34" spans="1:24" ht="15.75">
      <c r="A34" s="1465"/>
      <c r="B34" s="1610" t="s">
        <v>1025</v>
      </c>
      <c r="C34" s="1584">
        <f t="shared" ref="C34:D34" si="5">C13</f>
        <v>3</v>
      </c>
      <c r="D34" s="1617">
        <f t="shared" si="5"/>
        <v>8</v>
      </c>
      <c r="E34" s="1506">
        <v>301.63799999999998</v>
      </c>
      <c r="F34" s="1507">
        <v>33.027999999999999</v>
      </c>
      <c r="G34" s="1507">
        <v>99.263999999999996</v>
      </c>
      <c r="H34" s="1507">
        <v>320</v>
      </c>
      <c r="I34" s="1508"/>
      <c r="J34" s="1502">
        <f t="shared" si="2"/>
        <v>753.93000000000006</v>
      </c>
      <c r="K34" s="1503"/>
      <c r="L34" s="1503"/>
      <c r="M34" s="1503"/>
      <c r="N34" s="1503"/>
      <c r="O34" s="1503"/>
      <c r="P34" s="1503"/>
      <c r="Q34" s="1503"/>
      <c r="R34" s="1503"/>
      <c r="S34" s="1503"/>
      <c r="T34" s="1526"/>
      <c r="U34" s="1465"/>
      <c r="V34" s="1503"/>
      <c r="W34" s="1503"/>
      <c r="X34" s="1503"/>
    </row>
    <row r="35" spans="1:24" ht="15.75">
      <c r="A35" s="1465"/>
      <c r="B35" s="1610" t="s">
        <v>1026</v>
      </c>
      <c r="C35" s="1584">
        <f t="shared" ref="C35:D35" si="6">C14</f>
        <v>30</v>
      </c>
      <c r="D35" s="1617">
        <f t="shared" si="6"/>
        <v>17</v>
      </c>
      <c r="E35" s="1506">
        <v>505.50900000000001</v>
      </c>
      <c r="F35" s="1507">
        <v>89.504000000000005</v>
      </c>
      <c r="G35" s="1507">
        <v>77.795000000000002</v>
      </c>
      <c r="H35" s="1507">
        <v>339</v>
      </c>
      <c r="I35" s="1508"/>
      <c r="J35" s="1502">
        <f t="shared" si="2"/>
        <v>1011.808</v>
      </c>
      <c r="K35" s="1503"/>
      <c r="L35" s="1503"/>
      <c r="M35" s="1503"/>
      <c r="N35" s="1503"/>
      <c r="O35" s="1503"/>
      <c r="P35" s="1503"/>
      <c r="Q35" s="1503"/>
      <c r="R35" s="1503"/>
      <c r="S35" s="1503"/>
      <c r="T35" s="1526"/>
      <c r="U35" s="1465"/>
      <c r="V35" s="1503"/>
      <c r="W35" s="1503"/>
      <c r="X35" s="1503"/>
    </row>
    <row r="36" spans="1:24" ht="15.75">
      <c r="A36" s="1465"/>
      <c r="B36" s="1610" t="s">
        <v>1230</v>
      </c>
      <c r="C36" s="1584">
        <f t="shared" ref="C36:D36" si="7">C15</f>
        <v>26</v>
      </c>
      <c r="D36" s="1617">
        <f t="shared" si="7"/>
        <v>17</v>
      </c>
      <c r="E36" s="1506">
        <v>698.13599999999997</v>
      </c>
      <c r="F36" s="1507">
        <v>145.08099999999999</v>
      </c>
      <c r="G36" s="1507">
        <v>121.61</v>
      </c>
      <c r="H36" s="1507">
        <v>342</v>
      </c>
      <c r="I36" s="1508"/>
      <c r="J36" s="1502">
        <f t="shared" si="2"/>
        <v>1306.827</v>
      </c>
      <c r="K36" s="1503"/>
      <c r="L36" s="1503"/>
      <c r="M36" s="1503"/>
      <c r="N36" s="1503"/>
      <c r="O36" s="1503"/>
      <c r="P36" s="1503"/>
      <c r="Q36" s="1503"/>
      <c r="R36" s="1503"/>
      <c r="S36" s="1503"/>
      <c r="T36" s="1526"/>
      <c r="U36" s="1465"/>
      <c r="V36" s="1503"/>
      <c r="W36" s="1503"/>
      <c r="X36" s="1503"/>
    </row>
    <row r="37" spans="1:24" ht="15.75">
      <c r="A37" s="1465"/>
      <c r="B37" s="1610" t="s">
        <v>1390</v>
      </c>
      <c r="C37" s="1584">
        <f t="shared" ref="C37:D37" si="8">C16</f>
        <v>6</v>
      </c>
      <c r="D37" s="1617">
        <f t="shared" si="8"/>
        <v>17</v>
      </c>
      <c r="E37" s="1506">
        <v>751.89600000000007</v>
      </c>
      <c r="F37" s="1507">
        <v>173.04300000000001</v>
      </c>
      <c r="G37" s="1507">
        <v>135.76499999999999</v>
      </c>
      <c r="H37" s="1507">
        <v>346</v>
      </c>
      <c r="I37" s="1508"/>
      <c r="J37" s="1502">
        <f t="shared" si="2"/>
        <v>1406.7040000000002</v>
      </c>
      <c r="K37" s="1503"/>
      <c r="L37" s="1503"/>
      <c r="M37" s="1503"/>
      <c r="N37" s="1503"/>
      <c r="O37" s="1503"/>
      <c r="P37" s="1503"/>
      <c r="Q37" s="1503"/>
      <c r="R37" s="1503"/>
      <c r="S37" s="1503"/>
      <c r="T37" s="1526"/>
      <c r="U37" s="1465"/>
      <c r="V37" s="1503"/>
      <c r="W37" s="1503"/>
      <c r="X37" s="1503"/>
    </row>
    <row r="38" spans="1:24" ht="15.75">
      <c r="A38" s="1465"/>
      <c r="B38" s="1610" t="s">
        <v>1232</v>
      </c>
      <c r="C38" s="1584">
        <f t="shared" ref="C38:D38" si="9">C17</f>
        <v>1</v>
      </c>
      <c r="D38" s="1617">
        <f t="shared" si="9"/>
        <v>17</v>
      </c>
      <c r="E38" s="1506">
        <v>769.75199999999995</v>
      </c>
      <c r="F38" s="1507">
        <v>167.30500000000001</v>
      </c>
      <c r="G38" s="1507">
        <v>128.107</v>
      </c>
      <c r="H38" s="1507">
        <v>316</v>
      </c>
      <c r="I38" s="1508"/>
      <c r="J38" s="1502">
        <f t="shared" si="2"/>
        <v>1381.164</v>
      </c>
      <c r="K38" s="1503"/>
      <c r="L38" s="1503"/>
      <c r="M38" s="1503"/>
      <c r="N38" s="1503"/>
      <c r="O38" s="1503"/>
      <c r="P38" s="1503"/>
      <c r="Q38" s="1503"/>
      <c r="R38" s="1503"/>
      <c r="S38" s="1503"/>
      <c r="T38" s="1526"/>
      <c r="U38" s="1465"/>
      <c r="V38" s="1503"/>
      <c r="W38" s="1503"/>
      <c r="X38" s="1503"/>
    </row>
    <row r="39" spans="1:24" ht="15.75">
      <c r="A39" s="1465"/>
      <c r="B39" s="1610" t="s">
        <v>1391</v>
      </c>
      <c r="C39" s="1584">
        <f t="shared" ref="C39:D39" si="10">C18</f>
        <v>5</v>
      </c>
      <c r="D39" s="1617">
        <f t="shared" si="10"/>
        <v>17</v>
      </c>
      <c r="E39" s="1506">
        <v>691.89400000000001</v>
      </c>
      <c r="F39" s="1507">
        <v>184.46799999999999</v>
      </c>
      <c r="G39" s="1507">
        <v>114.10899999999999</v>
      </c>
      <c r="H39" s="1507">
        <v>328</v>
      </c>
      <c r="I39" s="1508"/>
      <c r="J39" s="1502">
        <f t="shared" si="2"/>
        <v>1318.471</v>
      </c>
      <c r="K39" s="1503"/>
      <c r="L39" s="1503"/>
      <c r="M39" s="1503"/>
      <c r="N39" s="1503"/>
      <c r="O39" s="1503"/>
      <c r="P39" s="1503"/>
      <c r="Q39" s="1503"/>
      <c r="R39" s="1503"/>
      <c r="S39" s="1503"/>
      <c r="T39" s="1526"/>
      <c r="U39" s="1465"/>
      <c r="V39" s="1503"/>
      <c r="W39" s="1503"/>
      <c r="X39" s="1503"/>
    </row>
    <row r="40" spans="1:24" ht="15.75">
      <c r="A40" s="1465"/>
      <c r="B40" s="1610" t="s">
        <v>1234</v>
      </c>
      <c r="C40" s="1584">
        <f t="shared" ref="C40:D40" si="11">C19</f>
        <v>31</v>
      </c>
      <c r="D40" s="1617">
        <f t="shared" si="11"/>
        <v>8</v>
      </c>
      <c r="E40" s="1506">
        <v>373.03000000000003</v>
      </c>
      <c r="F40" s="1507">
        <v>57.006999999999998</v>
      </c>
      <c r="G40" s="1507">
        <v>40.515000000000001</v>
      </c>
      <c r="H40" s="1507">
        <v>268</v>
      </c>
      <c r="I40" s="1508"/>
      <c r="J40" s="1502">
        <f t="shared" si="2"/>
        <v>738.55200000000002</v>
      </c>
      <c r="K40" s="1503"/>
      <c r="L40" s="1503"/>
      <c r="M40" s="1503"/>
      <c r="N40" s="1503"/>
      <c r="O40" s="1503"/>
      <c r="P40" s="1503"/>
      <c r="Q40" s="1503"/>
      <c r="R40" s="1503"/>
      <c r="S40" s="1503"/>
      <c r="T40" s="1526"/>
      <c r="U40" s="1465"/>
      <c r="V40" s="1503"/>
      <c r="W40" s="1503"/>
      <c r="X40" s="1503"/>
    </row>
    <row r="41" spans="1:24" ht="15.75">
      <c r="A41" s="1465"/>
      <c r="B41" s="1610" t="s">
        <v>1235</v>
      </c>
      <c r="C41" s="1584">
        <f t="shared" ref="C41:D41" si="12">C20</f>
        <v>28</v>
      </c>
      <c r="D41" s="1617">
        <f t="shared" si="12"/>
        <v>18</v>
      </c>
      <c r="E41" s="1506">
        <v>362.029</v>
      </c>
      <c r="F41" s="1507">
        <v>63.966000000000001</v>
      </c>
      <c r="G41" s="1507">
        <v>71.822999999999993</v>
      </c>
      <c r="H41" s="1507">
        <v>315</v>
      </c>
      <c r="I41" s="1508"/>
      <c r="J41" s="1502">
        <f t="shared" si="2"/>
        <v>812.81799999999998</v>
      </c>
      <c r="K41" s="1503"/>
      <c r="L41" s="1503"/>
      <c r="M41" s="1503"/>
      <c r="N41" s="1503"/>
      <c r="O41" s="1503"/>
      <c r="P41" s="1503"/>
      <c r="Q41" s="1503"/>
      <c r="R41" s="1503"/>
      <c r="S41" s="1503"/>
      <c r="T41" s="1526"/>
      <c r="U41" s="1465"/>
      <c r="V41" s="1503"/>
      <c r="W41" s="1503"/>
      <c r="X41" s="1503"/>
    </row>
    <row r="42" spans="1:24" ht="16.5" thickBot="1">
      <c r="A42" s="1465"/>
      <c r="B42" s="1610" t="s">
        <v>1236</v>
      </c>
      <c r="C42" s="1584">
        <f t="shared" ref="C42:D42" si="13">C21</f>
        <v>21</v>
      </c>
      <c r="D42" s="1617">
        <f t="shared" si="13"/>
        <v>18</v>
      </c>
      <c r="E42" s="1512">
        <v>433.92700000000002</v>
      </c>
      <c r="F42" s="1513">
        <v>69.290999999999997</v>
      </c>
      <c r="G42" s="1513">
        <v>61.643999999999998</v>
      </c>
      <c r="H42" s="1513">
        <v>314</v>
      </c>
      <c r="I42" s="1508"/>
      <c r="J42" s="1496">
        <f t="shared" si="2"/>
        <v>878.86199999999997</v>
      </c>
      <c r="K42" s="1503"/>
      <c r="L42" s="1503"/>
      <c r="M42" s="1503"/>
      <c r="N42" s="1503"/>
      <c r="O42" s="1503"/>
      <c r="P42" s="1503"/>
      <c r="Q42" s="1503"/>
      <c r="R42" s="1503"/>
      <c r="S42" s="1503"/>
      <c r="T42" s="1526"/>
      <c r="U42" s="1465"/>
      <c r="V42" s="1503"/>
      <c r="W42" s="1503"/>
      <c r="X42" s="1503"/>
    </row>
    <row r="43" spans="1:24" ht="16.5" thickBot="1">
      <c r="A43" s="1465"/>
      <c r="B43" s="1611" t="s">
        <v>115</v>
      </c>
      <c r="C43" s="1612"/>
      <c r="D43" s="1613"/>
      <c r="E43" s="1561">
        <f t="shared" ref="E43:J43" si="14">SUM(E31:E42)</f>
        <v>6042.1319999999996</v>
      </c>
      <c r="F43" s="1562">
        <f t="shared" si="14"/>
        <v>1213.5099999999998</v>
      </c>
      <c r="G43" s="1562">
        <f t="shared" si="14"/>
        <v>1080.97</v>
      </c>
      <c r="H43" s="1562">
        <f t="shared" si="14"/>
        <v>3839</v>
      </c>
      <c r="I43" s="1594">
        <f t="shared" si="14"/>
        <v>0</v>
      </c>
      <c r="J43" s="1496">
        <f t="shared" si="14"/>
        <v>12175.611999999999</v>
      </c>
      <c r="K43" s="1503"/>
      <c r="L43" s="1503"/>
      <c r="M43" s="1503"/>
      <c r="N43" s="1503"/>
      <c r="O43" s="1503"/>
      <c r="P43" s="1503"/>
      <c r="Q43" s="1503"/>
      <c r="R43" s="1503"/>
      <c r="S43" s="1503"/>
      <c r="T43" s="1526"/>
      <c r="U43" s="1465"/>
      <c r="V43" s="1503"/>
      <c r="W43" s="1503"/>
      <c r="X43" s="1503"/>
    </row>
    <row r="44" spans="1:24" ht="15.75">
      <c r="A44" s="1460"/>
      <c r="B44" s="1460"/>
      <c r="C44" s="1460"/>
      <c r="D44" s="1460"/>
      <c r="E44" s="1460"/>
      <c r="F44" s="1460"/>
      <c r="G44" s="1460"/>
      <c r="H44" s="1460"/>
      <c r="I44" s="1460"/>
      <c r="J44" s="1460"/>
      <c r="K44" s="1460"/>
      <c r="L44" s="1460"/>
      <c r="M44" s="1460"/>
      <c r="N44" s="1460"/>
      <c r="O44" s="1460"/>
      <c r="P44" s="1460"/>
      <c r="Q44" s="1460"/>
      <c r="R44" s="1460"/>
      <c r="S44" s="1460"/>
      <c r="T44" s="1460"/>
      <c r="U44" s="1460"/>
      <c r="V44" s="1460"/>
      <c r="W44" s="1460"/>
      <c r="X44" s="1460"/>
    </row>
    <row r="45" spans="1:24" ht="15.75">
      <c r="A45" s="1460"/>
      <c r="B45" s="1460"/>
      <c r="C45" s="1460"/>
      <c r="D45" s="1460"/>
      <c r="E45" s="1460"/>
      <c r="F45" s="1460"/>
      <c r="G45" s="1460"/>
      <c r="H45" s="1460"/>
      <c r="I45" s="1460"/>
      <c r="J45" s="1460"/>
      <c r="K45" s="1460"/>
      <c r="L45" s="1460"/>
      <c r="M45" s="1460"/>
      <c r="N45" s="1460"/>
      <c r="O45" s="1460"/>
      <c r="P45" s="1460"/>
      <c r="Q45" s="1460"/>
      <c r="R45" s="1460"/>
      <c r="S45" s="1460"/>
      <c r="T45" s="1460"/>
      <c r="U45" s="1460"/>
      <c r="V45" s="1460"/>
      <c r="W45" s="1460"/>
      <c r="X45" s="1460"/>
    </row>
    <row r="46" spans="1:24" ht="15.75">
      <c r="A46" s="1460"/>
      <c r="B46" s="1460"/>
      <c r="C46" s="1460"/>
      <c r="D46" s="1460"/>
      <c r="E46" s="1460"/>
      <c r="F46" s="1460"/>
      <c r="G46" s="1460"/>
      <c r="H46" s="1460"/>
      <c r="I46" s="1460"/>
      <c r="J46" s="1460"/>
      <c r="K46" s="1460"/>
      <c r="L46" s="1460"/>
      <c r="M46" s="1460"/>
      <c r="N46" s="1460"/>
      <c r="O46" s="1460"/>
      <c r="P46" s="1460"/>
      <c r="Q46" s="1460"/>
      <c r="R46" s="1460"/>
      <c r="S46" s="1460"/>
      <c r="T46" s="1460"/>
      <c r="U46" s="1460"/>
      <c r="V46" s="1460"/>
      <c r="W46" s="1460"/>
      <c r="X46" s="1460"/>
    </row>
    <row r="47" spans="1:24" ht="15.75">
      <c r="A47" s="1460"/>
      <c r="B47" s="1460"/>
      <c r="C47" s="1460"/>
      <c r="D47" s="1460"/>
      <c r="E47" s="1460"/>
      <c r="F47" s="1460"/>
      <c r="G47" s="1460"/>
      <c r="H47" s="1460"/>
      <c r="I47" s="1460"/>
      <c r="J47" s="1460"/>
      <c r="K47" s="1460"/>
      <c r="L47" s="1460"/>
      <c r="M47" s="1460"/>
      <c r="N47" s="1460"/>
      <c r="O47" s="1460"/>
      <c r="P47" s="1460"/>
      <c r="Q47" s="1460"/>
      <c r="R47" s="1460"/>
      <c r="S47" s="1460"/>
      <c r="T47" s="1460"/>
      <c r="U47" s="1460"/>
      <c r="V47" s="1460"/>
      <c r="W47" s="1460"/>
      <c r="X47" s="1460"/>
    </row>
    <row r="48" spans="1:24" ht="15.75">
      <c r="A48" s="1460"/>
      <c r="B48" s="1460"/>
      <c r="C48" s="1460"/>
      <c r="D48" s="1460"/>
      <c r="E48" s="1460"/>
      <c r="F48" s="1460"/>
      <c r="G48" s="1460"/>
      <c r="H48" s="1460"/>
      <c r="I48" s="1460"/>
      <c r="J48" s="1460"/>
      <c r="K48" s="1460"/>
      <c r="L48" s="1460"/>
      <c r="M48" s="1460"/>
      <c r="N48" s="1460"/>
      <c r="O48" s="1460"/>
      <c r="P48" s="1460"/>
      <c r="Q48" s="1460"/>
      <c r="R48" s="1460"/>
      <c r="S48" s="1460"/>
      <c r="T48" s="1460"/>
      <c r="U48" s="1460"/>
      <c r="V48" s="1460"/>
      <c r="W48" s="1460"/>
      <c r="X48" s="1460"/>
    </row>
    <row r="49" spans="1:24" ht="15.75">
      <c r="A49" s="1460"/>
      <c r="B49" s="1460"/>
      <c r="C49" s="1460"/>
      <c r="D49" s="1460"/>
      <c r="E49" s="1460"/>
      <c r="F49" s="1460"/>
      <c r="G49" s="1460"/>
      <c r="H49" s="1460"/>
      <c r="I49" s="1460"/>
      <c r="J49" s="1460"/>
      <c r="K49" s="1460"/>
      <c r="L49" s="1460"/>
      <c r="M49" s="1460"/>
      <c r="N49" s="1460"/>
      <c r="O49" s="1460"/>
      <c r="P49" s="1460"/>
      <c r="Q49" s="1460"/>
      <c r="R49" s="1460"/>
      <c r="S49" s="1460"/>
      <c r="T49" s="1565"/>
      <c r="U49" s="1460"/>
      <c r="V49" s="1566"/>
      <c r="W49" s="1460"/>
      <c r="X49" s="1460"/>
    </row>
    <row r="50" spans="1:24" ht="15.75">
      <c r="A50" s="1460"/>
      <c r="B50" s="1460"/>
      <c r="C50" s="1460"/>
      <c r="D50" s="1460"/>
      <c r="E50" s="1460"/>
      <c r="F50" s="1460"/>
      <c r="G50" s="1460"/>
      <c r="H50" s="1460"/>
      <c r="I50" s="1460"/>
      <c r="J50" s="1460"/>
      <c r="K50" s="1460"/>
      <c r="L50" s="1460"/>
      <c r="M50" s="1460"/>
      <c r="N50" s="1460"/>
      <c r="O50" s="1460"/>
      <c r="P50" s="1460"/>
      <c r="Q50" s="1460"/>
      <c r="R50" s="1460"/>
      <c r="S50" s="1460"/>
      <c r="T50" s="1565"/>
      <c r="U50" s="1460"/>
      <c r="V50" s="1460"/>
      <c r="W50" s="1460"/>
      <c r="X50" s="1460"/>
    </row>
    <row r="51" spans="1:24" ht="15.75">
      <c r="A51" s="1460"/>
      <c r="B51" s="1460"/>
      <c r="C51" s="1460"/>
      <c r="D51" s="1460"/>
      <c r="E51" s="1460"/>
      <c r="F51" s="1460"/>
      <c r="G51" s="1460"/>
      <c r="H51" s="1460"/>
      <c r="I51" s="1460"/>
      <c r="J51" s="1460"/>
      <c r="K51" s="1460"/>
      <c r="L51" s="1460"/>
      <c r="M51" s="1460"/>
      <c r="N51" s="1460"/>
      <c r="O51" s="1460"/>
      <c r="P51" s="1460"/>
      <c r="Q51" s="1460"/>
      <c r="R51" s="1460"/>
      <c r="S51" s="1460"/>
      <c r="T51" s="1460"/>
      <c r="U51" s="1460"/>
      <c r="V51" s="1460"/>
      <c r="W51" s="1460"/>
      <c r="X51" s="1460"/>
    </row>
  </sheetData>
  <mergeCells count="2">
    <mergeCell ref="E26:J26"/>
    <mergeCell ref="E5:Y5"/>
  </mergeCells>
  <pageMargins left="0.7" right="0.7" top="0.75" bottom="0.75" header="0.3" footer="0.3"/>
  <pageSetup scale="52"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52"/>
  <sheetViews>
    <sheetView tabSelected="1" workbookViewId="0">
      <selection activeCell="C10" sqref="C10"/>
    </sheetView>
  </sheetViews>
  <sheetFormatPr defaultRowHeight="15"/>
  <cols>
    <col min="1" max="1" width="4.7109375" customWidth="1"/>
    <col min="2" max="2" width="14.28515625" customWidth="1"/>
    <col min="3" max="4" width="6" customWidth="1"/>
    <col min="5" max="12" width="11.28515625" customWidth="1"/>
    <col min="13" max="13" width="13.28515625" customWidth="1"/>
    <col min="14" max="17" width="11.28515625" customWidth="1"/>
    <col min="18" max="18" width="12.140625" customWidth="1"/>
    <col min="19" max="24" width="11.28515625" customWidth="1"/>
    <col min="25" max="25" width="9.140625" bestFit="1" customWidth="1"/>
    <col min="26" max="26" width="12.28515625" customWidth="1"/>
    <col min="27" max="27" width="12.7109375" customWidth="1"/>
    <col min="28" max="28" width="11.85546875" customWidth="1"/>
    <col min="29" max="29" width="13.28515625" customWidth="1"/>
    <col min="30" max="30" width="11.85546875" customWidth="1"/>
    <col min="31" max="31" width="9.42578125" bestFit="1" customWidth="1"/>
    <col min="33" max="33" width="5.7109375" customWidth="1"/>
    <col min="37" max="37" width="5.5703125" customWidth="1"/>
  </cols>
  <sheetData>
    <row r="1" spans="1:45" ht="15.75">
      <c r="A1" s="1456"/>
      <c r="B1" s="1457" t="s">
        <v>2</v>
      </c>
      <c r="C1" s="1458"/>
      <c r="D1" s="1458"/>
      <c r="E1" s="1458"/>
      <c r="F1" s="1458"/>
      <c r="G1" s="1458"/>
      <c r="H1" s="1458"/>
      <c r="I1" s="1459"/>
      <c r="J1" s="1459"/>
      <c r="K1" s="1459"/>
      <c r="L1" s="1459"/>
      <c r="M1" s="1459"/>
      <c r="N1" s="1459"/>
      <c r="O1" s="1459"/>
      <c r="P1" s="1459"/>
      <c r="Q1" s="1459"/>
      <c r="R1" s="1459"/>
      <c r="S1" s="1459"/>
      <c r="T1" s="1459"/>
      <c r="U1" s="1459"/>
      <c r="V1" s="1459"/>
      <c r="W1" s="1459"/>
      <c r="X1" s="1459"/>
      <c r="Y1" s="1459"/>
      <c r="Z1" s="1459"/>
      <c r="AA1" s="1459"/>
      <c r="AB1" s="1458"/>
      <c r="AC1" s="1459"/>
      <c r="AD1" s="1459"/>
      <c r="AE1" s="1460"/>
      <c r="AF1" s="1460"/>
      <c r="AG1" s="1460"/>
      <c r="AH1" s="1460"/>
      <c r="AI1" s="1460"/>
      <c r="AJ1" s="1460"/>
      <c r="AK1" s="1460"/>
      <c r="AL1" s="1460"/>
      <c r="AM1" s="1460"/>
      <c r="AN1" s="1460"/>
      <c r="AO1" s="1460"/>
      <c r="AP1" s="1460"/>
      <c r="AQ1" s="1460"/>
      <c r="AR1" s="1460"/>
    </row>
    <row r="2" spans="1:45" ht="15.75">
      <c r="A2" s="1568"/>
      <c r="B2" s="1457" t="s">
        <v>1434</v>
      </c>
      <c r="C2" s="1457"/>
      <c r="D2" s="1457"/>
      <c r="E2" s="1463"/>
      <c r="F2" s="1463"/>
      <c r="G2" s="1463"/>
      <c r="H2" s="1463"/>
      <c r="I2" s="1463"/>
      <c r="J2" s="1464"/>
      <c r="K2" s="1459"/>
      <c r="L2" s="1459"/>
      <c r="M2" s="1459"/>
      <c r="N2" s="1459"/>
      <c r="O2" s="1459"/>
      <c r="P2" s="1459"/>
      <c r="Q2" s="1459"/>
      <c r="R2" s="1459"/>
      <c r="S2" s="1459"/>
      <c r="T2" s="1459"/>
      <c r="U2" s="1459"/>
      <c r="V2" s="1459"/>
      <c r="W2" s="1459"/>
      <c r="X2" s="1459"/>
      <c r="Y2" s="1459"/>
      <c r="Z2" s="1459"/>
      <c r="AA2" s="1459"/>
      <c r="AB2" s="1458"/>
      <c r="AC2" s="1459"/>
      <c r="AD2" s="1459"/>
      <c r="AE2" s="1460"/>
      <c r="AF2" s="1460"/>
      <c r="AG2" s="1460"/>
      <c r="AH2" s="1460"/>
      <c r="AI2" s="1460"/>
      <c r="AJ2" s="1460"/>
      <c r="AK2" s="1460"/>
      <c r="AL2" s="1460"/>
      <c r="AM2" s="1460"/>
      <c r="AN2" s="1460"/>
      <c r="AO2" s="1460"/>
      <c r="AP2" s="1460"/>
      <c r="AQ2" s="1460"/>
      <c r="AR2" s="1460"/>
    </row>
    <row r="3" spans="1:45" ht="15.75">
      <c r="A3" s="1456"/>
      <c r="B3" s="1462"/>
      <c r="C3" s="1457"/>
      <c r="D3" s="1457"/>
      <c r="E3" s="1463"/>
      <c r="F3" s="1463"/>
      <c r="G3" s="1463"/>
      <c r="H3" s="1463"/>
      <c r="I3" s="1463"/>
      <c r="J3" s="1464"/>
      <c r="K3" s="1459"/>
      <c r="L3" s="1459"/>
      <c r="M3" s="1459"/>
      <c r="N3" s="1570">
        <v>2019</v>
      </c>
      <c r="O3" s="1459"/>
      <c r="P3" s="1459"/>
      <c r="Q3" s="1459"/>
      <c r="R3" s="1459"/>
      <c r="S3" s="1459"/>
      <c r="T3" s="1465"/>
      <c r="U3" s="1459"/>
      <c r="V3" s="1459"/>
      <c r="W3" s="1459"/>
      <c r="X3" s="1459"/>
      <c r="Y3" s="1459"/>
      <c r="Z3" s="1459"/>
      <c r="AA3" s="1459"/>
      <c r="AB3" s="1458"/>
      <c r="AC3" s="1459"/>
      <c r="AD3" s="1459"/>
      <c r="AE3" s="1460"/>
      <c r="AF3" s="1460"/>
      <c r="AG3" s="1460"/>
      <c r="AH3" s="1460"/>
      <c r="AI3" s="1460"/>
      <c r="AJ3" s="1460"/>
      <c r="AK3" s="1460"/>
      <c r="AL3" s="1460"/>
      <c r="AM3" s="1460"/>
      <c r="AN3" s="1460"/>
      <c r="AO3" s="1460"/>
      <c r="AP3" s="1460"/>
      <c r="AQ3" s="1460"/>
      <c r="AR3" s="1460"/>
    </row>
    <row r="4" spans="1:45" ht="16.5" thickBot="1">
      <c r="A4" s="1460"/>
      <c r="B4" s="1460"/>
      <c r="C4" s="1571"/>
      <c r="D4" s="1571"/>
      <c r="E4" s="1460"/>
      <c r="F4" s="1460"/>
      <c r="G4" s="1460"/>
      <c r="H4" s="1460"/>
      <c r="I4" s="1460"/>
      <c r="J4" s="1460"/>
      <c r="K4" s="1460"/>
      <c r="L4" s="1460"/>
      <c r="M4" s="1460"/>
      <c r="N4" s="1460"/>
      <c r="O4" s="1460"/>
      <c r="P4" s="1460"/>
      <c r="Q4" s="1460"/>
      <c r="R4" s="1460"/>
      <c r="S4" s="1460"/>
      <c r="T4" s="1465"/>
      <c r="U4" s="1466"/>
      <c r="V4" s="1466"/>
      <c r="W4" s="1466"/>
      <c r="X4" s="1466"/>
      <c r="Y4" s="1466"/>
      <c r="Z4" s="1466"/>
      <c r="AA4" s="1466"/>
      <c r="AB4" s="1456"/>
      <c r="AC4" s="1460"/>
      <c r="AD4" s="1460"/>
      <c r="AE4" s="1460"/>
      <c r="AF4" s="1460"/>
      <c r="AG4" s="1460"/>
      <c r="AH4" s="1460"/>
      <c r="AI4" s="1460"/>
      <c r="AJ4" s="1460"/>
      <c r="AK4" s="1460"/>
      <c r="AL4" s="1460"/>
      <c r="AM4" s="1460"/>
      <c r="AN4" s="1460"/>
      <c r="AO4" s="1460"/>
      <c r="AP4" s="1460"/>
      <c r="AQ4" s="1460"/>
      <c r="AR4" s="1460"/>
    </row>
    <row r="5" spans="1:45" ht="16.5" thickBot="1">
      <c r="A5" s="1460"/>
      <c r="B5" s="1469"/>
      <c r="C5" s="1572"/>
      <c r="D5" s="1572"/>
      <c r="E5" s="2464" t="s">
        <v>1429</v>
      </c>
      <c r="F5" s="2465"/>
      <c r="G5" s="2465"/>
      <c r="H5" s="2465"/>
      <c r="I5" s="2465"/>
      <c r="J5" s="2465"/>
      <c r="K5" s="2465"/>
      <c r="L5" s="2465"/>
      <c r="M5" s="2465"/>
      <c r="N5" s="2465"/>
      <c r="O5" s="2465"/>
      <c r="P5" s="2465"/>
      <c r="Q5" s="2465"/>
      <c r="R5" s="2465"/>
      <c r="S5" s="2465"/>
      <c r="T5" s="2471"/>
      <c r="U5" s="2471"/>
      <c r="V5" s="2471"/>
      <c r="W5" s="2471"/>
      <c r="X5" s="2471"/>
      <c r="Y5" s="2472"/>
      <c r="Z5" s="1619"/>
      <c r="AA5" s="2479" t="s">
        <v>1349</v>
      </c>
      <c r="AB5" s="2480"/>
      <c r="AC5" s="2480"/>
      <c r="AD5" s="2480"/>
      <c r="AE5" s="2480"/>
      <c r="AF5" s="2481"/>
      <c r="AG5" s="1465"/>
      <c r="AH5" s="1460"/>
      <c r="AI5" s="1460"/>
      <c r="AJ5" s="1460"/>
      <c r="AK5" s="1460"/>
      <c r="AL5" s="1460"/>
      <c r="AM5" s="1460"/>
      <c r="AN5" s="1460"/>
      <c r="AO5" s="1460"/>
      <c r="AP5" s="1460"/>
      <c r="AQ5" s="1460"/>
      <c r="AR5" s="1460"/>
      <c r="AS5" s="1460"/>
    </row>
    <row r="6" spans="1:45" ht="16.5" thickBot="1">
      <c r="A6" s="1460"/>
      <c r="B6" s="1472" t="s">
        <v>912</v>
      </c>
      <c r="C6" s="1572"/>
      <c r="D6" s="1572"/>
      <c r="E6" s="1567" t="s">
        <v>1350</v>
      </c>
      <c r="F6" s="1573" t="s">
        <v>1351</v>
      </c>
      <c r="G6" s="1574" t="s">
        <v>1352</v>
      </c>
      <c r="H6" s="1574" t="s">
        <v>1353</v>
      </c>
      <c r="I6" s="1574" t="s">
        <v>1354</v>
      </c>
      <c r="J6" s="1574" t="s">
        <v>1355</v>
      </c>
      <c r="K6" s="1574" t="s">
        <v>1356</v>
      </c>
      <c r="L6" s="1574" t="s">
        <v>1357</v>
      </c>
      <c r="M6" s="1574" t="s">
        <v>1358</v>
      </c>
      <c r="N6" s="1574" t="s">
        <v>1359</v>
      </c>
      <c r="O6" s="1574" t="s">
        <v>1360</v>
      </c>
      <c r="P6" s="1574" t="s">
        <v>1361</v>
      </c>
      <c r="Q6" s="1574" t="s">
        <v>1362</v>
      </c>
      <c r="R6" s="1574" t="s">
        <v>1363</v>
      </c>
      <c r="S6" s="1574" t="s">
        <v>1364</v>
      </c>
      <c r="T6" s="1574" t="s">
        <v>1365</v>
      </c>
      <c r="U6" s="1574" t="s">
        <v>1366</v>
      </c>
      <c r="V6" s="1574" t="s">
        <v>1367</v>
      </c>
      <c r="W6" s="1574" t="s">
        <v>1904</v>
      </c>
      <c r="X6" s="1574" t="s">
        <v>2286</v>
      </c>
      <c r="Y6" s="1476" t="s">
        <v>1368</v>
      </c>
      <c r="Z6" s="1620"/>
      <c r="AA6" s="1573" t="s">
        <v>1369</v>
      </c>
      <c r="AB6" s="1574" t="s">
        <v>1370</v>
      </c>
      <c r="AC6" s="1574" t="s">
        <v>1371</v>
      </c>
      <c r="AD6" s="1574" t="s">
        <v>1372</v>
      </c>
      <c r="AE6" s="1477" t="s">
        <v>1435</v>
      </c>
      <c r="AF6" s="1476" t="s">
        <v>1373</v>
      </c>
      <c r="AG6" s="1471"/>
      <c r="AH6" s="1465"/>
      <c r="AI6" s="1465"/>
      <c r="AJ6" s="1460"/>
      <c r="AK6" s="1460"/>
      <c r="AL6" s="1460"/>
      <c r="AM6" s="1460"/>
      <c r="AN6" s="1460"/>
      <c r="AO6" s="1460"/>
      <c r="AP6" s="1460"/>
      <c r="AQ6" s="1460"/>
      <c r="AR6" s="1460"/>
      <c r="AS6" s="1460"/>
    </row>
    <row r="7" spans="1:45" ht="63">
      <c r="A7" s="1460"/>
      <c r="B7" s="1478" t="s">
        <v>1374</v>
      </c>
      <c r="C7" s="1478"/>
      <c r="D7" s="1575"/>
      <c r="E7" s="1576" t="s">
        <v>2</v>
      </c>
      <c r="F7" s="1480" t="s">
        <v>2490</v>
      </c>
      <c r="G7" s="1481" t="s">
        <v>2491</v>
      </c>
      <c r="H7" s="1481" t="s">
        <v>2492</v>
      </c>
      <c r="I7" s="1481" t="s">
        <v>2493</v>
      </c>
      <c r="J7" s="1481" t="s">
        <v>2494</v>
      </c>
      <c r="K7" s="1481" t="s">
        <v>2495</v>
      </c>
      <c r="L7" s="1481" t="s">
        <v>2496</v>
      </c>
      <c r="M7" s="1481" t="s">
        <v>2497</v>
      </c>
      <c r="N7" s="1481" t="s">
        <v>2498</v>
      </c>
      <c r="O7" s="1481" t="s">
        <v>2499</v>
      </c>
      <c r="P7" s="1481" t="s">
        <v>2500</v>
      </c>
      <c r="Q7" s="1481" t="s">
        <v>2501</v>
      </c>
      <c r="R7" s="1481" t="s">
        <v>2502</v>
      </c>
      <c r="S7" s="1481" t="s">
        <v>2503</v>
      </c>
      <c r="T7" s="1481" t="s">
        <v>2504</v>
      </c>
      <c r="U7" s="1481" t="s">
        <v>2505</v>
      </c>
      <c r="V7" s="1481" t="s">
        <v>2506</v>
      </c>
      <c r="W7" s="1481" t="s">
        <v>2507</v>
      </c>
      <c r="X7" s="2312" t="s">
        <v>2575</v>
      </c>
      <c r="Y7" s="1577"/>
      <c r="Z7" s="1465"/>
      <c r="AA7" s="1487" t="s">
        <v>1375</v>
      </c>
      <c r="AB7" s="1483" t="s">
        <v>1376</v>
      </c>
      <c r="AC7" s="1483" t="s">
        <v>1377</v>
      </c>
      <c r="AD7" s="1483" t="s">
        <v>1378</v>
      </c>
      <c r="AE7" s="1488"/>
      <c r="AF7" s="1484"/>
      <c r="AG7" s="1471"/>
      <c r="AH7" s="1465"/>
      <c r="AI7" s="1465"/>
      <c r="AJ7" s="1460"/>
      <c r="AK7" s="1460"/>
      <c r="AL7" s="1460"/>
      <c r="AM7" s="1460"/>
      <c r="AN7" s="1460"/>
      <c r="AO7" s="1460"/>
      <c r="AP7" s="1460"/>
      <c r="AQ7" s="1460"/>
      <c r="AR7" s="1460"/>
      <c r="AS7" s="1460"/>
    </row>
    <row r="8" spans="1:45" ht="31.5">
      <c r="A8" s="1460"/>
      <c r="B8" s="1485" t="s">
        <v>1379</v>
      </c>
      <c r="C8" s="1485"/>
      <c r="D8" s="1578"/>
      <c r="E8" s="1608" t="s">
        <v>1380</v>
      </c>
      <c r="F8" s="1608" t="s">
        <v>1381</v>
      </c>
      <c r="G8" s="1579" t="s">
        <v>1381</v>
      </c>
      <c r="H8" s="1579" t="s">
        <v>1381</v>
      </c>
      <c r="I8" s="1483" t="s">
        <v>1381</v>
      </c>
      <c r="J8" s="1483" t="s">
        <v>1381</v>
      </c>
      <c r="K8" s="1483" t="s">
        <v>1381</v>
      </c>
      <c r="L8" s="1483" t="s">
        <v>1381</v>
      </c>
      <c r="M8" s="1483" t="s">
        <v>1381</v>
      </c>
      <c r="N8" s="1483" t="s">
        <v>1381</v>
      </c>
      <c r="O8" s="1483" t="s">
        <v>1381</v>
      </c>
      <c r="P8" s="1483" t="s">
        <v>1381</v>
      </c>
      <c r="Q8" s="1483" t="s">
        <v>1381</v>
      </c>
      <c r="R8" s="1483" t="s">
        <v>1381</v>
      </c>
      <c r="S8" s="1483" t="s">
        <v>1381</v>
      </c>
      <c r="T8" s="1483" t="s">
        <v>1381</v>
      </c>
      <c r="U8" s="1483" t="s">
        <v>1381</v>
      </c>
      <c r="V8" s="1483" t="s">
        <v>1381</v>
      </c>
      <c r="W8" s="1483" t="s">
        <v>1381</v>
      </c>
      <c r="X8" s="1483" t="s">
        <v>1381</v>
      </c>
      <c r="Y8" s="1580" t="s">
        <v>1382</v>
      </c>
      <c r="Z8" s="1465"/>
      <c r="AA8" s="1487" t="s">
        <v>1383</v>
      </c>
      <c r="AB8" s="1483" t="s">
        <v>1383</v>
      </c>
      <c r="AC8" s="1483" t="s">
        <v>1383</v>
      </c>
      <c r="AD8" s="1483" t="s">
        <v>1383</v>
      </c>
      <c r="AE8" s="1488"/>
      <c r="AF8" s="1484" t="s">
        <v>1384</v>
      </c>
      <c r="AG8" s="1465"/>
      <c r="AH8" s="1460"/>
      <c r="AI8" s="1460"/>
      <c r="AJ8" s="1460"/>
      <c r="AK8" s="1460"/>
      <c r="AL8" s="1460"/>
      <c r="AM8" s="1460"/>
      <c r="AN8" s="1460"/>
      <c r="AO8" s="1460"/>
      <c r="AP8" s="1460"/>
      <c r="AQ8" s="1460"/>
      <c r="AR8" s="1460"/>
      <c r="AS8" s="1460"/>
    </row>
    <row r="9" spans="1:45" ht="16.5" thickBot="1">
      <c r="A9" s="1460"/>
      <c r="B9" s="1490" t="s">
        <v>1385</v>
      </c>
      <c r="C9" s="1581" t="s">
        <v>1430</v>
      </c>
      <c r="D9" s="1581" t="s">
        <v>1431</v>
      </c>
      <c r="E9" s="1582"/>
      <c r="F9" s="1492" t="s">
        <v>2510</v>
      </c>
      <c r="G9" s="1493" t="s">
        <v>2511</v>
      </c>
      <c r="H9" s="1493" t="s">
        <v>2512</v>
      </c>
      <c r="I9" s="1493" t="s">
        <v>2513</v>
      </c>
      <c r="J9" s="1493" t="s">
        <v>2514</v>
      </c>
      <c r="K9" s="1493" t="s">
        <v>2515</v>
      </c>
      <c r="L9" s="1493" t="s">
        <v>2516</v>
      </c>
      <c r="M9" s="1493" t="s">
        <v>2517</v>
      </c>
      <c r="N9" s="1493" t="s">
        <v>2518</v>
      </c>
      <c r="O9" s="1493" t="s">
        <v>2519</v>
      </c>
      <c r="P9" s="1493" t="s">
        <v>2520</v>
      </c>
      <c r="Q9" s="1493" t="s">
        <v>2521</v>
      </c>
      <c r="R9" s="1493" t="s">
        <v>2522</v>
      </c>
      <c r="S9" s="1493" t="s">
        <v>2523</v>
      </c>
      <c r="T9" s="1493" t="s">
        <v>2524</v>
      </c>
      <c r="U9" s="1493" t="s">
        <v>2525</v>
      </c>
      <c r="V9" s="1493" t="s">
        <v>2526</v>
      </c>
      <c r="W9" s="1493" t="s">
        <v>2527</v>
      </c>
      <c r="X9" s="1494" t="s">
        <v>2576</v>
      </c>
      <c r="Y9" s="1583"/>
      <c r="Z9" s="1465"/>
      <c r="AA9" s="1492" t="s">
        <v>1386</v>
      </c>
      <c r="AB9" s="1493" t="s">
        <v>1387</v>
      </c>
      <c r="AC9" s="1493" t="s">
        <v>1388</v>
      </c>
      <c r="AD9" s="1493" t="s">
        <v>1389</v>
      </c>
      <c r="AE9" s="1494"/>
      <c r="AF9" s="1496"/>
      <c r="AG9" s="1465"/>
      <c r="AH9" s="1460"/>
      <c r="AI9" s="1460"/>
      <c r="AJ9" s="1460"/>
      <c r="AK9" s="1460"/>
      <c r="AL9" s="1460"/>
      <c r="AM9" s="1460"/>
      <c r="AN9" s="1460"/>
      <c r="AO9" s="1460"/>
      <c r="AP9" s="1460"/>
      <c r="AQ9" s="1460"/>
      <c r="AR9" s="1460"/>
      <c r="AS9" s="1460"/>
    </row>
    <row r="10" spans="1:45" ht="15.75">
      <c r="A10" s="1460"/>
      <c r="B10" s="1472" t="s">
        <v>1226</v>
      </c>
      <c r="C10" s="1584">
        <v>2</v>
      </c>
      <c r="D10" s="2244">
        <v>0.375</v>
      </c>
      <c r="E10" s="1504">
        <v>8233.2999999999993</v>
      </c>
      <c r="F10" s="1587">
        <v>6.8769999999999998</v>
      </c>
      <c r="G10" s="1586">
        <v>3.5990000000000002</v>
      </c>
      <c r="H10" s="1586">
        <v>28.753</v>
      </c>
      <c r="I10" s="1586">
        <v>1.34</v>
      </c>
      <c r="J10" s="1586">
        <v>0.30299999999999999</v>
      </c>
      <c r="K10" s="1586">
        <v>0</v>
      </c>
      <c r="L10" s="1586">
        <v>19.776</v>
      </c>
      <c r="M10" s="1586">
        <v>15.445</v>
      </c>
      <c r="N10" s="1586">
        <v>10.472</v>
      </c>
      <c r="O10" s="1586">
        <v>45.55</v>
      </c>
      <c r="P10" s="1586">
        <v>5.0000000000000001E-3</v>
      </c>
      <c r="Q10" s="1586">
        <v>8.0000000000000002E-3</v>
      </c>
      <c r="R10" s="1586">
        <v>30.812999999999999</v>
      </c>
      <c r="S10" s="1586">
        <v>0.753</v>
      </c>
      <c r="T10" s="1586">
        <v>330.21899999999999</v>
      </c>
      <c r="U10" s="1586">
        <v>97.004000000000005</v>
      </c>
      <c r="V10" s="1586">
        <v>1.4E-2</v>
      </c>
      <c r="W10" s="1588">
        <v>2.6389999999999998</v>
      </c>
      <c r="X10" s="1586">
        <v>0</v>
      </c>
      <c r="Y10" s="1621">
        <f t="shared" ref="Y10:Y22" si="0">SUM(F10:X10)</f>
        <v>593.56999999999994</v>
      </c>
      <c r="Z10" s="1465"/>
      <c r="AA10" s="1499">
        <v>407.613</v>
      </c>
      <c r="AB10" s="1500">
        <v>63.523000000000003</v>
      </c>
      <c r="AC10" s="1500">
        <v>148.273</v>
      </c>
      <c r="AD10" s="1500">
        <v>324</v>
      </c>
      <c r="AE10" s="1508"/>
      <c r="AF10" s="1502">
        <f>SUM(AA10:AE10)</f>
        <v>943.40899999999999</v>
      </c>
      <c r="AG10" s="1503"/>
      <c r="AH10" s="1460"/>
      <c r="AI10" s="1460"/>
      <c r="AJ10" s="1460"/>
      <c r="AK10" s="1460"/>
      <c r="AL10" s="1460"/>
      <c r="AM10" s="1460"/>
      <c r="AN10" s="1460"/>
      <c r="AO10" s="1460"/>
      <c r="AP10" s="1460"/>
      <c r="AQ10" s="1460"/>
      <c r="AR10" s="1460"/>
      <c r="AS10" s="1460"/>
    </row>
    <row r="11" spans="1:45" ht="15.75">
      <c r="A11" s="1460"/>
      <c r="B11" s="1472" t="s">
        <v>1227</v>
      </c>
      <c r="C11" s="1584">
        <v>7</v>
      </c>
      <c r="D11" s="2244">
        <v>0.33333333333333331</v>
      </c>
      <c r="E11" s="1504">
        <v>8603.86</v>
      </c>
      <c r="F11" s="1587">
        <v>7.6749999999999998</v>
      </c>
      <c r="G11" s="1588">
        <v>3.556</v>
      </c>
      <c r="H11" s="1588">
        <v>35.604999999999997</v>
      </c>
      <c r="I11" s="1588">
        <v>1.355</v>
      </c>
      <c r="J11" s="1588">
        <v>0.503</v>
      </c>
      <c r="K11" s="1588">
        <v>2.5000000000000001E-2</v>
      </c>
      <c r="L11" s="1588">
        <v>18.859000000000002</v>
      </c>
      <c r="M11" s="1588">
        <v>16.138999999999999</v>
      </c>
      <c r="N11" s="1588">
        <v>11.805</v>
      </c>
      <c r="O11" s="1588">
        <v>55.25</v>
      </c>
      <c r="P11" s="1588">
        <v>5.0000000000000001E-3</v>
      </c>
      <c r="Q11" s="1588">
        <v>6.0000000000000001E-3</v>
      </c>
      <c r="R11" s="1588">
        <v>31.821999999999999</v>
      </c>
      <c r="S11" s="1588">
        <v>0.79400000000000004</v>
      </c>
      <c r="T11" s="1588">
        <v>280.10599999999999</v>
      </c>
      <c r="U11" s="1588">
        <v>96.004000000000005</v>
      </c>
      <c r="V11" s="1588">
        <v>6.0999999999999999E-2</v>
      </c>
      <c r="W11" s="1588">
        <v>2.423</v>
      </c>
      <c r="X11" s="1589">
        <v>0</v>
      </c>
      <c r="Y11" s="1621">
        <f t="shared" si="0"/>
        <v>561.99300000000005</v>
      </c>
      <c r="Z11" s="1465"/>
      <c r="AA11" s="1506">
        <v>382.96100000000001</v>
      </c>
      <c r="AB11" s="1507">
        <v>63.997999999999998</v>
      </c>
      <c r="AC11" s="1507">
        <v>81.326999999999998</v>
      </c>
      <c r="AD11" s="1507">
        <v>340</v>
      </c>
      <c r="AE11" s="1508"/>
      <c r="AF11" s="1502">
        <f t="shared" ref="AF11:AF21" si="1">SUM(AA11:AE11)</f>
        <v>868.28600000000006</v>
      </c>
      <c r="AG11" s="1503"/>
      <c r="AH11" s="1460"/>
      <c r="AI11" s="1460"/>
      <c r="AJ11" s="1460"/>
      <c r="AK11" s="1460"/>
      <c r="AL11" s="1460"/>
      <c r="AM11" s="1460"/>
      <c r="AN11" s="1460"/>
      <c r="AO11" s="1460"/>
      <c r="AP11" s="1460"/>
      <c r="AQ11" s="1460"/>
      <c r="AR11" s="1460"/>
      <c r="AS11" s="1460"/>
    </row>
    <row r="12" spans="1:45" ht="15.75">
      <c r="A12" s="1460"/>
      <c r="B12" s="1472" t="s">
        <v>1024</v>
      </c>
      <c r="C12" s="1584">
        <v>4</v>
      </c>
      <c r="D12" s="2244">
        <v>0.33333333333333331</v>
      </c>
      <c r="E12" s="1504">
        <v>8217.5040000000008</v>
      </c>
      <c r="F12" s="1587">
        <v>7.3410000000000002</v>
      </c>
      <c r="G12" s="1588">
        <v>3.2450000000000001</v>
      </c>
      <c r="H12" s="1588">
        <v>35.183</v>
      </c>
      <c r="I12" s="1588">
        <v>1.518</v>
      </c>
      <c r="J12" s="1588">
        <v>0.113</v>
      </c>
      <c r="K12" s="1588">
        <v>2.1000000000000001E-2</v>
      </c>
      <c r="L12" s="1588">
        <v>21.934999999999999</v>
      </c>
      <c r="M12" s="1588">
        <v>14.33</v>
      </c>
      <c r="N12" s="1588">
        <v>11.125</v>
      </c>
      <c r="O12" s="1588">
        <v>54.2</v>
      </c>
      <c r="P12" s="1588">
        <v>5.0000000000000001E-3</v>
      </c>
      <c r="Q12" s="1588">
        <v>8.9999999999999993E-3</v>
      </c>
      <c r="R12" s="1588">
        <v>31.632999999999999</v>
      </c>
      <c r="S12" s="1588">
        <v>0.77100000000000002</v>
      </c>
      <c r="T12" s="1588">
        <v>284.053</v>
      </c>
      <c r="U12" s="1588">
        <v>94.344999999999999</v>
      </c>
      <c r="V12" s="1588">
        <v>5.1999999999999998E-2</v>
      </c>
      <c r="W12" s="1588">
        <v>2.343</v>
      </c>
      <c r="X12" s="1589">
        <v>0</v>
      </c>
      <c r="Y12" s="1621">
        <f t="shared" si="0"/>
        <v>562.22199999999998</v>
      </c>
      <c r="Z12" s="1465"/>
      <c r="AA12" s="1506">
        <v>313.50900000000001</v>
      </c>
      <c r="AB12" s="1507">
        <v>33.095999999999997</v>
      </c>
      <c r="AC12" s="1507">
        <v>57.692999999999998</v>
      </c>
      <c r="AD12" s="1507">
        <v>320</v>
      </c>
      <c r="AE12" s="1508"/>
      <c r="AF12" s="1502">
        <f t="shared" si="1"/>
        <v>724.298</v>
      </c>
      <c r="AG12" s="1503"/>
      <c r="AH12" s="1460"/>
      <c r="AI12" s="1460"/>
      <c r="AJ12" s="1460"/>
      <c r="AK12" s="1460"/>
      <c r="AL12" s="1460"/>
      <c r="AM12" s="1460"/>
      <c r="AN12" s="1460"/>
      <c r="AO12" s="1460"/>
      <c r="AP12" s="1460"/>
      <c r="AQ12" s="1460"/>
      <c r="AR12" s="1460"/>
      <c r="AS12" s="1460"/>
    </row>
    <row r="13" spans="1:45" ht="15.75">
      <c r="A13" s="1460"/>
      <c r="B13" s="1472" t="s">
        <v>1025</v>
      </c>
      <c r="C13" s="1584">
        <v>10</v>
      </c>
      <c r="D13" s="2244">
        <v>0.33333333333333331</v>
      </c>
      <c r="E13" s="1504">
        <v>7167.3419999999996</v>
      </c>
      <c r="F13" s="1587">
        <v>5.6929999999999996</v>
      </c>
      <c r="G13" s="1588">
        <v>3.1840000000000002</v>
      </c>
      <c r="H13" s="1588">
        <v>19.137</v>
      </c>
      <c r="I13" s="1588">
        <v>1.101</v>
      </c>
      <c r="J13" s="1588">
        <v>0</v>
      </c>
      <c r="K13" s="1588">
        <v>0</v>
      </c>
      <c r="L13" s="1588">
        <v>16.228999999999999</v>
      </c>
      <c r="M13" s="1588">
        <v>13.705</v>
      </c>
      <c r="N13" s="1588">
        <v>8.5410000000000004</v>
      </c>
      <c r="O13" s="1588">
        <v>37.79</v>
      </c>
      <c r="P13" s="1588">
        <v>0.23899999999999999</v>
      </c>
      <c r="Q13" s="1588">
        <v>6.0000000000000001E-3</v>
      </c>
      <c r="R13" s="1588">
        <v>31.207000000000001</v>
      </c>
      <c r="S13" s="1588">
        <v>0.69499999999999995</v>
      </c>
      <c r="T13" s="1588">
        <v>176.91300000000001</v>
      </c>
      <c r="U13" s="1588">
        <v>68.051000000000002</v>
      </c>
      <c r="V13" s="1588">
        <v>6.5000000000000002E-2</v>
      </c>
      <c r="W13" s="1588">
        <v>1.8720000000000001</v>
      </c>
      <c r="X13" s="1589">
        <v>0</v>
      </c>
      <c r="Y13" s="1621">
        <f t="shared" si="0"/>
        <v>384.428</v>
      </c>
      <c r="Z13" s="1465"/>
      <c r="AA13" s="1506">
        <v>338.38499999999999</v>
      </c>
      <c r="AB13" s="1507">
        <v>17.893000000000001</v>
      </c>
      <c r="AC13" s="1507">
        <v>60.143999999999998</v>
      </c>
      <c r="AD13" s="1507">
        <v>290</v>
      </c>
      <c r="AE13" s="1508"/>
      <c r="AF13" s="1502">
        <f t="shared" si="1"/>
        <v>706.42200000000003</v>
      </c>
      <c r="AG13" s="1503"/>
      <c r="AH13" s="1460"/>
      <c r="AI13" s="1460"/>
      <c r="AJ13" s="1460"/>
      <c r="AK13" s="1460"/>
      <c r="AL13" s="1460"/>
      <c r="AM13" s="1460"/>
      <c r="AN13" s="1460"/>
      <c r="AO13" s="1460"/>
      <c r="AP13" s="1460"/>
      <c r="AQ13" s="1460"/>
      <c r="AR13" s="1460"/>
      <c r="AS13" s="1460"/>
    </row>
    <row r="14" spans="1:45" ht="15.75">
      <c r="A14" s="1509"/>
      <c r="B14" s="1472" t="s">
        <v>1026</v>
      </c>
      <c r="C14" s="1584">
        <v>13</v>
      </c>
      <c r="D14" s="2244">
        <v>0.75</v>
      </c>
      <c r="E14" s="1504">
        <v>7310.8540000000003</v>
      </c>
      <c r="F14" s="1587">
        <v>5.0140000000000002</v>
      </c>
      <c r="G14" s="1588">
        <v>2.9359999999999999</v>
      </c>
      <c r="H14" s="1588">
        <v>11.548</v>
      </c>
      <c r="I14" s="1588">
        <v>0</v>
      </c>
      <c r="J14" s="1588">
        <v>0</v>
      </c>
      <c r="K14" s="1588">
        <v>0</v>
      </c>
      <c r="L14" s="1588">
        <v>11.205</v>
      </c>
      <c r="M14" s="1588">
        <v>15.436</v>
      </c>
      <c r="N14" s="1588">
        <v>6.6879999999999997</v>
      </c>
      <c r="O14" s="1588">
        <v>32.18</v>
      </c>
      <c r="P14" s="1588">
        <v>0.54100000000000004</v>
      </c>
      <c r="Q14" s="1588">
        <v>1.9910000000000001</v>
      </c>
      <c r="R14" s="1588">
        <v>32.057000000000002</v>
      </c>
      <c r="S14" s="1588">
        <v>0.78700000000000003</v>
      </c>
      <c r="T14" s="1588">
        <v>120.639</v>
      </c>
      <c r="U14" s="1588">
        <v>95.292000000000002</v>
      </c>
      <c r="V14" s="1588">
        <v>7.6999999999999999E-2</v>
      </c>
      <c r="W14" s="1588">
        <v>1.772</v>
      </c>
      <c r="X14" s="1589">
        <v>0</v>
      </c>
      <c r="Y14" s="1621">
        <f t="shared" si="0"/>
        <v>338.16299999999995</v>
      </c>
      <c r="Z14" s="1465"/>
      <c r="AA14" s="1506">
        <v>405.12900000000002</v>
      </c>
      <c r="AB14" s="1507">
        <v>32.351999999999997</v>
      </c>
      <c r="AC14" s="1507">
        <v>98.933999999999997</v>
      </c>
      <c r="AD14" s="1507">
        <v>295</v>
      </c>
      <c r="AE14" s="1508"/>
      <c r="AF14" s="1502">
        <f t="shared" si="1"/>
        <v>831.41499999999996</v>
      </c>
      <c r="AG14" s="1503"/>
      <c r="AH14" s="1460"/>
      <c r="AI14" s="1460"/>
      <c r="AJ14" s="1460"/>
      <c r="AK14" s="1460"/>
      <c r="AL14" s="1460"/>
      <c r="AM14" s="1460"/>
      <c r="AN14" s="1460"/>
      <c r="AO14" s="1460"/>
      <c r="AP14" s="1460"/>
      <c r="AQ14" s="1460"/>
      <c r="AR14" s="1460"/>
      <c r="AS14" s="1460"/>
    </row>
    <row r="15" spans="1:45" ht="15.75">
      <c r="A15" s="1460"/>
      <c r="B15" s="1472" t="s">
        <v>1230</v>
      </c>
      <c r="C15" s="1584">
        <v>28</v>
      </c>
      <c r="D15" s="2244">
        <v>0.75</v>
      </c>
      <c r="E15" s="1504">
        <v>8681.4220000000005</v>
      </c>
      <c r="F15" s="1587">
        <v>4.2770000000000001</v>
      </c>
      <c r="G15" s="1588">
        <v>3.306</v>
      </c>
      <c r="H15" s="1588">
        <v>11.268000000000001</v>
      </c>
      <c r="I15" s="1588">
        <v>0.42699999999999999</v>
      </c>
      <c r="J15" s="1588">
        <v>0</v>
      </c>
      <c r="K15" s="1588">
        <v>0</v>
      </c>
      <c r="L15" s="1588">
        <v>14.356</v>
      </c>
      <c r="M15" s="1588">
        <v>15.396000000000001</v>
      </c>
      <c r="N15" s="1588">
        <v>9.6189999999999998</v>
      </c>
      <c r="O15" s="1588">
        <v>44.89</v>
      </c>
      <c r="P15" s="1588">
        <v>0.54500000000000004</v>
      </c>
      <c r="Q15" s="1588">
        <v>3.1949999999999998</v>
      </c>
      <c r="R15" s="1588">
        <v>31.974</v>
      </c>
      <c r="S15" s="1588">
        <v>0.873</v>
      </c>
      <c r="T15" s="1588">
        <v>168.54599999999999</v>
      </c>
      <c r="U15" s="1588">
        <v>96.090999999999994</v>
      </c>
      <c r="V15" s="1588">
        <v>0.105</v>
      </c>
      <c r="W15" s="1588">
        <v>1.93</v>
      </c>
      <c r="X15" s="1589">
        <v>0</v>
      </c>
      <c r="Y15" s="1621">
        <f t="shared" si="0"/>
        <v>406.798</v>
      </c>
      <c r="Z15" s="1465"/>
      <c r="AA15" s="1506">
        <v>616.85599999999999</v>
      </c>
      <c r="AB15" s="1507">
        <v>95.206000000000003</v>
      </c>
      <c r="AC15" s="1507">
        <v>120.69499999999999</v>
      </c>
      <c r="AD15" s="1507">
        <v>317</v>
      </c>
      <c r="AE15" s="1508"/>
      <c r="AF15" s="1502">
        <f t="shared" si="1"/>
        <v>1149.7570000000001</v>
      </c>
      <c r="AG15" s="1503"/>
      <c r="AH15" s="1460"/>
      <c r="AI15" s="1460"/>
      <c r="AJ15" s="1460"/>
      <c r="AK15" s="1460"/>
      <c r="AL15" s="1460"/>
      <c r="AM15" s="1460"/>
      <c r="AN15" s="1460"/>
      <c r="AO15" s="1460"/>
      <c r="AP15" s="1460"/>
      <c r="AQ15" s="1460"/>
      <c r="AR15" s="1460"/>
      <c r="AS15" s="1460"/>
    </row>
    <row r="16" spans="1:45" ht="15.75">
      <c r="A16" s="1460"/>
      <c r="B16" s="1472" t="s">
        <v>1390</v>
      </c>
      <c r="C16" s="1584">
        <v>22</v>
      </c>
      <c r="D16" s="2244">
        <v>0.70833333333333337</v>
      </c>
      <c r="E16" s="1504">
        <v>10333.540000000001</v>
      </c>
      <c r="F16" s="1587">
        <v>5.4969999999999999</v>
      </c>
      <c r="G16" s="1588">
        <v>3.4239999999999999</v>
      </c>
      <c r="H16" s="1588">
        <v>13.914999999999999</v>
      </c>
      <c r="I16" s="1588">
        <v>0.39500000000000002</v>
      </c>
      <c r="J16" s="1588">
        <v>0</v>
      </c>
      <c r="K16" s="1588">
        <v>0</v>
      </c>
      <c r="L16" s="1588">
        <v>12.675000000000001</v>
      </c>
      <c r="M16" s="1588">
        <v>17.43</v>
      </c>
      <c r="N16" s="1588">
        <v>11.281000000000001</v>
      </c>
      <c r="O16" s="1588">
        <v>53.47</v>
      </c>
      <c r="P16" s="1588">
        <v>0.61299999999999999</v>
      </c>
      <c r="Q16" s="1588">
        <v>3.093</v>
      </c>
      <c r="R16" s="1588">
        <v>32.036000000000001</v>
      </c>
      <c r="S16" s="1588">
        <v>0.72099999999999997</v>
      </c>
      <c r="T16" s="1588">
        <v>191.32300000000001</v>
      </c>
      <c r="U16" s="1588">
        <v>122.045</v>
      </c>
      <c r="V16" s="1588">
        <v>0.13900000000000001</v>
      </c>
      <c r="W16" s="1588">
        <v>2.6139999999999999</v>
      </c>
      <c r="X16" s="1589">
        <v>0</v>
      </c>
      <c r="Y16" s="1621">
        <f t="shared" si="0"/>
        <v>470.67100000000005</v>
      </c>
      <c r="Z16" s="1465"/>
      <c r="AA16" s="1506">
        <v>771.96499999999992</v>
      </c>
      <c r="AB16" s="1507">
        <v>150.96700000000001</v>
      </c>
      <c r="AC16" s="1507">
        <v>147.77000000000001</v>
      </c>
      <c r="AD16" s="1507">
        <v>318</v>
      </c>
      <c r="AE16" s="1508"/>
      <c r="AF16" s="1502">
        <f t="shared" si="1"/>
        <v>1388.702</v>
      </c>
      <c r="AG16" s="1503"/>
      <c r="AH16" s="1460"/>
      <c r="AI16" s="1460"/>
      <c r="AJ16" s="1460"/>
      <c r="AK16" s="1460"/>
      <c r="AL16" s="1460"/>
      <c r="AM16" s="1460"/>
      <c r="AN16" s="1460"/>
      <c r="AO16" s="1460"/>
      <c r="AP16" s="1460"/>
      <c r="AQ16" s="1460"/>
      <c r="AR16" s="1460"/>
      <c r="AS16" s="1460"/>
    </row>
    <row r="17" spans="1:48" ht="15.75">
      <c r="A17" s="1460"/>
      <c r="B17" s="1472" t="s">
        <v>1232</v>
      </c>
      <c r="C17" s="1584">
        <v>5</v>
      </c>
      <c r="D17" s="2244">
        <v>0.70833333333333337</v>
      </c>
      <c r="E17" s="1504">
        <v>10220.49</v>
      </c>
      <c r="F17" s="1587">
        <v>5.8230000000000004</v>
      </c>
      <c r="G17" s="1588">
        <v>3.6259999999999999</v>
      </c>
      <c r="H17" s="1588">
        <v>16.11</v>
      </c>
      <c r="I17" s="1588">
        <v>0.372</v>
      </c>
      <c r="J17" s="1588">
        <v>0</v>
      </c>
      <c r="K17" s="1588">
        <v>0</v>
      </c>
      <c r="L17" s="1588">
        <v>13.948</v>
      </c>
      <c r="M17" s="1588">
        <v>17.571000000000002</v>
      </c>
      <c r="N17" s="1588">
        <v>10.9</v>
      </c>
      <c r="O17" s="1588">
        <v>50.13</v>
      </c>
      <c r="P17" s="1588">
        <v>0.626</v>
      </c>
      <c r="Q17" s="1588">
        <v>2.9319999999999999</v>
      </c>
      <c r="R17" s="1588">
        <v>32.271000000000001</v>
      </c>
      <c r="S17" s="1588">
        <v>0.33700000000000002</v>
      </c>
      <c r="T17" s="1588">
        <v>166.87</v>
      </c>
      <c r="U17" s="1588">
        <v>106.803</v>
      </c>
      <c r="V17" s="1588">
        <v>0.183</v>
      </c>
      <c r="W17" s="1588">
        <v>2.4220000000000002</v>
      </c>
      <c r="X17" s="1589">
        <v>0</v>
      </c>
      <c r="Y17" s="1621">
        <f t="shared" si="0"/>
        <v>430.92400000000004</v>
      </c>
      <c r="Z17" s="1465"/>
      <c r="AA17" s="1506">
        <v>805.29100000000005</v>
      </c>
      <c r="AB17" s="1507">
        <v>152.48599999999999</v>
      </c>
      <c r="AC17" s="1507">
        <v>86.76</v>
      </c>
      <c r="AD17" s="1507">
        <v>318</v>
      </c>
      <c r="AE17" s="1508"/>
      <c r="AF17" s="1502">
        <f t="shared" si="1"/>
        <v>1362.537</v>
      </c>
      <c r="AG17" s="1503"/>
      <c r="AH17" s="1460"/>
      <c r="AI17" s="1460"/>
      <c r="AJ17" s="1460"/>
      <c r="AK17" s="1460"/>
      <c r="AL17" s="1460"/>
      <c r="AM17" s="1460"/>
      <c r="AN17" s="1460"/>
      <c r="AO17" s="1460"/>
      <c r="AP17" s="1460"/>
      <c r="AQ17" s="1460"/>
      <c r="AR17" s="1460"/>
      <c r="AS17" s="1460"/>
    </row>
    <row r="18" spans="1:48" ht="15.75">
      <c r="A18" s="1460"/>
      <c r="B18" s="1472" t="s">
        <v>1391</v>
      </c>
      <c r="C18" s="1584">
        <v>5</v>
      </c>
      <c r="D18" s="2244">
        <v>0.70833333333333337</v>
      </c>
      <c r="E18" s="1504">
        <v>9721.6689999999999</v>
      </c>
      <c r="F18" s="1587">
        <v>5.3620000000000001</v>
      </c>
      <c r="G18" s="1588">
        <v>3.7250000000000001</v>
      </c>
      <c r="H18" s="1588">
        <v>13.048</v>
      </c>
      <c r="I18" s="1588">
        <v>0.29499999999999998</v>
      </c>
      <c r="J18" s="1588">
        <v>0</v>
      </c>
      <c r="K18" s="1588">
        <v>0</v>
      </c>
      <c r="L18" s="1588">
        <v>16.111999999999998</v>
      </c>
      <c r="M18" s="1588">
        <v>17.344999999999999</v>
      </c>
      <c r="N18" s="1588">
        <v>10.949</v>
      </c>
      <c r="O18" s="1588">
        <v>51.58</v>
      </c>
      <c r="P18" s="1588">
        <v>0.499</v>
      </c>
      <c r="Q18" s="1588">
        <v>3.173</v>
      </c>
      <c r="R18" s="1588">
        <v>31.797999999999998</v>
      </c>
      <c r="S18" s="1588">
        <v>0.70599999999999996</v>
      </c>
      <c r="T18" s="1588">
        <v>144.22900000000001</v>
      </c>
      <c r="U18" s="1588">
        <v>107.834</v>
      </c>
      <c r="V18" s="1588">
        <v>0.13700000000000001</v>
      </c>
      <c r="W18" s="1588">
        <v>2.1139999999999999</v>
      </c>
      <c r="X18" s="1589">
        <v>0</v>
      </c>
      <c r="Y18" s="1621">
        <f t="shared" si="0"/>
        <v>408.90600000000001</v>
      </c>
      <c r="Z18" s="1465"/>
      <c r="AA18" s="1506">
        <v>758.15200000000004</v>
      </c>
      <c r="AB18" s="1507">
        <v>165.869</v>
      </c>
      <c r="AC18" s="1507">
        <v>92.82</v>
      </c>
      <c r="AD18" s="1507">
        <v>288</v>
      </c>
      <c r="AE18" s="1508"/>
      <c r="AF18" s="1502">
        <f t="shared" si="1"/>
        <v>1304.8410000000001</v>
      </c>
      <c r="AG18" s="1503"/>
      <c r="AH18" s="1460"/>
      <c r="AI18" s="1460"/>
      <c r="AJ18" s="1460"/>
      <c r="AK18" s="1460"/>
      <c r="AL18" s="1460"/>
      <c r="AM18" s="1460"/>
      <c r="AN18" s="1460"/>
      <c r="AO18" s="1460"/>
      <c r="AP18" s="1460"/>
      <c r="AQ18" s="1460"/>
      <c r="AR18" s="1460"/>
      <c r="AS18" s="1460"/>
    </row>
    <row r="19" spans="1:48" ht="15.75">
      <c r="A19" s="1460"/>
      <c r="B19" s="1472" t="s">
        <v>1234</v>
      </c>
      <c r="C19" s="1584">
        <v>30</v>
      </c>
      <c r="D19" s="2244">
        <v>0.33333333333333331</v>
      </c>
      <c r="E19" s="1504">
        <v>8274.4179999999997</v>
      </c>
      <c r="F19" s="1587">
        <v>6.5739999999999998</v>
      </c>
      <c r="G19" s="1588">
        <v>3.5030000000000001</v>
      </c>
      <c r="H19" s="1588">
        <v>26.582999999999998</v>
      </c>
      <c r="I19" s="1588">
        <v>1.266</v>
      </c>
      <c r="J19" s="1588">
        <v>0.373</v>
      </c>
      <c r="K19" s="1588">
        <v>0.125</v>
      </c>
      <c r="L19" s="1588">
        <v>18.170000000000002</v>
      </c>
      <c r="M19" s="1588">
        <v>14.16</v>
      </c>
      <c r="N19" s="1588">
        <v>11.595000000000001</v>
      </c>
      <c r="O19" s="1588">
        <v>48.47</v>
      </c>
      <c r="P19" s="1588">
        <v>6.0000000000000001E-3</v>
      </c>
      <c r="Q19" s="1588">
        <v>8.0000000000000002E-3</v>
      </c>
      <c r="R19" s="1588">
        <v>32.055</v>
      </c>
      <c r="S19" s="1588">
        <v>0.77500000000000002</v>
      </c>
      <c r="T19" s="1588">
        <v>298.05599999999998</v>
      </c>
      <c r="U19" s="1588">
        <v>92.897999999999996</v>
      </c>
      <c r="V19" s="1588">
        <v>7.1999999999999995E-2</v>
      </c>
      <c r="W19" s="1588">
        <v>2.4940000000000002</v>
      </c>
      <c r="X19" s="1589">
        <v>0</v>
      </c>
      <c r="Y19" s="1621">
        <f t="shared" si="0"/>
        <v>557.18299999999999</v>
      </c>
      <c r="Z19" s="1465"/>
      <c r="AA19" s="1506">
        <v>384.322</v>
      </c>
      <c r="AB19" s="1507">
        <v>43.625999999999998</v>
      </c>
      <c r="AC19" s="1507">
        <v>69.167000000000002</v>
      </c>
      <c r="AD19" s="1507">
        <v>334</v>
      </c>
      <c r="AE19" s="1508"/>
      <c r="AF19" s="1502">
        <f t="shared" si="1"/>
        <v>831.11500000000001</v>
      </c>
      <c r="AG19" s="1503"/>
      <c r="AH19" s="1460"/>
      <c r="AI19" s="1460"/>
      <c r="AJ19" s="1460"/>
      <c r="AK19" s="1460"/>
      <c r="AL19" s="1460"/>
      <c r="AM19" s="1460"/>
      <c r="AN19" s="1460"/>
      <c r="AO19" s="1460"/>
      <c r="AP19" s="1460"/>
      <c r="AQ19" s="1460"/>
      <c r="AR19" s="1460"/>
      <c r="AS19" s="1460"/>
    </row>
    <row r="20" spans="1:48" ht="15.75">
      <c r="A20" s="1460"/>
      <c r="B20" s="1472" t="s">
        <v>1235</v>
      </c>
      <c r="C20" s="1584">
        <v>26</v>
      </c>
      <c r="D20" s="2244">
        <v>0.75</v>
      </c>
      <c r="E20" s="1504">
        <v>8081.3959999999997</v>
      </c>
      <c r="F20" s="1587">
        <v>4.4539999999999997</v>
      </c>
      <c r="G20" s="1588">
        <v>3.3610000000000002</v>
      </c>
      <c r="H20" s="1588">
        <v>25.318999999999999</v>
      </c>
      <c r="I20" s="1588">
        <v>1.163</v>
      </c>
      <c r="J20" s="1588">
        <v>0</v>
      </c>
      <c r="K20" s="1588">
        <v>0.182</v>
      </c>
      <c r="L20" s="1588">
        <v>17.03</v>
      </c>
      <c r="M20" s="1588">
        <v>13.842000000000001</v>
      </c>
      <c r="N20" s="1588">
        <v>11.057</v>
      </c>
      <c r="O20" s="1588">
        <v>43.68</v>
      </c>
      <c r="P20" s="1588">
        <v>5.0000000000000001E-3</v>
      </c>
      <c r="Q20" s="1588">
        <v>7.0000000000000001E-3</v>
      </c>
      <c r="R20" s="1588">
        <v>32.271000000000001</v>
      </c>
      <c r="S20" s="1588">
        <v>0.55300000000000005</v>
      </c>
      <c r="T20" s="1588">
        <v>247.43600000000001</v>
      </c>
      <c r="U20" s="1588">
        <v>78.494</v>
      </c>
      <c r="V20" s="1588">
        <v>7.2999999999999995E-2</v>
      </c>
      <c r="W20" s="1588">
        <v>2.1640000000000001</v>
      </c>
      <c r="X20" s="1589">
        <v>0</v>
      </c>
      <c r="Y20" s="1621">
        <f t="shared" si="0"/>
        <v>481.09100000000001</v>
      </c>
      <c r="Z20" s="1465"/>
      <c r="AA20" s="1506">
        <v>431.18899999999996</v>
      </c>
      <c r="AB20" s="1507">
        <v>47.886000000000003</v>
      </c>
      <c r="AC20" s="1507">
        <v>74.197999999999993</v>
      </c>
      <c r="AD20" s="1507">
        <v>299</v>
      </c>
      <c r="AE20" s="1508"/>
      <c r="AF20" s="1502">
        <f t="shared" si="1"/>
        <v>852.27300000000002</v>
      </c>
      <c r="AG20" s="1503"/>
      <c r="AH20" s="1460"/>
      <c r="AI20" s="1460"/>
      <c r="AJ20" s="1460"/>
      <c r="AK20" s="1460"/>
      <c r="AL20" s="1460"/>
      <c r="AM20" s="1460"/>
      <c r="AN20" s="1460"/>
      <c r="AO20" s="1460"/>
      <c r="AP20" s="1460"/>
      <c r="AQ20" s="1460"/>
      <c r="AR20" s="1460"/>
      <c r="AS20" s="1460"/>
    </row>
    <row r="21" spans="1:48" ht="16.5" thickBot="1">
      <c r="A21" s="1460"/>
      <c r="B21" s="1490" t="s">
        <v>1236</v>
      </c>
      <c r="C21" s="1584">
        <v>17</v>
      </c>
      <c r="D21" s="2244">
        <v>0.75</v>
      </c>
      <c r="E21" s="1504">
        <v>8498.134</v>
      </c>
      <c r="F21" s="1587">
        <v>4.806</v>
      </c>
      <c r="G21" s="1588">
        <v>3.1680000000000001</v>
      </c>
      <c r="H21" s="1588">
        <v>24.416</v>
      </c>
      <c r="I21" s="1588">
        <v>0.89500000000000002</v>
      </c>
      <c r="J21" s="1588">
        <v>0</v>
      </c>
      <c r="K21" s="1588">
        <v>0.182</v>
      </c>
      <c r="L21" s="1588">
        <v>17.09</v>
      </c>
      <c r="M21" s="1588">
        <v>13.906000000000001</v>
      </c>
      <c r="N21" s="1588">
        <v>9.7929999999999993</v>
      </c>
      <c r="O21" s="1588">
        <v>43.64</v>
      </c>
      <c r="P21" s="1588">
        <v>5.0000000000000001E-3</v>
      </c>
      <c r="Q21" s="1588">
        <v>7.0000000000000001E-3</v>
      </c>
      <c r="R21" s="1588">
        <v>32.604999999999997</v>
      </c>
      <c r="S21" s="1588">
        <v>0.71599999999999997</v>
      </c>
      <c r="T21" s="1588">
        <v>290.964</v>
      </c>
      <c r="U21" s="1588">
        <v>65.626000000000005</v>
      </c>
      <c r="V21" s="1588">
        <v>8.3000000000000004E-2</v>
      </c>
      <c r="W21" s="1588">
        <v>2.6480000000000001</v>
      </c>
      <c r="X21" s="1591">
        <v>0.23499999999999999</v>
      </c>
      <c r="Y21" s="1621">
        <f t="shared" si="0"/>
        <v>510.78500000000003</v>
      </c>
      <c r="Z21" s="1465"/>
      <c r="AA21" s="1512">
        <v>464.39800000000002</v>
      </c>
      <c r="AB21" s="1513">
        <v>60.265999999999998</v>
      </c>
      <c r="AC21" s="1513">
        <v>85.158000000000001</v>
      </c>
      <c r="AD21" s="1513">
        <v>314</v>
      </c>
      <c r="AE21" s="1508"/>
      <c r="AF21" s="1502">
        <f t="shared" si="1"/>
        <v>923.822</v>
      </c>
      <c r="AG21" s="1503"/>
      <c r="AH21" s="1460"/>
      <c r="AI21" s="1460"/>
      <c r="AJ21" s="1460"/>
      <c r="AK21" s="1460"/>
      <c r="AL21" s="1460"/>
      <c r="AM21" s="1460"/>
      <c r="AN21" s="1460"/>
      <c r="AO21" s="1460"/>
      <c r="AP21" s="1460"/>
      <c r="AQ21" s="1460"/>
      <c r="AR21" s="1460"/>
      <c r="AS21" s="1460"/>
    </row>
    <row r="22" spans="1:48" ht="16.5" thickBot="1">
      <c r="A22" s="1465"/>
      <c r="B22" s="1515" t="s">
        <v>115</v>
      </c>
      <c r="C22" s="1592"/>
      <c r="D22" s="1593"/>
      <c r="E22" s="1517">
        <f t="shared" ref="E22:V22" si="2">SUM(E10:E21)</f>
        <v>103343.929</v>
      </c>
      <c r="F22" s="2200">
        <f t="shared" si="2"/>
        <v>69.393000000000001</v>
      </c>
      <c r="G22" s="1624">
        <f t="shared" si="2"/>
        <v>40.632999999999996</v>
      </c>
      <c r="H22" s="1624">
        <f t="shared" si="2"/>
        <v>260.88499999999999</v>
      </c>
      <c r="I22" s="1624">
        <f t="shared" si="2"/>
        <v>10.126999999999999</v>
      </c>
      <c r="J22" s="1624">
        <f t="shared" si="2"/>
        <v>1.292</v>
      </c>
      <c r="K22" s="1624">
        <f t="shared" si="2"/>
        <v>0.53499999999999992</v>
      </c>
      <c r="L22" s="1624">
        <f t="shared" si="2"/>
        <v>197.38499999999999</v>
      </c>
      <c r="M22" s="1624">
        <f t="shared" si="2"/>
        <v>184.70500000000001</v>
      </c>
      <c r="N22" s="1624">
        <f t="shared" si="2"/>
        <v>123.82500000000002</v>
      </c>
      <c r="O22" s="1624">
        <f t="shared" si="2"/>
        <v>560.82999999999993</v>
      </c>
      <c r="P22" s="1624">
        <f t="shared" si="2"/>
        <v>3.0939999999999999</v>
      </c>
      <c r="Q22" s="1624">
        <f t="shared" si="2"/>
        <v>14.434999999999999</v>
      </c>
      <c r="R22" s="1624">
        <f t="shared" si="2"/>
        <v>382.54200000000003</v>
      </c>
      <c r="S22" s="1624">
        <f t="shared" si="2"/>
        <v>8.4809999999999999</v>
      </c>
      <c r="T22" s="1624">
        <f t="shared" si="2"/>
        <v>2699.3540000000003</v>
      </c>
      <c r="U22" s="1624">
        <f t="shared" si="2"/>
        <v>1120.4870000000001</v>
      </c>
      <c r="V22" s="1624">
        <f t="shared" si="2"/>
        <v>1.0609999999999999</v>
      </c>
      <c r="W22" s="1624">
        <f t="shared" ref="W22:X22" si="3">SUM(W10:W21)</f>
        <v>27.435000000000002</v>
      </c>
      <c r="X22" s="1624">
        <f t="shared" si="3"/>
        <v>0.23499999999999999</v>
      </c>
      <c r="Y22" s="1517">
        <f t="shared" si="0"/>
        <v>5706.7340000000004</v>
      </c>
      <c r="Z22" s="1465"/>
      <c r="AA22" s="1561">
        <f t="shared" ref="AA22:AF22" si="4">SUM(AA10:AA21)</f>
        <v>6079.7700000000013</v>
      </c>
      <c r="AB22" s="1562">
        <f t="shared" si="4"/>
        <v>927.16799999999989</v>
      </c>
      <c r="AC22" s="1562">
        <f t="shared" si="4"/>
        <v>1122.9389999999999</v>
      </c>
      <c r="AD22" s="1562">
        <f t="shared" si="4"/>
        <v>3757</v>
      </c>
      <c r="AE22" s="1562">
        <f t="shared" si="4"/>
        <v>0</v>
      </c>
      <c r="AF22" s="1517">
        <f t="shared" si="4"/>
        <v>11886.877</v>
      </c>
      <c r="AG22" s="1503"/>
      <c r="AH22" s="1460"/>
      <c r="AI22" s="1460"/>
      <c r="AJ22" s="1520"/>
      <c r="AK22" s="1460"/>
      <c r="AL22" s="1460"/>
      <c r="AM22" s="1460"/>
      <c r="AN22" s="1460"/>
      <c r="AO22" s="1460"/>
      <c r="AP22" s="1460"/>
      <c r="AQ22" s="1460"/>
      <c r="AR22" s="1460"/>
      <c r="AS22" s="1460"/>
    </row>
    <row r="23" spans="1:48" ht="16.5" thickBot="1">
      <c r="A23" s="1465"/>
      <c r="B23" s="1521" t="s">
        <v>1392</v>
      </c>
      <c r="C23" s="1622"/>
      <c r="D23" s="1623"/>
      <c r="E23" s="1594">
        <f t="shared" ref="E23:U23" si="5">+E22/12</f>
        <v>8611.994083333333</v>
      </c>
      <c r="F23" s="1624">
        <f t="shared" si="5"/>
        <v>5.7827500000000001</v>
      </c>
      <c r="G23" s="1624">
        <f t="shared" si="5"/>
        <v>3.3860833333333331</v>
      </c>
      <c r="H23" s="1624">
        <f t="shared" si="5"/>
        <v>21.740416666666665</v>
      </c>
      <c r="I23" s="1624">
        <f t="shared" si="5"/>
        <v>0.84391666666666654</v>
      </c>
      <c r="J23" s="1624">
        <f t="shared" si="5"/>
        <v>0.10766666666666667</v>
      </c>
      <c r="K23" s="1624">
        <f>+K22/12</f>
        <v>4.4583333333333329E-2</v>
      </c>
      <c r="L23" s="1624">
        <f t="shared" si="5"/>
        <v>16.44875</v>
      </c>
      <c r="M23" s="1624">
        <f t="shared" si="5"/>
        <v>15.392083333333334</v>
      </c>
      <c r="N23" s="1624">
        <f t="shared" si="5"/>
        <v>10.318750000000001</v>
      </c>
      <c r="O23" s="1624">
        <f t="shared" si="5"/>
        <v>46.735833333333325</v>
      </c>
      <c r="P23" s="1624">
        <f t="shared" si="5"/>
        <v>0.2578333333333333</v>
      </c>
      <c r="Q23" s="1624">
        <f t="shared" si="5"/>
        <v>1.2029166666666666</v>
      </c>
      <c r="R23" s="1624">
        <f t="shared" si="5"/>
        <v>31.878500000000003</v>
      </c>
      <c r="S23" s="1624">
        <f t="shared" si="5"/>
        <v>0.70674999999999999</v>
      </c>
      <c r="T23" s="1624">
        <f t="shared" si="5"/>
        <v>224.9461666666667</v>
      </c>
      <c r="U23" s="1624">
        <f t="shared" si="5"/>
        <v>93.373916666666673</v>
      </c>
      <c r="V23" s="1624">
        <f t="shared" ref="V23" si="6">+V22/12</f>
        <v>8.8416666666666657E-2</v>
      </c>
      <c r="W23" s="1624">
        <f t="shared" ref="W23:X23" si="7">+W22/12</f>
        <v>2.2862500000000003</v>
      </c>
      <c r="X23" s="1624">
        <f t="shared" si="7"/>
        <v>1.9583333333333331E-2</v>
      </c>
      <c r="Y23" s="1517">
        <f>+Y22/12</f>
        <v>475.56116666666668</v>
      </c>
      <c r="Z23" s="1465"/>
      <c r="AA23" s="1561">
        <f t="shared" ref="AA23:AF23" si="8">+AA22/12</f>
        <v>506.64750000000009</v>
      </c>
      <c r="AB23" s="1562">
        <f t="shared" si="8"/>
        <v>77.263999999999996</v>
      </c>
      <c r="AC23" s="1562">
        <f t="shared" si="8"/>
        <v>93.578249999999983</v>
      </c>
      <c r="AD23" s="1562">
        <f t="shared" si="8"/>
        <v>313.08333333333331</v>
      </c>
      <c r="AE23" s="1562">
        <f t="shared" si="8"/>
        <v>0</v>
      </c>
      <c r="AF23" s="1625">
        <f t="shared" si="8"/>
        <v>990.57308333333333</v>
      </c>
      <c r="AG23" s="1526"/>
      <c r="AH23" s="1460"/>
      <c r="AI23" s="1460"/>
      <c r="AJ23" s="1460"/>
      <c r="AK23" s="1460"/>
      <c r="AL23" s="1460"/>
      <c r="AM23" s="1460"/>
      <c r="AN23" s="1460"/>
      <c r="AO23" s="1460"/>
      <c r="AP23" s="1460"/>
      <c r="AQ23" s="1460"/>
      <c r="AR23" s="1460"/>
      <c r="AS23" s="1460"/>
    </row>
    <row r="24" spans="1:48" ht="16.5" thickBot="1">
      <c r="A24" s="1460"/>
      <c r="B24" s="1460"/>
      <c r="C24" s="1571"/>
      <c r="D24" s="1460"/>
      <c r="E24" s="1465"/>
      <c r="F24" s="1465"/>
      <c r="G24" s="1465"/>
      <c r="H24" s="1465"/>
      <c r="I24" s="1465"/>
      <c r="J24" s="1465"/>
      <c r="K24" s="1465"/>
      <c r="L24" s="1465"/>
      <c r="M24" s="1465"/>
      <c r="N24" s="1465"/>
      <c r="O24" s="1465"/>
      <c r="P24" s="1465"/>
      <c r="Q24" s="1465"/>
      <c r="R24" s="1465"/>
      <c r="S24" s="1465"/>
      <c r="T24" s="1465"/>
      <c r="U24" s="1465"/>
      <c r="V24" s="1465"/>
      <c r="W24" s="1465"/>
      <c r="X24" s="1465"/>
      <c r="Y24" s="1527"/>
      <c r="Z24" s="1465"/>
      <c r="AA24" s="1465"/>
      <c r="AB24" s="1465"/>
      <c r="AC24" s="1520"/>
      <c r="AD24" s="1460"/>
      <c r="AE24" s="1460"/>
      <c r="AF24" s="1460"/>
      <c r="AG24" s="1460"/>
      <c r="AH24" s="1460"/>
      <c r="AI24" s="1460"/>
      <c r="AJ24" s="1460"/>
      <c r="AK24" s="1460"/>
      <c r="AL24" s="1460"/>
      <c r="AM24" s="1460"/>
      <c r="AN24" s="1460"/>
      <c r="AO24" s="1460"/>
      <c r="AP24" s="1460"/>
    </row>
    <row r="25" spans="1:48" ht="16.5" thickBot="1">
      <c r="A25" s="1460"/>
      <c r="B25" s="1469"/>
      <c r="C25" s="1572"/>
      <c r="D25" s="1595"/>
      <c r="E25" s="2464" t="s">
        <v>1437</v>
      </c>
      <c r="F25" s="2465"/>
      <c r="G25" s="2465"/>
      <c r="H25" s="2465"/>
      <c r="I25" s="2465"/>
      <c r="J25" s="2465"/>
      <c r="K25" s="2465"/>
      <c r="L25" s="2465"/>
      <c r="M25" s="2465"/>
      <c r="N25" s="2465"/>
      <c r="O25" s="2465"/>
      <c r="P25" s="2465"/>
      <c r="Q25" s="2465"/>
      <c r="R25" s="2465"/>
      <c r="S25" s="2465"/>
      <c r="T25" s="2465"/>
      <c r="U25" s="2465"/>
      <c r="V25" s="2465"/>
      <c r="W25" s="2465"/>
      <c r="X25" s="2465"/>
      <c r="Y25" s="2465"/>
      <c r="Z25" s="2466"/>
      <c r="AA25" s="2466"/>
      <c r="AB25" s="2466"/>
      <c r="AC25" s="2466"/>
      <c r="AD25" s="2466"/>
      <c r="AE25" s="2466"/>
      <c r="AF25" s="2470"/>
      <c r="AG25" s="1465"/>
      <c r="AH25" s="1465"/>
      <c r="AI25" s="1465"/>
      <c r="AJ25" s="1465"/>
      <c r="AK25" s="1465"/>
      <c r="AL25" s="1460"/>
      <c r="AM25" s="1460"/>
      <c r="AN25" s="1460"/>
      <c r="AO25" s="1460"/>
      <c r="AP25" s="1460"/>
      <c r="AQ25" s="1460"/>
      <c r="AR25" s="1460"/>
      <c r="AS25" s="1460"/>
      <c r="AT25" s="1460"/>
      <c r="AU25" s="1460"/>
      <c r="AV25" s="1460"/>
    </row>
    <row r="26" spans="1:48" ht="16.5" thickBot="1">
      <c r="A26" s="1460"/>
      <c r="B26" s="1472" t="s">
        <v>912</v>
      </c>
      <c r="C26" s="1571"/>
      <c r="D26" s="1572"/>
      <c r="E26" s="1528" t="s">
        <v>1394</v>
      </c>
      <c r="F26" s="1529" t="s">
        <v>1395</v>
      </c>
      <c r="G26" s="1529" t="s">
        <v>1396</v>
      </c>
      <c r="H26" s="1529" t="s">
        <v>1397</v>
      </c>
      <c r="I26" s="1529" t="s">
        <v>1398</v>
      </c>
      <c r="J26" s="1529" t="s">
        <v>1399</v>
      </c>
      <c r="K26" s="1529" t="s">
        <v>1400</v>
      </c>
      <c r="L26" s="1529" t="s">
        <v>1401</v>
      </c>
      <c r="M26" s="1529" t="s">
        <v>1402</v>
      </c>
      <c r="N26" s="1529" t="s">
        <v>1403</v>
      </c>
      <c r="O26" s="1529" t="s">
        <v>1404</v>
      </c>
      <c r="P26" s="1529" t="s">
        <v>1405</v>
      </c>
      <c r="Q26" s="1529" t="s">
        <v>1406</v>
      </c>
      <c r="R26" s="1529" t="s">
        <v>1407</v>
      </c>
      <c r="S26" s="1529" t="s">
        <v>1408</v>
      </c>
      <c r="T26" s="1529" t="s">
        <v>1409</v>
      </c>
      <c r="U26" s="1529" t="s">
        <v>1410</v>
      </c>
      <c r="V26" s="1529" t="s">
        <v>1411</v>
      </c>
      <c r="W26" s="1529" t="s">
        <v>1412</v>
      </c>
      <c r="X26" s="1529" t="s">
        <v>1413</v>
      </c>
      <c r="Y26" s="1529" t="s">
        <v>1414</v>
      </c>
      <c r="Z26" s="1529" t="s">
        <v>1415</v>
      </c>
      <c r="AA26" s="1529" t="s">
        <v>1901</v>
      </c>
      <c r="AB26" s="1529" t="s">
        <v>1905</v>
      </c>
      <c r="AC26" s="1529" t="s">
        <v>1906</v>
      </c>
      <c r="AD26" s="1529" t="s">
        <v>2256</v>
      </c>
      <c r="AE26" s="1529" t="s">
        <v>2293</v>
      </c>
      <c r="AF26" s="1530" t="s">
        <v>1416</v>
      </c>
      <c r="AG26" s="1465"/>
      <c r="AH26" s="1465"/>
      <c r="AI26" s="1465"/>
      <c r="AJ26" s="1465"/>
      <c r="AK26" s="1465"/>
      <c r="AL26" s="1465"/>
      <c r="AM26" s="1465"/>
      <c r="AN26" s="1460"/>
      <c r="AO26" s="1460"/>
      <c r="AP26" s="1460"/>
      <c r="AQ26" s="1460"/>
      <c r="AR26" s="1460"/>
      <c r="AS26" s="1460"/>
      <c r="AT26" s="1460"/>
      <c r="AU26" s="1460"/>
      <c r="AV26" s="1460"/>
    </row>
    <row r="27" spans="1:48" ht="54" customHeight="1" thickBot="1">
      <c r="A27" s="1626"/>
      <c r="B27" s="1627" t="s">
        <v>1374</v>
      </c>
      <c r="C27" s="1628"/>
      <c r="D27" s="1629"/>
      <c r="E27" s="1630" t="s">
        <v>2</v>
      </c>
      <c r="F27" s="1631" t="s">
        <v>2533</v>
      </c>
      <c r="G27" s="1631" t="s">
        <v>2530</v>
      </c>
      <c r="H27" s="1631" t="s">
        <v>2531</v>
      </c>
      <c r="I27" s="1631" t="s">
        <v>2531</v>
      </c>
      <c r="J27" s="1631" t="s">
        <v>2547</v>
      </c>
      <c r="K27" s="1631" t="s">
        <v>2577</v>
      </c>
      <c r="L27" s="1631" t="s">
        <v>2577</v>
      </c>
      <c r="M27" s="1631" t="s">
        <v>2577</v>
      </c>
      <c r="N27" s="1631" t="s">
        <v>2578</v>
      </c>
      <c r="O27" s="1631" t="s">
        <v>2532</v>
      </c>
      <c r="P27" s="1631" t="s">
        <v>2579</v>
      </c>
      <c r="Q27" s="1631" t="s">
        <v>2535</v>
      </c>
      <c r="R27" s="1631" t="s">
        <v>2535</v>
      </c>
      <c r="S27" s="1631" t="s">
        <v>2535</v>
      </c>
      <c r="T27" s="1631" t="s">
        <v>2535</v>
      </c>
      <c r="U27" s="1631" t="s">
        <v>2535</v>
      </c>
      <c r="V27" s="1631" t="s">
        <v>2535</v>
      </c>
      <c r="W27" s="1631" t="s">
        <v>2536</v>
      </c>
      <c r="X27" s="1631" t="s">
        <v>2537</v>
      </c>
      <c r="Y27" s="1631" t="s">
        <v>2538</v>
      </c>
      <c r="Z27" s="1631" t="s">
        <v>2539</v>
      </c>
      <c r="AA27" s="1631" t="s">
        <v>2544</v>
      </c>
      <c r="AB27" s="1631" t="s">
        <v>2580</v>
      </c>
      <c r="AC27" s="1631" t="s">
        <v>2581</v>
      </c>
      <c r="AD27" s="1631" t="s">
        <v>2581</v>
      </c>
      <c r="AE27" s="2293" t="s">
        <v>2546</v>
      </c>
      <c r="AF27" s="1632"/>
      <c r="AG27" s="1626"/>
      <c r="AH27" s="1626"/>
      <c r="AI27" s="1626"/>
      <c r="AJ27" s="1626"/>
      <c r="AK27" s="1633"/>
      <c r="AL27" s="1634" t="s">
        <v>305</v>
      </c>
      <c r="AM27" s="1633"/>
      <c r="AN27" s="1626"/>
      <c r="AO27" s="1626"/>
      <c r="AP27" s="1626"/>
      <c r="AQ27" s="1626"/>
      <c r="AR27" s="1626"/>
      <c r="AS27" s="1626"/>
      <c r="AT27" s="1626"/>
      <c r="AU27" s="1626"/>
      <c r="AV27" s="1626"/>
    </row>
    <row r="28" spans="1:48" ht="31.5">
      <c r="A28" s="1635"/>
      <c r="B28" s="1636" t="s">
        <v>1379</v>
      </c>
      <c r="C28" s="1637"/>
      <c r="E28" s="2195" t="s">
        <v>1417</v>
      </c>
      <c r="F28" s="2196" t="s">
        <v>1417</v>
      </c>
      <c r="G28" s="2196" t="s">
        <v>1417</v>
      </c>
      <c r="H28" s="2196" t="s">
        <v>1417</v>
      </c>
      <c r="I28" s="2196" t="s">
        <v>1417</v>
      </c>
      <c r="J28" s="2196" t="s">
        <v>1417</v>
      </c>
      <c r="K28" s="2196" t="s">
        <v>1417</v>
      </c>
      <c r="L28" s="2196" t="s">
        <v>1417</v>
      </c>
      <c r="M28" s="2196" t="s">
        <v>1417</v>
      </c>
      <c r="N28" s="2196" t="s">
        <v>1417</v>
      </c>
      <c r="O28" s="2196" t="s">
        <v>1417</v>
      </c>
      <c r="P28" s="2196" t="s">
        <v>1417</v>
      </c>
      <c r="Q28" s="2196" t="s">
        <v>1417</v>
      </c>
      <c r="R28" s="2196" t="s">
        <v>1417</v>
      </c>
      <c r="S28" s="2196" t="s">
        <v>1417</v>
      </c>
      <c r="T28" s="2196" t="s">
        <v>1417</v>
      </c>
      <c r="U28" s="2196" t="s">
        <v>1417</v>
      </c>
      <c r="V28" s="2196" t="s">
        <v>1417</v>
      </c>
      <c r="W28" s="2196" t="s">
        <v>1417</v>
      </c>
      <c r="X28" s="2196" t="s">
        <v>1417</v>
      </c>
      <c r="Y28" s="2196" t="s">
        <v>1417</v>
      </c>
      <c r="Z28" s="2196" t="s">
        <v>1417</v>
      </c>
      <c r="AA28" s="2196" t="s">
        <v>1417</v>
      </c>
      <c r="AB28" s="2196" t="s">
        <v>1417</v>
      </c>
      <c r="AC28" s="2196" t="s">
        <v>1417</v>
      </c>
      <c r="AD28" s="2196" t="s">
        <v>1417</v>
      </c>
      <c r="AE28" s="2196" t="s">
        <v>1417</v>
      </c>
      <c r="AF28" s="1638" t="s">
        <v>1418</v>
      </c>
      <c r="AG28" s="1635"/>
      <c r="AH28" s="1639" t="s">
        <v>1419</v>
      </c>
      <c r="AI28" s="1639" t="s">
        <v>1420</v>
      </c>
      <c r="AJ28" s="1639" t="s">
        <v>1421</v>
      </c>
      <c r="AK28" s="1640"/>
      <c r="AL28" s="2467" t="s">
        <v>1422</v>
      </c>
      <c r="AM28" s="1640"/>
      <c r="AN28" s="1635"/>
      <c r="AO28" s="1635"/>
      <c r="AP28" s="1635"/>
      <c r="AQ28" s="1635"/>
      <c r="AR28" s="1635"/>
      <c r="AS28" s="1635"/>
      <c r="AT28" s="1635"/>
      <c r="AU28" s="1635"/>
      <c r="AV28" s="1635"/>
    </row>
    <row r="29" spans="1:48" ht="16.5" thickBot="1">
      <c r="A29" s="1626"/>
      <c r="B29" s="1641" t="s">
        <v>1385</v>
      </c>
      <c r="C29" s="1642" t="s">
        <v>1430</v>
      </c>
      <c r="D29" s="1643" t="s">
        <v>1431</v>
      </c>
      <c r="E29" s="2197" t="s">
        <v>1423</v>
      </c>
      <c r="F29" s="2198" t="s">
        <v>2553</v>
      </c>
      <c r="G29" s="2198" t="s">
        <v>2549</v>
      </c>
      <c r="H29" s="2198" t="s">
        <v>2550</v>
      </c>
      <c r="I29" s="2198" t="s">
        <v>2551</v>
      </c>
      <c r="J29" s="2198" t="s">
        <v>2571</v>
      </c>
      <c r="K29" s="2198" t="s">
        <v>2582</v>
      </c>
      <c r="L29" s="2198" t="s">
        <v>2583</v>
      </c>
      <c r="M29" s="2198" t="s">
        <v>2584</v>
      </c>
      <c r="N29" s="2198" t="s">
        <v>2561</v>
      </c>
      <c r="O29" s="2198" t="s">
        <v>2552</v>
      </c>
      <c r="P29" s="2198" t="s">
        <v>2554</v>
      </c>
      <c r="Q29" s="2198" t="s">
        <v>2555</v>
      </c>
      <c r="R29" s="2198" t="s">
        <v>2566</v>
      </c>
      <c r="S29" s="2198" t="s">
        <v>2567</v>
      </c>
      <c r="T29" s="2198" t="s">
        <v>2568</v>
      </c>
      <c r="U29" s="2198" t="s">
        <v>2569</v>
      </c>
      <c r="V29" s="2198" t="s">
        <v>2570</v>
      </c>
      <c r="W29" s="2198" t="s">
        <v>2556</v>
      </c>
      <c r="X29" s="2198" t="s">
        <v>2557</v>
      </c>
      <c r="Y29" s="2198" t="s">
        <v>2558</v>
      </c>
      <c r="Z29" s="2198" t="s">
        <v>2559</v>
      </c>
      <c r="AA29" s="2198" t="s">
        <v>2564</v>
      </c>
      <c r="AB29" s="2198" t="s">
        <v>2562</v>
      </c>
      <c r="AC29" s="2198" t="s">
        <v>2585</v>
      </c>
      <c r="AD29" s="2198" t="s">
        <v>2576</v>
      </c>
      <c r="AE29" s="2294"/>
      <c r="AF29" s="1539"/>
      <c r="AG29" s="1460"/>
      <c r="AH29" s="1540" t="s">
        <v>1424</v>
      </c>
      <c r="AI29" s="1541" t="s">
        <v>1426</v>
      </c>
      <c r="AJ29" s="1541" t="s">
        <v>1427</v>
      </c>
      <c r="AK29" s="1465"/>
      <c r="AL29" s="2468"/>
      <c r="AM29" s="1465"/>
      <c r="AN29" s="1460"/>
      <c r="AO29" s="1460"/>
      <c r="AP29" s="1460"/>
      <c r="AQ29" s="1460"/>
      <c r="AR29" s="1460"/>
      <c r="AS29" s="1460"/>
      <c r="AT29" s="1460"/>
      <c r="AU29" s="1460"/>
      <c r="AV29" s="1460"/>
    </row>
    <row r="30" spans="1:48" ht="15.75">
      <c r="A30" s="1460"/>
      <c r="B30" s="1472" t="s">
        <v>1226</v>
      </c>
      <c r="C30" s="1644">
        <v>2</v>
      </c>
      <c r="D30" s="2245">
        <v>0.75</v>
      </c>
      <c r="E30" s="1542">
        <v>2446</v>
      </c>
      <c r="F30" s="1543">
        <v>30</v>
      </c>
      <c r="G30" s="1543">
        <v>50</v>
      </c>
      <c r="H30" s="1543">
        <v>18</v>
      </c>
      <c r="I30" s="1543">
        <v>56</v>
      </c>
      <c r="J30" s="1543">
        <v>50</v>
      </c>
      <c r="K30" s="1543">
        <v>13</v>
      </c>
      <c r="L30" s="1543">
        <v>3</v>
      </c>
      <c r="M30" s="1543">
        <v>2</v>
      </c>
      <c r="N30" s="1543">
        <v>10</v>
      </c>
      <c r="O30" s="1543">
        <v>0</v>
      </c>
      <c r="P30" s="1543">
        <v>11</v>
      </c>
      <c r="Q30" s="1543">
        <v>80</v>
      </c>
      <c r="R30" s="1543">
        <v>100</v>
      </c>
      <c r="S30" s="1543">
        <v>100</v>
      </c>
      <c r="T30" s="1543">
        <v>100</v>
      </c>
      <c r="U30" s="1543">
        <v>50</v>
      </c>
      <c r="V30" s="1543">
        <v>150</v>
      </c>
      <c r="W30" s="1543">
        <v>99</v>
      </c>
      <c r="X30" s="1543">
        <v>4</v>
      </c>
      <c r="Y30" s="1543">
        <v>19</v>
      </c>
      <c r="Z30" s="1543">
        <v>25</v>
      </c>
      <c r="AA30" s="1543">
        <v>0</v>
      </c>
      <c r="AB30" s="1543">
        <v>0</v>
      </c>
      <c r="AC30" s="1543">
        <v>0</v>
      </c>
      <c r="AD30" s="1543">
        <v>0</v>
      </c>
      <c r="AE30" s="1544">
        <v>127.53899999999989</v>
      </c>
      <c r="AF30" s="1545">
        <f t="shared" ref="AF30:AF41" si="9">SUM(E30:AE30)</f>
        <v>3543.5389999999998</v>
      </c>
      <c r="AG30" s="1460"/>
      <c r="AH30" s="1546">
        <f t="shared" ref="AH30:AH41" si="10">+E10+Y10+AF10</f>
        <v>9770.2789999999986</v>
      </c>
      <c r="AI30" s="1547">
        <v>236.93299999999999</v>
      </c>
      <c r="AJ30" s="1548">
        <f>AH30+AI30</f>
        <v>10007.212</v>
      </c>
      <c r="AK30" s="1465"/>
      <c r="AL30" s="1549">
        <f t="shared" ref="AL30:AL40" si="11">+AJ30+AF30</f>
        <v>13550.751</v>
      </c>
      <c r="AM30" s="1465"/>
      <c r="AN30" s="1460"/>
      <c r="AO30" s="1460"/>
      <c r="AP30" s="1460"/>
      <c r="AQ30" s="1460"/>
      <c r="AR30" s="1460"/>
      <c r="AS30" s="1460"/>
      <c r="AT30" s="1460"/>
      <c r="AU30" s="1460"/>
      <c r="AV30" s="1460"/>
    </row>
    <row r="31" spans="1:48" ht="15.75">
      <c r="A31" s="1460"/>
      <c r="B31" s="1472" t="s">
        <v>1227</v>
      </c>
      <c r="C31" s="1610">
        <v>23</v>
      </c>
      <c r="D31" s="2246">
        <v>0.33333333333333331</v>
      </c>
      <c r="E31" s="1550">
        <v>2446</v>
      </c>
      <c r="F31" s="1551">
        <v>30</v>
      </c>
      <c r="G31" s="1551">
        <v>50</v>
      </c>
      <c r="H31" s="1551">
        <v>18</v>
      </c>
      <c r="I31" s="1551">
        <v>56</v>
      </c>
      <c r="J31" s="1551">
        <v>50</v>
      </c>
      <c r="K31" s="1551">
        <v>13</v>
      </c>
      <c r="L31" s="1551">
        <v>3</v>
      </c>
      <c r="M31" s="1551">
        <v>2</v>
      </c>
      <c r="N31" s="1551">
        <v>10</v>
      </c>
      <c r="O31" s="1551">
        <v>0</v>
      </c>
      <c r="P31" s="1551">
        <v>11</v>
      </c>
      <c r="Q31" s="1551">
        <v>80</v>
      </c>
      <c r="R31" s="1551">
        <v>100</v>
      </c>
      <c r="S31" s="1551">
        <v>100</v>
      </c>
      <c r="T31" s="1551">
        <v>100</v>
      </c>
      <c r="U31" s="1551">
        <v>50</v>
      </c>
      <c r="V31" s="1551">
        <v>150</v>
      </c>
      <c r="W31" s="1551">
        <v>99</v>
      </c>
      <c r="X31" s="1551">
        <v>4</v>
      </c>
      <c r="Y31" s="1551">
        <v>19</v>
      </c>
      <c r="Z31" s="1551">
        <v>25</v>
      </c>
      <c r="AA31" s="1551">
        <v>0</v>
      </c>
      <c r="AB31" s="1551">
        <v>0</v>
      </c>
      <c r="AC31" s="1551">
        <v>0</v>
      </c>
      <c r="AD31" s="1551">
        <v>0</v>
      </c>
      <c r="AE31" s="1552">
        <v>127.53899999999989</v>
      </c>
      <c r="AF31" s="1545">
        <f t="shared" si="9"/>
        <v>3543.5389999999998</v>
      </c>
      <c r="AG31" s="1460"/>
      <c r="AH31" s="1553">
        <f t="shared" si="10"/>
        <v>10034.139000000001</v>
      </c>
      <c r="AI31" s="1554">
        <v>186.28399999999999</v>
      </c>
      <c r="AJ31" s="1549">
        <f t="shared" ref="AJ31:AJ41" si="12">AH31+AI31</f>
        <v>10220.423000000001</v>
      </c>
      <c r="AK31" s="1465"/>
      <c r="AL31" s="1549">
        <f t="shared" si="11"/>
        <v>13763.962</v>
      </c>
      <c r="AM31" s="1465"/>
      <c r="AN31" s="1460"/>
      <c r="AO31" s="1460"/>
      <c r="AP31" s="1460"/>
      <c r="AQ31" s="1460"/>
      <c r="AR31" s="1460"/>
      <c r="AS31" s="1460"/>
      <c r="AT31" s="1460"/>
      <c r="AU31" s="1460"/>
      <c r="AV31" s="1460"/>
    </row>
    <row r="32" spans="1:48" ht="15.75">
      <c r="A32" s="1460"/>
      <c r="B32" s="1472" t="s">
        <v>1024</v>
      </c>
      <c r="C32" s="1610">
        <v>6</v>
      </c>
      <c r="D32" s="2246">
        <v>0.33333333333333331</v>
      </c>
      <c r="E32" s="1550">
        <v>2446</v>
      </c>
      <c r="F32" s="1551">
        <v>30</v>
      </c>
      <c r="G32" s="1551">
        <v>50</v>
      </c>
      <c r="H32" s="1551">
        <v>18</v>
      </c>
      <c r="I32" s="1551">
        <v>56</v>
      </c>
      <c r="J32" s="1551">
        <v>50</v>
      </c>
      <c r="K32" s="1551">
        <v>13</v>
      </c>
      <c r="L32" s="1551">
        <v>3</v>
      </c>
      <c r="M32" s="1551">
        <v>2</v>
      </c>
      <c r="N32" s="1551">
        <v>10</v>
      </c>
      <c r="O32" s="1551">
        <v>0</v>
      </c>
      <c r="P32" s="1551">
        <v>11</v>
      </c>
      <c r="Q32" s="1551">
        <v>80</v>
      </c>
      <c r="R32" s="1551">
        <v>100</v>
      </c>
      <c r="S32" s="1551">
        <v>100</v>
      </c>
      <c r="T32" s="1551">
        <v>100</v>
      </c>
      <c r="U32" s="1551">
        <v>50</v>
      </c>
      <c r="V32" s="1551">
        <v>150</v>
      </c>
      <c r="W32" s="1551">
        <v>99</v>
      </c>
      <c r="X32" s="1551">
        <v>4</v>
      </c>
      <c r="Y32" s="1551">
        <v>19</v>
      </c>
      <c r="Z32" s="1551">
        <v>25</v>
      </c>
      <c r="AA32" s="1551">
        <v>0</v>
      </c>
      <c r="AB32" s="1551">
        <v>0</v>
      </c>
      <c r="AC32" s="1551">
        <v>0</v>
      </c>
      <c r="AD32" s="1551">
        <v>0</v>
      </c>
      <c r="AE32" s="1552">
        <v>127.53899999999989</v>
      </c>
      <c r="AF32" s="1545">
        <f t="shared" si="9"/>
        <v>3543.5389999999998</v>
      </c>
      <c r="AG32" s="1460"/>
      <c r="AH32" s="1553">
        <f t="shared" si="10"/>
        <v>9504.0240000000013</v>
      </c>
      <c r="AI32" s="1554">
        <v>192.47</v>
      </c>
      <c r="AJ32" s="1549">
        <f t="shared" si="12"/>
        <v>9696.4940000000006</v>
      </c>
      <c r="AK32" s="1465"/>
      <c r="AL32" s="1549">
        <f t="shared" si="11"/>
        <v>13240.032999999999</v>
      </c>
      <c r="AM32" s="1465"/>
      <c r="AN32" s="1460"/>
      <c r="AO32" s="1460"/>
      <c r="AP32" s="1460"/>
      <c r="AQ32" s="1460"/>
      <c r="AR32" s="1460"/>
      <c r="AS32" s="1460"/>
      <c r="AT32" s="1460"/>
      <c r="AU32" s="1460"/>
      <c r="AV32" s="1460"/>
    </row>
    <row r="33" spans="1:48" ht="15.75">
      <c r="A33" s="1460"/>
      <c r="B33" s="1472" t="s">
        <v>1025</v>
      </c>
      <c r="C33" s="1610">
        <v>3</v>
      </c>
      <c r="D33" s="2246">
        <v>0.33333333333333331</v>
      </c>
      <c r="E33" s="1550">
        <v>2446</v>
      </c>
      <c r="F33" s="1551">
        <v>30</v>
      </c>
      <c r="G33" s="1551">
        <v>50</v>
      </c>
      <c r="H33" s="1551">
        <v>18</v>
      </c>
      <c r="I33" s="1551">
        <v>56</v>
      </c>
      <c r="J33" s="1551">
        <v>50</v>
      </c>
      <c r="K33" s="1551">
        <v>13</v>
      </c>
      <c r="L33" s="1551">
        <v>3</v>
      </c>
      <c r="M33" s="1551">
        <v>2</v>
      </c>
      <c r="N33" s="1551">
        <v>10</v>
      </c>
      <c r="O33" s="1551">
        <v>0</v>
      </c>
      <c r="P33" s="1551">
        <v>11</v>
      </c>
      <c r="Q33" s="1551">
        <v>80</v>
      </c>
      <c r="R33" s="1551">
        <v>100</v>
      </c>
      <c r="S33" s="1551">
        <v>100</v>
      </c>
      <c r="T33" s="1551">
        <v>100</v>
      </c>
      <c r="U33" s="1551">
        <v>50</v>
      </c>
      <c r="V33" s="1551">
        <v>150</v>
      </c>
      <c r="W33" s="1551">
        <v>99</v>
      </c>
      <c r="X33" s="1551">
        <v>4</v>
      </c>
      <c r="Y33" s="1551">
        <v>19</v>
      </c>
      <c r="Z33" s="1551">
        <v>25</v>
      </c>
      <c r="AA33" s="1551">
        <v>25</v>
      </c>
      <c r="AB33" s="1551">
        <v>0</v>
      </c>
      <c r="AC33" s="1551">
        <v>0</v>
      </c>
      <c r="AD33" s="1551">
        <v>0</v>
      </c>
      <c r="AE33" s="1552">
        <v>128.65200000000016</v>
      </c>
      <c r="AF33" s="1545">
        <f t="shared" si="9"/>
        <v>3569.652</v>
      </c>
      <c r="AG33" s="1460"/>
      <c r="AH33" s="1553">
        <f t="shared" si="10"/>
        <v>8258.1919999999991</v>
      </c>
      <c r="AI33" s="1554">
        <v>195.97399999999999</v>
      </c>
      <c r="AJ33" s="1549">
        <f t="shared" si="12"/>
        <v>8454.1659999999993</v>
      </c>
      <c r="AK33" s="1465"/>
      <c r="AL33" s="1549">
        <f t="shared" si="11"/>
        <v>12023.817999999999</v>
      </c>
      <c r="AM33" s="1465"/>
      <c r="AN33" s="1460"/>
      <c r="AO33" s="1460"/>
      <c r="AP33" s="1460"/>
      <c r="AQ33" s="1460"/>
      <c r="AR33" s="1460"/>
      <c r="AS33" s="1460"/>
      <c r="AT33" s="1460"/>
      <c r="AU33" s="1460"/>
      <c r="AV33" s="1460"/>
    </row>
    <row r="34" spans="1:48" ht="15.75">
      <c r="A34" s="1460"/>
      <c r="B34" s="1472" t="s">
        <v>1026</v>
      </c>
      <c r="C34" s="1610">
        <v>24</v>
      </c>
      <c r="D34" s="2246">
        <v>0.70833333333333337</v>
      </c>
      <c r="E34" s="1550">
        <v>2446</v>
      </c>
      <c r="F34" s="1551">
        <v>30</v>
      </c>
      <c r="G34" s="1551">
        <v>50</v>
      </c>
      <c r="H34" s="1551">
        <v>18</v>
      </c>
      <c r="I34" s="1551">
        <v>56</v>
      </c>
      <c r="J34" s="1551">
        <v>50</v>
      </c>
      <c r="K34" s="1551">
        <v>13</v>
      </c>
      <c r="L34" s="1551">
        <v>3</v>
      </c>
      <c r="M34" s="1551">
        <v>2</v>
      </c>
      <c r="N34" s="1551">
        <v>10</v>
      </c>
      <c r="O34" s="1551">
        <v>0</v>
      </c>
      <c r="P34" s="1551">
        <v>11</v>
      </c>
      <c r="Q34" s="1551">
        <v>80</v>
      </c>
      <c r="R34" s="1551">
        <v>100</v>
      </c>
      <c r="S34" s="1551">
        <v>100</v>
      </c>
      <c r="T34" s="1551">
        <v>100</v>
      </c>
      <c r="U34" s="1551">
        <v>50</v>
      </c>
      <c r="V34" s="1551">
        <v>150</v>
      </c>
      <c r="W34" s="1551">
        <v>99</v>
      </c>
      <c r="X34" s="1551">
        <v>4</v>
      </c>
      <c r="Y34" s="1551">
        <v>19</v>
      </c>
      <c r="Z34" s="1551">
        <v>25</v>
      </c>
      <c r="AA34" s="1551">
        <v>25</v>
      </c>
      <c r="AB34" s="1551">
        <v>0</v>
      </c>
      <c r="AC34" s="1551">
        <v>0</v>
      </c>
      <c r="AD34" s="1551">
        <v>0</v>
      </c>
      <c r="AE34" s="1552">
        <v>128.65200000000016</v>
      </c>
      <c r="AF34" s="1545">
        <f t="shared" si="9"/>
        <v>3569.652</v>
      </c>
      <c r="AG34" s="1460"/>
      <c r="AH34" s="1553">
        <f t="shared" si="10"/>
        <v>8480.4320000000007</v>
      </c>
      <c r="AI34" s="1554">
        <v>185.26300000000001</v>
      </c>
      <c r="AJ34" s="1549">
        <f t="shared" si="12"/>
        <v>8665.6950000000015</v>
      </c>
      <c r="AK34" s="1465"/>
      <c r="AL34" s="1549">
        <f t="shared" si="11"/>
        <v>12235.347000000002</v>
      </c>
      <c r="AM34" s="1465"/>
      <c r="AN34" s="1460"/>
      <c r="AO34" s="1460"/>
      <c r="AP34" s="1460"/>
      <c r="AQ34" s="1460"/>
      <c r="AR34" s="1460"/>
      <c r="AS34" s="1460"/>
      <c r="AT34" s="1460"/>
      <c r="AU34" s="1460"/>
      <c r="AV34" s="1460"/>
    </row>
    <row r="35" spans="1:48" ht="15.75">
      <c r="A35" s="1460"/>
      <c r="B35" s="1472" t="s">
        <v>1230</v>
      </c>
      <c r="C35" s="1610">
        <v>27</v>
      </c>
      <c r="D35" s="2246">
        <v>0.70833333333333337</v>
      </c>
      <c r="E35" s="1550">
        <v>2541</v>
      </c>
      <c r="F35" s="1551">
        <v>30</v>
      </c>
      <c r="G35" s="1551">
        <v>50</v>
      </c>
      <c r="H35" s="1551">
        <v>18</v>
      </c>
      <c r="I35" s="1551">
        <v>56</v>
      </c>
      <c r="J35" s="1551">
        <v>50</v>
      </c>
      <c r="K35" s="1551">
        <v>13</v>
      </c>
      <c r="L35" s="1551">
        <v>3</v>
      </c>
      <c r="M35" s="1551">
        <v>2</v>
      </c>
      <c r="N35" s="1551">
        <v>10</v>
      </c>
      <c r="O35" s="1551">
        <v>50</v>
      </c>
      <c r="P35" s="1551">
        <v>11</v>
      </c>
      <c r="Q35" s="1551">
        <v>80</v>
      </c>
      <c r="R35" s="1551">
        <v>100</v>
      </c>
      <c r="S35" s="1551">
        <v>100</v>
      </c>
      <c r="T35" s="1551">
        <v>100</v>
      </c>
      <c r="U35" s="1551">
        <v>50</v>
      </c>
      <c r="V35" s="1551">
        <v>150</v>
      </c>
      <c r="W35" s="1551">
        <v>80</v>
      </c>
      <c r="X35" s="1551">
        <v>4</v>
      </c>
      <c r="Y35" s="1551">
        <v>19</v>
      </c>
      <c r="Z35" s="1551">
        <v>25</v>
      </c>
      <c r="AA35" s="1551">
        <v>25</v>
      </c>
      <c r="AB35" s="1551">
        <v>0</v>
      </c>
      <c r="AC35" s="1551">
        <v>0</v>
      </c>
      <c r="AD35" s="1551">
        <v>0</v>
      </c>
      <c r="AE35" s="1552">
        <v>134.25900000000019</v>
      </c>
      <c r="AF35" s="1545">
        <f t="shared" si="9"/>
        <v>3701.259</v>
      </c>
      <c r="AG35" s="1460"/>
      <c r="AH35" s="1553">
        <f t="shared" si="10"/>
        <v>10237.977000000001</v>
      </c>
      <c r="AI35" s="1554">
        <v>196.959</v>
      </c>
      <c r="AJ35" s="1549">
        <f t="shared" si="12"/>
        <v>10434.936000000002</v>
      </c>
      <c r="AK35" s="1465"/>
      <c r="AL35" s="1549">
        <f t="shared" si="11"/>
        <v>14136.195000000002</v>
      </c>
      <c r="AM35" s="1465"/>
      <c r="AN35" s="1460"/>
      <c r="AO35" s="1460"/>
      <c r="AP35" s="1460"/>
      <c r="AQ35" s="1460"/>
      <c r="AR35" s="1460"/>
      <c r="AS35" s="1460"/>
      <c r="AT35" s="1460"/>
      <c r="AU35" s="1460"/>
      <c r="AV35" s="1460"/>
    </row>
    <row r="36" spans="1:48" ht="15.75">
      <c r="A36" s="1460"/>
      <c r="B36" s="1472" t="s">
        <v>1390</v>
      </c>
      <c r="C36" s="1610">
        <v>16</v>
      </c>
      <c r="D36" s="2246">
        <v>0.70833333333333337</v>
      </c>
      <c r="E36" s="1550">
        <v>2541</v>
      </c>
      <c r="F36" s="1551">
        <v>30</v>
      </c>
      <c r="G36" s="1551">
        <v>50</v>
      </c>
      <c r="H36" s="1551">
        <v>18</v>
      </c>
      <c r="I36" s="1551">
        <v>56</v>
      </c>
      <c r="J36" s="1551">
        <v>50</v>
      </c>
      <c r="K36" s="1551">
        <v>13</v>
      </c>
      <c r="L36" s="1551">
        <v>3</v>
      </c>
      <c r="M36" s="1551">
        <v>2</v>
      </c>
      <c r="N36" s="1551">
        <v>10</v>
      </c>
      <c r="O36" s="1551">
        <v>50</v>
      </c>
      <c r="P36" s="1551">
        <v>11</v>
      </c>
      <c r="Q36" s="1551">
        <v>80</v>
      </c>
      <c r="R36" s="1551">
        <v>100</v>
      </c>
      <c r="S36" s="1551">
        <v>100</v>
      </c>
      <c r="T36" s="1551">
        <v>100</v>
      </c>
      <c r="U36" s="1551">
        <v>50</v>
      </c>
      <c r="V36" s="1551">
        <v>150</v>
      </c>
      <c r="W36" s="1551">
        <v>80</v>
      </c>
      <c r="X36" s="1551">
        <v>4</v>
      </c>
      <c r="Y36" s="1551">
        <v>19</v>
      </c>
      <c r="Z36" s="1551">
        <v>25</v>
      </c>
      <c r="AA36" s="1551">
        <v>25</v>
      </c>
      <c r="AB36" s="1551">
        <v>0</v>
      </c>
      <c r="AC36" s="1551">
        <v>0</v>
      </c>
      <c r="AD36" s="1551">
        <v>0</v>
      </c>
      <c r="AE36" s="1552">
        <v>134.25900000000019</v>
      </c>
      <c r="AF36" s="1545">
        <f t="shared" si="9"/>
        <v>3701.259</v>
      </c>
      <c r="AG36" s="1460"/>
      <c r="AH36" s="1553">
        <f t="shared" si="10"/>
        <v>12192.913</v>
      </c>
      <c r="AI36" s="1554">
        <v>102.73099999999999</v>
      </c>
      <c r="AJ36" s="1549">
        <f t="shared" si="12"/>
        <v>12295.644</v>
      </c>
      <c r="AK36" s="1465"/>
      <c r="AL36" s="1549">
        <f t="shared" si="11"/>
        <v>15996.903</v>
      </c>
      <c r="AM36" s="1465"/>
      <c r="AN36" s="1460"/>
      <c r="AO36" s="1460"/>
      <c r="AP36" s="1460"/>
      <c r="AQ36" s="1460"/>
      <c r="AR36" s="1460"/>
      <c r="AS36" s="1460"/>
      <c r="AT36" s="1460"/>
      <c r="AU36" s="1460"/>
      <c r="AV36" s="1460"/>
    </row>
    <row r="37" spans="1:48" ht="15.75">
      <c r="A37" s="1460"/>
      <c r="B37" s="1472" t="s">
        <v>1232</v>
      </c>
      <c r="C37" s="1610">
        <v>9</v>
      </c>
      <c r="D37" s="2246">
        <v>0.66666666666666663</v>
      </c>
      <c r="E37" s="1550">
        <v>2541</v>
      </c>
      <c r="F37" s="1551">
        <v>30</v>
      </c>
      <c r="G37" s="1551">
        <v>50</v>
      </c>
      <c r="H37" s="1551">
        <v>18</v>
      </c>
      <c r="I37" s="1551">
        <v>56</v>
      </c>
      <c r="J37" s="1551">
        <v>50</v>
      </c>
      <c r="K37" s="1551">
        <v>13</v>
      </c>
      <c r="L37" s="1551">
        <v>3</v>
      </c>
      <c r="M37" s="1551">
        <v>2</v>
      </c>
      <c r="N37" s="1551">
        <v>10</v>
      </c>
      <c r="O37" s="1551">
        <v>50</v>
      </c>
      <c r="P37" s="1551">
        <v>11</v>
      </c>
      <c r="Q37" s="1551">
        <v>80</v>
      </c>
      <c r="R37" s="1551">
        <v>100</v>
      </c>
      <c r="S37" s="1551">
        <v>100</v>
      </c>
      <c r="T37" s="1551">
        <v>100</v>
      </c>
      <c r="U37" s="1551">
        <v>50</v>
      </c>
      <c r="V37" s="1551">
        <v>150</v>
      </c>
      <c r="W37" s="1551">
        <v>80</v>
      </c>
      <c r="X37" s="1551">
        <v>4</v>
      </c>
      <c r="Y37" s="1551">
        <v>19</v>
      </c>
      <c r="Z37" s="1551">
        <v>25</v>
      </c>
      <c r="AA37" s="1551">
        <v>25</v>
      </c>
      <c r="AB37" s="1551">
        <v>0</v>
      </c>
      <c r="AC37" s="1551">
        <v>0</v>
      </c>
      <c r="AD37" s="1551">
        <v>0</v>
      </c>
      <c r="AE37" s="1552">
        <v>134.25900000000019</v>
      </c>
      <c r="AF37" s="1545">
        <f t="shared" si="9"/>
        <v>3701.259</v>
      </c>
      <c r="AG37" s="1460"/>
      <c r="AH37" s="1553">
        <f t="shared" si="10"/>
        <v>12013.951000000001</v>
      </c>
      <c r="AI37" s="1554">
        <v>93.340999999999994</v>
      </c>
      <c r="AJ37" s="1549">
        <f t="shared" si="12"/>
        <v>12107.292000000001</v>
      </c>
      <c r="AK37" s="1465"/>
      <c r="AL37" s="1549">
        <f t="shared" si="11"/>
        <v>15808.551000000001</v>
      </c>
      <c r="AM37" s="1465"/>
      <c r="AN37" s="1460"/>
      <c r="AO37" s="1460"/>
      <c r="AP37" s="1460"/>
      <c r="AQ37" s="1460"/>
      <c r="AR37" s="1460"/>
      <c r="AS37" s="1460"/>
      <c r="AT37" s="1460"/>
      <c r="AU37" s="1460"/>
      <c r="AV37" s="1460"/>
    </row>
    <row r="38" spans="1:48" ht="15.75">
      <c r="A38" s="1460"/>
      <c r="B38" s="1472" t="s">
        <v>1391</v>
      </c>
      <c r="C38" s="1610">
        <v>7</v>
      </c>
      <c r="D38" s="2246">
        <v>0.70833333333333337</v>
      </c>
      <c r="E38" s="1550">
        <v>2541</v>
      </c>
      <c r="F38" s="1551">
        <v>30</v>
      </c>
      <c r="G38" s="1551">
        <v>50</v>
      </c>
      <c r="H38" s="1551">
        <v>18</v>
      </c>
      <c r="I38" s="1551">
        <v>56</v>
      </c>
      <c r="J38" s="1551">
        <v>50</v>
      </c>
      <c r="K38" s="1551">
        <v>13</v>
      </c>
      <c r="L38" s="1551">
        <v>3</v>
      </c>
      <c r="M38" s="1551">
        <v>2</v>
      </c>
      <c r="N38" s="1551">
        <v>10</v>
      </c>
      <c r="O38" s="1551">
        <v>50</v>
      </c>
      <c r="P38" s="1551">
        <v>11</v>
      </c>
      <c r="Q38" s="1551">
        <v>80</v>
      </c>
      <c r="R38" s="1551">
        <v>100</v>
      </c>
      <c r="S38" s="1551">
        <v>100</v>
      </c>
      <c r="T38" s="1551">
        <v>100</v>
      </c>
      <c r="U38" s="1551">
        <v>50</v>
      </c>
      <c r="V38" s="1551">
        <v>150</v>
      </c>
      <c r="W38" s="1551">
        <v>80</v>
      </c>
      <c r="X38" s="1551">
        <v>4</v>
      </c>
      <c r="Y38" s="1551">
        <v>19</v>
      </c>
      <c r="Z38" s="1551">
        <v>25</v>
      </c>
      <c r="AA38" s="1551">
        <v>25</v>
      </c>
      <c r="AB38" s="1551">
        <v>0</v>
      </c>
      <c r="AC38" s="1551">
        <v>0</v>
      </c>
      <c r="AD38" s="1551">
        <v>0</v>
      </c>
      <c r="AE38" s="1552">
        <v>134.25900000000019</v>
      </c>
      <c r="AF38" s="1545">
        <f t="shared" si="9"/>
        <v>3701.259</v>
      </c>
      <c r="AG38" s="1460"/>
      <c r="AH38" s="1553">
        <f t="shared" si="10"/>
        <v>11435.416000000001</v>
      </c>
      <c r="AI38" s="1554">
        <v>179.72399999999999</v>
      </c>
      <c r="AJ38" s="1549">
        <f t="shared" si="12"/>
        <v>11615.140000000001</v>
      </c>
      <c r="AK38" s="1465"/>
      <c r="AL38" s="1549">
        <f t="shared" si="11"/>
        <v>15316.399000000001</v>
      </c>
      <c r="AM38" s="1465"/>
      <c r="AN38" s="1460"/>
      <c r="AO38" s="1460"/>
      <c r="AP38" s="1460"/>
      <c r="AQ38" s="1460"/>
      <c r="AR38" s="1460"/>
      <c r="AS38" s="1460"/>
      <c r="AT38" s="1460"/>
      <c r="AU38" s="1460"/>
      <c r="AV38" s="1460"/>
    </row>
    <row r="39" spans="1:48" ht="15.75">
      <c r="A39" s="1460"/>
      <c r="B39" s="1472" t="s">
        <v>1234</v>
      </c>
      <c r="C39" s="1610">
        <v>2</v>
      </c>
      <c r="D39" s="2246">
        <v>0.54166666666666663</v>
      </c>
      <c r="E39" s="1550">
        <v>2541</v>
      </c>
      <c r="F39" s="1551">
        <v>30</v>
      </c>
      <c r="G39" s="1551">
        <v>50</v>
      </c>
      <c r="H39" s="1551">
        <v>18</v>
      </c>
      <c r="I39" s="1551">
        <v>56</v>
      </c>
      <c r="J39" s="1551">
        <v>50</v>
      </c>
      <c r="K39" s="1551">
        <v>13</v>
      </c>
      <c r="L39" s="1551">
        <v>0</v>
      </c>
      <c r="M39" s="1551">
        <v>2</v>
      </c>
      <c r="N39" s="1551">
        <v>10</v>
      </c>
      <c r="O39" s="1551">
        <v>50</v>
      </c>
      <c r="P39" s="1551">
        <v>11</v>
      </c>
      <c r="Q39" s="1551">
        <v>80</v>
      </c>
      <c r="R39" s="1551">
        <v>100</v>
      </c>
      <c r="S39" s="1551">
        <v>100</v>
      </c>
      <c r="T39" s="1551">
        <v>100</v>
      </c>
      <c r="U39" s="1551">
        <v>50</v>
      </c>
      <c r="V39" s="1551">
        <v>150</v>
      </c>
      <c r="W39" s="1551">
        <v>80</v>
      </c>
      <c r="X39" s="1551">
        <v>4</v>
      </c>
      <c r="Y39" s="1551">
        <v>19</v>
      </c>
      <c r="Z39" s="1551">
        <v>25</v>
      </c>
      <c r="AA39" s="1551">
        <v>25</v>
      </c>
      <c r="AB39" s="1551">
        <v>0</v>
      </c>
      <c r="AC39" s="1551">
        <v>10</v>
      </c>
      <c r="AD39" s="1551">
        <v>0</v>
      </c>
      <c r="AE39" s="1552">
        <v>134.57100000000008</v>
      </c>
      <c r="AF39" s="1545">
        <f t="shared" si="9"/>
        <v>3708.5709999999999</v>
      </c>
      <c r="AG39" s="1460"/>
      <c r="AH39" s="1553">
        <f t="shared" si="10"/>
        <v>9662.7159999999985</v>
      </c>
      <c r="AI39" s="1554">
        <v>190.98</v>
      </c>
      <c r="AJ39" s="1549">
        <f t="shared" si="12"/>
        <v>9853.6959999999981</v>
      </c>
      <c r="AK39" s="1465"/>
      <c r="AL39" s="1549">
        <f t="shared" si="11"/>
        <v>13562.266999999998</v>
      </c>
      <c r="AM39" s="1465"/>
      <c r="AN39" s="1460"/>
      <c r="AO39" s="1460"/>
      <c r="AP39" s="1460"/>
      <c r="AQ39" s="1460"/>
      <c r="AR39" s="1460"/>
      <c r="AS39" s="1460"/>
      <c r="AT39" s="1460"/>
      <c r="AU39" s="1460"/>
      <c r="AV39" s="1460"/>
    </row>
    <row r="40" spans="1:48" ht="15.75">
      <c r="A40" s="1460"/>
      <c r="B40" s="1472" t="s">
        <v>1235</v>
      </c>
      <c r="C40" s="1610">
        <v>20</v>
      </c>
      <c r="D40" s="2246">
        <v>0.33333333333333331</v>
      </c>
      <c r="E40" s="1550">
        <v>2446</v>
      </c>
      <c r="F40" s="1551">
        <v>30</v>
      </c>
      <c r="G40" s="1551">
        <v>50</v>
      </c>
      <c r="H40" s="1551">
        <v>18</v>
      </c>
      <c r="I40" s="1551">
        <v>56</v>
      </c>
      <c r="J40" s="1551">
        <v>50</v>
      </c>
      <c r="K40" s="1551">
        <v>13</v>
      </c>
      <c r="L40" s="1551">
        <v>0</v>
      </c>
      <c r="M40" s="1551">
        <v>2</v>
      </c>
      <c r="N40" s="1551">
        <v>10</v>
      </c>
      <c r="O40" s="1551">
        <v>0</v>
      </c>
      <c r="P40" s="1551">
        <v>11</v>
      </c>
      <c r="Q40" s="1551">
        <v>80</v>
      </c>
      <c r="R40" s="1551">
        <v>100</v>
      </c>
      <c r="S40" s="1551">
        <v>100</v>
      </c>
      <c r="T40" s="1551">
        <v>100</v>
      </c>
      <c r="U40" s="1551">
        <v>50</v>
      </c>
      <c r="V40" s="1551">
        <v>150</v>
      </c>
      <c r="W40" s="1551">
        <v>99</v>
      </c>
      <c r="X40" s="1551">
        <v>4</v>
      </c>
      <c r="Y40" s="1551">
        <v>19</v>
      </c>
      <c r="Z40" s="1551">
        <v>25</v>
      </c>
      <c r="AA40" s="1551">
        <v>25</v>
      </c>
      <c r="AB40" s="1551">
        <v>0</v>
      </c>
      <c r="AC40" s="1551">
        <v>10</v>
      </c>
      <c r="AD40" s="1551">
        <v>50</v>
      </c>
      <c r="AE40" s="1552">
        <v>131.18900000000008</v>
      </c>
      <c r="AF40" s="2247">
        <f t="shared" si="9"/>
        <v>3629.1890000000003</v>
      </c>
      <c r="AG40" s="1610"/>
      <c r="AH40" s="1553">
        <f t="shared" si="10"/>
        <v>9414.7599999999984</v>
      </c>
      <c r="AI40" s="1554">
        <v>234.422</v>
      </c>
      <c r="AJ40" s="1549">
        <f t="shared" si="12"/>
        <v>9649.1819999999989</v>
      </c>
      <c r="AK40" s="1465"/>
      <c r="AL40" s="1549">
        <f t="shared" si="11"/>
        <v>13278.370999999999</v>
      </c>
      <c r="AM40" s="1465"/>
      <c r="AN40" s="1460"/>
      <c r="AO40" s="1460"/>
      <c r="AP40" s="1460"/>
      <c r="AQ40" s="1460"/>
      <c r="AR40" s="1460"/>
      <c r="AS40" s="1460"/>
      <c r="AT40" s="1460"/>
      <c r="AU40" s="1460"/>
      <c r="AV40" s="1460"/>
    </row>
    <row r="41" spans="1:48" ht="16.5" thickBot="1">
      <c r="A41" s="1460"/>
      <c r="B41" s="1472" t="s">
        <v>1236</v>
      </c>
      <c r="C41" s="1609">
        <v>6</v>
      </c>
      <c r="D41" s="2295">
        <v>0.75</v>
      </c>
      <c r="E41" s="1555">
        <v>2446</v>
      </c>
      <c r="F41" s="1556">
        <v>30</v>
      </c>
      <c r="G41" s="1556">
        <v>50</v>
      </c>
      <c r="H41" s="1556">
        <v>18</v>
      </c>
      <c r="I41" s="1556">
        <v>56</v>
      </c>
      <c r="J41" s="1556">
        <v>50</v>
      </c>
      <c r="K41" s="1556">
        <v>13</v>
      </c>
      <c r="L41" s="1556">
        <v>0</v>
      </c>
      <c r="M41" s="1556">
        <v>2</v>
      </c>
      <c r="N41" s="1556">
        <v>10</v>
      </c>
      <c r="O41" s="1556">
        <v>0</v>
      </c>
      <c r="P41" s="1556">
        <v>11</v>
      </c>
      <c r="Q41" s="1556">
        <v>80</v>
      </c>
      <c r="R41" s="1556">
        <v>100</v>
      </c>
      <c r="S41" s="1556">
        <v>100</v>
      </c>
      <c r="T41" s="1556">
        <v>100</v>
      </c>
      <c r="U41" s="1556">
        <v>50</v>
      </c>
      <c r="V41" s="1556">
        <v>150</v>
      </c>
      <c r="W41" s="1556">
        <v>99</v>
      </c>
      <c r="X41" s="1556">
        <v>4</v>
      </c>
      <c r="Y41" s="1556">
        <v>19</v>
      </c>
      <c r="Z41" s="1556">
        <v>25</v>
      </c>
      <c r="AA41" s="1556">
        <v>25</v>
      </c>
      <c r="AB41" s="1556">
        <v>10</v>
      </c>
      <c r="AC41" s="1556">
        <v>0</v>
      </c>
      <c r="AD41" s="1556">
        <v>50</v>
      </c>
      <c r="AE41" s="1557">
        <v>131.18900000000008</v>
      </c>
      <c r="AF41" s="2247">
        <f t="shared" si="9"/>
        <v>3629.1890000000003</v>
      </c>
      <c r="AG41" s="1610"/>
      <c r="AH41" s="1558">
        <f t="shared" si="10"/>
        <v>9932.741</v>
      </c>
      <c r="AI41" s="1559">
        <v>235.715</v>
      </c>
      <c r="AJ41" s="1560">
        <f t="shared" si="12"/>
        <v>10168.456</v>
      </c>
      <c r="AK41" s="1465"/>
      <c r="AL41" s="1549">
        <f>+AJ41+AF41</f>
        <v>13797.645</v>
      </c>
      <c r="AM41" s="1465"/>
      <c r="AN41" s="1460"/>
      <c r="AO41" s="1460"/>
      <c r="AP41" s="1460"/>
      <c r="AQ41" s="1460"/>
      <c r="AR41" s="1460"/>
      <c r="AS41" s="1460"/>
      <c r="AT41" s="1460"/>
      <c r="AU41" s="1460"/>
      <c r="AV41" s="1460"/>
    </row>
    <row r="42" spans="1:48" ht="16.5" thickBot="1">
      <c r="A42" s="1460"/>
      <c r="B42" s="1611" t="s">
        <v>115</v>
      </c>
      <c r="C42" s="1612"/>
      <c r="D42" s="1613"/>
      <c r="E42" s="1561">
        <f t="shared" ref="E42:AF42" si="13">SUM(E30:E41)</f>
        <v>29827</v>
      </c>
      <c r="F42" s="1562">
        <f t="shared" si="13"/>
        <v>360</v>
      </c>
      <c r="G42" s="1562">
        <f t="shared" si="13"/>
        <v>600</v>
      </c>
      <c r="H42" s="1562">
        <f t="shared" si="13"/>
        <v>216</v>
      </c>
      <c r="I42" s="1562">
        <f t="shared" si="13"/>
        <v>672</v>
      </c>
      <c r="J42" s="1562">
        <f t="shared" si="13"/>
        <v>600</v>
      </c>
      <c r="K42" s="1562">
        <f t="shared" si="13"/>
        <v>156</v>
      </c>
      <c r="L42" s="1562">
        <f t="shared" si="13"/>
        <v>27</v>
      </c>
      <c r="M42" s="1562">
        <f t="shared" si="13"/>
        <v>24</v>
      </c>
      <c r="N42" s="1562">
        <f t="shared" si="13"/>
        <v>120</v>
      </c>
      <c r="O42" s="1562">
        <f t="shared" si="13"/>
        <v>250</v>
      </c>
      <c r="P42" s="1562">
        <f t="shared" si="13"/>
        <v>132</v>
      </c>
      <c r="Q42" s="1562">
        <f t="shared" si="13"/>
        <v>960</v>
      </c>
      <c r="R42" s="1562">
        <f t="shared" si="13"/>
        <v>1200</v>
      </c>
      <c r="S42" s="1562">
        <f t="shared" si="13"/>
        <v>1200</v>
      </c>
      <c r="T42" s="1562">
        <f t="shared" si="13"/>
        <v>1200</v>
      </c>
      <c r="U42" s="1562">
        <f t="shared" si="13"/>
        <v>600</v>
      </c>
      <c r="V42" s="1562">
        <f t="shared" si="13"/>
        <v>1800</v>
      </c>
      <c r="W42" s="1562">
        <f t="shared" si="13"/>
        <v>1093</v>
      </c>
      <c r="X42" s="1562">
        <f t="shared" si="13"/>
        <v>48</v>
      </c>
      <c r="Y42" s="1562">
        <f t="shared" si="13"/>
        <v>228</v>
      </c>
      <c r="Z42" s="1562">
        <f t="shared" si="13"/>
        <v>300</v>
      </c>
      <c r="AA42" s="1562">
        <f t="shared" si="13"/>
        <v>225</v>
      </c>
      <c r="AB42" s="1562">
        <f t="shared" si="13"/>
        <v>10</v>
      </c>
      <c r="AC42" s="1562">
        <f t="shared" si="13"/>
        <v>20</v>
      </c>
      <c r="AD42" s="1562">
        <f t="shared" si="13"/>
        <v>100</v>
      </c>
      <c r="AE42" s="1594">
        <f t="shared" si="13"/>
        <v>1573.9060000000013</v>
      </c>
      <c r="AF42" s="1517">
        <f t="shared" si="13"/>
        <v>43541.905999999988</v>
      </c>
      <c r="AG42" s="1502"/>
      <c r="AH42" s="1517">
        <f>SUM(AH30:AH41)</f>
        <v>120937.54</v>
      </c>
      <c r="AI42" s="1517">
        <f>SUM(AI30:AI41)</f>
        <v>2230.7959999999998</v>
      </c>
      <c r="AJ42" s="1517">
        <f>SUM(AJ30:AJ41)</f>
        <v>123168.33600000001</v>
      </c>
      <c r="AK42" s="1465"/>
      <c r="AL42" s="1517">
        <f>SUM(AL30:AL41)</f>
        <v>166710.242</v>
      </c>
      <c r="AM42" s="1465"/>
      <c r="AN42" s="1460"/>
      <c r="AO42" s="1460"/>
      <c r="AP42" s="1460"/>
      <c r="AQ42" s="1460"/>
      <c r="AR42" s="1460"/>
      <c r="AS42" s="1460"/>
      <c r="AT42" s="1460"/>
      <c r="AU42" s="1460"/>
      <c r="AV42" s="1460"/>
    </row>
    <row r="43" spans="1:48" ht="16.5" thickBot="1">
      <c r="A43" s="1460"/>
      <c r="B43" s="1515" t="s">
        <v>1392</v>
      </c>
      <c r="C43" s="1592"/>
      <c r="D43" s="1593"/>
      <c r="E43" s="1561">
        <f t="shared" ref="E43:AF43" si="14">+E42/12</f>
        <v>2485.5833333333335</v>
      </c>
      <c r="F43" s="1562">
        <f t="shared" si="14"/>
        <v>30</v>
      </c>
      <c r="G43" s="1562">
        <f t="shared" si="14"/>
        <v>50</v>
      </c>
      <c r="H43" s="1562">
        <f t="shared" si="14"/>
        <v>18</v>
      </c>
      <c r="I43" s="1562">
        <f t="shared" si="14"/>
        <v>56</v>
      </c>
      <c r="J43" s="1562">
        <f t="shared" si="14"/>
        <v>50</v>
      </c>
      <c r="K43" s="1562">
        <f t="shared" si="14"/>
        <v>13</v>
      </c>
      <c r="L43" s="1562">
        <f t="shared" si="14"/>
        <v>2.25</v>
      </c>
      <c r="M43" s="1562">
        <f t="shared" si="14"/>
        <v>2</v>
      </c>
      <c r="N43" s="1562">
        <f t="shared" si="14"/>
        <v>10</v>
      </c>
      <c r="O43" s="1562">
        <f t="shared" si="14"/>
        <v>20.833333333333332</v>
      </c>
      <c r="P43" s="1562">
        <f t="shared" si="14"/>
        <v>11</v>
      </c>
      <c r="Q43" s="1562">
        <f t="shared" si="14"/>
        <v>80</v>
      </c>
      <c r="R43" s="1562">
        <f t="shared" si="14"/>
        <v>100</v>
      </c>
      <c r="S43" s="1562">
        <f t="shared" si="14"/>
        <v>100</v>
      </c>
      <c r="T43" s="1562">
        <f t="shared" si="14"/>
        <v>100</v>
      </c>
      <c r="U43" s="1562">
        <f t="shared" si="14"/>
        <v>50</v>
      </c>
      <c r="V43" s="1562">
        <f t="shared" si="14"/>
        <v>150</v>
      </c>
      <c r="W43" s="1562">
        <f t="shared" si="14"/>
        <v>91.083333333333329</v>
      </c>
      <c r="X43" s="1562">
        <f t="shared" si="14"/>
        <v>4</v>
      </c>
      <c r="Y43" s="1562">
        <f t="shared" si="14"/>
        <v>19</v>
      </c>
      <c r="Z43" s="1562">
        <f t="shared" si="14"/>
        <v>25</v>
      </c>
      <c r="AA43" s="1562">
        <f t="shared" si="14"/>
        <v>18.75</v>
      </c>
      <c r="AB43" s="1562">
        <f t="shared" si="14"/>
        <v>0.83333333333333337</v>
      </c>
      <c r="AC43" s="1562">
        <f t="shared" si="14"/>
        <v>1.6666666666666667</v>
      </c>
      <c r="AD43" s="1562">
        <f t="shared" si="14"/>
        <v>8.3333333333333339</v>
      </c>
      <c r="AE43" s="1594">
        <f t="shared" si="14"/>
        <v>131.15883333333343</v>
      </c>
      <c r="AF43" s="1517">
        <f t="shared" si="14"/>
        <v>3628.4921666666655</v>
      </c>
      <c r="AG43" s="1502"/>
      <c r="AH43" s="1517">
        <f>+AH42/12</f>
        <v>10078.128333333332</v>
      </c>
      <c r="AI43" s="1517">
        <f>+AI42/12</f>
        <v>185.89966666666666</v>
      </c>
      <c r="AJ43" s="1517">
        <f>+AJ42/12</f>
        <v>10264.028</v>
      </c>
      <c r="AK43" s="1465"/>
      <c r="AL43" s="1522">
        <f>+AL42/12</f>
        <v>13892.520166666667</v>
      </c>
      <c r="AM43" s="1465"/>
      <c r="AN43" s="1460"/>
      <c r="AO43" s="1460"/>
      <c r="AP43" s="1460"/>
      <c r="AQ43" s="1460"/>
      <c r="AR43" s="1460"/>
      <c r="AS43" s="1460"/>
      <c r="AT43" s="1460"/>
      <c r="AU43" s="1460"/>
      <c r="AV43" s="1460"/>
    </row>
    <row r="44" spans="1:48" ht="15.75">
      <c r="A44" s="1460"/>
      <c r="B44" s="1460"/>
      <c r="C44" s="1460"/>
      <c r="D44" s="1460"/>
      <c r="E44" s="1460"/>
      <c r="F44" s="1460"/>
      <c r="G44" s="1460"/>
      <c r="H44" s="1460"/>
      <c r="I44" s="1460"/>
      <c r="J44" s="1460"/>
      <c r="K44" s="1460"/>
      <c r="L44" s="1460"/>
      <c r="M44" s="1460"/>
      <c r="N44" s="1460"/>
      <c r="O44" s="1460"/>
      <c r="P44" s="1460"/>
      <c r="Q44" s="1460"/>
      <c r="R44" s="1460"/>
      <c r="S44" s="1460"/>
      <c r="T44" s="1460"/>
      <c r="U44" s="1460"/>
      <c r="V44" s="1460"/>
      <c r="W44" s="1460"/>
      <c r="X44" s="1460"/>
      <c r="Y44" s="1460"/>
      <c r="Z44" s="1460"/>
      <c r="AA44" s="1465"/>
      <c r="AB44" s="1460"/>
      <c r="AC44" s="1460"/>
      <c r="AD44" s="1460"/>
      <c r="AE44" s="1460"/>
      <c r="AF44" s="1460"/>
      <c r="AG44" s="1460"/>
      <c r="AH44" s="1460"/>
      <c r="AI44" s="1460"/>
      <c r="AJ44" s="1460"/>
      <c r="AK44" s="1460"/>
      <c r="AL44" s="1460"/>
      <c r="AM44" s="1460"/>
      <c r="AN44" s="1460"/>
      <c r="AO44" s="1460"/>
      <c r="AP44" s="1460"/>
      <c r="AQ44" s="1460"/>
    </row>
    <row r="45" spans="1:48" ht="15.75">
      <c r="A45" s="1460"/>
      <c r="B45" s="1460"/>
      <c r="C45" s="1460"/>
      <c r="D45" s="1460"/>
      <c r="E45" s="1460"/>
      <c r="F45" s="1460"/>
      <c r="G45" s="1460"/>
      <c r="H45" s="1460"/>
      <c r="I45" s="1460"/>
      <c r="J45" s="1460"/>
      <c r="K45" s="1460"/>
      <c r="L45" s="1460"/>
      <c r="M45" s="1460"/>
      <c r="N45" s="1460"/>
      <c r="O45" s="1460"/>
      <c r="P45" s="1460"/>
      <c r="Q45" s="1460"/>
      <c r="R45" s="1460"/>
      <c r="S45" s="1460"/>
      <c r="T45" s="1460"/>
      <c r="U45" s="1460"/>
      <c r="V45" s="1460"/>
      <c r="W45" s="1460"/>
      <c r="X45" s="1460"/>
      <c r="Y45" s="1460"/>
      <c r="Z45" s="1465"/>
      <c r="AA45" s="1460"/>
      <c r="AB45" s="1460"/>
      <c r="AC45" s="1460"/>
      <c r="AD45" s="1460"/>
      <c r="AE45" s="1460"/>
      <c r="AF45" s="1460"/>
      <c r="AG45" s="1460"/>
      <c r="AH45" s="1460"/>
      <c r="AI45" s="1460"/>
      <c r="AJ45" s="1460"/>
      <c r="AK45" s="1460"/>
      <c r="AL45" s="1460"/>
      <c r="AM45" s="1460"/>
      <c r="AN45" s="1460"/>
      <c r="AO45" s="1460"/>
      <c r="AP45" s="1460"/>
    </row>
    <row r="46" spans="1:48" ht="15.75">
      <c r="A46" s="1460"/>
      <c r="B46" s="1460"/>
      <c r="C46" s="1460"/>
      <c r="D46" s="1460"/>
      <c r="E46" s="1460"/>
      <c r="F46" s="1460"/>
      <c r="G46" s="1460"/>
      <c r="H46" s="1460"/>
      <c r="I46" s="1460"/>
      <c r="J46" s="1460"/>
      <c r="K46" s="1460"/>
      <c r="L46" s="1460"/>
      <c r="M46" s="1460"/>
      <c r="N46" s="1460"/>
      <c r="O46" s="1460"/>
      <c r="P46" s="1460"/>
      <c r="Q46" s="1460"/>
      <c r="R46" s="1460"/>
      <c r="S46" s="1460"/>
      <c r="T46" s="1460"/>
      <c r="U46" s="1460"/>
      <c r="V46" s="1460"/>
      <c r="W46" s="1460"/>
      <c r="X46" s="1460"/>
      <c r="Y46" s="1460"/>
      <c r="Z46" s="1465"/>
      <c r="AA46" s="1460"/>
      <c r="AB46" s="1460"/>
      <c r="AC46" s="1460"/>
      <c r="AD46" s="1460"/>
      <c r="AE46" s="1460"/>
      <c r="AF46" s="1460"/>
      <c r="AG46" s="1460"/>
      <c r="AH46" s="1460"/>
      <c r="AI46" s="1460"/>
      <c r="AJ46" s="1460"/>
      <c r="AK46" s="1460"/>
      <c r="AL46" s="1460"/>
      <c r="AM46" s="1460"/>
      <c r="AN46" s="1460"/>
      <c r="AO46" s="1460"/>
      <c r="AP46" s="1460"/>
    </row>
    <row r="47" spans="1:48" ht="15.75">
      <c r="A47" s="1460"/>
      <c r="B47" s="1460"/>
      <c r="C47" s="1460"/>
      <c r="D47" s="1460"/>
      <c r="E47" s="1460"/>
      <c r="F47" s="1460"/>
      <c r="G47" s="1460"/>
      <c r="H47" s="1460"/>
      <c r="I47" s="1460"/>
      <c r="J47" s="1460"/>
      <c r="K47" s="1460"/>
      <c r="L47" s="1460"/>
      <c r="M47" s="1460"/>
      <c r="N47" s="1460"/>
      <c r="O47" s="1460"/>
      <c r="P47" s="1460"/>
      <c r="Q47" s="1460"/>
      <c r="R47" s="1460"/>
      <c r="S47" s="1460"/>
      <c r="T47" s="1460"/>
      <c r="U47" s="1460"/>
      <c r="V47" s="1460"/>
      <c r="W47" s="1460"/>
      <c r="X47" s="1460"/>
      <c r="Y47" s="1460"/>
      <c r="Z47" s="1465"/>
      <c r="AA47" s="1460"/>
      <c r="AB47" s="1460"/>
      <c r="AC47" s="1460"/>
      <c r="AD47" s="1460"/>
      <c r="AE47" s="1460"/>
      <c r="AF47" s="1460"/>
      <c r="AG47" s="1460"/>
      <c r="AH47" s="1460"/>
      <c r="AI47" s="1460"/>
      <c r="AJ47" s="1460"/>
      <c r="AK47" s="1460"/>
      <c r="AL47" s="1460"/>
      <c r="AM47" s="1460"/>
      <c r="AN47" s="1460"/>
      <c r="AO47" s="1460"/>
      <c r="AP47" s="1460"/>
    </row>
    <row r="48" spans="1:48" ht="15.75">
      <c r="A48" s="1460"/>
      <c r="B48" s="1460"/>
      <c r="C48" s="1460"/>
      <c r="D48" s="1460"/>
      <c r="E48" s="1460"/>
      <c r="F48" s="1460"/>
      <c r="G48" s="1460"/>
      <c r="H48" s="1460"/>
      <c r="I48" s="1460"/>
      <c r="J48" s="1460"/>
      <c r="K48" s="1460"/>
      <c r="L48" s="1460"/>
      <c r="M48" s="1460"/>
      <c r="N48" s="1460"/>
      <c r="O48" s="1460"/>
      <c r="P48" s="1460"/>
      <c r="Q48" s="1460"/>
      <c r="R48" s="1460"/>
      <c r="S48" s="1460"/>
      <c r="T48" s="1460"/>
      <c r="U48" s="1460"/>
      <c r="V48" s="1460"/>
      <c r="W48" s="1460"/>
      <c r="X48" s="1460"/>
      <c r="Y48" s="1460"/>
      <c r="Z48" s="1465"/>
      <c r="AA48" s="1460"/>
      <c r="AB48" s="1460"/>
      <c r="AC48" s="1460"/>
      <c r="AD48" s="1460"/>
      <c r="AE48" s="1460"/>
      <c r="AF48" s="1460"/>
      <c r="AG48" s="1460"/>
      <c r="AH48" s="1460"/>
      <c r="AI48" s="1460"/>
      <c r="AJ48" s="1460"/>
      <c r="AK48" s="1460"/>
      <c r="AL48" s="1460"/>
      <c r="AM48" s="1460"/>
      <c r="AN48" s="1460"/>
      <c r="AO48" s="1460"/>
      <c r="AP48" s="1460"/>
    </row>
    <row r="49" spans="1:42" ht="15.75">
      <c r="A49" s="1460"/>
      <c r="B49" s="1460"/>
      <c r="C49" s="1460"/>
      <c r="D49" s="1460"/>
      <c r="E49" s="1460"/>
      <c r="F49" s="1460"/>
      <c r="G49" s="1460"/>
      <c r="H49" s="1460"/>
      <c r="I49" s="1460"/>
      <c r="J49" s="1460"/>
      <c r="K49" s="1460"/>
      <c r="L49" s="1460"/>
      <c r="M49" s="1460"/>
      <c r="N49" s="1460"/>
      <c r="O49" s="1460"/>
      <c r="P49" s="1460"/>
      <c r="Q49" s="1460"/>
      <c r="R49" s="1460"/>
      <c r="S49" s="1460"/>
      <c r="T49" s="1460"/>
      <c r="U49" s="1460"/>
      <c r="V49" s="1460"/>
      <c r="W49" s="1460"/>
      <c r="X49" s="1460"/>
      <c r="Y49" s="1460"/>
      <c r="Z49" s="1465"/>
      <c r="AA49" s="1460"/>
      <c r="AB49" s="1460"/>
      <c r="AC49" s="1460"/>
      <c r="AD49" s="1460"/>
      <c r="AE49" s="1460"/>
      <c r="AF49" s="1460"/>
      <c r="AG49" s="1460"/>
      <c r="AH49" s="1460"/>
      <c r="AI49" s="1460"/>
      <c r="AJ49" s="1460"/>
      <c r="AK49" s="1460"/>
      <c r="AL49" s="1460"/>
      <c r="AM49" s="1460"/>
      <c r="AN49" s="1460"/>
      <c r="AO49" s="1460"/>
      <c r="AP49" s="1460"/>
    </row>
    <row r="50" spans="1:42" ht="15.75">
      <c r="A50" s="1460"/>
      <c r="B50" s="1460"/>
      <c r="C50" s="1460"/>
      <c r="D50" s="1460"/>
      <c r="E50" s="1460"/>
      <c r="F50" s="1460"/>
      <c r="G50" s="1460"/>
      <c r="H50" s="1460"/>
      <c r="I50" s="1460"/>
      <c r="J50" s="1460"/>
      <c r="K50" s="1460"/>
      <c r="L50" s="1460"/>
      <c r="M50" s="1460"/>
      <c r="N50" s="1460"/>
      <c r="O50" s="1460"/>
      <c r="P50" s="1460"/>
      <c r="Q50" s="1460"/>
      <c r="R50" s="1460"/>
      <c r="S50" s="1460"/>
      <c r="T50" s="1460"/>
      <c r="U50" s="1460"/>
      <c r="V50" s="1460"/>
      <c r="W50" s="1460"/>
      <c r="X50" s="1460"/>
      <c r="Y50" s="1460"/>
      <c r="Z50" s="1465"/>
      <c r="AA50" s="1460"/>
      <c r="AB50" s="1460"/>
      <c r="AC50" s="1460"/>
      <c r="AD50" s="1460"/>
      <c r="AE50" s="1460"/>
      <c r="AF50" s="1460"/>
      <c r="AG50" s="1460"/>
      <c r="AH50" s="1460"/>
      <c r="AI50" s="1460"/>
      <c r="AJ50" s="1460"/>
      <c r="AK50" s="1460"/>
      <c r="AL50" s="1460"/>
      <c r="AM50" s="1460"/>
      <c r="AN50" s="1460"/>
      <c r="AO50" s="1460"/>
      <c r="AP50" s="1460"/>
    </row>
    <row r="51" spans="1:42" ht="15.75">
      <c r="A51" s="1460"/>
      <c r="B51" s="1460"/>
      <c r="C51" s="1460"/>
      <c r="D51" s="1460"/>
      <c r="E51" s="1460"/>
      <c r="F51" s="1460"/>
      <c r="G51" s="1460"/>
      <c r="H51" s="1460"/>
      <c r="I51" s="1460"/>
      <c r="J51" s="1460"/>
      <c r="K51" s="1460"/>
      <c r="L51" s="1460"/>
      <c r="M51" s="1460"/>
      <c r="N51" s="1460"/>
      <c r="O51" s="1460"/>
      <c r="P51" s="1460"/>
      <c r="Q51" s="1460"/>
      <c r="R51" s="1460"/>
      <c r="S51" s="1460"/>
      <c r="T51" s="1460"/>
      <c r="U51" s="1460"/>
      <c r="V51" s="1460"/>
      <c r="W51" s="1460"/>
      <c r="X51" s="1460"/>
      <c r="Y51" s="1460"/>
      <c r="Z51" s="1465"/>
      <c r="AA51" s="1460"/>
      <c r="AB51" s="1460"/>
      <c r="AC51" s="1460"/>
      <c r="AD51" s="1460"/>
      <c r="AE51" s="1460"/>
      <c r="AF51" s="1460"/>
      <c r="AG51" s="1460"/>
      <c r="AH51" s="1460"/>
      <c r="AI51" s="1460"/>
      <c r="AJ51" s="1460"/>
      <c r="AK51" s="1460"/>
      <c r="AL51" s="1460"/>
      <c r="AM51" s="1460"/>
      <c r="AN51" s="1460"/>
      <c r="AO51" s="1460"/>
      <c r="AP51" s="1460"/>
    </row>
    <row r="52" spans="1:42" ht="15.75">
      <c r="A52" s="1460"/>
      <c r="B52" s="1460"/>
      <c r="C52" s="1460"/>
      <c r="D52" s="1460"/>
      <c r="E52" s="1460"/>
      <c r="F52" s="1460"/>
      <c r="G52" s="1460"/>
      <c r="H52" s="1460"/>
      <c r="I52" s="1460"/>
      <c r="J52" s="1460"/>
      <c r="K52" s="1460"/>
      <c r="L52" s="1460"/>
      <c r="M52" s="1460"/>
      <c r="N52" s="1460"/>
      <c r="O52" s="1460"/>
      <c r="P52" s="1460"/>
      <c r="Q52" s="1460"/>
      <c r="R52" s="1565"/>
      <c r="S52" s="1460"/>
      <c r="T52" s="1566"/>
      <c r="U52" s="1460"/>
      <c r="V52" s="1460"/>
      <c r="W52" s="1460"/>
      <c r="X52" s="1460"/>
      <c r="Y52" s="1460"/>
      <c r="Z52" s="1465"/>
      <c r="AA52" s="1460"/>
      <c r="AB52" s="1460"/>
      <c r="AC52" s="1460"/>
      <c r="AD52" s="1460"/>
      <c r="AE52" s="1460"/>
      <c r="AF52" s="1460"/>
      <c r="AG52" s="1460"/>
      <c r="AH52" s="1460"/>
      <c r="AI52" s="1460"/>
      <c r="AJ52" s="1460"/>
      <c r="AK52" s="1460"/>
      <c r="AL52" s="1460"/>
      <c r="AM52" s="1460"/>
      <c r="AN52" s="1460"/>
      <c r="AO52" s="1460"/>
      <c r="AP52" s="1460"/>
    </row>
  </sheetData>
  <mergeCells count="4">
    <mergeCell ref="AA5:AF5"/>
    <mergeCell ref="AL28:AL29"/>
    <mergeCell ref="E5:Y5"/>
    <mergeCell ref="E25:AF25"/>
  </mergeCells>
  <pageMargins left="0.7" right="0.7" top="0.75" bottom="0.75" header="0.3" footer="0.3"/>
  <pageSetup scale="3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2"/>
  <sheetViews>
    <sheetView workbookViewId="0">
      <selection activeCell="N33" sqref="N33"/>
    </sheetView>
  </sheetViews>
  <sheetFormatPr defaultRowHeight="15"/>
  <cols>
    <col min="1" max="1" width="6.140625" customWidth="1"/>
    <col min="2" max="2" width="24.140625" customWidth="1"/>
    <col min="3" max="3" width="40" customWidth="1"/>
    <col min="4" max="4" width="41.5703125" customWidth="1"/>
    <col min="5" max="5" width="20.7109375" customWidth="1"/>
  </cols>
  <sheetData>
    <row r="1" spans="1:5" ht="15.75">
      <c r="A1" s="421" t="s">
        <v>179</v>
      </c>
      <c r="B1" s="421"/>
      <c r="C1" s="421"/>
      <c r="D1" s="421"/>
      <c r="E1" s="421"/>
    </row>
    <row r="2" spans="1:5">
      <c r="A2" s="422" t="s">
        <v>285</v>
      </c>
      <c r="B2" s="422"/>
      <c r="C2" s="422"/>
      <c r="D2" s="422"/>
      <c r="E2" s="422"/>
    </row>
    <row r="3" spans="1:5">
      <c r="A3" s="423"/>
      <c r="B3" s="423"/>
      <c r="C3" s="423"/>
      <c r="D3" s="423"/>
      <c r="E3" s="423"/>
    </row>
    <row r="4" spans="1:5">
      <c r="A4" s="424" t="s">
        <v>286</v>
      </c>
      <c r="B4" s="424"/>
      <c r="C4" s="424"/>
      <c r="D4" s="424"/>
      <c r="E4" s="424"/>
    </row>
    <row r="5" spans="1:5">
      <c r="A5" s="425"/>
      <c r="B5" s="425"/>
      <c r="C5" s="425"/>
      <c r="D5" s="425"/>
      <c r="E5" s="425"/>
    </row>
    <row r="6" spans="1:5" ht="15.75" thickBot="1">
      <c r="A6" s="426" t="s">
        <v>287</v>
      </c>
      <c r="B6" s="427" t="s">
        <v>288</v>
      </c>
      <c r="C6" s="428"/>
      <c r="D6" s="427" t="s">
        <v>289</v>
      </c>
      <c r="E6" s="426" t="s">
        <v>290</v>
      </c>
    </row>
    <row r="7" spans="1:5">
      <c r="A7" s="429">
        <v>1</v>
      </c>
      <c r="B7" s="430" t="s">
        <v>291</v>
      </c>
      <c r="C7" s="431"/>
      <c r="D7" s="432" t="s">
        <v>292</v>
      </c>
      <c r="E7" s="433">
        <f>INDEX(Inputs_EndYrBal,MATCH(D7,Inputs_FF1_Map,0))</f>
        <v>0</v>
      </c>
    </row>
    <row r="8" spans="1:5">
      <c r="A8" s="429">
        <f>A7+1</f>
        <v>2</v>
      </c>
      <c r="B8" s="430" t="s">
        <v>293</v>
      </c>
      <c r="C8" s="431"/>
      <c r="D8" s="432" t="s">
        <v>294</v>
      </c>
      <c r="E8" s="433">
        <f>INDEX(Inputs_EndYrBal,MATCH(D8,Inputs_FF1_Map,0))</f>
        <v>7813567</v>
      </c>
    </row>
    <row r="9" spans="1:5">
      <c r="A9" s="429">
        <f>A8+1</f>
        <v>3</v>
      </c>
      <c r="B9" s="430" t="s">
        <v>295</v>
      </c>
      <c r="C9" s="431"/>
      <c r="D9" s="432" t="s">
        <v>296</v>
      </c>
      <c r="E9" s="433">
        <f>INDEX(Inputs_EndYrBal,MATCH(D9,Inputs_FF1_Map,0))</f>
        <v>0</v>
      </c>
    </row>
    <row r="10" spans="1:5">
      <c r="A10" s="429">
        <f>A9+1</f>
        <v>4</v>
      </c>
      <c r="B10" s="430" t="s">
        <v>297</v>
      </c>
      <c r="C10" s="431"/>
      <c r="D10" s="432" t="s">
        <v>298</v>
      </c>
      <c r="E10" s="433">
        <f>INDEX(Inputs_EndYrBal,MATCH(D10,Inputs_FF1_Map,0))</f>
        <v>1250888</v>
      </c>
    </row>
    <row r="11" spans="1:5">
      <c r="A11" s="429">
        <f>A10+1</f>
        <v>5</v>
      </c>
      <c r="B11" s="430" t="s">
        <v>299</v>
      </c>
      <c r="C11" s="431"/>
      <c r="D11" s="432" t="s">
        <v>300</v>
      </c>
      <c r="E11" s="434">
        <f>INDEX(Inputs_EndYrBal,MATCH(D11,Inputs_FF1_Map,0))</f>
        <v>1962101</v>
      </c>
    </row>
    <row r="12" spans="1:5">
      <c r="A12" s="429">
        <f>A11+1</f>
        <v>6</v>
      </c>
      <c r="B12" s="435" t="s">
        <v>301</v>
      </c>
      <c r="C12" s="436"/>
      <c r="D12" s="437" t="str">
        <f>"(Sum Lines "&amp;A7&amp;" through "&amp;A11&amp;")"</f>
        <v>(Sum Lines 1 through 5)</v>
      </c>
      <c r="E12" s="438">
        <f>SUM(E7:E11)</f>
        <v>11026556</v>
      </c>
    </row>
    <row r="13" spans="1:5">
      <c r="A13" s="429"/>
      <c r="B13" s="439"/>
      <c r="C13" s="431"/>
      <c r="D13" s="440"/>
      <c r="E13" s="431"/>
    </row>
    <row r="14" spans="1:5">
      <c r="A14" s="429"/>
      <c r="B14" s="439"/>
      <c r="C14" s="431"/>
      <c r="D14" s="440"/>
      <c r="E14" s="431"/>
    </row>
    <row r="15" spans="1:5">
      <c r="A15" s="429">
        <f>A12+1</f>
        <v>7</v>
      </c>
      <c r="B15" s="430" t="s">
        <v>302</v>
      </c>
      <c r="C15" s="431"/>
      <c r="D15" s="437" t="str">
        <f>"(Line "&amp;A12&amp;")"</f>
        <v>(Line 6)</v>
      </c>
      <c r="E15" s="438">
        <f>E12</f>
        <v>11026556</v>
      </c>
    </row>
    <row r="16" spans="1:5">
      <c r="A16" s="429"/>
      <c r="B16" s="441"/>
      <c r="C16" s="436"/>
      <c r="D16" s="442"/>
      <c r="E16" s="443"/>
    </row>
    <row r="17" spans="1:5">
      <c r="A17" s="429"/>
      <c r="B17" s="444" t="s">
        <v>303</v>
      </c>
      <c r="C17" s="431"/>
      <c r="D17" s="444"/>
      <c r="E17" s="439"/>
    </row>
    <row r="18" spans="1:5">
      <c r="A18" s="429"/>
      <c r="B18" s="439"/>
      <c r="C18" s="431"/>
      <c r="D18" s="440"/>
      <c r="E18" s="439"/>
    </row>
    <row r="19" spans="1:5">
      <c r="A19" s="429">
        <f>A15+1</f>
        <v>8</v>
      </c>
      <c r="B19" s="435" t="s">
        <v>304</v>
      </c>
      <c r="C19" s="436"/>
      <c r="D19" s="437" t="s">
        <v>305</v>
      </c>
      <c r="E19" s="445">
        <f>'Att 9b - 2019 True-up'!AL43*1000</f>
        <v>13892520.166666668</v>
      </c>
    </row>
    <row r="20" spans="1:5">
      <c r="A20" s="429"/>
      <c r="B20" s="430"/>
      <c r="C20" s="431"/>
      <c r="D20" s="440"/>
      <c r="E20" s="430"/>
    </row>
    <row r="21" spans="1:5">
      <c r="A21" s="429">
        <f>A19+1</f>
        <v>9</v>
      </c>
      <c r="B21" s="430" t="s">
        <v>306</v>
      </c>
      <c r="C21" s="431"/>
      <c r="D21" s="437" t="str">
        <f>"(Line "&amp;A15&amp;" / Line "&amp;A19&amp;")"</f>
        <v>(Line 7 / Line 8)</v>
      </c>
      <c r="E21" s="446">
        <f>ROUND(E15/E19,6)</f>
        <v>0.79370499999999999</v>
      </c>
    </row>
    <row r="22" spans="1:5">
      <c r="A22" s="429">
        <f>A21+1</f>
        <v>10</v>
      </c>
      <c r="B22" s="430" t="s">
        <v>307</v>
      </c>
      <c r="C22" s="431"/>
      <c r="D22" s="437" t="str">
        <f>"((Line "&amp;A15&amp;" / Line "&amp;A19&amp;") / 12)"</f>
        <v>((Line 7 / Line 8) / 12)</v>
      </c>
      <c r="E22" s="447">
        <f>ROUND(($E$15/$E$19)/12,5)</f>
        <v>6.6140000000000004E-2</v>
      </c>
    </row>
    <row r="23" spans="1:5">
      <c r="A23" s="429">
        <f>A22+1</f>
        <v>11</v>
      </c>
      <c r="B23" s="430" t="s">
        <v>308</v>
      </c>
      <c r="C23" s="431"/>
      <c r="D23" s="437" t="str">
        <f>"((Line "&amp;A15&amp;" / Line "&amp;A19&amp;") / 52)"</f>
        <v>((Line 7 / Line 8) / 52)</v>
      </c>
      <c r="E23" s="447">
        <f>ROUND(($E$15/$E$19)/52,5)</f>
        <v>1.5259999999999999E-2</v>
      </c>
    </row>
    <row r="24" spans="1:5">
      <c r="A24" s="429"/>
      <c r="B24" s="430"/>
      <c r="C24" s="431"/>
      <c r="D24" s="432"/>
      <c r="E24" s="448"/>
    </row>
    <row r="25" spans="1:5">
      <c r="A25" s="429">
        <f>A23+1</f>
        <v>12</v>
      </c>
      <c r="B25" s="430" t="s">
        <v>309</v>
      </c>
      <c r="C25" s="431"/>
      <c r="D25" s="437" t="str">
        <f>"(Line "&amp;A23&amp;" / 5)"</f>
        <v>(Line 11 / 5)</v>
      </c>
      <c r="E25" s="447">
        <f>ROUND($E$23/5,5)</f>
        <v>3.0500000000000002E-3</v>
      </c>
    </row>
    <row r="26" spans="1:5">
      <c r="A26" s="429">
        <f>A25+1</f>
        <v>13</v>
      </c>
      <c r="B26" s="430" t="s">
        <v>310</v>
      </c>
      <c r="C26" s="431"/>
      <c r="D26" s="437" t="str">
        <f>"(Line "&amp;A23&amp;" / 7)"</f>
        <v>(Line 11 / 7)</v>
      </c>
      <c r="E26" s="447">
        <f>ROUND($E$23/7,5)</f>
        <v>2.1800000000000001E-3</v>
      </c>
    </row>
    <row r="27" spans="1:5">
      <c r="A27" s="429"/>
      <c r="B27" s="430"/>
      <c r="C27" s="431"/>
      <c r="D27" s="432"/>
      <c r="E27" s="448"/>
    </row>
    <row r="28" spans="1:5">
      <c r="A28" s="429">
        <f>A26+1</f>
        <v>14</v>
      </c>
      <c r="B28" s="430" t="s">
        <v>311</v>
      </c>
      <c r="C28" s="431"/>
      <c r="D28" s="437" t="str">
        <f>"((Line "&amp;A25&amp;" / 16) * 1000)"</f>
        <v>((Line 12 / 16) * 1000)</v>
      </c>
      <c r="E28" s="448">
        <f>ROUND(($E$25/16)*1000,2)</f>
        <v>0.19</v>
      </c>
    </row>
    <row r="29" spans="1:5">
      <c r="A29" s="429">
        <f>A28+1</f>
        <v>15</v>
      </c>
      <c r="B29" s="430" t="s">
        <v>312</v>
      </c>
      <c r="C29" s="431"/>
      <c r="D29" s="437" t="str">
        <f>"((Line "&amp;A26&amp;" / 24) * 1000)"</f>
        <v>((Line 13 / 24) * 1000)</v>
      </c>
      <c r="E29" s="448">
        <f>ROUND(($E$26/24)*1000,2)</f>
        <v>0.09</v>
      </c>
    </row>
    <row r="30" spans="1:5" ht="15.75" thickBot="1">
      <c r="A30" s="449"/>
      <c r="B30" s="450"/>
      <c r="C30" s="449"/>
      <c r="D30" s="451"/>
      <c r="E30" s="450"/>
    </row>
    <row r="31" spans="1:5">
      <c r="A31" s="452"/>
      <c r="B31" s="453"/>
      <c r="C31" s="452"/>
      <c r="D31" s="454"/>
      <c r="E31" s="455"/>
    </row>
    <row r="32" spans="1:5">
      <c r="A32" s="431"/>
      <c r="B32" s="431"/>
      <c r="C32" s="431"/>
      <c r="D32" s="456"/>
      <c r="E32" s="439"/>
    </row>
  </sheetData>
  <pageMargins left="0.7" right="0.7" top="0.75" bottom="0.75" header="0.3" footer="0.3"/>
  <pageSetup scale="92"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
  <sheetViews>
    <sheetView workbookViewId="0">
      <selection activeCell="J36" sqref="J36"/>
    </sheetView>
  </sheetViews>
  <sheetFormatPr defaultRowHeight="15"/>
  <cols>
    <col min="1" max="1" width="1.85546875" customWidth="1"/>
    <col min="2" max="3" width="20.7109375" customWidth="1"/>
    <col min="4" max="4" width="33.140625" bestFit="1" customWidth="1"/>
    <col min="5" max="5" width="20.7109375" customWidth="1"/>
    <col min="6" max="6" width="1.42578125" customWidth="1"/>
    <col min="9" max="9" width="9.7109375" bestFit="1" customWidth="1"/>
    <col min="10" max="10" width="13.5703125" bestFit="1" customWidth="1"/>
    <col min="12" max="12" width="14.5703125" bestFit="1" customWidth="1"/>
  </cols>
  <sheetData>
    <row r="1" spans="1:13" ht="15.75">
      <c r="A1" s="1645"/>
      <c r="B1" s="2482" t="s">
        <v>2</v>
      </c>
      <c r="C1" s="2482"/>
      <c r="D1" s="2482"/>
      <c r="E1" s="2482"/>
      <c r="F1" s="1646"/>
      <c r="G1" s="1646"/>
      <c r="H1" s="1646"/>
      <c r="I1" s="1646"/>
      <c r="J1" s="1646"/>
      <c r="K1" s="1646"/>
      <c r="L1" s="1646"/>
      <c r="M1" s="1646"/>
    </row>
    <row r="2" spans="1:13">
      <c r="A2" s="1645"/>
      <c r="B2" s="2483" t="s">
        <v>1438</v>
      </c>
      <c r="C2" s="2483"/>
      <c r="D2" s="2483"/>
      <c r="E2" s="2483"/>
      <c r="F2" s="1646"/>
      <c r="G2" s="1646"/>
      <c r="H2" s="1646"/>
      <c r="I2" s="1646"/>
      <c r="J2" s="1646"/>
      <c r="K2" s="1646"/>
      <c r="L2" s="1646"/>
      <c r="M2" s="1646"/>
    </row>
    <row r="3" spans="1:13">
      <c r="A3" s="1645"/>
      <c r="B3" s="2484"/>
      <c r="C3" s="2484"/>
      <c r="D3" s="2484"/>
      <c r="E3" s="2484"/>
      <c r="F3" s="1647"/>
      <c r="G3" s="1647"/>
      <c r="H3" s="1647"/>
      <c r="I3" s="1647"/>
      <c r="J3" s="1647"/>
      <c r="K3" s="1647"/>
      <c r="L3" s="1647"/>
      <c r="M3" s="1647"/>
    </row>
    <row r="4" spans="1:13">
      <c r="A4" s="1648"/>
      <c r="B4" s="1648"/>
      <c r="C4" s="1648"/>
      <c r="D4" s="1648"/>
      <c r="E4" s="1648"/>
      <c r="F4" s="1648"/>
      <c r="G4" s="1649"/>
      <c r="H4" s="1649"/>
      <c r="I4" s="1649"/>
      <c r="J4" s="1649"/>
      <c r="K4" s="1649"/>
      <c r="L4" s="1649"/>
      <c r="M4" s="1649"/>
    </row>
    <row r="5" spans="1:13">
      <c r="A5" s="1648"/>
      <c r="B5" s="1650" t="s">
        <v>1439</v>
      </c>
      <c r="C5" s="1648"/>
      <c r="D5" s="1648"/>
      <c r="E5" s="1648"/>
      <c r="F5" s="1648"/>
      <c r="G5" s="1649"/>
      <c r="H5" s="1649"/>
      <c r="I5" s="1649"/>
      <c r="J5" s="1649"/>
      <c r="K5" s="1649"/>
      <c r="L5" s="1649"/>
      <c r="M5" s="1649"/>
    </row>
    <row r="6" spans="1:13">
      <c r="A6" s="1648"/>
      <c r="B6" s="1648"/>
      <c r="C6" s="1648"/>
      <c r="D6" s="1648"/>
      <c r="E6" s="1648"/>
      <c r="F6" s="1648"/>
      <c r="G6" s="1649"/>
      <c r="H6" s="1649"/>
      <c r="I6" s="1649"/>
      <c r="J6" s="1649"/>
      <c r="K6" s="1649"/>
      <c r="L6" s="1649"/>
      <c r="M6" s="1649"/>
    </row>
    <row r="7" spans="1:13">
      <c r="A7" s="1648"/>
      <c r="B7" s="1651" t="s">
        <v>1440</v>
      </c>
      <c r="C7" s="1651" t="s">
        <v>1441</v>
      </c>
      <c r="D7" s="1652" t="s">
        <v>288</v>
      </c>
      <c r="E7" s="1653" t="s">
        <v>1018</v>
      </c>
      <c r="F7" s="1648"/>
      <c r="G7" s="1649"/>
      <c r="H7" s="1649"/>
      <c r="I7" s="1649"/>
      <c r="J7" s="1649"/>
      <c r="K7" s="1649"/>
      <c r="L7" s="1649"/>
      <c r="M7" s="1649"/>
    </row>
    <row r="8" spans="1:13">
      <c r="A8" s="1648"/>
      <c r="B8" s="1654">
        <v>1110000</v>
      </c>
      <c r="C8" s="1654">
        <v>146140</v>
      </c>
      <c r="D8" s="1654" t="s">
        <v>1442</v>
      </c>
      <c r="E8" s="1655">
        <v>-472447712</v>
      </c>
      <c r="F8" s="1648"/>
      <c r="G8" s="1649"/>
      <c r="H8" s="1656"/>
      <c r="I8" s="1656"/>
      <c r="J8" s="1657"/>
      <c r="K8" s="1656"/>
      <c r="L8" s="1658"/>
      <c r="M8" s="1649"/>
    </row>
    <row r="9" spans="1:13">
      <c r="A9" s="1648"/>
      <c r="B9" s="1659">
        <v>1110000</v>
      </c>
      <c r="C9" s="1654">
        <v>146200</v>
      </c>
      <c r="D9" s="1654" t="s">
        <v>1443</v>
      </c>
      <c r="E9" s="1655">
        <v>-148725697</v>
      </c>
      <c r="F9" s="1648"/>
      <c r="G9" s="1649"/>
      <c r="H9" s="1649"/>
      <c r="I9" s="1649"/>
      <c r="J9" s="1658"/>
      <c r="K9" s="1649"/>
      <c r="L9" s="1658"/>
      <c r="M9" s="1649"/>
    </row>
    <row r="10" spans="1:13">
      <c r="A10" s="1648"/>
      <c r="B10" s="1659">
        <v>1110000</v>
      </c>
      <c r="C10" s="1654">
        <v>146201</v>
      </c>
      <c r="D10" s="1654" t="s">
        <v>1444</v>
      </c>
      <c r="E10" s="1655">
        <v>2363579</v>
      </c>
      <c r="F10" s="1648"/>
      <c r="G10" s="1649"/>
      <c r="H10" s="1649"/>
      <c r="I10" s="1649"/>
      <c r="J10" s="1658"/>
      <c r="K10" s="1649"/>
      <c r="L10" s="1658"/>
      <c r="M10" s="1649"/>
    </row>
    <row r="11" spans="1:13">
      <c r="A11" s="1648"/>
      <c r="B11" s="1659">
        <v>1110000</v>
      </c>
      <c r="C11" s="1654">
        <v>146210</v>
      </c>
      <c r="D11" s="1654" t="s">
        <v>1445</v>
      </c>
      <c r="E11" s="1655">
        <v>-19274203</v>
      </c>
      <c r="F11" s="1648"/>
      <c r="G11" s="1648"/>
      <c r="H11" s="1648"/>
      <c r="I11" s="1648"/>
      <c r="J11" s="2230"/>
      <c r="K11" s="1648"/>
      <c r="L11" s="2230"/>
      <c r="M11" s="1649"/>
    </row>
    <row r="12" spans="1:13">
      <c r="A12" s="1648"/>
      <c r="B12" s="1659">
        <v>1110000</v>
      </c>
      <c r="C12" s="1654">
        <v>146230</v>
      </c>
      <c r="D12" s="1654" t="s">
        <v>1446</v>
      </c>
      <c r="E12" s="1655">
        <v>-14858389</v>
      </c>
      <c r="F12" s="1648"/>
      <c r="G12" s="1648"/>
      <c r="H12" s="1648"/>
      <c r="I12" s="1648"/>
      <c r="J12" s="2230"/>
      <c r="K12" s="1648"/>
      <c r="L12" s="2230"/>
      <c r="M12" s="1649"/>
    </row>
    <row r="13" spans="1:13">
      <c r="A13" s="1648"/>
      <c r="B13" s="1660"/>
      <c r="C13" s="1660"/>
      <c r="D13" s="1661" t="s">
        <v>1447</v>
      </c>
      <c r="E13" s="1662">
        <f>SUM(E8:E12)</f>
        <v>-652942422</v>
      </c>
      <c r="F13" s="1649"/>
      <c r="G13" s="2229" t="s">
        <v>1924</v>
      </c>
      <c r="H13" s="1648"/>
      <c r="I13" s="1648"/>
      <c r="J13" s="1648"/>
      <c r="K13" s="1648"/>
      <c r="L13" s="1648"/>
      <c r="M13" s="1649"/>
    </row>
    <row r="14" spans="1:13">
      <c r="A14" s="1648"/>
      <c r="B14" s="1648"/>
      <c r="C14" s="1648"/>
      <c r="D14" s="1648"/>
      <c r="E14" s="1648"/>
      <c r="F14" s="1648"/>
      <c r="G14" s="1648"/>
      <c r="H14" s="1648"/>
      <c r="I14" s="1648"/>
      <c r="J14" s="2230"/>
      <c r="K14" s="1648"/>
      <c r="L14" s="2230"/>
      <c r="M14" s="1649"/>
    </row>
    <row r="15" spans="1:13">
      <c r="A15" s="1648"/>
      <c r="B15" s="1648"/>
      <c r="C15" s="1648"/>
      <c r="D15" s="1648"/>
      <c r="E15" s="1648"/>
      <c r="F15" s="1648"/>
      <c r="G15" s="1649"/>
      <c r="H15" s="1649"/>
      <c r="I15" s="1649"/>
      <c r="J15" s="1649"/>
      <c r="K15" s="1649"/>
      <c r="L15" s="1649"/>
      <c r="M15" s="1649"/>
    </row>
    <row r="16" spans="1:13">
      <c r="A16" s="1648"/>
      <c r="B16" s="1648"/>
      <c r="C16" s="1648"/>
      <c r="D16" s="1648"/>
      <c r="E16" s="1648"/>
      <c r="F16" s="1648"/>
      <c r="G16" s="1649"/>
      <c r="H16" s="1649"/>
      <c r="I16" s="1649"/>
      <c r="J16" s="1649"/>
      <c r="K16" s="1649"/>
      <c r="L16" s="1649"/>
      <c r="M16" s="1649"/>
    </row>
    <row r="17" spans="1:13">
      <c r="A17" s="1648"/>
      <c r="B17" s="1648"/>
      <c r="C17" s="1648"/>
      <c r="D17" s="1648"/>
      <c r="E17" s="1648"/>
      <c r="F17" s="1648"/>
      <c r="G17" s="1649"/>
      <c r="H17" s="1649"/>
      <c r="I17" s="1649"/>
      <c r="J17" s="1649"/>
      <c r="K17" s="1649"/>
      <c r="L17" s="1649"/>
      <c r="M17" s="1649"/>
    </row>
    <row r="18" spans="1:13">
      <c r="A18" s="1648"/>
      <c r="B18" s="1648"/>
      <c r="C18" s="1648"/>
      <c r="D18" s="1648"/>
      <c r="E18" s="1648"/>
      <c r="F18" s="1648"/>
      <c r="G18" s="1649"/>
      <c r="H18" s="1649"/>
      <c r="I18" s="1649"/>
      <c r="J18" s="1649"/>
      <c r="K18" s="1649"/>
      <c r="L18" s="1649"/>
      <c r="M18" s="1649"/>
    </row>
    <row r="19" spans="1:13">
      <c r="A19" s="1649"/>
      <c r="B19" s="1649"/>
      <c r="C19" s="1649"/>
      <c r="D19" s="1649"/>
      <c r="E19" s="1649"/>
      <c r="F19" s="1649"/>
      <c r="G19" s="1649"/>
      <c r="H19" s="1649"/>
      <c r="I19" s="1649"/>
      <c r="J19" s="1649"/>
      <c r="K19" s="1649"/>
      <c r="L19" s="1649"/>
      <c r="M19" s="1649"/>
    </row>
    <row r="20" spans="1:13">
      <c r="A20" s="1649"/>
      <c r="B20" s="1649"/>
      <c r="C20" s="1649"/>
      <c r="D20" s="1649"/>
      <c r="E20" s="1649"/>
      <c r="F20" s="1649"/>
      <c r="G20" s="1649"/>
      <c r="H20" s="1649"/>
      <c r="I20" s="1649"/>
      <c r="J20" s="1649"/>
      <c r="K20" s="1649"/>
      <c r="L20" s="1649"/>
      <c r="M20" s="1649"/>
    </row>
    <row r="21" spans="1:13">
      <c r="A21" s="1649"/>
      <c r="B21" s="1649"/>
      <c r="C21" s="1649"/>
      <c r="D21" s="1649"/>
      <c r="E21" s="1649"/>
      <c r="F21" s="1649"/>
      <c r="G21" s="1649"/>
      <c r="H21" s="1649"/>
      <c r="I21" s="1649"/>
      <c r="J21" s="1649"/>
      <c r="K21" s="1649"/>
      <c r="L21" s="1649"/>
      <c r="M21" s="1649"/>
    </row>
    <row r="22" spans="1:13">
      <c r="A22" s="1649"/>
      <c r="B22" s="1649"/>
      <c r="C22" s="1649"/>
      <c r="D22" s="1649"/>
      <c r="E22" s="1649"/>
      <c r="F22" s="1649"/>
      <c r="G22" s="1649"/>
      <c r="H22" s="1649"/>
      <c r="I22" s="1649"/>
      <c r="J22" s="1649"/>
      <c r="K22" s="1649"/>
      <c r="L22" s="1649"/>
      <c r="M22" s="1649"/>
    </row>
    <row r="23" spans="1:13">
      <c r="A23" s="1649"/>
      <c r="B23" s="1649"/>
      <c r="C23" s="1649"/>
      <c r="D23" s="1649"/>
      <c r="E23" s="1649"/>
      <c r="F23" s="1649"/>
      <c r="G23" s="1649"/>
      <c r="H23" s="1649"/>
      <c r="I23" s="1649"/>
      <c r="J23" s="1649"/>
      <c r="K23" s="1649"/>
      <c r="L23" s="1649"/>
      <c r="M23" s="1649"/>
    </row>
    <row r="24" spans="1:13">
      <c r="A24" s="1649"/>
      <c r="B24" s="1649"/>
      <c r="C24" s="1649"/>
      <c r="D24" s="1649"/>
      <c r="E24" s="1649"/>
      <c r="F24" s="1649"/>
      <c r="G24" s="1649"/>
      <c r="H24" s="1649"/>
      <c r="I24" s="1649"/>
      <c r="J24" s="1649"/>
      <c r="K24" s="1649"/>
      <c r="L24" s="1649"/>
      <c r="M24" s="1649"/>
    </row>
  </sheetData>
  <mergeCells count="3">
    <mergeCell ref="B1:E1"/>
    <mergeCell ref="B2:E2"/>
    <mergeCell ref="B3:E3"/>
  </mergeCells>
  <pageMargins left="0.7" right="0.7" top="0.75" bottom="0.75" header="0.3" footer="0.3"/>
  <pageSetup scale="94"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2"/>
  <sheetViews>
    <sheetView workbookViewId="0">
      <selection activeCell="N12" sqref="N12"/>
    </sheetView>
  </sheetViews>
  <sheetFormatPr defaultRowHeight="15"/>
  <cols>
    <col min="1" max="1" width="4.85546875" customWidth="1"/>
    <col min="2" max="3" width="17.85546875" customWidth="1"/>
    <col min="4" max="4" width="42.42578125" customWidth="1"/>
    <col min="5" max="5" width="17.7109375" customWidth="1"/>
    <col min="6" max="8" width="18" customWidth="1"/>
    <col min="9" max="12" width="17.7109375" customWidth="1"/>
  </cols>
  <sheetData>
    <row r="1" spans="1:13" ht="15.75">
      <c r="A1" s="1663"/>
      <c r="B1" s="584" t="s">
        <v>2</v>
      </c>
      <c r="C1" s="1664"/>
      <c r="D1" s="1664"/>
      <c r="E1" s="1664"/>
      <c r="F1" s="1664"/>
      <c r="G1" s="1664"/>
      <c r="H1" s="1664"/>
      <c r="I1" s="1664"/>
      <c r="J1" s="1664"/>
      <c r="K1" s="1664"/>
      <c r="L1" s="1664"/>
      <c r="M1" s="1646"/>
    </row>
    <row r="2" spans="1:13" ht="15.75">
      <c r="A2" s="1663"/>
      <c r="B2" s="584" t="s">
        <v>1448</v>
      </c>
      <c r="C2" s="1664"/>
      <c r="D2" s="1664"/>
      <c r="E2" s="1664"/>
      <c r="F2" s="1664"/>
      <c r="G2" s="1664"/>
      <c r="H2" s="1664"/>
      <c r="I2" s="1664"/>
      <c r="J2" s="1664"/>
      <c r="K2" s="1664"/>
      <c r="L2" s="1664"/>
      <c r="M2" s="1646"/>
    </row>
    <row r="3" spans="1:13">
      <c r="A3" s="1663"/>
      <c r="B3" s="1647"/>
      <c r="C3" s="1647"/>
      <c r="D3" s="1647"/>
      <c r="E3" s="1647"/>
      <c r="F3" s="1647"/>
      <c r="G3" s="1647"/>
      <c r="H3" s="1647"/>
      <c r="I3" s="1647"/>
      <c r="J3" s="1647"/>
      <c r="K3" s="1647"/>
      <c r="L3" s="1647"/>
      <c r="M3" s="1647"/>
    </row>
    <row r="4" spans="1:13">
      <c r="A4" s="1665"/>
      <c r="B4" s="1666" t="s">
        <v>2025</v>
      </c>
      <c r="C4" s="1667"/>
      <c r="D4" s="1667"/>
      <c r="E4" s="1667"/>
      <c r="F4" s="1667"/>
      <c r="G4" s="1667"/>
      <c r="H4" s="1667"/>
      <c r="I4" s="1667"/>
      <c r="J4" s="1667"/>
      <c r="K4" s="1667"/>
      <c r="L4" s="1667"/>
      <c r="M4" s="1668"/>
    </row>
    <row r="5" spans="1:13" ht="15.75" thickBot="1">
      <c r="A5" s="487"/>
      <c r="B5" s="487"/>
      <c r="C5" s="487"/>
      <c r="D5" s="487"/>
      <c r="E5" s="487"/>
      <c r="F5" s="487"/>
      <c r="G5" s="487"/>
      <c r="H5" s="1669"/>
      <c r="I5" s="487"/>
      <c r="J5" s="487"/>
      <c r="K5" s="487"/>
      <c r="L5" s="487"/>
      <c r="M5" s="474"/>
    </row>
    <row r="6" spans="1:13" ht="30.75" customHeight="1" thickBot="1">
      <c r="A6" s="1665"/>
      <c r="B6" s="1670" t="s">
        <v>1440</v>
      </c>
      <c r="C6" s="1671" t="s">
        <v>1441</v>
      </c>
      <c r="D6" s="1672" t="s">
        <v>1449</v>
      </c>
      <c r="E6" s="2386" t="s">
        <v>1450</v>
      </c>
      <c r="F6" s="1673" t="s">
        <v>1862</v>
      </c>
      <c r="G6" s="1673" t="s">
        <v>2024</v>
      </c>
      <c r="H6" s="1673" t="s">
        <v>1451</v>
      </c>
      <c r="I6" s="1674" t="s">
        <v>1142</v>
      </c>
      <c r="J6" s="1675" t="s">
        <v>1452</v>
      </c>
      <c r="K6" s="1675" t="s">
        <v>1453</v>
      </c>
      <c r="L6" s="1675" t="s">
        <v>1454</v>
      </c>
      <c r="M6" s="1668"/>
    </row>
    <row r="7" spans="1:13">
      <c r="A7" s="1665"/>
      <c r="B7" s="1682">
        <v>1651000</v>
      </c>
      <c r="C7" s="1683">
        <v>132008</v>
      </c>
      <c r="D7" s="1683" t="s">
        <v>2586</v>
      </c>
      <c r="E7" s="1684" t="s">
        <v>1453</v>
      </c>
      <c r="F7" s="2387">
        <v>2105195.58</v>
      </c>
      <c r="G7" s="1676">
        <v>3633108.31</v>
      </c>
      <c r="H7" s="1677">
        <f>AVERAGE(F7:G7)</f>
        <v>2869151.9450000003</v>
      </c>
      <c r="I7" s="1678" t="str">
        <f>IF($E7=I$6,$H7,"")</f>
        <v/>
      </c>
      <c r="J7" s="1679" t="str">
        <f t="shared" ref="J7:L27" si="0">IF($E7=J$6,$H7,"")</f>
        <v/>
      </c>
      <c r="K7" s="1679">
        <f t="shared" si="0"/>
        <v>2869151.9450000003</v>
      </c>
      <c r="L7" s="1680" t="str">
        <f t="shared" si="0"/>
        <v/>
      </c>
      <c r="M7" s="1681"/>
    </row>
    <row r="8" spans="1:13">
      <c r="A8" s="1665"/>
      <c r="B8" s="1682"/>
      <c r="C8" s="1683">
        <v>132012</v>
      </c>
      <c r="D8" s="1683" t="s">
        <v>2587</v>
      </c>
      <c r="E8" s="1684" t="s">
        <v>1453</v>
      </c>
      <c r="F8" s="2387">
        <v>3068113.38</v>
      </c>
      <c r="G8" s="1676">
        <v>2203884.9</v>
      </c>
      <c r="H8" s="1677">
        <f t="shared" ref="H8:H51" si="1">AVERAGE(F8:G8)</f>
        <v>2635999.1399999997</v>
      </c>
      <c r="I8" s="1678" t="str">
        <f t="shared" ref="I8:L53" si="2">IF($E8=I$6,$H8,"")</f>
        <v/>
      </c>
      <c r="J8" s="1679" t="str">
        <f t="shared" si="0"/>
        <v/>
      </c>
      <c r="K8" s="1679">
        <f t="shared" si="0"/>
        <v>2635999.1399999997</v>
      </c>
      <c r="L8" s="1680" t="str">
        <f t="shared" si="0"/>
        <v/>
      </c>
      <c r="M8" s="1681"/>
    </row>
    <row r="9" spans="1:13">
      <c r="A9" s="1665"/>
      <c r="B9" s="1682"/>
      <c r="C9" s="1683">
        <v>132013</v>
      </c>
      <c r="D9" s="1683" t="s">
        <v>2588</v>
      </c>
      <c r="E9" s="1684" t="s">
        <v>1454</v>
      </c>
      <c r="F9" s="2387">
        <v>0</v>
      </c>
      <c r="G9" s="1676">
        <v>0</v>
      </c>
      <c r="H9" s="1677">
        <f t="shared" si="1"/>
        <v>0</v>
      </c>
      <c r="I9" s="1678" t="str">
        <f t="shared" si="2"/>
        <v/>
      </c>
      <c r="J9" s="1679" t="str">
        <f t="shared" si="0"/>
        <v/>
      </c>
      <c r="K9" s="1679" t="str">
        <f t="shared" si="0"/>
        <v/>
      </c>
      <c r="L9" s="1680"/>
      <c r="M9" s="1681"/>
    </row>
    <row r="10" spans="1:13">
      <c r="A10" s="1665"/>
      <c r="B10" s="1682"/>
      <c r="C10" s="1683">
        <v>132016</v>
      </c>
      <c r="D10" s="1683" t="s">
        <v>2589</v>
      </c>
      <c r="E10" s="1684" t="s">
        <v>1142</v>
      </c>
      <c r="F10" s="2387">
        <v>364355.17</v>
      </c>
      <c r="G10" s="1676">
        <v>496418.98</v>
      </c>
      <c r="H10" s="1677">
        <f t="shared" si="1"/>
        <v>430387.07499999995</v>
      </c>
      <c r="I10" s="1678">
        <f t="shared" si="2"/>
        <v>430387.07499999995</v>
      </c>
      <c r="J10" s="1679" t="str">
        <f t="shared" si="0"/>
        <v/>
      </c>
      <c r="K10" s="1679" t="str">
        <f t="shared" si="0"/>
        <v/>
      </c>
      <c r="L10" s="1680" t="str">
        <f t="shared" si="0"/>
        <v/>
      </c>
      <c r="M10" s="1681"/>
    </row>
    <row r="11" spans="1:13">
      <c r="A11" s="1665"/>
      <c r="B11" s="1682"/>
      <c r="C11" s="1683">
        <v>132045</v>
      </c>
      <c r="D11" s="1683" t="s">
        <v>2590</v>
      </c>
      <c r="E11" s="1684" t="s">
        <v>1454</v>
      </c>
      <c r="F11" s="2387">
        <v>152361.39000000001</v>
      </c>
      <c r="G11" s="1676">
        <v>138750.72</v>
      </c>
      <c r="H11" s="1677">
        <f t="shared" si="1"/>
        <v>145556.05499999999</v>
      </c>
      <c r="I11" s="1678" t="str">
        <f t="shared" si="2"/>
        <v/>
      </c>
      <c r="J11" s="1679" t="str">
        <f t="shared" si="0"/>
        <v/>
      </c>
      <c r="K11" s="1679" t="str">
        <f t="shared" si="0"/>
        <v/>
      </c>
      <c r="L11" s="1680">
        <f t="shared" si="0"/>
        <v>145556.05499999999</v>
      </c>
      <c r="M11" s="1681"/>
    </row>
    <row r="12" spans="1:13">
      <c r="A12" s="1665"/>
      <c r="B12" s="1682"/>
      <c r="C12" s="1683">
        <v>132055</v>
      </c>
      <c r="D12" s="1683" t="s">
        <v>2591</v>
      </c>
      <c r="E12" s="1684" t="s">
        <v>1454</v>
      </c>
      <c r="F12" s="2387">
        <v>91461.35</v>
      </c>
      <c r="G12" s="1676">
        <v>58202.75</v>
      </c>
      <c r="H12" s="1677">
        <f t="shared" si="1"/>
        <v>74832.05</v>
      </c>
      <c r="I12" s="1678" t="str">
        <f t="shared" si="2"/>
        <v/>
      </c>
      <c r="J12" s="1679" t="str">
        <f t="shared" si="0"/>
        <v/>
      </c>
      <c r="K12" s="1679" t="str">
        <f t="shared" si="0"/>
        <v/>
      </c>
      <c r="L12" s="1680">
        <f t="shared" si="0"/>
        <v>74832.05</v>
      </c>
      <c r="M12" s="1681"/>
    </row>
    <row r="13" spans="1:13">
      <c r="A13" s="1665"/>
      <c r="B13" s="1682"/>
      <c r="C13" s="1683">
        <v>132722</v>
      </c>
      <c r="D13" s="1683" t="s">
        <v>2592</v>
      </c>
      <c r="E13" s="1684" t="s">
        <v>1453</v>
      </c>
      <c r="F13" s="2387">
        <v>0</v>
      </c>
      <c r="G13" s="1676">
        <v>0</v>
      </c>
      <c r="H13" s="1677">
        <f t="shared" si="1"/>
        <v>0</v>
      </c>
      <c r="I13" s="1678" t="str">
        <f t="shared" si="2"/>
        <v/>
      </c>
      <c r="J13" s="1679" t="str">
        <f t="shared" si="0"/>
        <v/>
      </c>
      <c r="K13" s="1679"/>
      <c r="L13" s="1680" t="str">
        <f t="shared" si="0"/>
        <v/>
      </c>
      <c r="M13" s="1681"/>
    </row>
    <row r="14" spans="1:13">
      <c r="A14" s="1665"/>
      <c r="B14" s="1682"/>
      <c r="C14" s="1683">
        <v>132723</v>
      </c>
      <c r="D14" s="1683" t="s">
        <v>2593</v>
      </c>
      <c r="E14" s="1684" t="s">
        <v>1453</v>
      </c>
      <c r="F14" s="2387">
        <v>0</v>
      </c>
      <c r="G14" s="1676">
        <v>0</v>
      </c>
      <c r="H14" s="1677">
        <f t="shared" si="1"/>
        <v>0</v>
      </c>
      <c r="I14" s="1678" t="str">
        <f t="shared" si="2"/>
        <v/>
      </c>
      <c r="J14" s="1679" t="str">
        <f t="shared" si="0"/>
        <v/>
      </c>
      <c r="K14" s="1679"/>
      <c r="L14" s="1680" t="str">
        <f t="shared" si="0"/>
        <v/>
      </c>
      <c r="M14" s="1681"/>
    </row>
    <row r="15" spans="1:13">
      <c r="A15" s="1665"/>
      <c r="B15" s="1682">
        <v>1652000</v>
      </c>
      <c r="C15" s="1683">
        <v>132101</v>
      </c>
      <c r="D15" s="1683" t="s">
        <v>2594</v>
      </c>
      <c r="E15" s="1684" t="s">
        <v>1453</v>
      </c>
      <c r="F15" s="2387">
        <v>13011465.140000001</v>
      </c>
      <c r="G15" s="1676">
        <v>13406625.630000001</v>
      </c>
      <c r="H15" s="1677">
        <f t="shared" si="1"/>
        <v>13209045.385000002</v>
      </c>
      <c r="I15" s="1678" t="str">
        <f t="shared" si="2"/>
        <v/>
      </c>
      <c r="J15" s="1679" t="str">
        <f t="shared" si="0"/>
        <v/>
      </c>
      <c r="K15" s="1679">
        <f t="shared" si="0"/>
        <v>13209045.385000002</v>
      </c>
      <c r="L15" s="1680" t="str">
        <f t="shared" si="0"/>
        <v/>
      </c>
      <c r="M15" s="1681"/>
    </row>
    <row r="16" spans="1:13">
      <c r="A16" s="1665"/>
      <c r="B16" s="1682"/>
      <c r="C16" s="1683">
        <v>132200</v>
      </c>
      <c r="D16" s="1683" t="s">
        <v>2595</v>
      </c>
      <c r="E16" s="1684" t="s">
        <v>1142</v>
      </c>
      <c r="F16" s="2387">
        <v>0</v>
      </c>
      <c r="G16" s="1676">
        <v>0</v>
      </c>
      <c r="H16" s="1677">
        <f t="shared" si="1"/>
        <v>0</v>
      </c>
      <c r="I16" s="1678">
        <f t="shared" si="2"/>
        <v>0</v>
      </c>
      <c r="J16" s="1679" t="str">
        <f t="shared" si="0"/>
        <v/>
      </c>
      <c r="K16" s="1679" t="str">
        <f t="shared" si="0"/>
        <v/>
      </c>
      <c r="L16" s="1680" t="str">
        <f t="shared" si="0"/>
        <v/>
      </c>
      <c r="M16" s="1681"/>
    </row>
    <row r="17" spans="1:13">
      <c r="A17" s="1665"/>
      <c r="B17" s="1682"/>
      <c r="C17" s="1683">
        <v>132924</v>
      </c>
      <c r="D17" s="1683" t="s">
        <v>2596</v>
      </c>
      <c r="E17" s="1684" t="s">
        <v>1142</v>
      </c>
      <c r="F17" s="2387">
        <v>861755</v>
      </c>
      <c r="G17" s="1676">
        <v>749695</v>
      </c>
      <c r="H17" s="1677">
        <f t="shared" si="1"/>
        <v>805725</v>
      </c>
      <c r="I17" s="1678">
        <f t="shared" si="2"/>
        <v>805725</v>
      </c>
      <c r="J17" s="1679" t="str">
        <f t="shared" si="0"/>
        <v/>
      </c>
      <c r="K17" s="1679" t="str">
        <f t="shared" si="0"/>
        <v/>
      </c>
      <c r="L17" s="1680" t="str">
        <f t="shared" si="0"/>
        <v/>
      </c>
      <c r="M17" s="1681"/>
    </row>
    <row r="18" spans="1:13">
      <c r="A18" s="1665"/>
      <c r="B18" s="1682">
        <v>1652100</v>
      </c>
      <c r="C18" s="1683">
        <v>132095</v>
      </c>
      <c r="D18" s="1683" t="s">
        <v>2597</v>
      </c>
      <c r="E18" s="1684" t="s">
        <v>1142</v>
      </c>
      <c r="F18" s="2387">
        <v>591741.73</v>
      </c>
      <c r="G18" s="1676">
        <v>594320.4</v>
      </c>
      <c r="H18" s="1677">
        <f t="shared" si="1"/>
        <v>593031.06499999994</v>
      </c>
      <c r="I18" s="1678">
        <f t="shared" si="2"/>
        <v>593031.06499999994</v>
      </c>
      <c r="J18" s="1679" t="str">
        <f t="shared" si="0"/>
        <v/>
      </c>
      <c r="K18" s="1679" t="str">
        <f t="shared" si="0"/>
        <v/>
      </c>
      <c r="L18" s="1680" t="str">
        <f t="shared" si="0"/>
        <v/>
      </c>
      <c r="M18" s="1681"/>
    </row>
    <row r="19" spans="1:13">
      <c r="A19" s="1665"/>
      <c r="B19" s="1682"/>
      <c r="C19" s="1683">
        <v>132096</v>
      </c>
      <c r="D19" s="1683" t="s">
        <v>2598</v>
      </c>
      <c r="E19" s="1684" t="s">
        <v>1142</v>
      </c>
      <c r="F19" s="2387">
        <v>0</v>
      </c>
      <c r="G19" s="1676">
        <v>0</v>
      </c>
      <c r="H19" s="1677">
        <f t="shared" si="1"/>
        <v>0</v>
      </c>
      <c r="I19" s="1678">
        <f t="shared" si="2"/>
        <v>0</v>
      </c>
      <c r="J19" s="1679" t="str">
        <f t="shared" si="0"/>
        <v/>
      </c>
      <c r="K19" s="1679" t="str">
        <f t="shared" si="0"/>
        <v/>
      </c>
      <c r="L19" s="1680" t="str">
        <f t="shared" si="0"/>
        <v/>
      </c>
      <c r="M19" s="1681"/>
    </row>
    <row r="20" spans="1:13">
      <c r="A20" s="1665"/>
      <c r="B20" s="1682"/>
      <c r="C20" s="1683">
        <v>132097</v>
      </c>
      <c r="D20" s="1683" t="s">
        <v>2599</v>
      </c>
      <c r="E20" s="1684" t="s">
        <v>1142</v>
      </c>
      <c r="F20" s="2387">
        <v>5060826.41</v>
      </c>
      <c r="G20" s="1676">
        <v>12638215.220000001</v>
      </c>
      <c r="H20" s="1677">
        <f t="shared" si="1"/>
        <v>8849520.8150000013</v>
      </c>
      <c r="I20" s="1678">
        <f t="shared" si="2"/>
        <v>8849520.8150000013</v>
      </c>
      <c r="J20" s="1679" t="str">
        <f t="shared" si="0"/>
        <v/>
      </c>
      <c r="K20" s="1679" t="str">
        <f t="shared" si="0"/>
        <v/>
      </c>
      <c r="L20" s="1680" t="str">
        <f t="shared" si="0"/>
        <v/>
      </c>
      <c r="M20" s="1681"/>
    </row>
    <row r="21" spans="1:13">
      <c r="A21" s="1665"/>
      <c r="B21" s="1682"/>
      <c r="C21" s="1683">
        <v>132098</v>
      </c>
      <c r="D21" s="1683" t="s">
        <v>2600</v>
      </c>
      <c r="E21" s="1684" t="s">
        <v>1142</v>
      </c>
      <c r="F21" s="2387">
        <v>1702639.94</v>
      </c>
      <c r="G21" s="1676">
        <v>5643996.9100000001</v>
      </c>
      <c r="H21" s="1677">
        <f t="shared" si="1"/>
        <v>3673318.4249999998</v>
      </c>
      <c r="I21" s="1678">
        <f t="shared" si="2"/>
        <v>3673318.4249999998</v>
      </c>
      <c r="J21" s="1679" t="str">
        <f t="shared" si="0"/>
        <v/>
      </c>
      <c r="K21" s="1679" t="str">
        <f t="shared" si="0"/>
        <v/>
      </c>
      <c r="L21" s="1680" t="str">
        <f t="shared" si="0"/>
        <v/>
      </c>
      <c r="M21" s="1681"/>
    </row>
    <row r="22" spans="1:13">
      <c r="A22" s="1665"/>
      <c r="B22" s="1682"/>
      <c r="C22" s="1683">
        <v>132310</v>
      </c>
      <c r="D22" s="1683" t="s">
        <v>2601</v>
      </c>
      <c r="E22" s="1684" t="s">
        <v>1453</v>
      </c>
      <c r="F22" s="2387">
        <v>44124.92</v>
      </c>
      <c r="G22" s="1676">
        <v>42759.68</v>
      </c>
      <c r="H22" s="1677">
        <f t="shared" si="1"/>
        <v>43442.3</v>
      </c>
      <c r="I22" s="1678" t="str">
        <f t="shared" si="2"/>
        <v/>
      </c>
      <c r="J22" s="1679" t="str">
        <f t="shared" si="0"/>
        <v/>
      </c>
      <c r="K22" s="1679">
        <f t="shared" si="0"/>
        <v>43442.3</v>
      </c>
      <c r="L22" s="1680" t="str">
        <f t="shared" si="0"/>
        <v/>
      </c>
      <c r="M22" s="1681"/>
    </row>
    <row r="23" spans="1:13">
      <c r="A23" s="1665"/>
      <c r="B23" s="1682"/>
      <c r="C23" s="1683">
        <v>132320</v>
      </c>
      <c r="D23" s="1683" t="s">
        <v>2602</v>
      </c>
      <c r="E23" s="1684" t="s">
        <v>1142</v>
      </c>
      <c r="F23" s="2387">
        <v>0</v>
      </c>
      <c r="G23" s="1676">
        <v>0</v>
      </c>
      <c r="H23" s="1677">
        <f t="shared" si="1"/>
        <v>0</v>
      </c>
      <c r="I23" s="1678">
        <f t="shared" si="2"/>
        <v>0</v>
      </c>
      <c r="J23" s="1679" t="str">
        <f t="shared" si="0"/>
        <v/>
      </c>
      <c r="K23" s="1679" t="str">
        <f t="shared" si="0"/>
        <v/>
      </c>
      <c r="L23" s="1680" t="str">
        <f t="shared" si="0"/>
        <v/>
      </c>
      <c r="M23" s="1681"/>
    </row>
    <row r="24" spans="1:13">
      <c r="A24" s="1665"/>
      <c r="B24" s="1682"/>
      <c r="C24" s="1683">
        <v>132580</v>
      </c>
      <c r="D24" s="1683" t="s">
        <v>2603</v>
      </c>
      <c r="E24" s="1684" t="s">
        <v>1142</v>
      </c>
      <c r="F24" s="2387">
        <v>0</v>
      </c>
      <c r="G24" s="1676">
        <v>210908.99</v>
      </c>
      <c r="H24" s="1677">
        <f t="shared" si="1"/>
        <v>105454.495</v>
      </c>
      <c r="I24" s="1678">
        <f t="shared" si="2"/>
        <v>105454.495</v>
      </c>
      <c r="J24" s="1679" t="str">
        <f t="shared" si="0"/>
        <v/>
      </c>
      <c r="K24" s="1679" t="str">
        <f t="shared" si="0"/>
        <v/>
      </c>
      <c r="L24" s="1680" t="str">
        <f t="shared" si="0"/>
        <v/>
      </c>
      <c r="M24" s="1681"/>
    </row>
    <row r="25" spans="1:13">
      <c r="A25" s="1665"/>
      <c r="B25" s="1682"/>
      <c r="C25" s="1683">
        <v>132581</v>
      </c>
      <c r="D25" s="1683" t="s">
        <v>2604</v>
      </c>
      <c r="E25" s="1684" t="s">
        <v>1142</v>
      </c>
      <c r="F25" s="2387">
        <v>0</v>
      </c>
      <c r="G25" s="1676">
        <v>41542.68</v>
      </c>
      <c r="H25" s="1677">
        <f t="shared" si="1"/>
        <v>20771.34</v>
      </c>
      <c r="I25" s="1678">
        <f t="shared" si="2"/>
        <v>20771.34</v>
      </c>
      <c r="J25" s="1679" t="str">
        <f t="shared" si="0"/>
        <v/>
      </c>
      <c r="K25" s="1679" t="str">
        <f t="shared" si="0"/>
        <v/>
      </c>
      <c r="L25" s="1680" t="str">
        <f t="shared" si="0"/>
        <v/>
      </c>
      <c r="M25" s="1681"/>
    </row>
    <row r="26" spans="1:13">
      <c r="A26" s="1665"/>
      <c r="B26" s="1682"/>
      <c r="C26" s="1683">
        <v>132603</v>
      </c>
      <c r="D26" s="1683" t="s">
        <v>2605</v>
      </c>
      <c r="E26" s="1684" t="s">
        <v>1142</v>
      </c>
      <c r="F26" s="2387">
        <v>0</v>
      </c>
      <c r="G26" s="1676">
        <v>0</v>
      </c>
      <c r="H26" s="1677">
        <f t="shared" si="1"/>
        <v>0</v>
      </c>
      <c r="I26" s="1678">
        <f t="shared" si="2"/>
        <v>0</v>
      </c>
      <c r="J26" s="1679" t="str">
        <f t="shared" si="0"/>
        <v/>
      </c>
      <c r="K26" s="1679" t="str">
        <f t="shared" si="0"/>
        <v/>
      </c>
      <c r="L26" s="1680" t="str">
        <f t="shared" si="0"/>
        <v/>
      </c>
      <c r="M26" s="1681"/>
    </row>
    <row r="27" spans="1:13">
      <c r="A27" s="1665"/>
      <c r="B27" s="1682"/>
      <c r="C27" s="1683">
        <v>132606</v>
      </c>
      <c r="D27" s="1683" t="s">
        <v>2606</v>
      </c>
      <c r="E27" s="1684" t="s">
        <v>1142</v>
      </c>
      <c r="F27" s="2387">
        <v>0</v>
      </c>
      <c r="G27" s="1676">
        <v>0</v>
      </c>
      <c r="H27" s="1677">
        <f t="shared" si="1"/>
        <v>0</v>
      </c>
      <c r="I27" s="1678">
        <f t="shared" si="2"/>
        <v>0</v>
      </c>
      <c r="J27" s="1679" t="str">
        <f t="shared" si="0"/>
        <v/>
      </c>
      <c r="K27" s="1679" t="str">
        <f t="shared" si="0"/>
        <v/>
      </c>
      <c r="L27" s="1680" t="str">
        <f t="shared" si="0"/>
        <v/>
      </c>
      <c r="M27" s="1681"/>
    </row>
    <row r="28" spans="1:13">
      <c r="A28" s="1665"/>
      <c r="B28" s="1682"/>
      <c r="C28" s="1683">
        <v>132620</v>
      </c>
      <c r="D28" s="1683" t="s">
        <v>2607</v>
      </c>
      <c r="E28" s="1684" t="s">
        <v>1142</v>
      </c>
      <c r="F28" s="2387">
        <v>1458825.91</v>
      </c>
      <c r="G28" s="1676">
        <v>1113352.21</v>
      </c>
      <c r="H28" s="1677">
        <f t="shared" si="1"/>
        <v>1286089.06</v>
      </c>
      <c r="I28" s="1678">
        <f t="shared" si="2"/>
        <v>1286089.06</v>
      </c>
      <c r="J28" s="1679" t="str">
        <f t="shared" si="2"/>
        <v/>
      </c>
      <c r="K28" s="1679" t="str">
        <f t="shared" si="2"/>
        <v/>
      </c>
      <c r="L28" s="1680" t="str">
        <f t="shared" si="2"/>
        <v/>
      </c>
      <c r="M28" s="1681"/>
    </row>
    <row r="29" spans="1:13">
      <c r="A29" s="1665"/>
      <c r="B29" s="1682"/>
      <c r="C29" s="1683">
        <v>132621</v>
      </c>
      <c r="D29" s="1683" t="s">
        <v>2608</v>
      </c>
      <c r="E29" s="1684" t="s">
        <v>1142</v>
      </c>
      <c r="F29" s="2387">
        <v>557593.74</v>
      </c>
      <c r="G29" s="1676">
        <v>557593.74</v>
      </c>
      <c r="H29" s="1677">
        <f t="shared" si="1"/>
        <v>557593.74</v>
      </c>
      <c r="I29" s="1678">
        <f t="shared" si="2"/>
        <v>557593.74</v>
      </c>
      <c r="J29" s="1679" t="str">
        <f t="shared" si="2"/>
        <v/>
      </c>
      <c r="K29" s="1679" t="str">
        <f t="shared" si="2"/>
        <v/>
      </c>
      <c r="L29" s="1680" t="str">
        <f t="shared" si="2"/>
        <v/>
      </c>
      <c r="M29" s="1681"/>
    </row>
    <row r="30" spans="1:13">
      <c r="A30" s="1665"/>
      <c r="B30" s="1682"/>
      <c r="C30" s="1683">
        <v>132622</v>
      </c>
      <c r="D30" s="1683" t="s">
        <v>2609</v>
      </c>
      <c r="E30" s="1684" t="s">
        <v>1142</v>
      </c>
      <c r="F30" s="2387">
        <v>0</v>
      </c>
      <c r="G30" s="1676">
        <v>0</v>
      </c>
      <c r="H30" s="1677">
        <f t="shared" si="1"/>
        <v>0</v>
      </c>
      <c r="I30" s="1678">
        <f t="shared" si="2"/>
        <v>0</v>
      </c>
      <c r="J30" s="1679" t="str">
        <f t="shared" si="2"/>
        <v/>
      </c>
      <c r="K30" s="1679" t="str">
        <f t="shared" si="2"/>
        <v/>
      </c>
      <c r="L30" s="1680" t="str">
        <f t="shared" si="2"/>
        <v/>
      </c>
      <c r="M30" s="1681"/>
    </row>
    <row r="31" spans="1:13">
      <c r="A31" s="1665"/>
      <c r="B31" s="1682"/>
      <c r="C31" s="1683">
        <v>132623</v>
      </c>
      <c r="D31" s="1683" t="s">
        <v>2610</v>
      </c>
      <c r="E31" s="1684" t="s">
        <v>1142</v>
      </c>
      <c r="F31" s="2387">
        <v>161250</v>
      </c>
      <c r="G31" s="1676">
        <v>0</v>
      </c>
      <c r="H31" s="1677">
        <f t="shared" si="1"/>
        <v>80625</v>
      </c>
      <c r="I31" s="1678">
        <f t="shared" si="2"/>
        <v>80625</v>
      </c>
      <c r="J31" s="1679" t="str">
        <f t="shared" si="2"/>
        <v/>
      </c>
      <c r="K31" s="1679" t="str">
        <f t="shared" si="2"/>
        <v/>
      </c>
      <c r="L31" s="1680" t="str">
        <f t="shared" si="2"/>
        <v/>
      </c>
      <c r="M31" s="1681"/>
    </row>
    <row r="32" spans="1:13">
      <c r="A32" s="1665"/>
      <c r="B32" s="1682"/>
      <c r="C32" s="1683">
        <v>132630</v>
      </c>
      <c r="D32" s="1683" t="s">
        <v>2611</v>
      </c>
      <c r="E32" s="1684" t="s">
        <v>1142</v>
      </c>
      <c r="F32" s="2387">
        <v>0</v>
      </c>
      <c r="G32" s="1676">
        <v>0</v>
      </c>
      <c r="H32" s="1677">
        <f t="shared" si="1"/>
        <v>0</v>
      </c>
      <c r="I32" s="1678">
        <f t="shared" si="2"/>
        <v>0</v>
      </c>
      <c r="J32" s="1679" t="str">
        <f t="shared" si="2"/>
        <v/>
      </c>
      <c r="K32" s="1679" t="str">
        <f t="shared" si="2"/>
        <v/>
      </c>
      <c r="L32" s="1680" t="str">
        <f t="shared" si="2"/>
        <v/>
      </c>
      <c r="M32" s="1681"/>
    </row>
    <row r="33" spans="1:13">
      <c r="A33" s="1665"/>
      <c r="B33" s="1682"/>
      <c r="C33" s="1683">
        <v>132650</v>
      </c>
      <c r="D33" s="1683" t="s">
        <v>2612</v>
      </c>
      <c r="E33" s="1684" t="s">
        <v>1142</v>
      </c>
      <c r="F33" s="2387">
        <v>26000.01</v>
      </c>
      <c r="G33" s="1676">
        <v>20000.009999999998</v>
      </c>
      <c r="H33" s="1677">
        <f t="shared" si="1"/>
        <v>23000.01</v>
      </c>
      <c r="I33" s="1678">
        <f t="shared" si="2"/>
        <v>23000.01</v>
      </c>
      <c r="J33" s="1679" t="str">
        <f t="shared" si="2"/>
        <v/>
      </c>
      <c r="K33" s="1679" t="str">
        <f t="shared" si="2"/>
        <v/>
      </c>
      <c r="L33" s="1680" t="str">
        <f t="shared" si="2"/>
        <v/>
      </c>
      <c r="M33" s="1681"/>
    </row>
    <row r="34" spans="1:13">
      <c r="A34" s="1665"/>
      <c r="B34" s="1682"/>
      <c r="C34" s="1683">
        <v>132700</v>
      </c>
      <c r="D34" s="1683" t="s">
        <v>2613</v>
      </c>
      <c r="E34" s="1684" t="s">
        <v>1453</v>
      </c>
      <c r="F34" s="2387">
        <v>42666.64</v>
      </c>
      <c r="G34" s="1676">
        <v>42666.64</v>
      </c>
      <c r="H34" s="1677">
        <f t="shared" si="1"/>
        <v>42666.64</v>
      </c>
      <c r="I34" s="1678" t="str">
        <f t="shared" si="2"/>
        <v/>
      </c>
      <c r="J34" s="1679" t="str">
        <f t="shared" si="2"/>
        <v/>
      </c>
      <c r="K34" s="1679">
        <f t="shared" si="2"/>
        <v>42666.64</v>
      </c>
      <c r="L34" s="1680" t="str">
        <f t="shared" si="2"/>
        <v/>
      </c>
      <c r="M34" s="1681"/>
    </row>
    <row r="35" spans="1:13">
      <c r="A35" s="1665"/>
      <c r="B35" s="1682"/>
      <c r="C35" s="1683">
        <v>132704</v>
      </c>
      <c r="D35" s="1683" t="s">
        <v>2614</v>
      </c>
      <c r="E35" s="1684" t="s">
        <v>1142</v>
      </c>
      <c r="F35" s="2387">
        <v>0</v>
      </c>
      <c r="G35" s="1676">
        <v>0</v>
      </c>
      <c r="H35" s="1677">
        <f t="shared" si="1"/>
        <v>0</v>
      </c>
      <c r="I35" s="1678">
        <f t="shared" si="2"/>
        <v>0</v>
      </c>
      <c r="J35" s="1679" t="str">
        <f t="shared" si="2"/>
        <v/>
      </c>
      <c r="K35" s="1679" t="str">
        <f t="shared" si="2"/>
        <v/>
      </c>
      <c r="L35" s="1680" t="str">
        <f t="shared" si="2"/>
        <v/>
      </c>
      <c r="M35" s="1681"/>
    </row>
    <row r="36" spans="1:13">
      <c r="A36" s="1665"/>
      <c r="B36" s="1682"/>
      <c r="C36" s="1683">
        <v>132705</v>
      </c>
      <c r="D36" s="1683" t="s">
        <v>2615</v>
      </c>
      <c r="E36" s="1684" t="s">
        <v>1142</v>
      </c>
      <c r="F36" s="2387">
        <v>326144.52</v>
      </c>
      <c r="G36" s="1676">
        <v>324729.65999999997</v>
      </c>
      <c r="H36" s="1677">
        <f t="shared" si="1"/>
        <v>325437.08999999997</v>
      </c>
      <c r="I36" s="1678">
        <f t="shared" si="2"/>
        <v>325437.08999999997</v>
      </c>
      <c r="J36" s="1679" t="str">
        <f t="shared" si="2"/>
        <v/>
      </c>
      <c r="K36" s="1679" t="str">
        <f t="shared" si="2"/>
        <v/>
      </c>
      <c r="L36" s="1680" t="str">
        <f t="shared" si="2"/>
        <v/>
      </c>
      <c r="M36" s="1681"/>
    </row>
    <row r="37" spans="1:13">
      <c r="A37" s="1665"/>
      <c r="B37" s="1682"/>
      <c r="C37" s="1683">
        <v>132740</v>
      </c>
      <c r="D37" s="1683" t="s">
        <v>2616</v>
      </c>
      <c r="E37" s="1684" t="s">
        <v>1142</v>
      </c>
      <c r="F37" s="2387">
        <v>49226.81</v>
      </c>
      <c r="G37" s="1676">
        <v>96134.05</v>
      </c>
      <c r="H37" s="1677">
        <f t="shared" si="1"/>
        <v>72680.429999999993</v>
      </c>
      <c r="I37" s="1678">
        <f t="shared" si="2"/>
        <v>72680.429999999993</v>
      </c>
      <c r="J37" s="1679" t="str">
        <f t="shared" si="2"/>
        <v/>
      </c>
      <c r="K37" s="1679" t="str">
        <f t="shared" si="2"/>
        <v/>
      </c>
      <c r="L37" s="1680" t="str">
        <f t="shared" si="2"/>
        <v/>
      </c>
      <c r="M37" s="1681"/>
    </row>
    <row r="38" spans="1:13">
      <c r="A38" s="1665"/>
      <c r="B38" s="1682"/>
      <c r="C38" s="1683">
        <v>132755</v>
      </c>
      <c r="D38" s="1683" t="s">
        <v>2617</v>
      </c>
      <c r="E38" s="1684" t="s">
        <v>1454</v>
      </c>
      <c r="F38" s="2387">
        <v>0</v>
      </c>
      <c r="G38" s="1676">
        <v>327258.59999999998</v>
      </c>
      <c r="H38" s="1677">
        <f t="shared" si="1"/>
        <v>163629.29999999999</v>
      </c>
      <c r="I38" s="1678" t="str">
        <f t="shared" si="2"/>
        <v/>
      </c>
      <c r="J38" s="1679" t="str">
        <f t="shared" si="2"/>
        <v/>
      </c>
      <c r="K38" s="1679" t="str">
        <f t="shared" si="2"/>
        <v/>
      </c>
      <c r="L38" s="1680">
        <f t="shared" si="2"/>
        <v>163629.29999999999</v>
      </c>
      <c r="M38" s="1681"/>
    </row>
    <row r="39" spans="1:13">
      <c r="A39" s="1665"/>
      <c r="B39" s="1682"/>
      <c r="C39" s="1683">
        <v>132825</v>
      </c>
      <c r="D39" s="1683" t="s">
        <v>2618</v>
      </c>
      <c r="E39" s="1684" t="s">
        <v>1142</v>
      </c>
      <c r="F39" s="2387">
        <v>0</v>
      </c>
      <c r="G39" s="1676">
        <v>0</v>
      </c>
      <c r="H39" s="1677">
        <f t="shared" si="1"/>
        <v>0</v>
      </c>
      <c r="I39" s="1678">
        <f t="shared" si="2"/>
        <v>0</v>
      </c>
      <c r="J39" s="1679" t="str">
        <f t="shared" si="2"/>
        <v/>
      </c>
      <c r="K39" s="1679" t="str">
        <f t="shared" si="2"/>
        <v/>
      </c>
      <c r="L39" s="1680" t="str">
        <f t="shared" si="2"/>
        <v/>
      </c>
      <c r="M39" s="1681"/>
    </row>
    <row r="40" spans="1:13">
      <c r="A40" s="1665"/>
      <c r="B40" s="1682"/>
      <c r="C40" s="1683">
        <v>132831</v>
      </c>
      <c r="D40" s="1683" t="s">
        <v>2619</v>
      </c>
      <c r="E40" s="1684" t="s">
        <v>1142</v>
      </c>
      <c r="F40" s="2387">
        <v>983688</v>
      </c>
      <c r="G40" s="1676">
        <v>983688</v>
      </c>
      <c r="H40" s="1677">
        <f t="shared" si="1"/>
        <v>983688</v>
      </c>
      <c r="I40" s="1678">
        <f t="shared" si="2"/>
        <v>983688</v>
      </c>
      <c r="J40" s="1679" t="str">
        <f t="shared" si="2"/>
        <v/>
      </c>
      <c r="K40" s="1679" t="str">
        <f t="shared" si="2"/>
        <v/>
      </c>
      <c r="L40" s="1680" t="str">
        <f t="shared" si="2"/>
        <v/>
      </c>
      <c r="M40" s="1681"/>
    </row>
    <row r="41" spans="1:13">
      <c r="A41" s="1665"/>
      <c r="B41" s="1682"/>
      <c r="C41" s="1683">
        <v>132900</v>
      </c>
      <c r="D41" s="1683" t="s">
        <v>2620</v>
      </c>
      <c r="E41" s="1684" t="s">
        <v>1454</v>
      </c>
      <c r="F41" s="2387">
        <v>1561463.07</v>
      </c>
      <c r="G41" s="1676">
        <v>1686356</v>
      </c>
      <c r="H41" s="1677">
        <f t="shared" si="1"/>
        <v>1623909.5350000001</v>
      </c>
      <c r="I41" s="1678" t="str">
        <f t="shared" si="2"/>
        <v/>
      </c>
      <c r="J41" s="1679" t="str">
        <f t="shared" si="2"/>
        <v/>
      </c>
      <c r="K41" s="1679" t="str">
        <f t="shared" si="2"/>
        <v/>
      </c>
      <c r="L41" s="1680">
        <f t="shared" si="2"/>
        <v>1623909.5350000001</v>
      </c>
      <c r="M41" s="1681"/>
    </row>
    <row r="42" spans="1:13">
      <c r="A42" s="1665"/>
      <c r="B42" s="1682"/>
      <c r="C42" s="1683">
        <v>132901</v>
      </c>
      <c r="D42" s="1683" t="s">
        <v>2621</v>
      </c>
      <c r="E42" s="1684" t="s">
        <v>1142</v>
      </c>
      <c r="F42" s="2387">
        <v>1062378.6299999999</v>
      </c>
      <c r="G42" s="1676">
        <v>1010288.12</v>
      </c>
      <c r="H42" s="1677">
        <f t="shared" si="1"/>
        <v>1036333.375</v>
      </c>
      <c r="I42" s="1678">
        <f t="shared" si="2"/>
        <v>1036333.375</v>
      </c>
      <c r="J42" s="1679" t="str">
        <f t="shared" si="2"/>
        <v/>
      </c>
      <c r="K42" s="1679" t="str">
        <f t="shared" si="2"/>
        <v/>
      </c>
      <c r="L42" s="1680"/>
      <c r="M42" s="1681"/>
    </row>
    <row r="43" spans="1:13">
      <c r="A43" s="1665"/>
      <c r="B43" s="1682"/>
      <c r="C43" s="1683">
        <v>132903</v>
      </c>
      <c r="D43" s="1683" t="s">
        <v>2622</v>
      </c>
      <c r="E43" s="1684" t="s">
        <v>1142</v>
      </c>
      <c r="F43" s="2387">
        <v>3139867.89</v>
      </c>
      <c r="G43" s="1676">
        <v>3104333.12</v>
      </c>
      <c r="H43" s="1677">
        <f t="shared" si="1"/>
        <v>3122100.5049999999</v>
      </c>
      <c r="I43" s="1678">
        <f t="shared" si="2"/>
        <v>3122100.5049999999</v>
      </c>
      <c r="J43" s="1679" t="str">
        <f t="shared" si="2"/>
        <v/>
      </c>
      <c r="K43" s="1679" t="str">
        <f t="shared" si="2"/>
        <v/>
      </c>
      <c r="L43" s="1680" t="str">
        <f t="shared" si="2"/>
        <v/>
      </c>
      <c r="M43" s="1681"/>
    </row>
    <row r="44" spans="1:13">
      <c r="A44" s="1665"/>
      <c r="B44" s="1682"/>
      <c r="C44" s="1683">
        <v>132904</v>
      </c>
      <c r="D44" s="1683" t="s">
        <v>2623</v>
      </c>
      <c r="E44" s="1684" t="s">
        <v>1142</v>
      </c>
      <c r="F44" s="2387">
        <v>321814.38</v>
      </c>
      <c r="G44" s="1676">
        <v>361935.12</v>
      </c>
      <c r="H44" s="1677">
        <f t="shared" si="1"/>
        <v>341874.75</v>
      </c>
      <c r="I44" s="1678">
        <f t="shared" si="2"/>
        <v>341874.75</v>
      </c>
      <c r="J44" s="1679" t="str">
        <f t="shared" si="2"/>
        <v/>
      </c>
      <c r="K44" s="1679" t="str">
        <f t="shared" si="2"/>
        <v/>
      </c>
      <c r="L44" s="1680" t="str">
        <f t="shared" si="2"/>
        <v/>
      </c>
      <c r="M44" s="1681"/>
    </row>
    <row r="45" spans="1:13">
      <c r="A45" s="1665"/>
      <c r="B45" s="1682"/>
      <c r="C45" s="1683">
        <v>132909</v>
      </c>
      <c r="D45" s="1683" t="s">
        <v>2624</v>
      </c>
      <c r="E45" s="1684" t="s">
        <v>1454</v>
      </c>
      <c r="F45" s="2387">
        <v>0</v>
      </c>
      <c r="G45" s="1676">
        <v>0</v>
      </c>
      <c r="H45" s="1677">
        <f t="shared" si="1"/>
        <v>0</v>
      </c>
      <c r="I45" s="1678" t="str">
        <f t="shared" si="2"/>
        <v/>
      </c>
      <c r="J45" s="1679" t="str">
        <f t="shared" si="2"/>
        <v/>
      </c>
      <c r="K45" s="1679" t="str">
        <f t="shared" si="2"/>
        <v/>
      </c>
      <c r="L45" s="1680">
        <f t="shared" si="2"/>
        <v>0</v>
      </c>
      <c r="M45" s="1681"/>
    </row>
    <row r="46" spans="1:13">
      <c r="A46" s="1665"/>
      <c r="B46" s="1682"/>
      <c r="C46" s="1683">
        <v>132910</v>
      </c>
      <c r="D46" s="1683" t="s">
        <v>2625</v>
      </c>
      <c r="E46" s="1684" t="s">
        <v>1454</v>
      </c>
      <c r="F46" s="2387">
        <v>8673044.0999999996</v>
      </c>
      <c r="G46" s="1676">
        <v>10500249.01</v>
      </c>
      <c r="H46" s="1677">
        <f t="shared" si="1"/>
        <v>9586646.5549999997</v>
      </c>
      <c r="I46" s="1678" t="str">
        <f t="shared" si="2"/>
        <v/>
      </c>
      <c r="J46" s="1679" t="str">
        <f t="shared" si="2"/>
        <v/>
      </c>
      <c r="K46" s="1679" t="str">
        <f t="shared" si="2"/>
        <v/>
      </c>
      <c r="L46" s="1680">
        <f t="shared" si="2"/>
        <v>9586646.5549999997</v>
      </c>
      <c r="M46" s="1681"/>
    </row>
    <row r="47" spans="1:13">
      <c r="A47" s="1665"/>
      <c r="B47" s="1682"/>
      <c r="C47" s="1683">
        <v>132926</v>
      </c>
      <c r="D47" s="1683" t="s">
        <v>2626</v>
      </c>
      <c r="E47" s="1684" t="s">
        <v>1142</v>
      </c>
      <c r="F47" s="2387">
        <v>0</v>
      </c>
      <c r="G47" s="1676">
        <v>0</v>
      </c>
      <c r="H47" s="1677">
        <f t="shared" si="1"/>
        <v>0</v>
      </c>
      <c r="I47" s="1678">
        <f t="shared" si="2"/>
        <v>0</v>
      </c>
      <c r="J47" s="1679" t="str">
        <f t="shared" si="2"/>
        <v/>
      </c>
      <c r="K47" s="1679" t="str">
        <f t="shared" si="2"/>
        <v/>
      </c>
      <c r="L47" s="1680" t="str">
        <f t="shared" si="2"/>
        <v/>
      </c>
      <c r="M47" s="1681"/>
    </row>
    <row r="48" spans="1:13">
      <c r="A48" s="1665"/>
      <c r="B48" s="1682"/>
      <c r="C48" s="1683">
        <v>132998</v>
      </c>
      <c r="D48" s="1683" t="s">
        <v>2627</v>
      </c>
      <c r="E48" s="1684" t="s">
        <v>1453</v>
      </c>
      <c r="F48" s="2387">
        <v>-79022.7</v>
      </c>
      <c r="G48" s="1676">
        <v>-57949.98</v>
      </c>
      <c r="H48" s="1677">
        <f t="shared" si="1"/>
        <v>-68486.34</v>
      </c>
      <c r="I48" s="1678" t="str">
        <f t="shared" si="2"/>
        <v/>
      </c>
      <c r="J48" s="1679" t="str">
        <f t="shared" si="2"/>
        <v/>
      </c>
      <c r="K48" s="1679">
        <f t="shared" si="2"/>
        <v>-68486.34</v>
      </c>
      <c r="L48" s="1680" t="str">
        <f t="shared" si="2"/>
        <v/>
      </c>
      <c r="M48" s="1681"/>
    </row>
    <row r="49" spans="1:13">
      <c r="A49" s="1665"/>
      <c r="B49" s="1682"/>
      <c r="C49" s="1683">
        <v>132999</v>
      </c>
      <c r="D49" s="1683" t="s">
        <v>2628</v>
      </c>
      <c r="E49" s="1684" t="s">
        <v>1142</v>
      </c>
      <c r="F49" s="2387">
        <v>-874499.93</v>
      </c>
      <c r="G49" s="1676">
        <v>-1585645.09</v>
      </c>
      <c r="H49" s="1677">
        <f t="shared" si="1"/>
        <v>-1230072.51</v>
      </c>
      <c r="I49" s="1678">
        <f t="shared" si="2"/>
        <v>-1230072.51</v>
      </c>
      <c r="J49" s="1679" t="str">
        <f t="shared" si="2"/>
        <v/>
      </c>
      <c r="K49" s="1679" t="str">
        <f t="shared" si="2"/>
        <v/>
      </c>
      <c r="L49" s="1680" t="str">
        <f t="shared" si="2"/>
        <v/>
      </c>
      <c r="M49" s="1681"/>
    </row>
    <row r="50" spans="1:13">
      <c r="A50" s="1665"/>
      <c r="B50" s="1682"/>
      <c r="C50" s="1683">
        <v>134000</v>
      </c>
      <c r="D50" s="1683" t="s">
        <v>2629</v>
      </c>
      <c r="E50" s="1684" t="s">
        <v>1142</v>
      </c>
      <c r="F50" s="2387">
        <v>953522.63</v>
      </c>
      <c r="G50" s="1676">
        <v>1643595.07</v>
      </c>
      <c r="H50" s="1677">
        <f t="shared" si="1"/>
        <v>1298558.8500000001</v>
      </c>
      <c r="I50" s="1678">
        <f t="shared" si="2"/>
        <v>1298558.8500000001</v>
      </c>
      <c r="J50" s="1679" t="str">
        <f t="shared" si="2"/>
        <v/>
      </c>
      <c r="K50" s="1679" t="str">
        <f t="shared" si="2"/>
        <v/>
      </c>
      <c r="L50" s="1680" t="str">
        <f t="shared" si="2"/>
        <v/>
      </c>
      <c r="M50" s="1681"/>
    </row>
    <row r="51" spans="1:13">
      <c r="A51" s="1665"/>
      <c r="B51" s="1682">
        <v>1653000</v>
      </c>
      <c r="C51" s="1683">
        <v>132303</v>
      </c>
      <c r="D51" s="1683" t="s">
        <v>2630</v>
      </c>
      <c r="E51" s="1684" t="s">
        <v>1142</v>
      </c>
      <c r="F51" s="2387">
        <v>2586029.87</v>
      </c>
      <c r="G51" s="1676">
        <v>2531870.69</v>
      </c>
      <c r="H51" s="1677">
        <f t="shared" si="1"/>
        <v>2558950.2800000003</v>
      </c>
      <c r="I51" s="1678">
        <f t="shared" si="2"/>
        <v>2558950.2800000003</v>
      </c>
      <c r="J51" s="1679" t="str">
        <f t="shared" si="2"/>
        <v/>
      </c>
      <c r="K51" s="1679" t="str">
        <f t="shared" si="2"/>
        <v/>
      </c>
      <c r="L51" s="1680" t="str">
        <f t="shared" si="2"/>
        <v/>
      </c>
      <c r="M51" s="1681"/>
    </row>
    <row r="52" spans="1:13">
      <c r="A52" s="1665"/>
      <c r="B52" s="1682"/>
      <c r="C52" s="1683">
        <v>132304</v>
      </c>
      <c r="D52" s="1683" t="s">
        <v>2631</v>
      </c>
      <c r="E52" s="1684" t="s">
        <v>1142</v>
      </c>
      <c r="F52" s="2387">
        <v>0</v>
      </c>
      <c r="G52" s="1676">
        <v>0</v>
      </c>
      <c r="H52" s="1677">
        <f>AVERAGE(F52:G52)</f>
        <v>0</v>
      </c>
      <c r="I52" s="1678">
        <f t="shared" si="2"/>
        <v>0</v>
      </c>
      <c r="J52" s="1679" t="str">
        <f t="shared" si="2"/>
        <v/>
      </c>
      <c r="K52" s="1679" t="str">
        <f t="shared" si="2"/>
        <v/>
      </c>
      <c r="L52" s="1680" t="str">
        <f t="shared" si="2"/>
        <v/>
      </c>
      <c r="M52" s="1681"/>
    </row>
    <row r="53" spans="1:13">
      <c r="A53" s="1665"/>
      <c r="B53" s="1682"/>
      <c r="C53" s="1683">
        <v>203000</v>
      </c>
      <c r="D53" s="1683" t="s">
        <v>2632</v>
      </c>
      <c r="E53" s="1684" t="s">
        <v>1142</v>
      </c>
      <c r="F53" s="2387">
        <v>16625</v>
      </c>
      <c r="G53" s="1676">
        <v>66625</v>
      </c>
      <c r="H53" s="1677">
        <f t="shared" ref="H53:H54" si="3">AVERAGE(F53:G53)</f>
        <v>41625</v>
      </c>
      <c r="I53" s="1678">
        <f t="shared" si="2"/>
        <v>41625</v>
      </c>
      <c r="J53" s="1679" t="str">
        <f t="shared" si="2"/>
        <v/>
      </c>
      <c r="K53" s="1679" t="str">
        <f t="shared" si="2"/>
        <v/>
      </c>
      <c r="L53" s="1680" t="str">
        <f t="shared" si="2"/>
        <v/>
      </c>
      <c r="M53" s="1681"/>
    </row>
    <row r="54" spans="1:13" ht="15.75" thickBot="1">
      <c r="A54" s="1665"/>
      <c r="B54" s="1682">
        <v>1655000</v>
      </c>
      <c r="C54" s="1683">
        <v>132400</v>
      </c>
      <c r="D54" s="1683" t="s">
        <v>2633</v>
      </c>
      <c r="E54" s="1684" t="s">
        <v>1142</v>
      </c>
      <c r="F54" s="2387">
        <v>0</v>
      </c>
      <c r="G54" s="1676">
        <v>0</v>
      </c>
      <c r="H54" s="1677">
        <f t="shared" si="3"/>
        <v>0</v>
      </c>
      <c r="I54" s="1678">
        <f t="shared" ref="I54:L54" si="4">IF($E54=I$6,$H54,"")</f>
        <v>0</v>
      </c>
      <c r="J54" s="1679" t="str">
        <f t="shared" si="4"/>
        <v/>
      </c>
      <c r="K54" s="1679" t="str">
        <f t="shared" si="4"/>
        <v/>
      </c>
      <c r="L54" s="1680" t="str">
        <f t="shared" si="4"/>
        <v/>
      </c>
      <c r="M54" s="1681"/>
    </row>
    <row r="55" spans="1:13" ht="15.75" thickBot="1">
      <c r="A55" s="1665"/>
      <c r="B55" s="1685"/>
      <c r="C55" s="1685"/>
      <c r="D55" s="1686" t="s">
        <v>1455</v>
      </c>
      <c r="E55" s="1687"/>
      <c r="F55" s="1688">
        <f>SUM(F7:F54)</f>
        <v>48020658.579999998</v>
      </c>
      <c r="G55" s="1689">
        <f>SUM(G7:G54)</f>
        <v>62585510.139999978</v>
      </c>
      <c r="H55" s="1690">
        <f>SUM(H7:H54)</f>
        <v>55303084.360000014</v>
      </c>
      <c r="I55" s="1688">
        <f>SUM(I7:I54)</f>
        <v>24976691.795000002</v>
      </c>
      <c r="J55" s="1688">
        <f t="shared" ref="J55:L55" si="5">SUM(J7:J54)</f>
        <v>0</v>
      </c>
      <c r="K55" s="1688">
        <f t="shared" si="5"/>
        <v>18731819.070000004</v>
      </c>
      <c r="L55" s="1688">
        <f t="shared" si="5"/>
        <v>11594573.494999999</v>
      </c>
      <c r="M55" s="1681"/>
    </row>
    <row r="56" spans="1:13">
      <c r="A56" s="1668"/>
      <c r="B56" s="1668"/>
      <c r="C56" s="1668"/>
      <c r="D56" s="1668"/>
      <c r="E56" s="1668"/>
      <c r="F56" s="1668"/>
      <c r="G56" s="1668"/>
      <c r="H56" s="1668"/>
      <c r="I56" s="1668"/>
      <c r="J56" s="1668"/>
      <c r="K56" s="1668"/>
      <c r="L56" s="1668"/>
      <c r="M56" s="1668"/>
    </row>
    <row r="57" spans="1:13">
      <c r="A57" s="1668"/>
      <c r="B57" s="1668"/>
      <c r="C57" s="1668"/>
      <c r="D57" s="1668"/>
      <c r="E57" s="1668"/>
      <c r="F57" s="1668"/>
      <c r="G57" s="1668"/>
      <c r="H57" s="1668"/>
      <c r="I57" s="1668"/>
      <c r="J57" s="1668"/>
      <c r="K57" s="1668"/>
      <c r="L57" s="1668"/>
      <c r="M57" s="1668"/>
    </row>
    <row r="58" spans="1:13">
      <c r="A58" s="1649"/>
      <c r="B58" s="1649"/>
      <c r="C58" s="1649"/>
      <c r="D58" s="1649"/>
      <c r="E58" s="1649"/>
      <c r="F58" s="1656"/>
      <c r="G58" s="1691" t="s">
        <v>882</v>
      </c>
      <c r="H58" s="1692"/>
      <c r="I58" s="1693">
        <v>0</v>
      </c>
      <c r="J58" s="1693">
        <v>1</v>
      </c>
      <c r="K58" s="1694">
        <f>Allocator.net.plant</f>
        <v>0.27227320599025778</v>
      </c>
      <c r="L58" s="1694">
        <f>Allocator.wages.salary</f>
        <v>8.414504158513228E-2</v>
      </c>
      <c r="M58" s="1649"/>
    </row>
    <row r="59" spans="1:13">
      <c r="A59" s="1649"/>
      <c r="B59" s="1649"/>
      <c r="C59" s="1649"/>
      <c r="D59" s="1649"/>
      <c r="E59" s="1649"/>
      <c r="F59" s="1656"/>
      <c r="G59" s="1691" t="s">
        <v>1456</v>
      </c>
      <c r="H59" s="1692"/>
      <c r="I59" s="1695">
        <f>I55*I58</f>
        <v>0</v>
      </c>
      <c r="J59" s="1695">
        <f>J55*J58</f>
        <v>0</v>
      </c>
      <c r="K59" s="1695">
        <f>K55*K58</f>
        <v>5100172.4322183505</v>
      </c>
      <c r="L59" s="1695">
        <f>L55*L58</f>
        <v>975625.86889864749</v>
      </c>
      <c r="M59" s="1649"/>
    </row>
    <row r="60" spans="1:13">
      <c r="A60" s="1649"/>
      <c r="B60" s="1649"/>
      <c r="C60" s="1649"/>
      <c r="D60" s="1649"/>
      <c r="E60" s="1649"/>
      <c r="F60" s="1656"/>
      <c r="G60" s="1696"/>
      <c r="H60" s="1697"/>
      <c r="I60" s="1697"/>
      <c r="J60" s="1697"/>
      <c r="K60" s="1697"/>
      <c r="L60" s="1697"/>
      <c r="M60" s="1649"/>
    </row>
    <row r="61" spans="1:13" ht="15.75" thickBot="1">
      <c r="A61" s="1649"/>
      <c r="B61" s="1649"/>
      <c r="C61" s="1649"/>
      <c r="D61" s="1649"/>
      <c r="E61" s="1649"/>
      <c r="F61" s="1656"/>
      <c r="G61" s="1698" t="s">
        <v>1457</v>
      </c>
      <c r="H61" s="1699">
        <f>SUM(I59:L59)</f>
        <v>6075798.3011169983</v>
      </c>
      <c r="I61" s="1692"/>
      <c r="J61" s="1697"/>
      <c r="K61" s="1697"/>
      <c r="L61" s="1692"/>
      <c r="M61" s="1649"/>
    </row>
    <row r="62" spans="1:13">
      <c r="A62" s="1668"/>
      <c r="B62" s="1668"/>
      <c r="C62" s="1668"/>
      <c r="D62" s="1668"/>
      <c r="E62" s="1668"/>
      <c r="F62" s="1700"/>
      <c r="G62" s="1668"/>
      <c r="H62" s="1668"/>
      <c r="I62" s="1668"/>
      <c r="J62" s="1668"/>
      <c r="K62" s="1668"/>
      <c r="L62" s="1668"/>
      <c r="M62" s="1668"/>
    </row>
    <row r="63" spans="1:13">
      <c r="A63" s="1668"/>
      <c r="B63" s="1668"/>
      <c r="C63" s="1668"/>
      <c r="D63" s="1668"/>
      <c r="E63" s="1668"/>
      <c r="F63" s="1700"/>
      <c r="G63" s="1668"/>
      <c r="H63" s="1668"/>
      <c r="I63" s="1668"/>
      <c r="J63" s="1668"/>
      <c r="K63" s="1668"/>
      <c r="L63" s="1668"/>
      <c r="M63" s="1668"/>
    </row>
    <row r="64" spans="1:13">
      <c r="A64" s="1668"/>
      <c r="B64" s="1668"/>
      <c r="C64" s="1668"/>
      <c r="D64" s="1668"/>
      <c r="E64" s="1668"/>
      <c r="F64" s="1700"/>
      <c r="G64" s="1668"/>
      <c r="H64" s="1668"/>
      <c r="I64" s="1668"/>
      <c r="J64" s="1668"/>
      <c r="K64" s="1668"/>
      <c r="L64" s="1668"/>
      <c r="M64" s="1668"/>
    </row>
    <row r="65" spans="1:13">
      <c r="A65" s="1668"/>
      <c r="B65" s="1668"/>
      <c r="C65" s="1668"/>
      <c r="D65" s="1668"/>
      <c r="E65" s="1668"/>
      <c r="F65" s="1700"/>
      <c r="G65" s="1701"/>
      <c r="H65" s="1668"/>
      <c r="I65" s="1668"/>
      <c r="J65" s="1668"/>
      <c r="K65" s="1668"/>
      <c r="L65" s="1668"/>
      <c r="M65" s="1668"/>
    </row>
    <row r="66" spans="1:13">
      <c r="A66" s="1668"/>
      <c r="B66" s="1668"/>
      <c r="C66" s="1668"/>
      <c r="D66" s="1668"/>
      <c r="E66" s="1668"/>
      <c r="F66" s="1700"/>
      <c r="G66" s="1668"/>
      <c r="H66" s="1668"/>
      <c r="I66" s="1668"/>
      <c r="J66" s="1668"/>
      <c r="K66" s="1668"/>
      <c r="L66" s="1668"/>
      <c r="M66" s="1668"/>
    </row>
    <row r="67" spans="1:13">
      <c r="A67" s="1668"/>
      <c r="B67" s="1668"/>
      <c r="C67" s="1668"/>
      <c r="D67" s="1668"/>
      <c r="E67" s="1668"/>
      <c r="F67" s="1700"/>
      <c r="G67" s="1668"/>
      <c r="H67" s="1668"/>
      <c r="I67" s="1668"/>
      <c r="J67" s="1668"/>
      <c r="K67" s="1668"/>
      <c r="L67" s="1668"/>
      <c r="M67" s="1668"/>
    </row>
    <row r="68" spans="1:13">
      <c r="A68" s="1668"/>
      <c r="B68" s="1668"/>
      <c r="C68" s="1668"/>
      <c r="D68" s="1668"/>
      <c r="E68" s="1668"/>
      <c r="F68" s="1700"/>
      <c r="G68" s="1668"/>
      <c r="H68" s="1668"/>
      <c r="I68" s="1668"/>
      <c r="J68" s="1668"/>
      <c r="K68" s="1668"/>
      <c r="L68" s="1668"/>
      <c r="M68" s="1668"/>
    </row>
    <row r="69" spans="1:13">
      <c r="A69" s="1668"/>
      <c r="B69" s="1668"/>
      <c r="C69" s="1668"/>
      <c r="D69" s="1668"/>
      <c r="E69" s="1668"/>
      <c r="F69" s="1700"/>
      <c r="G69" s="1668"/>
      <c r="H69" s="1668"/>
      <c r="I69" s="1668"/>
      <c r="J69" s="1668"/>
      <c r="K69" s="1668"/>
      <c r="L69" s="1668"/>
      <c r="M69" s="1668"/>
    </row>
    <row r="70" spans="1:13">
      <c r="A70" s="1668"/>
      <c r="B70" s="1668"/>
      <c r="C70" s="1668"/>
      <c r="D70" s="1668"/>
      <c r="E70" s="1668"/>
      <c r="F70" s="1700"/>
      <c r="G70" s="1668"/>
      <c r="H70" s="1668"/>
      <c r="I70" s="1668"/>
      <c r="J70" s="1668"/>
      <c r="K70" s="1668"/>
      <c r="L70" s="1668"/>
      <c r="M70" s="1668"/>
    </row>
    <row r="71" spans="1:13">
      <c r="A71" s="1668"/>
      <c r="B71" s="1668"/>
      <c r="C71" s="1668"/>
      <c r="D71" s="1668"/>
      <c r="E71" s="1668"/>
      <c r="F71" s="1700"/>
      <c r="G71" s="1668"/>
      <c r="H71" s="1668"/>
      <c r="I71" s="1668"/>
      <c r="J71" s="1668"/>
      <c r="K71" s="1668"/>
      <c r="L71" s="1668"/>
      <c r="M71" s="1668"/>
    </row>
    <row r="72" spans="1:13">
      <c r="A72" s="1668"/>
      <c r="B72" s="1668"/>
      <c r="C72" s="1668"/>
      <c r="D72" s="1668"/>
      <c r="E72" s="1668"/>
      <c r="F72" s="1700"/>
      <c r="G72" s="1668"/>
      <c r="H72" s="1668"/>
      <c r="I72" s="1668"/>
      <c r="J72" s="1668"/>
      <c r="K72" s="1668"/>
      <c r="L72" s="1668"/>
      <c r="M72" s="1668"/>
    </row>
    <row r="73" spans="1:13">
      <c r="A73" s="1668"/>
      <c r="B73" s="1668"/>
      <c r="C73" s="1668"/>
      <c r="D73" s="1668"/>
      <c r="E73" s="1668"/>
      <c r="F73" s="1700"/>
      <c r="G73" s="1668"/>
      <c r="H73" s="1668"/>
      <c r="I73" s="1668"/>
      <c r="J73" s="1668"/>
      <c r="K73" s="1668"/>
      <c r="L73" s="1668"/>
      <c r="M73" s="1668"/>
    </row>
    <row r="74" spans="1:13">
      <c r="A74" s="1668"/>
      <c r="B74" s="1668"/>
      <c r="C74" s="1668"/>
      <c r="D74" s="1668"/>
      <c r="E74" s="1668"/>
      <c r="F74" s="1700"/>
      <c r="G74" s="1668"/>
      <c r="H74" s="1668"/>
      <c r="I74" s="1668"/>
      <c r="J74" s="1668"/>
      <c r="K74" s="1668"/>
      <c r="L74" s="1668"/>
      <c r="M74" s="1668"/>
    </row>
    <row r="75" spans="1:13">
      <c r="A75" s="1668"/>
      <c r="B75" s="1668"/>
      <c r="C75" s="1668"/>
      <c r="D75" s="1668"/>
      <c r="E75" s="1668"/>
      <c r="F75" s="1700"/>
      <c r="G75" s="1668"/>
      <c r="H75" s="1668"/>
      <c r="I75" s="1668"/>
      <c r="J75" s="1668"/>
      <c r="K75" s="1668"/>
      <c r="L75" s="1668"/>
      <c r="M75" s="1668"/>
    </row>
    <row r="76" spans="1:13">
      <c r="A76" s="1668"/>
      <c r="B76" s="1668"/>
      <c r="C76" s="1668"/>
      <c r="D76" s="1668"/>
      <c r="E76" s="1668"/>
      <c r="F76" s="1700"/>
      <c r="G76" s="1668"/>
      <c r="H76" s="1668"/>
      <c r="I76" s="1668"/>
      <c r="J76" s="1668"/>
      <c r="K76" s="1668"/>
      <c r="L76" s="1668"/>
      <c r="M76" s="1668"/>
    </row>
    <row r="77" spans="1:13">
      <c r="A77" s="1668"/>
      <c r="B77" s="1668"/>
      <c r="C77" s="1668"/>
      <c r="D77" s="1668"/>
      <c r="E77" s="1668"/>
      <c r="F77" s="1700"/>
      <c r="G77" s="1668"/>
      <c r="H77" s="1668"/>
      <c r="I77" s="1668"/>
      <c r="J77" s="1668"/>
      <c r="K77" s="1668"/>
      <c r="L77" s="1668"/>
      <c r="M77" s="1668"/>
    </row>
    <row r="78" spans="1:13">
      <c r="A78" s="1668"/>
      <c r="B78" s="1668"/>
      <c r="C78" s="1668"/>
      <c r="D78" s="1668"/>
      <c r="E78" s="1668"/>
      <c r="F78" s="1700"/>
      <c r="G78" s="1668"/>
      <c r="H78" s="1668"/>
      <c r="I78" s="1668"/>
      <c r="J78" s="1668"/>
      <c r="K78" s="1668"/>
      <c r="L78" s="1668"/>
      <c r="M78" s="1668"/>
    </row>
    <row r="79" spans="1:13">
      <c r="A79" s="1668"/>
      <c r="B79" s="1668"/>
      <c r="C79" s="1668"/>
      <c r="D79" s="1668"/>
      <c r="E79" s="1668"/>
      <c r="F79" s="1700"/>
      <c r="G79" s="1668"/>
      <c r="H79" s="1668"/>
      <c r="I79" s="1668"/>
      <c r="J79" s="1668"/>
      <c r="K79" s="1668"/>
      <c r="L79" s="1668"/>
      <c r="M79" s="1668"/>
    </row>
    <row r="80" spans="1:13">
      <c r="A80" s="1668"/>
      <c r="B80" s="1668"/>
      <c r="C80" s="1668"/>
      <c r="D80" s="1668"/>
      <c r="E80" s="1668"/>
      <c r="F80" s="1700"/>
      <c r="G80" s="1668"/>
      <c r="H80" s="1668"/>
      <c r="I80" s="1668"/>
      <c r="J80" s="1668"/>
      <c r="K80" s="1668"/>
      <c r="L80" s="1668"/>
      <c r="M80" s="1668"/>
    </row>
    <row r="81" spans="1:13">
      <c r="A81" s="1668"/>
      <c r="B81" s="1668"/>
      <c r="C81" s="1668"/>
      <c r="D81" s="1668"/>
      <c r="E81" s="1668"/>
      <c r="F81" s="1700"/>
      <c r="G81" s="1668"/>
      <c r="H81" s="1668"/>
      <c r="I81" s="1668"/>
      <c r="J81" s="1668"/>
      <c r="K81" s="1668"/>
      <c r="L81" s="1668"/>
      <c r="M81" s="1668"/>
    </row>
    <row r="82" spans="1:13">
      <c r="A82" s="1668"/>
      <c r="B82" s="1668"/>
      <c r="C82" s="1668"/>
      <c r="D82" s="1668"/>
      <c r="E82" s="1668"/>
      <c r="F82" s="1700"/>
      <c r="G82" s="1668"/>
      <c r="H82" s="1668"/>
      <c r="I82" s="1668"/>
      <c r="J82" s="1668"/>
      <c r="K82" s="1668"/>
      <c r="L82" s="1668"/>
      <c r="M82" s="1668"/>
    </row>
  </sheetData>
  <pageMargins left="0.7" right="0.7" top="0.75" bottom="0.75" header="0.3" footer="0.3"/>
  <pageSetup scale="5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
  <sheetViews>
    <sheetView workbookViewId="0">
      <selection activeCell="N33" sqref="N33"/>
    </sheetView>
  </sheetViews>
  <sheetFormatPr defaultRowHeight="15"/>
  <cols>
    <col min="1" max="1" width="5.5703125" customWidth="1"/>
    <col min="2" max="2" width="53" customWidth="1"/>
    <col min="3" max="4" width="20.85546875" customWidth="1"/>
    <col min="5" max="5" width="18" bestFit="1" customWidth="1"/>
    <col min="8" max="8" width="11.7109375" bestFit="1" customWidth="1"/>
    <col min="9" max="9" width="18.28515625" bestFit="1" customWidth="1"/>
    <col min="10" max="10" width="11.7109375" bestFit="1" customWidth="1"/>
  </cols>
  <sheetData>
    <row r="1" spans="1:14" ht="15.75">
      <c r="A1" s="1697"/>
      <c r="B1" s="584" t="s">
        <v>2</v>
      </c>
      <c r="C1" s="584"/>
      <c r="D1" s="584"/>
      <c r="E1" s="584"/>
      <c r="F1" s="1646"/>
      <c r="G1" s="1646"/>
      <c r="H1" s="1646"/>
      <c r="I1" s="1646"/>
      <c r="J1" s="1646"/>
      <c r="K1" s="1646"/>
      <c r="L1" s="1646"/>
      <c r="M1" s="1646"/>
      <c r="N1" s="1646"/>
    </row>
    <row r="2" spans="1:14" ht="15.75">
      <c r="A2" s="1697"/>
      <c r="B2" s="584" t="s">
        <v>1458</v>
      </c>
      <c r="C2" s="584"/>
      <c r="D2" s="584"/>
      <c r="E2" s="584"/>
      <c r="F2" s="1646"/>
      <c r="G2" s="1646"/>
      <c r="H2" s="1646"/>
      <c r="I2" s="1646"/>
      <c r="J2" s="1646"/>
      <c r="K2" s="1646"/>
      <c r="L2" s="1646"/>
      <c r="M2" s="1646"/>
      <c r="N2" s="1646"/>
    </row>
    <row r="3" spans="1:14">
      <c r="A3" s="1697"/>
      <c r="B3" s="1647"/>
      <c r="C3" s="1647"/>
      <c r="D3" s="1647"/>
      <c r="E3" s="1647"/>
      <c r="F3" s="1647"/>
      <c r="G3" s="1647"/>
      <c r="H3" s="1647"/>
      <c r="I3" s="1647"/>
      <c r="J3" s="1647"/>
      <c r="K3" s="1647"/>
      <c r="L3" s="1647"/>
      <c r="M3" s="1647"/>
      <c r="N3" s="1647"/>
    </row>
    <row r="4" spans="1:14">
      <c r="A4" s="1702"/>
      <c r="B4" s="1702"/>
      <c r="C4" s="1702"/>
      <c r="D4" s="1702"/>
      <c r="E4" s="1702"/>
      <c r="F4" s="1702"/>
      <c r="G4" s="1703"/>
      <c r="H4" s="1703"/>
      <c r="I4" s="1703"/>
      <c r="J4" s="1703"/>
      <c r="K4" s="1703"/>
      <c r="L4" s="1703"/>
      <c r="M4" s="1703"/>
      <c r="N4" s="1703"/>
    </row>
    <row r="5" spans="1:14">
      <c r="A5" s="1702"/>
      <c r="B5" s="1704" t="s">
        <v>2018</v>
      </c>
      <c r="C5" s="1704"/>
      <c r="D5" s="1704"/>
      <c r="E5" s="1702"/>
      <c r="F5" s="1702"/>
      <c r="G5" s="1703"/>
      <c r="H5" s="1703"/>
      <c r="I5" s="1703"/>
      <c r="J5" s="1703"/>
      <c r="K5" s="1703"/>
      <c r="L5" s="1703"/>
      <c r="M5" s="1703"/>
      <c r="N5" s="1703"/>
    </row>
    <row r="6" spans="1:14">
      <c r="A6" s="1702"/>
      <c r="B6" s="1705"/>
      <c r="C6" s="1705"/>
      <c r="D6" s="1705"/>
      <c r="E6" s="1702"/>
      <c r="F6" s="1702"/>
      <c r="G6" s="1703"/>
      <c r="H6" s="1703"/>
      <c r="I6" s="1703"/>
      <c r="J6" s="1703"/>
      <c r="K6" s="1703"/>
      <c r="L6" s="1703"/>
      <c r="M6" s="1703"/>
      <c r="N6" s="1703"/>
    </row>
    <row r="7" spans="1:14">
      <c r="A7" s="487"/>
      <c r="B7" s="587"/>
      <c r="C7" s="587"/>
      <c r="D7" s="1706" t="s">
        <v>1459</v>
      </c>
      <c r="E7" s="1707" t="s">
        <v>1460</v>
      </c>
      <c r="F7" s="487"/>
      <c r="G7" s="474"/>
      <c r="H7" s="474"/>
      <c r="I7" s="474"/>
      <c r="J7" s="474"/>
      <c r="K7" s="474"/>
      <c r="L7" s="474"/>
      <c r="M7" s="474"/>
      <c r="N7" s="474"/>
    </row>
    <row r="8" spans="1:14">
      <c r="A8" s="487"/>
      <c r="B8" s="1708" t="s">
        <v>2349</v>
      </c>
      <c r="C8" s="1708"/>
      <c r="D8" s="1709">
        <v>161943.97</v>
      </c>
      <c r="E8" s="1709">
        <v>161943.97</v>
      </c>
      <c r="F8" s="487"/>
      <c r="G8" s="737" t="s">
        <v>1461</v>
      </c>
      <c r="H8" s="474"/>
      <c r="I8" s="474"/>
      <c r="J8" s="474"/>
      <c r="K8" s="474"/>
      <c r="L8" s="474"/>
      <c r="M8" s="474"/>
      <c r="N8" s="474"/>
    </row>
    <row r="9" spans="1:14">
      <c r="A9" s="487"/>
      <c r="B9" s="1708" t="s">
        <v>2350</v>
      </c>
      <c r="C9" s="1708"/>
      <c r="D9" s="1709">
        <v>156105.46</v>
      </c>
      <c r="E9" s="1709">
        <v>156105.46</v>
      </c>
      <c r="F9" s="487"/>
      <c r="G9" s="737" t="s">
        <v>1461</v>
      </c>
      <c r="H9" s="474"/>
      <c r="I9" s="474"/>
      <c r="J9" s="474"/>
      <c r="K9" s="474"/>
      <c r="L9" s="474"/>
      <c r="M9" s="474"/>
      <c r="N9" s="474"/>
    </row>
    <row r="10" spans="1:14">
      <c r="A10" s="487"/>
      <c r="B10" s="1708" t="s">
        <v>2351</v>
      </c>
      <c r="C10" s="1708"/>
      <c r="D10" s="1709">
        <v>396019.55</v>
      </c>
      <c r="E10" s="1709">
        <v>396019.55</v>
      </c>
      <c r="F10" s="487"/>
      <c r="G10" s="474"/>
      <c r="H10" s="474"/>
      <c r="I10" s="474"/>
      <c r="J10" s="474"/>
      <c r="K10" s="474"/>
      <c r="L10" s="474"/>
      <c r="M10" s="474"/>
      <c r="N10" s="474"/>
    </row>
    <row r="11" spans="1:14">
      <c r="A11" s="487"/>
      <c r="B11" s="1708" t="s">
        <v>2352</v>
      </c>
      <c r="C11" s="1708"/>
      <c r="D11" s="1709">
        <v>1013577.16</v>
      </c>
      <c r="E11" s="1709">
        <v>1013577.16</v>
      </c>
      <c r="F11" s="487"/>
      <c r="G11" s="474"/>
      <c r="H11" s="474"/>
      <c r="I11" s="474"/>
      <c r="J11" s="474"/>
      <c r="K11" s="474"/>
      <c r="L11" s="474"/>
      <c r="M11" s="474"/>
      <c r="N11" s="474"/>
    </row>
    <row r="12" spans="1:14">
      <c r="A12" s="487"/>
      <c r="B12" s="1708" t="s">
        <v>2353</v>
      </c>
      <c r="C12" s="1708"/>
      <c r="D12" s="1709">
        <v>964042.97</v>
      </c>
      <c r="E12" s="1709">
        <v>964042.97</v>
      </c>
      <c r="F12" s="487"/>
      <c r="G12" s="474"/>
      <c r="H12" s="474"/>
      <c r="I12" s="474"/>
      <c r="J12" s="474"/>
      <c r="K12" s="474"/>
      <c r="L12" s="474"/>
      <c r="M12" s="474"/>
      <c r="N12" s="474"/>
    </row>
    <row r="13" spans="1:14">
      <c r="A13" s="487"/>
      <c r="B13" s="1708" t="s">
        <v>2354</v>
      </c>
      <c r="C13" s="1708"/>
      <c r="D13" s="1709">
        <v>254753.05</v>
      </c>
      <c r="E13" s="1709">
        <v>254753.05</v>
      </c>
      <c r="F13" s="487"/>
      <c r="G13" s="474"/>
      <c r="H13" s="474"/>
      <c r="I13" s="474"/>
      <c r="J13" s="474"/>
      <c r="K13" s="474"/>
      <c r="L13" s="474"/>
      <c r="M13" s="474"/>
      <c r="N13" s="474"/>
    </row>
    <row r="14" spans="1:14">
      <c r="A14" s="487"/>
      <c r="B14" s="1708" t="s">
        <v>2355</v>
      </c>
      <c r="C14" s="1708"/>
      <c r="D14" s="1709">
        <v>598456.77</v>
      </c>
      <c r="E14" s="1709">
        <v>598456.77</v>
      </c>
      <c r="F14" s="487"/>
      <c r="G14" s="474"/>
      <c r="H14" s="474"/>
      <c r="I14" s="474"/>
      <c r="J14" s="474"/>
      <c r="K14" s="474"/>
      <c r="L14" s="474"/>
      <c r="M14" s="474"/>
      <c r="N14" s="474"/>
    </row>
    <row r="15" spans="1:14">
      <c r="A15" s="487"/>
      <c r="B15" s="1708" t="s">
        <v>2356</v>
      </c>
      <c r="C15" s="1708"/>
      <c r="D15" s="1709">
        <v>112635.55</v>
      </c>
      <c r="E15" s="1709">
        <v>112635.55</v>
      </c>
      <c r="F15" s="487"/>
      <c r="G15" s="737" t="s">
        <v>1461</v>
      </c>
      <c r="H15" s="474"/>
      <c r="I15" s="474"/>
      <c r="J15" s="474"/>
      <c r="K15" s="474"/>
      <c r="L15" s="474"/>
      <c r="M15" s="474"/>
      <c r="N15" s="474"/>
    </row>
    <row r="16" spans="1:14">
      <c r="A16" s="487"/>
      <c r="B16" s="1710" t="s">
        <v>1462</v>
      </c>
      <c r="C16" s="1710"/>
      <c r="D16" s="1711">
        <f>SUM(D7:D15)</f>
        <v>3657534.48</v>
      </c>
      <c r="E16" s="1711">
        <f>SUM(E7:E15)</f>
        <v>3657534.48</v>
      </c>
      <c r="F16" s="487"/>
      <c r="G16" s="474"/>
      <c r="H16" s="474"/>
      <c r="I16" s="474"/>
      <c r="J16" s="474"/>
      <c r="K16" s="474"/>
      <c r="L16" s="474"/>
      <c r="M16" s="474"/>
      <c r="N16" s="474"/>
    </row>
    <row r="17" spans="1:14">
      <c r="A17" s="487"/>
      <c r="B17" s="1712"/>
      <c r="C17" s="1712"/>
      <c r="D17" s="1712"/>
      <c r="E17" s="1713"/>
      <c r="F17" s="487"/>
      <c r="G17" s="474"/>
      <c r="H17" s="474"/>
      <c r="I17" s="474"/>
      <c r="J17" s="474"/>
      <c r="K17" s="474"/>
      <c r="L17" s="474"/>
      <c r="M17" s="474"/>
      <c r="N17" s="474"/>
    </row>
    <row r="18" spans="1:14">
      <c r="A18" s="487"/>
      <c r="B18" s="1712"/>
      <c r="C18" s="1712"/>
      <c r="D18" s="1712"/>
      <c r="E18" s="1713"/>
      <c r="F18" s="487"/>
      <c r="G18" s="474"/>
      <c r="H18" s="474"/>
      <c r="I18" s="474"/>
      <c r="J18" s="474"/>
      <c r="K18" s="474"/>
      <c r="L18" s="474"/>
      <c r="M18" s="474"/>
      <c r="N18" s="474"/>
    </row>
    <row r="19" spans="1:14">
      <c r="A19" s="474"/>
      <c r="B19" s="474"/>
      <c r="C19" s="474"/>
      <c r="D19" s="1706" t="s">
        <v>1459</v>
      </c>
      <c r="E19" s="1707" t="s">
        <v>1460</v>
      </c>
      <c r="F19" s="474"/>
      <c r="G19" s="474"/>
      <c r="H19" s="474"/>
      <c r="I19" s="474"/>
      <c r="J19" s="474"/>
      <c r="K19" s="474"/>
      <c r="L19" s="474"/>
      <c r="M19" s="474"/>
      <c r="N19" s="474"/>
    </row>
    <row r="20" spans="1:14">
      <c r="A20" s="487"/>
      <c r="B20" s="1714" t="s">
        <v>1463</v>
      </c>
      <c r="C20" s="1715" t="s">
        <v>1097</v>
      </c>
      <c r="D20" s="1716">
        <v>26415220.309999999</v>
      </c>
      <c r="E20" s="1716">
        <v>25890060.34</v>
      </c>
      <c r="F20" s="487"/>
      <c r="G20" s="643"/>
      <c r="H20" s="474"/>
      <c r="I20" s="474"/>
      <c r="J20" s="474"/>
      <c r="K20" s="474"/>
      <c r="L20" s="474"/>
      <c r="M20" s="474"/>
      <c r="N20" s="474"/>
    </row>
    <row r="21" spans="1:14">
      <c r="A21" s="487"/>
      <c r="B21" s="487"/>
      <c r="C21" s="487"/>
      <c r="D21" s="487"/>
      <c r="E21" s="487"/>
      <c r="F21" s="487"/>
      <c r="G21" s="474"/>
      <c r="H21" s="474"/>
      <c r="I21" s="474"/>
      <c r="J21" s="474"/>
      <c r="K21" s="474"/>
      <c r="L21" s="474"/>
      <c r="M21" s="474"/>
      <c r="N21" s="474"/>
    </row>
    <row r="22" spans="1:14">
      <c r="A22" s="487"/>
      <c r="B22" s="487"/>
      <c r="C22" s="487"/>
      <c r="D22" s="2231"/>
      <c r="E22" s="487"/>
      <c r="F22" s="487"/>
      <c r="G22" s="474"/>
      <c r="H22" s="474"/>
      <c r="I22" s="474"/>
      <c r="J22" s="474"/>
      <c r="K22" s="474"/>
      <c r="L22" s="474"/>
      <c r="M22" s="474"/>
      <c r="N22" s="474"/>
    </row>
    <row r="23" spans="1:14">
      <c r="A23" s="474"/>
      <c r="B23" s="474"/>
      <c r="C23" s="474"/>
      <c r="D23" s="474"/>
      <c r="E23" s="474"/>
      <c r="F23" s="474"/>
      <c r="G23" s="474"/>
      <c r="H23" s="474"/>
      <c r="I23" s="474"/>
      <c r="J23" s="474"/>
      <c r="K23" s="474"/>
      <c r="L23" s="474"/>
      <c r="M23" s="474"/>
      <c r="N23" s="474"/>
    </row>
    <row r="24" spans="1:14">
      <c r="A24" s="474"/>
      <c r="B24" s="474"/>
      <c r="C24" s="474"/>
      <c r="D24" s="474"/>
      <c r="E24" s="474"/>
      <c r="F24" s="474"/>
      <c r="G24" s="474"/>
      <c r="H24" s="474"/>
      <c r="I24" s="474"/>
      <c r="J24" s="474"/>
      <c r="K24" s="474"/>
      <c r="L24" s="474"/>
      <c r="M24" s="474"/>
      <c r="N24" s="474"/>
    </row>
    <row r="25" spans="1:14">
      <c r="A25" s="474"/>
      <c r="B25" s="474"/>
      <c r="C25" s="474"/>
      <c r="D25" s="474"/>
      <c r="E25" s="474"/>
      <c r="F25" s="474"/>
      <c r="G25" s="474"/>
      <c r="H25" s="474"/>
      <c r="I25" s="474"/>
      <c r="J25" s="474"/>
      <c r="K25" s="474"/>
      <c r="L25" s="474"/>
      <c r="M25" s="474"/>
      <c r="N25" s="474"/>
    </row>
    <row r="26" spans="1:14">
      <c r="A26" s="474"/>
      <c r="B26" s="474"/>
      <c r="C26" s="474"/>
      <c r="D26" s="474"/>
      <c r="E26" s="474"/>
      <c r="F26" s="474"/>
      <c r="G26" s="474"/>
      <c r="H26" s="474"/>
      <c r="I26" s="474"/>
      <c r="J26" s="474"/>
      <c r="K26" s="474"/>
      <c r="L26" s="474"/>
      <c r="M26" s="474"/>
      <c r="N26" s="474"/>
    </row>
  </sheetData>
  <pageMargins left="0.7" right="0.7" top="0.75" bottom="0.75" header="0.3" footer="0.3"/>
  <pageSetup scale="80"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3"/>
  <sheetViews>
    <sheetView workbookViewId="0">
      <selection activeCell="F6" sqref="F6"/>
    </sheetView>
  </sheetViews>
  <sheetFormatPr defaultRowHeight="15"/>
  <cols>
    <col min="1" max="1" width="2.140625" customWidth="1"/>
    <col min="2" max="2" width="58" bestFit="1" customWidth="1"/>
    <col min="3" max="3" width="2.85546875" customWidth="1"/>
    <col min="4" max="4" width="21.7109375" customWidth="1"/>
    <col min="5" max="5" width="2.7109375" customWidth="1"/>
    <col min="6" max="6" width="21.7109375" customWidth="1"/>
    <col min="7" max="7" width="3" customWidth="1"/>
    <col min="8" max="8" width="21.7109375" customWidth="1"/>
    <col min="9" max="9" width="2.7109375" customWidth="1"/>
    <col min="10" max="10" width="31" customWidth="1"/>
    <col min="11" max="11" width="13.28515625" customWidth="1"/>
    <col min="12" max="12" width="17.140625" customWidth="1"/>
    <col min="13" max="13" width="13.28515625" customWidth="1"/>
    <col min="14" max="16" width="9.140625" customWidth="1"/>
  </cols>
  <sheetData>
    <row r="1" spans="1:16" ht="15.75">
      <c r="A1" s="584" t="s">
        <v>2</v>
      </c>
      <c r="B1" s="1717"/>
      <c r="C1" s="1664"/>
      <c r="D1" s="1664"/>
      <c r="E1" s="1664"/>
      <c r="F1" s="1664"/>
      <c r="G1" s="1664"/>
      <c r="H1" s="1664"/>
      <c r="I1" s="1664"/>
      <c r="J1" s="1646"/>
      <c r="K1" s="1646"/>
      <c r="L1" s="1646"/>
      <c r="M1" s="1646"/>
      <c r="N1" s="1646"/>
      <c r="O1" s="1646"/>
      <c r="P1" s="1646"/>
    </row>
    <row r="2" spans="1:16" ht="15.75">
      <c r="A2" s="584" t="s">
        <v>1464</v>
      </c>
      <c r="B2" s="584"/>
      <c r="C2" s="1664"/>
      <c r="D2" s="1664"/>
      <c r="E2" s="1664"/>
      <c r="F2" s="1664"/>
      <c r="G2" s="1664"/>
      <c r="H2" s="1664"/>
      <c r="I2" s="1664"/>
      <c r="J2" s="1646"/>
      <c r="K2" s="1646"/>
      <c r="L2" s="1646"/>
      <c r="M2" s="1646"/>
      <c r="N2" s="1646"/>
      <c r="O2" s="1646"/>
      <c r="P2" s="1646"/>
    </row>
    <row r="3" spans="1:16">
      <c r="A3" s="474"/>
      <c r="B3" s="474"/>
      <c r="C3" s="474"/>
      <c r="D3" s="474"/>
      <c r="E3" s="474"/>
      <c r="F3" s="474"/>
      <c r="G3" s="474"/>
      <c r="H3" s="474"/>
      <c r="I3" s="474"/>
      <c r="J3" s="474"/>
      <c r="K3" s="474"/>
      <c r="L3" s="474"/>
      <c r="M3" s="474"/>
      <c r="N3" s="474"/>
      <c r="O3" s="474"/>
      <c r="P3" s="474"/>
    </row>
    <row r="4" spans="1:16" ht="15.75">
      <c r="A4" s="1718" t="s">
        <v>1465</v>
      </c>
      <c r="B4" s="1719"/>
      <c r="C4" s="1719"/>
      <c r="D4" s="1719"/>
      <c r="E4" s="1719"/>
      <c r="F4" s="1719"/>
      <c r="G4" s="1719"/>
      <c r="H4" s="1719"/>
      <c r="I4" s="1720"/>
      <c r="J4" s="1720"/>
      <c r="K4" s="1720"/>
      <c r="L4" s="1720"/>
      <c r="M4" s="1720"/>
      <c r="N4" s="1720"/>
      <c r="O4" s="1720"/>
      <c r="P4" s="1720"/>
    </row>
    <row r="5" spans="1:16">
      <c r="A5" s="1721"/>
      <c r="B5" s="1720"/>
      <c r="C5" s="1720"/>
      <c r="D5" s="1720"/>
      <c r="E5" s="1720"/>
      <c r="F5" s="1720"/>
      <c r="G5" s="1720"/>
      <c r="H5" s="1720"/>
      <c r="I5" s="1720"/>
      <c r="J5" s="1720"/>
      <c r="K5" s="1720"/>
      <c r="L5" s="1720"/>
      <c r="M5" s="1720"/>
      <c r="N5" s="1720"/>
      <c r="O5" s="1720"/>
      <c r="P5" s="1720"/>
    </row>
    <row r="6" spans="1:16" ht="15.75">
      <c r="A6" s="1722"/>
      <c r="B6" s="1720"/>
      <c r="C6" s="1720"/>
      <c r="D6" s="1720"/>
      <c r="E6" s="1720"/>
      <c r="F6" s="1720"/>
      <c r="G6" s="1720"/>
      <c r="H6" s="1723"/>
      <c r="I6" s="1723"/>
      <c r="J6" s="1723"/>
      <c r="K6" s="1723"/>
      <c r="L6" s="1723"/>
      <c r="M6" s="1723"/>
      <c r="N6" s="1720"/>
      <c r="O6" s="1720"/>
      <c r="P6" s="1720"/>
    </row>
    <row r="7" spans="1:16" ht="15.75">
      <c r="A7" s="1724" t="s">
        <v>1466</v>
      </c>
      <c r="B7" s="1725"/>
      <c r="C7" s="1720"/>
      <c r="D7" s="1720"/>
      <c r="E7" s="1720"/>
      <c r="F7" s="1720"/>
      <c r="G7" s="1720"/>
      <c r="H7" s="1720"/>
      <c r="I7" s="1720"/>
      <c r="J7" s="1720"/>
      <c r="K7" s="1720"/>
      <c r="L7" s="1720"/>
      <c r="M7" s="1720"/>
      <c r="N7" s="1720"/>
      <c r="O7" s="1720"/>
      <c r="P7" s="1720"/>
    </row>
    <row r="8" spans="1:16" ht="15.75">
      <c r="A8" s="1720"/>
      <c r="B8" s="1725"/>
      <c r="C8" s="1720"/>
      <c r="D8" s="1720"/>
      <c r="E8" s="1720"/>
      <c r="F8" s="1720"/>
      <c r="G8" s="1720"/>
      <c r="H8" s="1720"/>
      <c r="I8" s="1720"/>
      <c r="J8" s="1720"/>
      <c r="K8" s="1720"/>
      <c r="L8" s="1720"/>
      <c r="M8" s="1720"/>
      <c r="N8" s="1720"/>
      <c r="O8" s="1720"/>
      <c r="P8" s="1720"/>
    </row>
    <row r="9" spans="1:16" ht="58.5">
      <c r="A9" s="1720"/>
      <c r="B9" s="1726" t="s">
        <v>288</v>
      </c>
      <c r="C9" s="1720"/>
      <c r="D9" s="1727" t="s">
        <v>1275</v>
      </c>
      <c r="E9" s="1728"/>
      <c r="F9" s="1727" t="s">
        <v>1467</v>
      </c>
      <c r="G9" s="1720"/>
      <c r="H9" s="1729" t="s">
        <v>1468</v>
      </c>
      <c r="I9" s="1720"/>
      <c r="J9" s="1720"/>
      <c r="K9" s="1720"/>
      <c r="L9" s="1720"/>
      <c r="M9" s="1720"/>
      <c r="N9" s="1720"/>
      <c r="O9" s="1720"/>
      <c r="P9" s="1720"/>
    </row>
    <row r="10" spans="1:16">
      <c r="A10" s="1720"/>
      <c r="B10" s="1730" t="s">
        <v>2357</v>
      </c>
      <c r="C10" s="1731"/>
      <c r="D10" s="1732" t="s">
        <v>1469</v>
      </c>
      <c r="E10" s="1733"/>
      <c r="F10" s="1734">
        <v>0</v>
      </c>
      <c r="G10" s="1735"/>
      <c r="H10" s="1736">
        <v>0</v>
      </c>
      <c r="I10" s="1720"/>
      <c r="J10" s="1737" t="s">
        <v>1470</v>
      </c>
      <c r="K10" s="1720"/>
      <c r="L10" s="1720"/>
      <c r="M10" s="1720"/>
      <c r="N10" s="1720"/>
      <c r="O10" s="1720"/>
      <c r="P10" s="1720"/>
    </row>
    <row r="11" spans="1:16">
      <c r="A11" s="1720"/>
      <c r="B11" s="1730" t="s">
        <v>2358</v>
      </c>
      <c r="C11" s="1731"/>
      <c r="D11" s="1732">
        <v>4430766.5</v>
      </c>
      <c r="E11" s="1733"/>
      <c r="F11" s="1734" t="s">
        <v>2386</v>
      </c>
      <c r="G11" s="1735"/>
      <c r="H11" s="1736">
        <v>1</v>
      </c>
      <c r="I11" s="1720"/>
      <c r="J11" s="1738"/>
      <c r="K11" s="1720"/>
      <c r="L11" s="1720"/>
      <c r="M11" s="1720"/>
      <c r="N11" s="1720"/>
      <c r="O11" s="1720"/>
      <c r="P11" s="1720"/>
    </row>
    <row r="12" spans="1:16">
      <c r="A12" s="1720"/>
      <c r="B12" s="1730" t="s">
        <v>2359</v>
      </c>
      <c r="C12" s="1731"/>
      <c r="D12" s="1732">
        <v>253584</v>
      </c>
      <c r="E12" s="1739"/>
      <c r="F12" s="1734" t="s">
        <v>2386</v>
      </c>
      <c r="G12" s="1735"/>
      <c r="H12" s="1736">
        <v>1</v>
      </c>
      <c r="I12" s="1720"/>
      <c r="J12" s="1738"/>
      <c r="K12" s="1720"/>
      <c r="L12" s="1720"/>
      <c r="M12" s="1720"/>
      <c r="N12" s="1720"/>
      <c r="O12" s="1720"/>
      <c r="P12" s="1720"/>
    </row>
    <row r="13" spans="1:16">
      <c r="A13" s="1720"/>
      <c r="B13" s="1730" t="s">
        <v>2360</v>
      </c>
      <c r="C13" s="1731"/>
      <c r="D13" s="1732">
        <v>0</v>
      </c>
      <c r="E13" s="1739"/>
      <c r="F13" s="1734" t="s">
        <v>2386</v>
      </c>
      <c r="G13" s="1735"/>
      <c r="H13" s="1736">
        <v>1</v>
      </c>
      <c r="I13" s="1720"/>
      <c r="J13" s="1738"/>
      <c r="K13" s="1720"/>
      <c r="L13" s="1720"/>
      <c r="M13" s="1720"/>
      <c r="N13" s="1720"/>
      <c r="O13" s="1720"/>
      <c r="P13" s="1720"/>
    </row>
    <row r="14" spans="1:16">
      <c r="A14" s="1720"/>
      <c r="B14" s="1730" t="s">
        <v>2361</v>
      </c>
      <c r="C14" s="1731"/>
      <c r="D14" s="1732">
        <v>184442.34</v>
      </c>
      <c r="E14" s="1739"/>
      <c r="F14" s="1734" t="s">
        <v>2386</v>
      </c>
      <c r="G14" s="1740"/>
      <c r="H14" s="1736">
        <v>1</v>
      </c>
      <c r="I14" s="1720"/>
      <c r="J14" s="1738"/>
      <c r="K14" s="1720"/>
      <c r="L14" s="1720"/>
      <c r="M14" s="1720"/>
      <c r="N14" s="1720"/>
      <c r="O14" s="1720"/>
      <c r="P14" s="1720"/>
    </row>
    <row r="15" spans="1:16">
      <c r="A15" s="1720"/>
      <c r="B15" s="1730" t="s">
        <v>2362</v>
      </c>
      <c r="C15" s="1731"/>
      <c r="D15" s="1732">
        <v>0</v>
      </c>
      <c r="E15" s="1739"/>
      <c r="F15" s="1734">
        <v>94</v>
      </c>
      <c r="G15" s="1740"/>
      <c r="H15" s="1736">
        <v>0</v>
      </c>
      <c r="I15" s="1720"/>
      <c r="J15" s="1737" t="s">
        <v>1471</v>
      </c>
      <c r="K15" s="1720"/>
      <c r="L15" s="1720"/>
      <c r="M15" s="1720"/>
      <c r="N15" s="1720"/>
      <c r="O15" s="1720"/>
      <c r="P15" s="1720"/>
    </row>
    <row r="16" spans="1:16">
      <c r="A16" s="1720"/>
      <c r="B16" s="1730" t="s">
        <v>2363</v>
      </c>
      <c r="C16" s="1731"/>
      <c r="D16" s="1732">
        <v>0</v>
      </c>
      <c r="E16" s="1739"/>
      <c r="F16" s="1734" t="s">
        <v>2386</v>
      </c>
      <c r="G16" s="1740"/>
      <c r="H16" s="1736">
        <v>1</v>
      </c>
      <c r="I16" s="1720"/>
      <c r="K16" s="1720"/>
      <c r="L16" s="1720"/>
      <c r="M16" s="1720"/>
      <c r="N16" s="1720"/>
      <c r="O16" s="1720"/>
      <c r="P16" s="1720"/>
    </row>
    <row r="17" spans="1:16">
      <c r="A17" s="1720"/>
      <c r="B17" s="1730" t="s">
        <v>2364</v>
      </c>
      <c r="C17" s="1731"/>
      <c r="D17" s="1732">
        <v>151308</v>
      </c>
      <c r="E17" s="1739"/>
      <c r="F17" s="1734" t="s">
        <v>2386</v>
      </c>
      <c r="G17" s="1735"/>
      <c r="H17" s="1736">
        <v>1</v>
      </c>
      <c r="I17" s="1720"/>
      <c r="J17" s="1738"/>
      <c r="K17" s="1720"/>
      <c r="L17" s="1720"/>
      <c r="M17" s="1720"/>
      <c r="N17" s="1720"/>
      <c r="O17" s="1720"/>
      <c r="P17" s="1720"/>
    </row>
    <row r="18" spans="1:16">
      <c r="A18" s="1720"/>
      <c r="B18" s="1730" t="s">
        <v>2365</v>
      </c>
      <c r="C18" s="1731"/>
      <c r="D18" s="1732">
        <v>0</v>
      </c>
      <c r="E18" s="1739"/>
      <c r="F18" s="1734" t="s">
        <v>2386</v>
      </c>
      <c r="G18" s="1735"/>
      <c r="H18" s="1736">
        <v>1</v>
      </c>
      <c r="I18" s="1720"/>
      <c r="J18" s="1738"/>
      <c r="K18" s="1720"/>
      <c r="L18" s="1720"/>
      <c r="M18" s="1720"/>
      <c r="N18" s="1720"/>
      <c r="O18" s="1720"/>
      <c r="P18" s="1720"/>
    </row>
    <row r="19" spans="1:16">
      <c r="A19" s="1720"/>
      <c r="B19" s="1730" t="s">
        <v>2366</v>
      </c>
      <c r="C19" s="1731"/>
      <c r="D19" s="1732">
        <v>0</v>
      </c>
      <c r="E19" s="1739"/>
      <c r="F19" s="1734" t="s">
        <v>2386</v>
      </c>
      <c r="G19" s="1735"/>
      <c r="H19" s="1736">
        <v>1</v>
      </c>
      <c r="I19" s="1720"/>
      <c r="J19" s="1738"/>
      <c r="K19" s="1720"/>
      <c r="L19" s="1720"/>
      <c r="M19" s="1720"/>
      <c r="N19" s="1720"/>
      <c r="O19" s="1720"/>
      <c r="P19" s="1720"/>
    </row>
    <row r="20" spans="1:16">
      <c r="A20" s="1720"/>
      <c r="B20" s="1730" t="s">
        <v>2367</v>
      </c>
      <c r="C20" s="1731"/>
      <c r="D20" s="1732">
        <v>19262</v>
      </c>
      <c r="E20" s="1739"/>
      <c r="F20" s="1734" t="s">
        <v>2386</v>
      </c>
      <c r="G20" s="1735"/>
      <c r="H20" s="1736">
        <v>1</v>
      </c>
      <c r="I20" s="1720"/>
      <c r="J20" s="1738"/>
      <c r="K20" s="1720"/>
      <c r="L20" s="1720"/>
      <c r="M20" s="1720"/>
      <c r="N20" s="1720"/>
      <c r="O20" s="1720"/>
      <c r="P20" s="1720"/>
    </row>
    <row r="21" spans="1:16">
      <c r="A21" s="1720"/>
      <c r="B21" s="1730" t="s">
        <v>2368</v>
      </c>
      <c r="C21" s="1731"/>
      <c r="D21" s="1732">
        <v>0</v>
      </c>
      <c r="E21" s="1739"/>
      <c r="F21" s="1734" t="s">
        <v>2386</v>
      </c>
      <c r="G21" s="1735"/>
      <c r="H21" s="1736">
        <v>1</v>
      </c>
      <c r="I21" s="1720"/>
      <c r="J21" s="1738"/>
      <c r="K21" s="1720"/>
      <c r="L21" s="1720"/>
      <c r="M21" s="1720"/>
      <c r="N21" s="1720"/>
      <c r="O21" s="1720"/>
      <c r="P21" s="1720"/>
    </row>
    <row r="22" spans="1:16">
      <c r="A22" s="1720"/>
      <c r="B22" s="1730" t="s">
        <v>2369</v>
      </c>
      <c r="C22" s="1731"/>
      <c r="D22" s="1732">
        <v>0</v>
      </c>
      <c r="E22" s="1739"/>
      <c r="F22" s="1734" t="s">
        <v>2386</v>
      </c>
      <c r="G22" s="1735"/>
      <c r="H22" s="1736">
        <v>1</v>
      </c>
      <c r="I22" s="1720"/>
      <c r="J22" s="1738"/>
      <c r="K22" s="1720"/>
      <c r="L22" s="1720"/>
      <c r="M22" s="1720"/>
      <c r="N22" s="1720"/>
      <c r="O22" s="1720"/>
      <c r="P22" s="1720"/>
    </row>
    <row r="23" spans="1:16">
      <c r="A23" s="1720"/>
      <c r="B23" s="1730" t="s">
        <v>2370</v>
      </c>
      <c r="C23" s="1731"/>
      <c r="D23" s="1732">
        <v>135015</v>
      </c>
      <c r="E23" s="1739"/>
      <c r="F23" s="1734" t="s">
        <v>2386</v>
      </c>
      <c r="G23" s="1735"/>
      <c r="H23" s="1736">
        <v>1</v>
      </c>
      <c r="I23" s="1720"/>
      <c r="J23" s="1738"/>
      <c r="K23" s="1720"/>
      <c r="L23" s="1720"/>
      <c r="M23" s="1720"/>
      <c r="N23" s="1720"/>
      <c r="O23" s="1720"/>
      <c r="P23" s="1720"/>
    </row>
    <row r="24" spans="1:16">
      <c r="A24" s="1720"/>
      <c r="B24" s="1730" t="s">
        <v>2371</v>
      </c>
      <c r="C24" s="1731"/>
      <c r="D24" s="1732">
        <v>3314</v>
      </c>
      <c r="E24" s="1739"/>
      <c r="F24" s="1734" t="s">
        <v>2386</v>
      </c>
      <c r="G24" s="1740"/>
      <c r="H24" s="1736">
        <v>1</v>
      </c>
      <c r="I24" s="1720"/>
      <c r="J24" s="1738"/>
      <c r="K24" s="1720"/>
      <c r="L24" s="1720"/>
      <c r="M24" s="1720"/>
      <c r="N24" s="1720"/>
      <c r="O24" s="1720"/>
      <c r="P24" s="1720"/>
    </row>
    <row r="25" spans="1:16">
      <c r="A25" s="1720"/>
      <c r="B25" s="1730" t="s">
        <v>2372</v>
      </c>
      <c r="C25" s="1731"/>
      <c r="D25" s="1732">
        <v>36160</v>
      </c>
      <c r="E25" s="1739"/>
      <c r="F25" s="1734" t="s">
        <v>2386</v>
      </c>
      <c r="G25" s="1735"/>
      <c r="H25" s="1736">
        <v>1</v>
      </c>
      <c r="I25" s="1720"/>
      <c r="J25" s="1738"/>
      <c r="K25" s="1720"/>
      <c r="L25" s="1720"/>
      <c r="M25" s="1720"/>
      <c r="N25" s="1720"/>
      <c r="O25" s="1720"/>
      <c r="P25" s="1720"/>
    </row>
    <row r="26" spans="1:16">
      <c r="A26" s="1720"/>
      <c r="B26" s="1730" t="s">
        <v>2373</v>
      </c>
      <c r="C26" s="1731"/>
      <c r="D26" s="1732">
        <v>135015</v>
      </c>
      <c r="E26" s="1739"/>
      <c r="F26" s="1734" t="s">
        <v>2386</v>
      </c>
      <c r="G26" s="1735"/>
      <c r="H26" s="1736">
        <v>1</v>
      </c>
      <c r="I26" s="1720"/>
      <c r="J26" s="1738"/>
      <c r="K26" s="1720"/>
      <c r="L26" s="1720"/>
      <c r="M26" s="1720"/>
      <c r="N26" s="1720"/>
      <c r="O26" s="1720"/>
      <c r="P26" s="1720"/>
    </row>
    <row r="27" spans="1:16">
      <c r="A27" s="1720"/>
      <c r="B27" s="1730" t="s">
        <v>2374</v>
      </c>
      <c r="C27" s="1731"/>
      <c r="D27" s="1732">
        <v>0</v>
      </c>
      <c r="E27" s="1739"/>
      <c r="F27" s="1734" t="s">
        <v>2386</v>
      </c>
      <c r="G27" s="1735"/>
      <c r="H27" s="1736">
        <v>1</v>
      </c>
      <c r="I27" s="1720"/>
      <c r="J27" s="1738"/>
      <c r="K27" s="1720"/>
      <c r="L27" s="1720"/>
      <c r="M27" s="1720"/>
      <c r="N27" s="1720"/>
      <c r="O27" s="1720"/>
      <c r="P27" s="1720"/>
    </row>
    <row r="28" spans="1:16">
      <c r="A28" s="1720"/>
      <c r="B28" s="1730" t="s">
        <v>2375</v>
      </c>
      <c r="C28" s="1731"/>
      <c r="D28" s="1732">
        <v>11223</v>
      </c>
      <c r="E28" s="1739"/>
      <c r="F28" s="1734" t="s">
        <v>2386</v>
      </c>
      <c r="G28" s="1740"/>
      <c r="H28" s="1736">
        <v>1</v>
      </c>
      <c r="I28" s="1720"/>
      <c r="J28" s="1738"/>
      <c r="K28" s="1720"/>
      <c r="L28" s="1720"/>
      <c r="M28" s="1720"/>
      <c r="N28" s="1720"/>
      <c r="O28" s="1720"/>
      <c r="P28" s="1720"/>
    </row>
    <row r="29" spans="1:16">
      <c r="A29" s="1720"/>
      <c r="B29" s="1730" t="s">
        <v>2376</v>
      </c>
      <c r="C29" s="1731"/>
      <c r="D29" s="1732">
        <v>22028</v>
      </c>
      <c r="E29" s="1739"/>
      <c r="F29" s="1734" t="s">
        <v>2386</v>
      </c>
      <c r="G29" s="1735"/>
      <c r="H29" s="1736">
        <v>1</v>
      </c>
      <c r="I29" s="1720"/>
      <c r="K29" s="1720"/>
      <c r="L29" s="1720"/>
      <c r="M29" s="1720"/>
      <c r="N29" s="1720"/>
      <c r="O29" s="1720"/>
      <c r="P29" s="1720"/>
    </row>
    <row r="30" spans="1:16">
      <c r="A30" s="1720"/>
      <c r="B30" s="1730" t="s">
        <v>2377</v>
      </c>
      <c r="C30" s="1731"/>
      <c r="D30" s="1732">
        <v>0</v>
      </c>
      <c r="E30" s="1739"/>
      <c r="F30" s="1734">
        <v>507</v>
      </c>
      <c r="G30" s="1735"/>
      <c r="H30" s="1736">
        <v>0</v>
      </c>
      <c r="I30" s="1720"/>
      <c r="J30" s="1737" t="s">
        <v>1471</v>
      </c>
      <c r="K30" s="1720"/>
      <c r="L30" s="1720"/>
      <c r="M30" s="1720"/>
      <c r="N30" s="1720"/>
      <c r="O30" s="1720"/>
      <c r="P30" s="1720"/>
    </row>
    <row r="31" spans="1:16">
      <c r="A31" s="1720"/>
      <c r="B31" s="1730" t="s">
        <v>2378</v>
      </c>
      <c r="C31" s="1731"/>
      <c r="D31" s="1732">
        <v>0</v>
      </c>
      <c r="E31" s="1739"/>
      <c r="F31" s="1734">
        <v>77</v>
      </c>
      <c r="G31" s="1735"/>
      <c r="H31" s="1736">
        <v>0</v>
      </c>
      <c r="I31" s="1720"/>
      <c r="J31" s="1737" t="s">
        <v>1471</v>
      </c>
      <c r="K31" s="1720"/>
      <c r="L31" s="1720"/>
      <c r="M31" s="1720"/>
      <c r="N31" s="1720"/>
      <c r="O31" s="1720"/>
      <c r="P31" s="1720"/>
    </row>
    <row r="32" spans="1:16">
      <c r="A32" s="1720"/>
      <c r="B32" s="1730" t="s">
        <v>2379</v>
      </c>
      <c r="C32" s="1731"/>
      <c r="D32" s="1732">
        <v>119700</v>
      </c>
      <c r="E32" s="1739"/>
      <c r="F32" s="1734" t="s">
        <v>2386</v>
      </c>
      <c r="G32" s="1735"/>
      <c r="H32" s="1736">
        <v>1</v>
      </c>
      <c r="I32" s="1720"/>
      <c r="J32" s="1737"/>
      <c r="K32" s="1720"/>
      <c r="L32" s="1720"/>
      <c r="M32" s="1720"/>
      <c r="N32" s="1720"/>
      <c r="O32" s="1720"/>
      <c r="P32" s="1720"/>
    </row>
    <row r="33" spans="1:16">
      <c r="A33" s="1720"/>
      <c r="B33" s="1730" t="s">
        <v>2380</v>
      </c>
      <c r="C33" s="1731"/>
      <c r="D33" s="1732">
        <v>0</v>
      </c>
      <c r="E33" s="1739"/>
      <c r="F33" s="1734">
        <v>330</v>
      </c>
      <c r="G33" s="1735"/>
      <c r="H33" s="1736">
        <v>0</v>
      </c>
      <c r="I33" s="1720"/>
      <c r="J33" s="1737" t="s">
        <v>1900</v>
      </c>
      <c r="K33" s="1720"/>
      <c r="L33" s="1720"/>
      <c r="M33" s="1720"/>
      <c r="N33" s="1720"/>
      <c r="O33" s="1720"/>
      <c r="P33" s="1720"/>
    </row>
    <row r="34" spans="1:16">
      <c r="A34" s="1720"/>
      <c r="B34" s="1730" t="s">
        <v>2381</v>
      </c>
      <c r="C34" s="1731"/>
      <c r="D34" s="1732">
        <v>600000</v>
      </c>
      <c r="E34" s="1739"/>
      <c r="F34" s="1734" t="s">
        <v>2386</v>
      </c>
      <c r="G34" s="1735"/>
      <c r="H34" s="1736">
        <v>1</v>
      </c>
      <c r="I34" s="1720"/>
      <c r="J34" s="1737"/>
      <c r="K34" s="1720"/>
      <c r="L34" s="1720"/>
      <c r="M34" s="1720"/>
      <c r="N34" s="1720"/>
      <c r="O34" s="1720"/>
      <c r="P34" s="1720"/>
    </row>
    <row r="35" spans="1:16">
      <c r="A35" s="1720"/>
      <c r="B35" s="1730" t="s">
        <v>2382</v>
      </c>
      <c r="C35" s="1731"/>
      <c r="D35" s="1732">
        <v>53640.45</v>
      </c>
      <c r="E35" s="1739"/>
      <c r="F35" s="1734" t="s">
        <v>2386</v>
      </c>
      <c r="G35" s="1735"/>
      <c r="H35" s="1736">
        <v>1</v>
      </c>
      <c r="I35" s="1720"/>
      <c r="J35" s="1737"/>
      <c r="K35" s="1720"/>
      <c r="L35" s="1720"/>
      <c r="M35" s="1720"/>
      <c r="N35" s="1720"/>
      <c r="O35" s="1720"/>
      <c r="P35" s="1720"/>
    </row>
    <row r="36" spans="1:16">
      <c r="A36" s="1720"/>
      <c r="B36" s="1730" t="s">
        <v>2383</v>
      </c>
      <c r="C36" s="1731"/>
      <c r="D36" s="1732">
        <v>0</v>
      </c>
      <c r="E36" s="1739"/>
      <c r="F36" s="1734" t="s">
        <v>2386</v>
      </c>
      <c r="G36" s="1735"/>
      <c r="H36" s="1736">
        <v>1</v>
      </c>
      <c r="I36" s="1720"/>
      <c r="J36" s="1737"/>
      <c r="K36" s="1720"/>
      <c r="L36" s="1720"/>
      <c r="M36" s="1720"/>
      <c r="N36" s="1720"/>
      <c r="O36" s="1720"/>
      <c r="P36" s="1720"/>
    </row>
    <row r="37" spans="1:16">
      <c r="A37" s="1720"/>
      <c r="B37" s="1730" t="s">
        <v>2384</v>
      </c>
      <c r="C37" s="1731"/>
      <c r="D37" s="1732">
        <v>0</v>
      </c>
      <c r="E37" s="1739"/>
      <c r="F37" s="1734" t="s">
        <v>2386</v>
      </c>
      <c r="G37" s="1735"/>
      <c r="H37" s="1736">
        <v>1</v>
      </c>
      <c r="I37" s="1720"/>
      <c r="J37" s="1738"/>
      <c r="K37" s="1720"/>
      <c r="L37" s="1720"/>
      <c r="M37" s="1720"/>
      <c r="N37" s="1720"/>
      <c r="O37" s="1720"/>
      <c r="P37" s="1720"/>
    </row>
    <row r="38" spans="1:16">
      <c r="A38" s="1720"/>
      <c r="B38" s="1730" t="s">
        <v>2385</v>
      </c>
      <c r="C38" s="1731"/>
      <c r="D38" s="1732">
        <v>474898.14</v>
      </c>
      <c r="E38" s="1739"/>
      <c r="F38" s="1734" t="s">
        <v>2386</v>
      </c>
      <c r="G38" s="1735"/>
      <c r="H38" s="1736">
        <v>1</v>
      </c>
      <c r="I38" s="1720"/>
      <c r="J38" s="1737" t="s">
        <v>1472</v>
      </c>
      <c r="K38" s="1720"/>
      <c r="L38" s="1720"/>
      <c r="M38" s="1720"/>
      <c r="N38" s="1720"/>
      <c r="O38" s="1720"/>
      <c r="P38" s="1720"/>
    </row>
    <row r="39" spans="1:16">
      <c r="A39" s="1720"/>
      <c r="B39" s="1741" t="s">
        <v>1473</v>
      </c>
      <c r="C39" s="1720"/>
      <c r="D39" s="1742">
        <f>SUM(D10:D38)</f>
        <v>6630356.4299999997</v>
      </c>
      <c r="E39" s="1743"/>
      <c r="F39" s="1744">
        <f>SUM(F10:F38)</f>
        <v>1008</v>
      </c>
      <c r="G39" s="1720"/>
      <c r="H39" s="1720"/>
      <c r="I39" s="1720"/>
      <c r="J39" s="1737" t="s">
        <v>1474</v>
      </c>
      <c r="K39" s="1720"/>
      <c r="L39" s="1720"/>
      <c r="M39" s="1720"/>
      <c r="N39" s="1720"/>
      <c r="O39" s="1720"/>
      <c r="P39" s="1720"/>
    </row>
    <row r="40" spans="1:16">
      <c r="A40" s="1720"/>
      <c r="B40" s="1731"/>
      <c r="C40" s="1720"/>
      <c r="D40" s="474"/>
      <c r="E40" s="474"/>
      <c r="F40" s="474"/>
      <c r="G40" s="474"/>
      <c r="H40" s="474"/>
      <c r="I40" s="474"/>
      <c r="J40" s="474"/>
      <c r="K40" s="474"/>
      <c r="L40" s="474"/>
      <c r="M40" s="1720"/>
      <c r="N40" s="1720"/>
      <c r="O40" s="1720"/>
      <c r="P40" s="1720"/>
    </row>
    <row r="41" spans="1:16">
      <c r="A41" s="1720"/>
      <c r="B41" s="1720"/>
      <c r="C41" s="1720"/>
      <c r="D41" s="1720"/>
      <c r="E41" s="1720"/>
      <c r="F41" s="1720"/>
      <c r="G41" s="1720"/>
      <c r="H41" s="1720"/>
      <c r="I41" s="1720"/>
      <c r="J41" s="1720"/>
      <c r="K41" s="1720"/>
      <c r="L41" s="1720"/>
      <c r="M41" s="1720"/>
      <c r="N41" s="1720"/>
      <c r="O41" s="1720"/>
      <c r="P41" s="1720"/>
    </row>
    <row r="42" spans="1:16" ht="15.75">
      <c r="A42" s="1724" t="s">
        <v>1475</v>
      </c>
      <c r="B42" s="1725"/>
      <c r="C42" s="1720"/>
      <c r="D42" s="1720"/>
      <c r="E42" s="1720"/>
      <c r="F42" s="1720"/>
      <c r="G42" s="1720"/>
      <c r="H42" s="1720"/>
      <c r="I42" s="1720"/>
      <c r="J42" s="1720"/>
      <c r="K42" s="1720"/>
      <c r="L42" s="1720"/>
      <c r="M42" s="1720"/>
      <c r="N42" s="1720"/>
      <c r="O42" s="1720"/>
      <c r="P42" s="1720"/>
    </row>
    <row r="43" spans="1:16">
      <c r="A43" s="1720"/>
      <c r="B43" s="1720"/>
      <c r="C43" s="1720"/>
      <c r="D43" s="1720"/>
      <c r="E43" s="1720"/>
      <c r="F43" s="1720"/>
      <c r="G43" s="1720"/>
      <c r="H43" s="1720"/>
      <c r="I43" s="1720"/>
      <c r="J43" s="1720"/>
      <c r="K43" s="1745"/>
      <c r="L43" s="1745"/>
      <c r="M43" s="1720"/>
      <c r="N43" s="1720"/>
      <c r="O43" s="1720"/>
      <c r="P43" s="1720"/>
    </row>
    <row r="44" spans="1:16">
      <c r="A44" s="1720"/>
      <c r="B44" s="1723" t="s">
        <v>1476</v>
      </c>
      <c r="C44" s="1731"/>
      <c r="D44" s="1720"/>
      <c r="E44" s="1720"/>
      <c r="F44" s="1720"/>
      <c r="G44" s="1720"/>
      <c r="H44" s="1720"/>
      <c r="I44" s="1720"/>
      <c r="J44" s="1720"/>
      <c r="K44" s="1745"/>
      <c r="L44" s="1745"/>
      <c r="M44" s="1720"/>
      <c r="N44" s="1720"/>
      <c r="O44" s="1720"/>
      <c r="P44" s="1720"/>
    </row>
    <row r="45" spans="1:16">
      <c r="A45" s="1720"/>
      <c r="B45" s="1746" t="s">
        <v>1477</v>
      </c>
      <c r="C45" s="1731"/>
      <c r="D45" s="1747">
        <v>46328547.219999999</v>
      </c>
      <c r="E45" s="1720"/>
      <c r="F45" s="1723"/>
      <c r="G45" s="1723"/>
      <c r="H45" s="1720"/>
      <c r="I45" s="1720"/>
      <c r="J45" s="1720"/>
      <c r="K45" s="1745"/>
      <c r="L45" s="1745"/>
      <c r="M45" s="1720"/>
      <c r="N45" s="1720"/>
      <c r="O45" s="1720"/>
      <c r="P45" s="1720"/>
    </row>
    <row r="46" spans="1:16">
      <c r="A46" s="1720"/>
      <c r="B46" s="1746" t="s">
        <v>1478</v>
      </c>
      <c r="C46" s="1731"/>
      <c r="D46" s="1747">
        <v>2793510.59</v>
      </c>
      <c r="E46" s="1720"/>
      <c r="F46" s="1720"/>
      <c r="G46" s="1720"/>
      <c r="H46" s="1720"/>
      <c r="I46" s="1720"/>
      <c r="J46" s="1720"/>
      <c r="K46" s="1745"/>
      <c r="L46" s="1745"/>
      <c r="M46" s="1720"/>
      <c r="N46" s="1720"/>
      <c r="O46" s="1720"/>
      <c r="P46" s="1720"/>
    </row>
    <row r="47" spans="1:16">
      <c r="A47" s="1720"/>
      <c r="B47" s="1748" t="s">
        <v>1479</v>
      </c>
      <c r="C47" s="1731"/>
      <c r="D47" s="2261">
        <f>+D45+D46</f>
        <v>49122057.810000002</v>
      </c>
      <c r="E47" s="1720"/>
      <c r="F47" s="1720"/>
      <c r="G47" s="1720"/>
      <c r="H47" s="1720"/>
      <c r="I47" s="1720"/>
      <c r="J47" s="1720"/>
      <c r="K47" s="1745"/>
      <c r="L47" s="1745"/>
      <c r="M47" s="1720"/>
      <c r="N47" s="1720"/>
      <c r="O47" s="1720"/>
      <c r="P47" s="1720"/>
    </row>
    <row r="48" spans="1:16">
      <c r="A48" s="1720"/>
      <c r="B48" s="1720"/>
      <c r="C48" s="1731"/>
      <c r="D48" s="1749"/>
      <c r="E48" s="1720"/>
      <c r="F48" s="1720"/>
      <c r="G48" s="1720"/>
      <c r="H48" s="1720"/>
      <c r="I48" s="1720"/>
      <c r="J48" s="1720"/>
      <c r="K48" s="1745"/>
      <c r="L48" s="1745"/>
      <c r="M48" s="1720"/>
      <c r="N48" s="1720"/>
      <c r="O48" s="1720"/>
      <c r="P48" s="1720"/>
    </row>
    <row r="49" spans="1:16">
      <c r="A49" s="1720"/>
      <c r="B49" s="1723" t="s">
        <v>1480</v>
      </c>
      <c r="C49" s="1731"/>
      <c r="D49" s="1720"/>
      <c r="E49" s="1720"/>
      <c r="F49" s="1720"/>
      <c r="G49" s="1720"/>
      <c r="H49" s="1720"/>
      <c r="I49" s="1720"/>
      <c r="J49" s="1720"/>
      <c r="K49" s="1745"/>
      <c r="L49" s="1745"/>
      <c r="M49" s="1720"/>
      <c r="N49" s="1720"/>
      <c r="O49" s="1720"/>
      <c r="P49" s="1720"/>
    </row>
    <row r="50" spans="1:16">
      <c r="A50" s="1720"/>
      <c r="B50" s="1746" t="s">
        <v>1477</v>
      </c>
      <c r="C50" s="1731"/>
      <c r="D50" s="1747">
        <v>12503240.73</v>
      </c>
      <c r="E50" s="1720"/>
      <c r="F50" s="1723"/>
      <c r="G50" s="1723"/>
      <c r="H50" s="1720"/>
      <c r="I50" s="1720"/>
      <c r="J50" s="1720"/>
      <c r="K50" s="1745"/>
      <c r="L50" s="1745"/>
      <c r="M50" s="1720"/>
      <c r="N50" s="1720"/>
      <c r="O50" s="1720"/>
      <c r="P50" s="1720"/>
    </row>
    <row r="51" spans="1:16">
      <c r="A51" s="1720"/>
      <c r="B51" s="1746" t="s">
        <v>1478</v>
      </c>
      <c r="C51" s="1731"/>
      <c r="D51" s="1747">
        <v>14558486.439999999</v>
      </c>
      <c r="E51" s="1720"/>
      <c r="F51" s="1720"/>
      <c r="G51" s="1720"/>
      <c r="H51" s="1720"/>
      <c r="I51" s="1720"/>
      <c r="J51" s="1720"/>
      <c r="K51" s="1745"/>
      <c r="L51" s="1745"/>
      <c r="M51" s="1720"/>
      <c r="N51" s="1720"/>
      <c r="O51" s="1720"/>
      <c r="P51" s="1720"/>
    </row>
    <row r="52" spans="1:16">
      <c r="A52" s="1720"/>
      <c r="B52" s="1748" t="s">
        <v>1481</v>
      </c>
      <c r="C52" s="1731"/>
      <c r="D52" s="2261">
        <f>+D51+D50</f>
        <v>27061727.170000002</v>
      </c>
      <c r="E52" s="1720"/>
      <c r="F52" s="1720"/>
      <c r="G52" s="1720"/>
      <c r="H52" s="1720"/>
      <c r="I52" s="1720"/>
      <c r="J52" s="1720"/>
      <c r="K52" s="1745"/>
      <c r="L52" s="1745"/>
      <c r="M52" s="1720"/>
      <c r="N52" s="1720"/>
      <c r="O52" s="1720"/>
      <c r="P52" s="1720"/>
    </row>
    <row r="53" spans="1:16">
      <c r="A53" s="1720"/>
      <c r="B53" s="1720"/>
      <c r="C53" s="1731"/>
      <c r="D53" s="1720"/>
      <c r="E53" s="1720"/>
      <c r="F53" s="1720"/>
      <c r="G53" s="1720"/>
      <c r="H53" s="1720"/>
      <c r="I53" s="1720"/>
      <c r="J53" s="1720"/>
      <c r="K53" s="1745"/>
      <c r="L53" s="1745"/>
      <c r="M53" s="1720"/>
      <c r="N53" s="1720"/>
      <c r="O53" s="1720"/>
      <c r="P53" s="1720"/>
    </row>
    <row r="54" spans="1:16">
      <c r="A54" s="1720"/>
      <c r="B54" s="1720"/>
      <c r="C54" s="1731"/>
      <c r="D54" s="1720"/>
      <c r="E54" s="1720"/>
      <c r="F54" s="1720"/>
      <c r="G54" s="1720"/>
      <c r="H54" s="1720"/>
      <c r="I54" s="1720"/>
      <c r="J54" s="1720"/>
      <c r="K54" s="1745"/>
      <c r="L54" s="1745"/>
      <c r="M54" s="1720"/>
      <c r="N54" s="1720"/>
      <c r="O54" s="1720"/>
      <c r="P54" s="1720"/>
    </row>
    <row r="55" spans="1:16" ht="15.75">
      <c r="A55" s="1724" t="s">
        <v>1482</v>
      </c>
      <c r="B55" s="1723"/>
      <c r="C55" s="1731"/>
      <c r="D55" s="1720"/>
      <c r="E55" s="1720"/>
      <c r="F55" s="1720"/>
      <c r="G55" s="1720"/>
      <c r="H55" s="1720"/>
      <c r="I55" s="1720"/>
      <c r="J55" s="1720"/>
      <c r="K55" s="1745"/>
      <c r="L55" s="1745"/>
      <c r="M55" s="1720"/>
      <c r="N55" s="1720"/>
      <c r="O55" s="1720"/>
      <c r="P55" s="1720"/>
    </row>
    <row r="56" spans="1:16">
      <c r="A56" s="1720"/>
      <c r="B56" s="1746" t="s">
        <v>1477</v>
      </c>
      <c r="C56" s="1731"/>
      <c r="D56" s="1735">
        <f>SUM(D45,D50)</f>
        <v>58831787.950000003</v>
      </c>
      <c r="E56" s="1720"/>
      <c r="F56" s="1720"/>
      <c r="G56" s="1720"/>
      <c r="H56" s="1720"/>
      <c r="I56" s="1720"/>
      <c r="J56" s="1720"/>
      <c r="K56" s="1745"/>
      <c r="L56" s="1745"/>
      <c r="M56" s="1720"/>
      <c r="N56" s="1720"/>
      <c r="O56" s="1720"/>
      <c r="P56" s="1720"/>
    </row>
    <row r="57" spans="1:16">
      <c r="A57" s="1720"/>
      <c r="B57" s="1746" t="s">
        <v>1478</v>
      </c>
      <c r="C57" s="1731"/>
      <c r="D57" s="1735">
        <f>SUM(D46,D51)</f>
        <v>17351997.030000001</v>
      </c>
      <c r="E57" s="1720"/>
      <c r="F57" s="474"/>
      <c r="G57" s="1723"/>
      <c r="H57" s="1720"/>
      <c r="I57" s="1720"/>
      <c r="J57" s="1720"/>
      <c r="K57" s="1745"/>
      <c r="L57" s="1745"/>
      <c r="M57" s="1720"/>
      <c r="N57" s="1720"/>
      <c r="O57" s="1720"/>
      <c r="P57" s="1720"/>
    </row>
    <row r="58" spans="1:16">
      <c r="A58" s="1720"/>
      <c r="B58" s="1750" t="s">
        <v>1483</v>
      </c>
      <c r="C58" s="1731"/>
      <c r="D58" s="1751">
        <f>SUM(D56:D57)</f>
        <v>76183784.980000004</v>
      </c>
      <c r="E58" s="1720"/>
      <c r="F58" s="474"/>
      <c r="G58" s="474"/>
      <c r="H58" s="474"/>
      <c r="I58" s="474"/>
      <c r="J58" s="1738" t="s">
        <v>1474</v>
      </c>
      <c r="K58" s="1745"/>
      <c r="L58" s="1745"/>
      <c r="M58" s="1720"/>
      <c r="N58" s="1720"/>
      <c r="O58" s="1720"/>
      <c r="P58" s="1720"/>
    </row>
    <row r="59" spans="1:16">
      <c r="A59" s="1745"/>
      <c r="B59" s="1745"/>
      <c r="C59" s="1752"/>
      <c r="D59" s="1745"/>
      <c r="E59" s="1745"/>
      <c r="F59" s="1745"/>
      <c r="G59" s="1753"/>
      <c r="H59" s="1745"/>
      <c r="I59" s="1745"/>
      <c r="J59" s="1745"/>
      <c r="K59" s="1745"/>
      <c r="L59" s="1745"/>
      <c r="M59" s="1745"/>
      <c r="N59" s="1745"/>
      <c r="O59" s="1745"/>
      <c r="P59" s="1745"/>
    </row>
    <row r="60" spans="1:16">
      <c r="A60" s="1745"/>
      <c r="B60" s="1745"/>
      <c r="C60" s="1745"/>
      <c r="D60" s="1745"/>
      <c r="E60" s="1745"/>
      <c r="F60" s="1745"/>
      <c r="G60" s="1745"/>
      <c r="H60" s="1745"/>
      <c r="I60" s="1745"/>
      <c r="J60" s="1745"/>
      <c r="K60" s="1745"/>
      <c r="L60" s="1745"/>
      <c r="M60" s="1745"/>
      <c r="N60" s="1745"/>
      <c r="O60" s="1745"/>
      <c r="P60" s="1745"/>
    </row>
    <row r="61" spans="1:16">
      <c r="A61" s="1745"/>
      <c r="B61" s="1745"/>
      <c r="C61" s="1745"/>
      <c r="D61" s="1745"/>
      <c r="E61" s="1745"/>
      <c r="F61" s="1745"/>
      <c r="G61" s="1745"/>
      <c r="H61" s="1745"/>
      <c r="I61" s="1745"/>
      <c r="J61" s="1745"/>
      <c r="K61" s="1745"/>
      <c r="L61" s="1745"/>
      <c r="M61" s="1745"/>
      <c r="N61" s="1745"/>
      <c r="O61" s="1745"/>
      <c r="P61" s="1745"/>
    </row>
    <row r="62" spans="1:16">
      <c r="A62" s="1745"/>
      <c r="B62" s="1745"/>
      <c r="C62" s="1745"/>
      <c r="D62" s="1745"/>
      <c r="E62" s="1745"/>
      <c r="F62" s="1745"/>
      <c r="G62" s="1745"/>
      <c r="H62" s="1745"/>
      <c r="I62" s="1745"/>
      <c r="J62" s="1745"/>
      <c r="K62" s="1745"/>
      <c r="L62" s="1745"/>
      <c r="M62" s="1745"/>
      <c r="N62" s="1745"/>
      <c r="O62" s="1745"/>
      <c r="P62" s="1745"/>
    </row>
    <row r="63" spans="1:16">
      <c r="A63" s="1745"/>
      <c r="B63" s="1745"/>
      <c r="C63" s="1745"/>
      <c r="D63" s="1745"/>
      <c r="E63" s="1745"/>
      <c r="F63" s="1745"/>
      <c r="G63" s="1745"/>
      <c r="H63" s="1745"/>
      <c r="I63" s="1745"/>
      <c r="J63" s="1745"/>
      <c r="K63" s="1745"/>
      <c r="L63" s="1745"/>
      <c r="M63" s="1745"/>
      <c r="N63" s="1745"/>
      <c r="O63" s="1745"/>
      <c r="P63" s="1745"/>
    </row>
    <row r="64" spans="1:16">
      <c r="A64" s="1745"/>
      <c r="B64" s="1745"/>
      <c r="C64" s="1745"/>
      <c r="D64" s="1745"/>
      <c r="E64" s="1745"/>
      <c r="F64" s="1745"/>
      <c r="G64" s="1745"/>
      <c r="H64" s="1745"/>
      <c r="I64" s="1745"/>
      <c r="J64" s="1745"/>
      <c r="K64" s="1745"/>
      <c r="L64" s="1745"/>
      <c r="M64" s="1745"/>
      <c r="N64" s="1745"/>
      <c r="O64" s="1745"/>
      <c r="P64" s="1745"/>
    </row>
    <row r="65" spans="1:16">
      <c r="A65" s="1745"/>
      <c r="B65" s="1745"/>
      <c r="C65" s="1745"/>
      <c r="D65" s="1745"/>
      <c r="E65" s="1745"/>
      <c r="F65" s="1745"/>
      <c r="G65" s="1745"/>
      <c r="H65" s="1745"/>
      <c r="I65" s="1745"/>
      <c r="J65" s="1745"/>
      <c r="K65" s="1745"/>
      <c r="L65" s="1745"/>
      <c r="M65" s="1745"/>
      <c r="N65" s="1745"/>
      <c r="O65" s="1745"/>
      <c r="P65" s="1745"/>
    </row>
    <row r="66" spans="1:16">
      <c r="A66" s="1745"/>
      <c r="B66" s="1745"/>
      <c r="C66" s="1745"/>
      <c r="D66" s="1745"/>
      <c r="E66" s="1745"/>
      <c r="F66" s="1745"/>
      <c r="G66" s="1745"/>
      <c r="H66" s="1745"/>
      <c r="I66" s="1745"/>
      <c r="J66" s="1745"/>
      <c r="K66" s="1745"/>
      <c r="L66" s="1745"/>
      <c r="M66" s="1745"/>
      <c r="N66" s="1745"/>
      <c r="O66" s="1745"/>
      <c r="P66" s="1745"/>
    </row>
    <row r="67" spans="1:16">
      <c r="A67" s="1745"/>
      <c r="B67" s="1745"/>
      <c r="C67" s="1745"/>
      <c r="D67" s="1745"/>
      <c r="E67" s="1745"/>
      <c r="F67" s="1745"/>
      <c r="G67" s="1745"/>
      <c r="H67" s="1745"/>
      <c r="I67" s="1745"/>
      <c r="J67" s="1745"/>
      <c r="K67" s="1745"/>
      <c r="L67" s="1745"/>
      <c r="M67" s="1745"/>
      <c r="N67" s="1745"/>
      <c r="O67" s="1745"/>
      <c r="P67" s="1745"/>
    </row>
    <row r="68" spans="1:16">
      <c r="A68" s="1745"/>
      <c r="B68" s="1745"/>
      <c r="C68" s="1745"/>
      <c r="D68" s="1745"/>
      <c r="E68" s="1745"/>
      <c r="F68" s="1745"/>
      <c r="G68" s="1745"/>
      <c r="H68" s="1745"/>
      <c r="I68" s="1745"/>
      <c r="J68" s="1745"/>
      <c r="K68" s="1745"/>
      <c r="L68" s="1745"/>
      <c r="M68" s="1745"/>
      <c r="N68" s="1745"/>
      <c r="O68" s="1745"/>
      <c r="P68" s="1745"/>
    </row>
    <row r="69" spans="1:16">
      <c r="A69" s="1745"/>
      <c r="B69" s="1745"/>
      <c r="C69" s="1745"/>
      <c r="D69" s="1745"/>
      <c r="E69" s="1745"/>
      <c r="F69" s="1745"/>
      <c r="G69" s="1745"/>
      <c r="H69" s="1745"/>
      <c r="I69" s="1745"/>
      <c r="J69" s="1745"/>
      <c r="K69" s="1745"/>
      <c r="L69" s="1745"/>
      <c r="M69" s="1745"/>
      <c r="N69" s="1745"/>
      <c r="O69" s="1745"/>
      <c r="P69" s="1745"/>
    </row>
    <row r="70" spans="1:16">
      <c r="A70" s="1745"/>
      <c r="B70" s="1745"/>
      <c r="C70" s="1745"/>
      <c r="D70" s="1745"/>
      <c r="E70" s="1745"/>
      <c r="F70" s="1745"/>
      <c r="G70" s="1745"/>
      <c r="H70" s="1745"/>
      <c r="I70" s="1745"/>
      <c r="J70" s="1745"/>
      <c r="K70" s="1745"/>
      <c r="L70" s="1745"/>
      <c r="M70" s="1745"/>
      <c r="N70" s="1745"/>
      <c r="O70" s="1745"/>
      <c r="P70" s="1745"/>
    </row>
    <row r="71" spans="1:16">
      <c r="A71" s="1745"/>
      <c r="B71" s="1745"/>
      <c r="C71" s="1745"/>
      <c r="D71" s="1745"/>
      <c r="E71" s="1745"/>
      <c r="F71" s="1745"/>
      <c r="G71" s="1745"/>
      <c r="H71" s="1745"/>
      <c r="I71" s="1745"/>
      <c r="J71" s="1745"/>
      <c r="K71" s="1745"/>
      <c r="L71" s="1745"/>
      <c r="M71" s="1745"/>
      <c r="N71" s="1745"/>
      <c r="O71" s="1745"/>
      <c r="P71" s="1745"/>
    </row>
    <row r="72" spans="1:16">
      <c r="A72" s="1745"/>
      <c r="B72" s="1745"/>
      <c r="C72" s="1745"/>
      <c r="D72" s="1745"/>
      <c r="E72" s="1745"/>
      <c r="F72" s="1745"/>
      <c r="G72" s="1745"/>
      <c r="H72" s="1745"/>
      <c r="I72" s="1745"/>
      <c r="J72" s="1745"/>
      <c r="K72" s="1745"/>
      <c r="L72" s="1745"/>
      <c r="M72" s="1745"/>
      <c r="N72" s="1745"/>
      <c r="O72" s="1745"/>
      <c r="P72" s="1745"/>
    </row>
    <row r="73" spans="1:16">
      <c r="A73" s="1745"/>
      <c r="B73" s="1745"/>
      <c r="C73" s="1745"/>
      <c r="D73" s="1745"/>
      <c r="E73" s="1745"/>
      <c r="F73" s="1745"/>
      <c r="G73" s="1745"/>
      <c r="H73" s="1745"/>
      <c r="I73" s="1745"/>
      <c r="J73" s="1745"/>
      <c r="K73" s="1745"/>
      <c r="L73" s="1745"/>
      <c r="M73" s="1745"/>
      <c r="N73" s="1745"/>
      <c r="O73" s="1745"/>
      <c r="P73" s="1745"/>
    </row>
    <row r="74" spans="1:16">
      <c r="A74" s="1745"/>
      <c r="B74" s="1745"/>
      <c r="C74" s="1745"/>
      <c r="D74" s="1745"/>
      <c r="E74" s="1745"/>
      <c r="F74" s="1745"/>
      <c r="G74" s="1745"/>
      <c r="H74" s="1745"/>
      <c r="I74" s="1745"/>
      <c r="J74" s="1745"/>
      <c r="K74" s="1745"/>
      <c r="L74" s="1745"/>
      <c r="M74" s="1745"/>
      <c r="N74" s="1745"/>
      <c r="O74" s="1745"/>
      <c r="P74" s="1745"/>
    </row>
    <row r="75" spans="1:16">
      <c r="A75" s="1745"/>
      <c r="B75" s="1745"/>
      <c r="C75" s="1745"/>
      <c r="D75" s="1745"/>
      <c r="E75" s="1745"/>
      <c r="F75" s="1745"/>
      <c r="G75" s="1745"/>
      <c r="H75" s="1745"/>
      <c r="I75" s="1745"/>
      <c r="J75" s="1745"/>
      <c r="K75" s="1745"/>
      <c r="L75" s="1745"/>
      <c r="M75" s="1745"/>
      <c r="N75" s="1745"/>
      <c r="O75" s="1745"/>
      <c r="P75" s="1745"/>
    </row>
    <row r="76" spans="1:16">
      <c r="A76" s="1745"/>
      <c r="B76" s="1745"/>
      <c r="C76" s="1745"/>
      <c r="D76" s="1745"/>
      <c r="E76" s="1745"/>
      <c r="F76" s="1745"/>
      <c r="G76" s="1745"/>
      <c r="H76" s="1745"/>
      <c r="I76" s="1745"/>
      <c r="J76" s="1745"/>
      <c r="K76" s="1745"/>
      <c r="L76" s="1745"/>
      <c r="M76" s="1745"/>
      <c r="N76" s="1745"/>
      <c r="O76" s="1745"/>
      <c r="P76" s="1745"/>
    </row>
    <row r="77" spans="1:16">
      <c r="A77" s="1745"/>
      <c r="B77" s="1745"/>
      <c r="C77" s="1745"/>
      <c r="D77" s="1745"/>
      <c r="E77" s="1745"/>
      <c r="F77" s="1745"/>
      <c r="G77" s="1745"/>
      <c r="H77" s="1745"/>
      <c r="I77" s="1745"/>
      <c r="J77" s="1745"/>
      <c r="K77" s="1745"/>
      <c r="L77" s="1745"/>
      <c r="M77" s="1745"/>
      <c r="N77" s="1745"/>
      <c r="O77" s="1745"/>
      <c r="P77" s="1745"/>
    </row>
    <row r="78" spans="1:16">
      <c r="A78" s="1745"/>
      <c r="B78" s="1745"/>
      <c r="C78" s="1745"/>
      <c r="D78" s="1745"/>
      <c r="E78" s="1745"/>
      <c r="F78" s="1745"/>
      <c r="G78" s="1745"/>
      <c r="H78" s="1745"/>
      <c r="I78" s="1745"/>
      <c r="J78" s="1745"/>
      <c r="K78" s="1745"/>
      <c r="L78" s="1745"/>
      <c r="M78" s="1745"/>
      <c r="N78" s="1745"/>
      <c r="O78" s="1745"/>
      <c r="P78" s="1745"/>
    </row>
    <row r="79" spans="1:16">
      <c r="A79" s="1745"/>
      <c r="B79" s="1745"/>
      <c r="C79" s="1745"/>
      <c r="D79" s="1745"/>
      <c r="E79" s="1745"/>
      <c r="F79" s="1745"/>
      <c r="G79" s="1745"/>
      <c r="H79" s="1745"/>
      <c r="I79" s="1745"/>
      <c r="J79" s="1745"/>
      <c r="K79" s="1745"/>
      <c r="L79" s="1745"/>
      <c r="M79" s="1745"/>
      <c r="N79" s="1745"/>
      <c r="O79" s="1745"/>
      <c r="P79" s="1745"/>
    </row>
    <row r="80" spans="1:16">
      <c r="A80" s="1745"/>
      <c r="B80" s="1745"/>
      <c r="C80" s="1745"/>
      <c r="D80" s="1745"/>
      <c r="E80" s="1745"/>
      <c r="F80" s="1745"/>
      <c r="G80" s="1745"/>
      <c r="H80" s="1745"/>
      <c r="I80" s="1745"/>
      <c r="J80" s="1745"/>
      <c r="K80" s="1745"/>
      <c r="L80" s="1745"/>
      <c r="M80" s="1745"/>
      <c r="N80" s="1745"/>
      <c r="O80" s="1745"/>
      <c r="P80" s="1745"/>
    </row>
    <row r="81" spans="1:16">
      <c r="A81" s="1745"/>
      <c r="B81" s="1745"/>
      <c r="C81" s="1745"/>
      <c r="D81" s="1745"/>
      <c r="E81" s="1745"/>
      <c r="F81" s="1745"/>
      <c r="G81" s="1745"/>
      <c r="H81" s="1745"/>
      <c r="I81" s="1745"/>
      <c r="J81" s="1745"/>
      <c r="K81" s="1745"/>
      <c r="L81" s="1745"/>
      <c r="M81" s="1745"/>
      <c r="N81" s="1745"/>
      <c r="O81" s="1745"/>
      <c r="P81" s="1745"/>
    </row>
    <row r="82" spans="1:16">
      <c r="A82" s="1745"/>
      <c r="B82" s="1745"/>
      <c r="C82" s="1745"/>
      <c r="D82" s="1745"/>
      <c r="E82" s="1745"/>
      <c r="F82" s="1745"/>
      <c r="G82" s="1745"/>
      <c r="H82" s="1745"/>
      <c r="I82" s="1745"/>
      <c r="J82" s="1745"/>
      <c r="K82" s="1745"/>
      <c r="L82" s="1745"/>
      <c r="M82" s="1745"/>
      <c r="N82" s="1745"/>
      <c r="O82" s="1745"/>
      <c r="P82" s="1745"/>
    </row>
    <row r="83" spans="1:16">
      <c r="A83" s="1745"/>
      <c r="B83" s="1745"/>
      <c r="C83" s="1745"/>
      <c r="D83" s="1745"/>
      <c r="E83" s="1745"/>
      <c r="F83" s="1745"/>
      <c r="G83" s="1745"/>
      <c r="H83" s="1745"/>
      <c r="I83" s="1745"/>
      <c r="J83" s="1745"/>
      <c r="K83" s="1745"/>
      <c r="L83" s="1745"/>
      <c r="M83" s="1745"/>
      <c r="N83" s="1745"/>
      <c r="O83" s="1745"/>
      <c r="P83" s="1745"/>
    </row>
    <row r="84" spans="1:16">
      <c r="A84" s="1745"/>
      <c r="B84" s="1745"/>
      <c r="C84" s="1745"/>
      <c r="D84" s="1745"/>
      <c r="E84" s="1745"/>
      <c r="F84" s="1745"/>
      <c r="G84" s="1745"/>
      <c r="H84" s="1745"/>
      <c r="I84" s="1745"/>
      <c r="J84" s="1745"/>
      <c r="K84" s="1745"/>
      <c r="L84" s="1745"/>
      <c r="M84" s="1745"/>
      <c r="N84" s="1745"/>
      <c r="O84" s="1745"/>
      <c r="P84" s="1745"/>
    </row>
    <row r="85" spans="1:16">
      <c r="A85" s="1745"/>
      <c r="B85" s="1745"/>
      <c r="C85" s="1745"/>
      <c r="D85" s="1745"/>
      <c r="E85" s="1745"/>
      <c r="F85" s="1745"/>
      <c r="G85" s="1745"/>
      <c r="H85" s="1745"/>
      <c r="I85" s="1745"/>
      <c r="J85" s="1745"/>
      <c r="K85" s="1745"/>
      <c r="L85" s="1745"/>
      <c r="M85" s="1745"/>
      <c r="N85" s="1745"/>
      <c r="O85" s="1745"/>
      <c r="P85" s="1745"/>
    </row>
    <row r="86" spans="1:16">
      <c r="A86" s="1745"/>
      <c r="B86" s="1745"/>
      <c r="C86" s="1745"/>
      <c r="D86" s="1745"/>
      <c r="E86" s="1745"/>
      <c r="F86" s="1745"/>
      <c r="G86" s="1745"/>
      <c r="H86" s="1745"/>
      <c r="I86" s="1745"/>
      <c r="J86" s="1745"/>
      <c r="K86" s="1745"/>
      <c r="L86" s="1745"/>
      <c r="M86" s="1745"/>
      <c r="N86" s="1745"/>
      <c r="O86" s="1745"/>
      <c r="P86" s="1745"/>
    </row>
    <row r="87" spans="1:16">
      <c r="A87" s="1745"/>
      <c r="B87" s="1745"/>
      <c r="C87" s="1745"/>
      <c r="D87" s="1745"/>
      <c r="E87" s="1745"/>
      <c r="F87" s="1745"/>
      <c r="G87" s="1745"/>
      <c r="H87" s="1745"/>
      <c r="I87" s="1745"/>
      <c r="J87" s="1745"/>
      <c r="K87" s="1745"/>
      <c r="L87" s="1745"/>
      <c r="M87" s="1745"/>
      <c r="N87" s="1745"/>
      <c r="O87" s="1745"/>
      <c r="P87" s="1745"/>
    </row>
    <row r="88" spans="1:16">
      <c r="A88" s="1745"/>
      <c r="B88" s="1745"/>
      <c r="C88" s="1745"/>
      <c r="D88" s="1745"/>
      <c r="E88" s="1745"/>
      <c r="F88" s="1745"/>
      <c r="G88" s="1745"/>
      <c r="H88" s="1745"/>
      <c r="I88" s="1745"/>
      <c r="J88" s="1745"/>
      <c r="K88" s="1745"/>
      <c r="L88" s="1745"/>
      <c r="M88" s="1745"/>
      <c r="N88" s="1745"/>
      <c r="O88" s="1745"/>
      <c r="P88" s="1745"/>
    </row>
    <row r="89" spans="1:16">
      <c r="A89" s="1745"/>
      <c r="B89" s="1745"/>
      <c r="C89" s="1745"/>
      <c r="D89" s="1745"/>
      <c r="E89" s="1745"/>
      <c r="F89" s="1745"/>
      <c r="G89" s="1745"/>
      <c r="H89" s="1745"/>
      <c r="I89" s="1745"/>
      <c r="J89" s="1745"/>
      <c r="K89" s="1745"/>
      <c r="L89" s="1745"/>
      <c r="M89" s="1745"/>
      <c r="N89" s="1745"/>
      <c r="O89" s="1745"/>
      <c r="P89" s="1745"/>
    </row>
    <row r="90" spans="1:16">
      <c r="A90" s="1745"/>
      <c r="B90" s="1745"/>
      <c r="C90" s="1745"/>
      <c r="D90" s="1745"/>
      <c r="E90" s="1745"/>
      <c r="F90" s="1745"/>
      <c r="G90" s="1745"/>
      <c r="H90" s="1745"/>
      <c r="I90" s="1745"/>
      <c r="J90" s="1745"/>
      <c r="K90" s="1745"/>
      <c r="L90" s="1745"/>
      <c r="M90" s="1745"/>
      <c r="N90" s="1745"/>
      <c r="O90" s="1745"/>
      <c r="P90" s="1745"/>
    </row>
    <row r="91" spans="1:16">
      <c r="A91" s="1745"/>
      <c r="B91" s="1745"/>
      <c r="C91" s="1745"/>
      <c r="D91" s="1745"/>
      <c r="E91" s="1745"/>
      <c r="F91" s="1745"/>
      <c r="G91" s="1745"/>
      <c r="H91" s="1745"/>
      <c r="I91" s="1745"/>
      <c r="J91" s="1745"/>
      <c r="K91" s="1745"/>
      <c r="L91" s="1745"/>
      <c r="M91" s="1745"/>
      <c r="N91" s="1745"/>
      <c r="O91" s="1745"/>
      <c r="P91" s="1745"/>
    </row>
    <row r="92" spans="1:16">
      <c r="A92" s="1745"/>
      <c r="B92" s="1745"/>
      <c r="C92" s="1745"/>
      <c r="D92" s="1745"/>
      <c r="E92" s="1745"/>
      <c r="F92" s="1745"/>
      <c r="G92" s="1745"/>
      <c r="H92" s="1745"/>
      <c r="I92" s="1745"/>
      <c r="J92" s="1745"/>
      <c r="K92" s="1745"/>
      <c r="L92" s="1745"/>
      <c r="M92" s="1745"/>
      <c r="N92" s="1745"/>
      <c r="O92" s="1745"/>
      <c r="P92" s="1745"/>
    </row>
    <row r="93" spans="1:16">
      <c r="A93" s="1745"/>
      <c r="B93" s="1745"/>
      <c r="C93" s="1745"/>
      <c r="D93" s="1745"/>
      <c r="E93" s="1745"/>
      <c r="F93" s="1745"/>
      <c r="G93" s="1745"/>
      <c r="H93" s="1745"/>
      <c r="I93" s="1745"/>
      <c r="J93" s="1745"/>
      <c r="K93" s="1745"/>
      <c r="L93" s="1745"/>
      <c r="M93" s="1745"/>
      <c r="N93" s="1745"/>
      <c r="O93" s="1745"/>
      <c r="P93" s="1745"/>
    </row>
    <row r="94" spans="1:16">
      <c r="A94" s="1745"/>
      <c r="B94" s="1745"/>
      <c r="C94" s="1745"/>
      <c r="D94" s="1745"/>
      <c r="E94" s="1745"/>
      <c r="F94" s="1745"/>
      <c r="G94" s="1745"/>
      <c r="H94" s="1745"/>
      <c r="I94" s="1745"/>
      <c r="J94" s="1745"/>
      <c r="K94" s="1745"/>
      <c r="L94" s="1745"/>
      <c r="M94" s="1745"/>
      <c r="N94" s="1745"/>
      <c r="O94" s="1745"/>
      <c r="P94" s="1745"/>
    </row>
    <row r="95" spans="1:16">
      <c r="A95" s="1745"/>
      <c r="B95" s="1745"/>
      <c r="C95" s="1745"/>
      <c r="D95" s="1745"/>
      <c r="E95" s="1745"/>
      <c r="F95" s="1745"/>
      <c r="G95" s="1745"/>
      <c r="H95" s="1745"/>
      <c r="I95" s="1745"/>
      <c r="J95" s="1745"/>
      <c r="K95" s="1745"/>
      <c r="L95" s="1745"/>
      <c r="M95" s="1745"/>
      <c r="N95" s="1745"/>
      <c r="O95" s="1745"/>
      <c r="P95" s="1745"/>
    </row>
    <row r="96" spans="1:16">
      <c r="A96" s="1745"/>
      <c r="B96" s="1745"/>
      <c r="C96" s="1745"/>
      <c r="D96" s="1745"/>
      <c r="E96" s="1745"/>
      <c r="F96" s="1745"/>
      <c r="G96" s="1745"/>
      <c r="H96" s="1745"/>
      <c r="I96" s="1745"/>
      <c r="J96" s="1745"/>
      <c r="K96" s="1745"/>
      <c r="L96" s="1745"/>
      <c r="M96" s="1745"/>
      <c r="N96" s="1745"/>
      <c r="O96" s="1745"/>
      <c r="P96" s="1745"/>
    </row>
    <row r="97" spans="1:16">
      <c r="A97" s="1745"/>
      <c r="B97" s="1745"/>
      <c r="C97" s="1745"/>
      <c r="D97" s="1745"/>
      <c r="E97" s="1745"/>
      <c r="F97" s="1745"/>
      <c r="G97" s="1745"/>
      <c r="H97" s="1745"/>
      <c r="I97" s="1745"/>
      <c r="J97" s="1745"/>
      <c r="K97" s="1745"/>
      <c r="L97" s="1745"/>
      <c r="M97" s="1745"/>
      <c r="N97" s="1745"/>
      <c r="O97" s="1745"/>
      <c r="P97" s="1745"/>
    </row>
    <row r="98" spans="1:16">
      <c r="A98" s="1745"/>
      <c r="B98" s="1745"/>
      <c r="C98" s="1745"/>
      <c r="D98" s="1745"/>
      <c r="E98" s="1745"/>
      <c r="F98" s="1745"/>
      <c r="G98" s="1745"/>
      <c r="H98" s="1745"/>
      <c r="I98" s="1745"/>
      <c r="J98" s="1745"/>
      <c r="K98" s="1745"/>
      <c r="L98" s="1745"/>
      <c r="M98" s="1745"/>
      <c r="N98" s="1745"/>
      <c r="O98" s="1745"/>
      <c r="P98" s="1745"/>
    </row>
    <row r="99" spans="1:16">
      <c r="A99" s="1745"/>
      <c r="B99" s="1745"/>
      <c r="C99" s="1745"/>
      <c r="D99" s="1745"/>
      <c r="E99" s="1745"/>
      <c r="F99" s="1745"/>
      <c r="G99" s="1745"/>
      <c r="H99" s="1745"/>
      <c r="I99" s="1745"/>
      <c r="J99" s="1745"/>
      <c r="K99" s="1745"/>
      <c r="L99" s="1745"/>
      <c r="M99" s="1745"/>
      <c r="N99" s="1745"/>
      <c r="O99" s="1745"/>
      <c r="P99" s="1745"/>
    </row>
    <row r="100" spans="1:16">
      <c r="A100" s="1745"/>
      <c r="B100" s="1745"/>
      <c r="C100" s="1745"/>
      <c r="D100" s="1745"/>
      <c r="E100" s="1745"/>
      <c r="F100" s="1745"/>
      <c r="G100" s="1745"/>
      <c r="H100" s="1745"/>
      <c r="I100" s="1745"/>
      <c r="J100" s="1745"/>
      <c r="K100" s="1745"/>
      <c r="L100" s="1745"/>
      <c r="M100" s="1745"/>
      <c r="N100" s="1745"/>
      <c r="O100" s="1745"/>
      <c r="P100" s="1745"/>
    </row>
    <row r="101" spans="1:16">
      <c r="A101" s="1745"/>
      <c r="B101" s="1745"/>
      <c r="C101" s="1745"/>
      <c r="D101" s="1745"/>
      <c r="E101" s="1745"/>
      <c r="F101" s="1745"/>
      <c r="G101" s="1745"/>
      <c r="H101" s="1745"/>
      <c r="I101" s="1745"/>
      <c r="J101" s="1745"/>
      <c r="K101" s="1745"/>
      <c r="L101" s="1745"/>
      <c r="M101" s="1745"/>
      <c r="N101" s="1745"/>
      <c r="O101" s="1745"/>
      <c r="P101" s="1745"/>
    </row>
    <row r="102" spans="1:16">
      <c r="A102" s="1745"/>
      <c r="B102" s="1745"/>
      <c r="C102" s="1745"/>
      <c r="D102" s="1745"/>
      <c r="E102" s="1745"/>
      <c r="F102" s="1745"/>
      <c r="G102" s="1745"/>
      <c r="H102" s="1745"/>
      <c r="I102" s="1745"/>
      <c r="J102" s="1745"/>
      <c r="K102" s="1745"/>
      <c r="L102" s="1745"/>
      <c r="M102" s="1745"/>
      <c r="N102" s="1745"/>
      <c r="O102" s="1745"/>
      <c r="P102" s="1745"/>
    </row>
    <row r="103" spans="1:16">
      <c r="A103" s="1745"/>
      <c r="B103" s="1745"/>
      <c r="C103" s="1745"/>
      <c r="D103" s="1745"/>
      <c r="E103" s="1745"/>
      <c r="F103" s="1745"/>
      <c r="G103" s="1745"/>
      <c r="H103" s="1745"/>
      <c r="I103" s="1745"/>
      <c r="J103" s="1745"/>
      <c r="K103" s="1745"/>
      <c r="L103" s="1745"/>
      <c r="M103" s="1745"/>
      <c r="N103" s="1745"/>
      <c r="O103" s="1745"/>
      <c r="P103" s="1745"/>
    </row>
    <row r="104" spans="1:16">
      <c r="A104" s="1745"/>
      <c r="B104" s="1745"/>
      <c r="C104" s="1745"/>
      <c r="D104" s="1745"/>
      <c r="E104" s="1745"/>
      <c r="F104" s="1745"/>
      <c r="G104" s="1745"/>
      <c r="H104" s="1745"/>
      <c r="I104" s="1745"/>
      <c r="J104" s="1745"/>
      <c r="K104" s="1745"/>
      <c r="L104" s="1745"/>
      <c r="M104" s="1745"/>
      <c r="N104" s="1745"/>
      <c r="O104" s="1745"/>
      <c r="P104" s="1745"/>
    </row>
    <row r="105" spans="1:16">
      <c r="A105" s="1745"/>
      <c r="B105" s="1745"/>
      <c r="C105" s="1745"/>
      <c r="D105" s="1745"/>
      <c r="E105" s="1745"/>
      <c r="F105" s="1745"/>
      <c r="G105" s="1745"/>
      <c r="H105" s="1745"/>
      <c r="I105" s="1745"/>
      <c r="J105" s="1745"/>
      <c r="K105" s="1745"/>
      <c r="L105" s="1745"/>
      <c r="M105" s="1745"/>
      <c r="N105" s="1745"/>
      <c r="O105" s="1745"/>
      <c r="P105" s="1745"/>
    </row>
    <row r="106" spans="1:16">
      <c r="A106" s="1745"/>
      <c r="B106" s="1745"/>
      <c r="C106" s="1745"/>
      <c r="D106" s="1745"/>
      <c r="E106" s="1745"/>
      <c r="F106" s="1745"/>
      <c r="G106" s="1745"/>
      <c r="H106" s="1745"/>
      <c r="I106" s="1745"/>
      <c r="J106" s="1745"/>
      <c r="K106" s="1745"/>
      <c r="L106" s="1745"/>
      <c r="M106" s="1745"/>
      <c r="N106" s="1745"/>
      <c r="O106" s="1745"/>
      <c r="P106" s="1745"/>
    </row>
    <row r="107" spans="1:16">
      <c r="A107" s="1745"/>
      <c r="B107" s="1745"/>
      <c r="C107" s="1745"/>
      <c r="D107" s="1745"/>
      <c r="E107" s="1745"/>
      <c r="F107" s="1745"/>
      <c r="G107" s="1745"/>
      <c r="H107" s="1745"/>
      <c r="I107" s="1745"/>
      <c r="J107" s="1745"/>
      <c r="K107" s="1745"/>
      <c r="L107" s="1745"/>
      <c r="M107" s="1745"/>
      <c r="N107" s="1745"/>
      <c r="O107" s="1745"/>
      <c r="P107" s="1745"/>
    </row>
    <row r="108" spans="1:16">
      <c r="A108" s="1745"/>
      <c r="B108" s="1745"/>
      <c r="C108" s="1745"/>
      <c r="D108" s="1745"/>
      <c r="E108" s="1745"/>
      <c r="F108" s="1745"/>
      <c r="G108" s="1745"/>
      <c r="H108" s="1745"/>
      <c r="I108" s="1745"/>
      <c r="J108" s="1745"/>
      <c r="K108" s="1745"/>
      <c r="L108" s="1745"/>
      <c r="M108" s="1745"/>
      <c r="N108" s="1745"/>
      <c r="O108" s="1745"/>
      <c r="P108" s="1745"/>
    </row>
    <row r="109" spans="1:16">
      <c r="A109" s="1745"/>
      <c r="B109" s="1745"/>
      <c r="C109" s="1745"/>
      <c r="D109" s="1745"/>
      <c r="E109" s="1745"/>
      <c r="F109" s="1745"/>
      <c r="G109" s="1745"/>
      <c r="H109" s="1745"/>
      <c r="I109" s="1745"/>
      <c r="J109" s="1745"/>
      <c r="K109" s="1745"/>
      <c r="L109" s="1745"/>
      <c r="M109" s="1745"/>
      <c r="N109" s="1745"/>
      <c r="O109" s="1745"/>
      <c r="P109" s="1745"/>
    </row>
    <row r="110" spans="1:16">
      <c r="A110" s="1745"/>
      <c r="B110" s="1745"/>
      <c r="C110" s="1745"/>
      <c r="D110" s="1745"/>
      <c r="E110" s="1745"/>
      <c r="F110" s="1745"/>
      <c r="G110" s="1745"/>
      <c r="H110" s="1745"/>
      <c r="I110" s="1745"/>
      <c r="J110" s="1745"/>
      <c r="K110" s="1745"/>
      <c r="L110" s="1745"/>
      <c r="M110" s="1745"/>
      <c r="N110" s="1745"/>
      <c r="O110" s="1745"/>
      <c r="P110" s="1745"/>
    </row>
    <row r="111" spans="1:16">
      <c r="A111" s="1745"/>
      <c r="B111" s="1745"/>
      <c r="C111" s="1745"/>
      <c r="D111" s="1745"/>
      <c r="E111" s="1745"/>
      <c r="F111" s="1745"/>
      <c r="G111" s="1745"/>
      <c r="H111" s="1745"/>
      <c r="I111" s="1745"/>
      <c r="J111" s="1745"/>
      <c r="K111" s="1745"/>
      <c r="L111" s="1745"/>
      <c r="M111" s="1745"/>
      <c r="N111" s="1745"/>
      <c r="O111" s="1745"/>
      <c r="P111" s="1745"/>
    </row>
    <row r="112" spans="1:16">
      <c r="A112" s="1745"/>
      <c r="B112" s="1745"/>
      <c r="C112" s="1745"/>
      <c r="D112" s="1745"/>
      <c r="E112" s="1745"/>
      <c r="F112" s="1745"/>
      <c r="G112" s="1745"/>
      <c r="H112" s="1745"/>
      <c r="I112" s="1745"/>
      <c r="J112" s="1745"/>
      <c r="K112" s="1745"/>
      <c r="L112" s="1745"/>
      <c r="M112" s="1745"/>
      <c r="N112" s="1745"/>
      <c r="O112" s="1745"/>
      <c r="P112" s="1745"/>
    </row>
    <row r="113" spans="1:16">
      <c r="A113" s="1745"/>
      <c r="B113" s="1745"/>
      <c r="C113" s="1745"/>
      <c r="D113" s="1745"/>
      <c r="E113" s="1745"/>
      <c r="F113" s="1745"/>
      <c r="G113" s="1745"/>
      <c r="H113" s="1745"/>
      <c r="I113" s="1745"/>
      <c r="J113" s="1745"/>
      <c r="K113" s="1745"/>
      <c r="L113" s="1745"/>
      <c r="M113" s="1745"/>
      <c r="N113" s="1745"/>
      <c r="O113" s="1745"/>
      <c r="P113" s="1745"/>
    </row>
    <row r="114" spans="1:16">
      <c r="A114" s="1745"/>
      <c r="B114" s="1745"/>
      <c r="C114" s="1745"/>
      <c r="D114" s="1745"/>
      <c r="E114" s="1745"/>
      <c r="F114" s="1745"/>
      <c r="G114" s="1745"/>
      <c r="H114" s="1745"/>
      <c r="I114" s="1745"/>
      <c r="J114" s="1745"/>
      <c r="K114" s="1745"/>
      <c r="L114" s="1745"/>
      <c r="M114" s="1745"/>
      <c r="N114" s="1745"/>
      <c r="O114" s="1745"/>
      <c r="P114" s="1745"/>
    </row>
    <row r="115" spans="1:16">
      <c r="A115" s="1745"/>
      <c r="B115" s="1745"/>
      <c r="C115" s="1745"/>
      <c r="D115" s="1745"/>
      <c r="E115" s="1745"/>
      <c r="F115" s="1745"/>
      <c r="G115" s="1745"/>
      <c r="H115" s="1745"/>
      <c r="I115" s="1745"/>
      <c r="J115" s="1745"/>
      <c r="K115" s="1745"/>
      <c r="L115" s="1745"/>
      <c r="M115" s="1745"/>
      <c r="N115" s="1745"/>
      <c r="O115" s="1745"/>
      <c r="P115" s="1745"/>
    </row>
    <row r="116" spans="1:16">
      <c r="A116" s="1745"/>
      <c r="B116" s="1745"/>
      <c r="C116" s="1745"/>
      <c r="D116" s="1745"/>
      <c r="E116" s="1745"/>
      <c r="F116" s="1745"/>
      <c r="G116" s="1745"/>
      <c r="H116" s="1745"/>
      <c r="I116" s="1745"/>
      <c r="J116" s="1745"/>
      <c r="K116" s="1745"/>
      <c r="L116" s="1745"/>
      <c r="M116" s="1745"/>
      <c r="N116" s="1745"/>
      <c r="O116" s="1745"/>
      <c r="P116" s="1745"/>
    </row>
    <row r="117" spans="1:16">
      <c r="A117" s="1745"/>
      <c r="B117" s="1745"/>
      <c r="C117" s="1745"/>
      <c r="D117" s="1745"/>
      <c r="E117" s="1745"/>
      <c r="F117" s="1745"/>
      <c r="G117" s="1745"/>
      <c r="H117" s="1745"/>
      <c r="I117" s="1745"/>
      <c r="J117" s="1745"/>
      <c r="K117" s="1745"/>
      <c r="L117" s="1745"/>
      <c r="M117" s="1745"/>
      <c r="N117" s="1745"/>
      <c r="O117" s="1745"/>
      <c r="P117" s="1745"/>
    </row>
    <row r="118" spans="1:16">
      <c r="A118" s="1745"/>
      <c r="B118" s="1745"/>
      <c r="C118" s="1745"/>
      <c r="D118" s="1745"/>
      <c r="E118" s="1745"/>
      <c r="F118" s="1745"/>
      <c r="G118" s="1745"/>
      <c r="H118" s="1745"/>
      <c r="I118" s="1745"/>
      <c r="J118" s="1745"/>
      <c r="K118" s="1745"/>
      <c r="L118" s="1745"/>
      <c r="M118" s="1745"/>
      <c r="N118" s="1745"/>
      <c r="O118" s="1745"/>
      <c r="P118" s="1745"/>
    </row>
    <row r="119" spans="1:16">
      <c r="A119" s="1745"/>
      <c r="B119" s="1745"/>
      <c r="C119" s="1745"/>
      <c r="D119" s="1745"/>
      <c r="E119" s="1745"/>
      <c r="F119" s="1745"/>
      <c r="G119" s="1745"/>
      <c r="H119" s="1745"/>
      <c r="I119" s="1745"/>
      <c r="J119" s="1745"/>
      <c r="K119" s="1745"/>
      <c r="L119" s="1745"/>
      <c r="M119" s="1745"/>
      <c r="N119" s="1745"/>
      <c r="O119" s="1745"/>
      <c r="P119" s="1745"/>
    </row>
    <row r="120" spans="1:16">
      <c r="A120" s="1745"/>
      <c r="B120" s="1745"/>
      <c r="C120" s="1745"/>
      <c r="D120" s="1745"/>
      <c r="E120" s="1745"/>
      <c r="F120" s="1745"/>
      <c r="G120" s="1745"/>
      <c r="H120" s="1745"/>
      <c r="I120" s="1745"/>
      <c r="J120" s="1745"/>
      <c r="K120" s="1745"/>
      <c r="L120" s="1745"/>
      <c r="M120" s="1745"/>
      <c r="N120" s="1745"/>
      <c r="O120" s="1745"/>
      <c r="P120" s="1745"/>
    </row>
    <row r="121" spans="1:16">
      <c r="A121" s="1745"/>
      <c r="B121" s="1745"/>
      <c r="C121" s="1745"/>
      <c r="D121" s="1745"/>
      <c r="E121" s="1745"/>
      <c r="F121" s="1745"/>
      <c r="G121" s="1745"/>
      <c r="H121" s="1745"/>
      <c r="I121" s="1745"/>
      <c r="J121" s="1745"/>
      <c r="K121" s="1745"/>
      <c r="L121" s="1745"/>
      <c r="M121" s="1745"/>
      <c r="N121" s="1745"/>
      <c r="O121" s="1745"/>
      <c r="P121" s="1745"/>
    </row>
    <row r="122" spans="1:16">
      <c r="A122" s="1745"/>
      <c r="B122" s="1745"/>
      <c r="C122" s="1745"/>
      <c r="D122" s="1745"/>
      <c r="E122" s="1745"/>
      <c r="F122" s="1745"/>
      <c r="G122" s="1745"/>
      <c r="H122" s="1745"/>
      <c r="I122" s="1745"/>
      <c r="J122" s="1745"/>
      <c r="K122" s="1745"/>
      <c r="L122" s="1745"/>
      <c r="M122" s="1745"/>
      <c r="N122" s="1745"/>
      <c r="O122" s="1745"/>
      <c r="P122" s="1745"/>
    </row>
    <row r="123" spans="1:16">
      <c r="A123" s="1745"/>
      <c r="B123" s="1745"/>
      <c r="C123" s="1745"/>
      <c r="D123" s="1745"/>
      <c r="E123" s="1745"/>
      <c r="F123" s="1745"/>
      <c r="G123" s="1745"/>
      <c r="H123" s="1745"/>
      <c r="I123" s="1745"/>
      <c r="J123" s="1745"/>
      <c r="K123" s="1745"/>
      <c r="L123" s="1745"/>
      <c r="M123" s="1745"/>
      <c r="N123" s="1745"/>
      <c r="O123" s="1745"/>
      <c r="P123" s="1745"/>
    </row>
    <row r="124" spans="1:16">
      <c r="A124" s="1745"/>
      <c r="B124" s="1745"/>
      <c r="C124" s="1745"/>
      <c r="D124" s="1745"/>
      <c r="E124" s="1745"/>
      <c r="F124" s="1745"/>
      <c r="G124" s="1745"/>
      <c r="H124" s="1745"/>
      <c r="I124" s="1745"/>
      <c r="J124" s="1745"/>
      <c r="K124" s="1745"/>
      <c r="L124" s="1745"/>
      <c r="M124" s="1745"/>
      <c r="N124" s="1745"/>
      <c r="O124" s="1745"/>
      <c r="P124" s="1745"/>
    </row>
    <row r="125" spans="1:16">
      <c r="A125" s="1745"/>
      <c r="B125" s="1745"/>
      <c r="C125" s="1745"/>
      <c r="D125" s="1745"/>
      <c r="E125" s="1745"/>
      <c r="F125" s="1745"/>
      <c r="G125" s="1745"/>
      <c r="H125" s="1745"/>
      <c r="I125" s="1745"/>
      <c r="J125" s="1745"/>
      <c r="K125" s="1745"/>
      <c r="L125" s="1745"/>
      <c r="M125" s="1745"/>
      <c r="N125" s="1745"/>
      <c r="O125" s="1745"/>
      <c r="P125" s="1745"/>
    </row>
    <row r="126" spans="1:16">
      <c r="A126" s="1745"/>
      <c r="B126" s="1745"/>
      <c r="C126" s="1745"/>
      <c r="D126" s="1745"/>
      <c r="E126" s="1745"/>
      <c r="F126" s="1745"/>
      <c r="G126" s="1745"/>
      <c r="H126" s="1745"/>
      <c r="I126" s="1745"/>
      <c r="J126" s="1745"/>
      <c r="K126" s="1745"/>
      <c r="L126" s="1745"/>
      <c r="M126" s="1745"/>
      <c r="N126" s="1745"/>
      <c r="O126" s="1745"/>
      <c r="P126" s="1745"/>
    </row>
    <row r="127" spans="1:16">
      <c r="A127" s="1745"/>
      <c r="B127" s="1745"/>
      <c r="C127" s="1745"/>
      <c r="D127" s="1745"/>
      <c r="E127" s="1745"/>
      <c r="F127" s="1745"/>
      <c r="G127" s="1745"/>
      <c r="H127" s="1745"/>
      <c r="I127" s="1745"/>
      <c r="J127" s="1745"/>
      <c r="K127" s="1745"/>
      <c r="L127" s="1745"/>
      <c r="M127" s="1745"/>
      <c r="N127" s="1745"/>
      <c r="O127" s="1745"/>
      <c r="P127" s="1745"/>
    </row>
    <row r="128" spans="1:16">
      <c r="A128" s="1745"/>
      <c r="B128" s="1745"/>
      <c r="C128" s="1745"/>
      <c r="D128" s="1745"/>
      <c r="E128" s="1745"/>
      <c r="F128" s="1745"/>
      <c r="G128" s="1745"/>
      <c r="H128" s="1745"/>
      <c r="I128" s="1745"/>
      <c r="J128" s="1745"/>
      <c r="K128" s="1745"/>
      <c r="L128" s="1745"/>
      <c r="M128" s="1745"/>
      <c r="N128" s="1745"/>
      <c r="O128" s="1745"/>
      <c r="P128" s="1745"/>
    </row>
    <row r="129" spans="1:16">
      <c r="A129" s="1745"/>
      <c r="B129" s="1745"/>
      <c r="C129" s="1745"/>
      <c r="D129" s="1745"/>
      <c r="E129" s="1745"/>
      <c r="F129" s="1745"/>
      <c r="G129" s="1745"/>
      <c r="H129" s="1745"/>
      <c r="I129" s="1745"/>
      <c r="J129" s="1745"/>
      <c r="K129" s="1745"/>
      <c r="L129" s="1745"/>
      <c r="M129" s="1745"/>
      <c r="N129" s="1745"/>
      <c r="O129" s="1745"/>
      <c r="P129" s="1745"/>
    </row>
    <row r="130" spans="1:16">
      <c r="A130" s="1745"/>
      <c r="B130" s="1745"/>
      <c r="C130" s="1745"/>
      <c r="D130" s="1745"/>
      <c r="E130" s="1745"/>
      <c r="F130" s="1745"/>
      <c r="G130" s="1745"/>
      <c r="H130" s="1745"/>
      <c r="I130" s="1745"/>
      <c r="J130" s="1745"/>
      <c r="K130" s="1745"/>
      <c r="L130" s="1745"/>
      <c r="M130" s="1745"/>
      <c r="N130" s="1745"/>
      <c r="O130" s="1745"/>
      <c r="P130" s="1745"/>
    </row>
    <row r="131" spans="1:16">
      <c r="A131" s="1745"/>
      <c r="B131" s="1745"/>
      <c r="C131" s="1745"/>
      <c r="D131" s="1745"/>
      <c r="E131" s="1745"/>
      <c r="F131" s="1745"/>
      <c r="G131" s="1745"/>
      <c r="H131" s="1745"/>
      <c r="I131" s="1745"/>
      <c r="J131" s="1745"/>
      <c r="K131" s="1745"/>
      <c r="L131" s="1745"/>
      <c r="M131" s="1745"/>
      <c r="N131" s="1745"/>
      <c r="O131" s="1745"/>
      <c r="P131" s="1745"/>
    </row>
    <row r="132" spans="1:16">
      <c r="A132" s="1745"/>
      <c r="B132" s="1745"/>
      <c r="C132" s="1745"/>
      <c r="D132" s="1745"/>
      <c r="E132" s="1745"/>
      <c r="F132" s="1745"/>
      <c r="G132" s="1745"/>
      <c r="H132" s="1745"/>
      <c r="I132" s="1745"/>
      <c r="J132" s="1745"/>
      <c r="K132" s="1745"/>
      <c r="L132" s="1745"/>
      <c r="M132" s="1745"/>
      <c r="N132" s="1745"/>
      <c r="O132" s="1745"/>
      <c r="P132" s="1745"/>
    </row>
    <row r="133" spans="1:16">
      <c r="A133" s="1745"/>
      <c r="B133" s="1745"/>
      <c r="C133" s="1745"/>
      <c r="D133" s="1745"/>
      <c r="E133" s="1745"/>
      <c r="F133" s="1745"/>
      <c r="G133" s="1745"/>
      <c r="H133" s="1745"/>
      <c r="I133" s="1745"/>
      <c r="J133" s="1745"/>
      <c r="K133" s="1745"/>
      <c r="L133" s="1745"/>
      <c r="M133" s="1745"/>
      <c r="N133" s="1745"/>
      <c r="O133" s="1745"/>
      <c r="P133" s="1745"/>
    </row>
    <row r="134" spans="1:16">
      <c r="A134" s="1745"/>
      <c r="B134" s="1745"/>
      <c r="C134" s="1745"/>
      <c r="D134" s="1745"/>
      <c r="E134" s="1745"/>
      <c r="F134" s="1745"/>
      <c r="G134" s="1745"/>
      <c r="H134" s="1745"/>
      <c r="I134" s="1745"/>
      <c r="J134" s="1745"/>
      <c r="K134" s="1745"/>
      <c r="L134" s="1745"/>
      <c r="M134" s="1745"/>
      <c r="N134" s="1745"/>
      <c r="O134" s="1745"/>
      <c r="P134" s="1745"/>
    </row>
    <row r="135" spans="1:16">
      <c r="A135" s="1745"/>
      <c r="B135" s="1745"/>
      <c r="C135" s="1745"/>
      <c r="D135" s="1745"/>
      <c r="E135" s="1745"/>
      <c r="F135" s="1745"/>
      <c r="G135" s="1745"/>
      <c r="H135" s="1745"/>
      <c r="I135" s="1745"/>
      <c r="J135" s="1745"/>
      <c r="K135" s="1745"/>
      <c r="L135" s="1745"/>
      <c r="M135" s="1745"/>
      <c r="N135" s="1745"/>
      <c r="O135" s="1745"/>
      <c r="P135" s="1745"/>
    </row>
    <row r="136" spans="1:16">
      <c r="A136" s="1745"/>
      <c r="B136" s="1745"/>
      <c r="C136" s="1745"/>
      <c r="D136" s="1745"/>
      <c r="E136" s="1745"/>
      <c r="F136" s="1745"/>
      <c r="G136" s="1745"/>
      <c r="H136" s="1745"/>
      <c r="I136" s="1745"/>
      <c r="J136" s="1745"/>
      <c r="K136" s="1745"/>
      <c r="L136" s="1745"/>
      <c r="M136" s="1745"/>
      <c r="N136" s="1745"/>
      <c r="O136" s="1745"/>
      <c r="P136" s="1745"/>
    </row>
    <row r="137" spans="1:16">
      <c r="A137" s="1745"/>
      <c r="B137" s="1745"/>
      <c r="C137" s="1745"/>
      <c r="D137" s="1745"/>
      <c r="E137" s="1745"/>
      <c r="F137" s="1745"/>
      <c r="G137" s="1745"/>
      <c r="H137" s="1745"/>
      <c r="I137" s="1745"/>
      <c r="J137" s="1745"/>
      <c r="K137" s="1745"/>
      <c r="L137" s="1745"/>
      <c r="M137" s="1745"/>
      <c r="N137" s="1745"/>
      <c r="O137" s="1745"/>
      <c r="P137" s="1745"/>
    </row>
    <row r="138" spans="1:16">
      <c r="A138" s="1745"/>
      <c r="B138" s="1745"/>
      <c r="C138" s="1745"/>
      <c r="D138" s="1745"/>
      <c r="E138" s="1745"/>
      <c r="F138" s="1745"/>
      <c r="G138" s="1745"/>
      <c r="H138" s="1745"/>
      <c r="I138" s="1745"/>
      <c r="J138" s="1745"/>
      <c r="K138" s="1745"/>
      <c r="L138" s="1745"/>
      <c r="M138" s="1745"/>
      <c r="N138" s="1745"/>
      <c r="O138" s="1745"/>
      <c r="P138" s="1745"/>
    </row>
    <row r="139" spans="1:16">
      <c r="A139" s="1745"/>
      <c r="B139" s="1745"/>
      <c r="C139" s="1745"/>
      <c r="D139" s="1745"/>
      <c r="E139" s="1745"/>
      <c r="F139" s="1745"/>
      <c r="G139" s="1745"/>
      <c r="H139" s="1745"/>
      <c r="I139" s="1745"/>
      <c r="J139" s="1745"/>
      <c r="K139" s="1745"/>
      <c r="L139" s="1745"/>
      <c r="M139" s="1745"/>
      <c r="N139" s="1745"/>
      <c r="O139" s="1745"/>
      <c r="P139" s="1745"/>
    </row>
    <row r="140" spans="1:16">
      <c r="A140" s="1745"/>
      <c r="B140" s="1745"/>
      <c r="C140" s="1745"/>
      <c r="D140" s="1745"/>
      <c r="E140" s="1745"/>
      <c r="F140" s="1745"/>
      <c r="G140" s="1745"/>
      <c r="H140" s="1745"/>
      <c r="I140" s="1745"/>
      <c r="J140" s="1745"/>
      <c r="K140" s="1745"/>
      <c r="L140" s="1745"/>
      <c r="M140" s="1745"/>
      <c r="N140" s="1745"/>
      <c r="O140" s="1745"/>
      <c r="P140" s="1745"/>
    </row>
    <row r="141" spans="1:16">
      <c r="A141" s="1745"/>
      <c r="B141" s="1745"/>
      <c r="C141" s="1745"/>
      <c r="D141" s="1745"/>
      <c r="E141" s="1745"/>
      <c r="F141" s="1745"/>
      <c r="G141" s="1745"/>
      <c r="H141" s="1745"/>
      <c r="I141" s="1745"/>
      <c r="J141" s="1745"/>
      <c r="K141" s="1745"/>
      <c r="L141" s="1745"/>
      <c r="M141" s="1745"/>
      <c r="N141" s="1745"/>
      <c r="O141" s="1745"/>
      <c r="P141" s="1745"/>
    </row>
    <row r="142" spans="1:16">
      <c r="A142" s="1745"/>
      <c r="B142" s="1745"/>
      <c r="C142" s="1745"/>
      <c r="D142" s="1745"/>
      <c r="E142" s="1745"/>
      <c r="F142" s="1745"/>
      <c r="G142" s="1745"/>
      <c r="H142" s="1745"/>
      <c r="I142" s="1745"/>
      <c r="J142" s="1745"/>
      <c r="K142" s="1745"/>
      <c r="L142" s="1745"/>
      <c r="M142" s="1745"/>
      <c r="N142" s="1745"/>
      <c r="O142" s="1745"/>
      <c r="P142" s="1745"/>
    </row>
    <row r="143" spans="1:16">
      <c r="A143" s="1745"/>
      <c r="B143" s="1745"/>
      <c r="C143" s="1745"/>
      <c r="D143" s="1745"/>
      <c r="E143" s="1745"/>
      <c r="F143" s="1745"/>
      <c r="G143" s="1745"/>
      <c r="H143" s="1745"/>
      <c r="I143" s="1745"/>
      <c r="J143" s="1745"/>
      <c r="K143" s="1745"/>
      <c r="L143" s="1745"/>
      <c r="M143" s="1745"/>
      <c r="N143" s="1745"/>
      <c r="O143" s="1745"/>
      <c r="P143" s="1745"/>
    </row>
    <row r="144" spans="1:16">
      <c r="A144" s="1745"/>
      <c r="B144" s="1745"/>
      <c r="C144" s="1745"/>
      <c r="D144" s="1745"/>
      <c r="E144" s="1745"/>
      <c r="F144" s="1745"/>
      <c r="G144" s="1745"/>
      <c r="H144" s="1745"/>
      <c r="I144" s="1745"/>
      <c r="J144" s="1745"/>
      <c r="K144" s="1745"/>
      <c r="L144" s="1745"/>
      <c r="M144" s="1745"/>
      <c r="N144" s="1745"/>
      <c r="O144" s="1745"/>
      <c r="P144" s="1745"/>
    </row>
    <row r="145" spans="1:16">
      <c r="A145" s="1745"/>
      <c r="B145" s="1745"/>
      <c r="C145" s="1745"/>
      <c r="D145" s="1745"/>
      <c r="E145" s="1745"/>
      <c r="F145" s="1745"/>
      <c r="G145" s="1745"/>
      <c r="H145" s="1745"/>
      <c r="I145" s="1745"/>
      <c r="J145" s="1745"/>
      <c r="K145" s="1745"/>
      <c r="L145" s="1745"/>
      <c r="M145" s="1745"/>
      <c r="N145" s="1745"/>
      <c r="O145" s="1745"/>
      <c r="P145" s="1745"/>
    </row>
    <row r="146" spans="1:16">
      <c r="A146" s="1745"/>
      <c r="B146" s="1745"/>
      <c r="C146" s="1745"/>
      <c r="D146" s="1745"/>
      <c r="E146" s="1745"/>
      <c r="F146" s="1745"/>
      <c r="G146" s="1745"/>
      <c r="H146" s="1745"/>
      <c r="I146" s="1745"/>
      <c r="J146" s="1745"/>
      <c r="K146" s="1745"/>
      <c r="L146" s="1745"/>
      <c r="M146" s="1745"/>
      <c r="N146" s="1745"/>
      <c r="O146" s="1745"/>
      <c r="P146" s="1745"/>
    </row>
    <row r="147" spans="1:16">
      <c r="A147" s="1745"/>
      <c r="B147" s="1745"/>
      <c r="C147" s="1745"/>
      <c r="D147" s="1745"/>
      <c r="E147" s="1745"/>
      <c r="F147" s="1745"/>
      <c r="G147" s="1745"/>
      <c r="H147" s="1745"/>
      <c r="I147" s="1745"/>
      <c r="J147" s="1745"/>
      <c r="K147" s="1745"/>
      <c r="L147" s="1745"/>
      <c r="M147" s="1745"/>
      <c r="N147" s="1745"/>
      <c r="O147" s="1745"/>
      <c r="P147" s="1745"/>
    </row>
    <row r="148" spans="1:16">
      <c r="A148" s="1745"/>
      <c r="B148" s="1745"/>
      <c r="C148" s="1745"/>
      <c r="D148" s="1745"/>
      <c r="E148" s="1745"/>
      <c r="F148" s="1745"/>
      <c r="G148" s="1745"/>
      <c r="H148" s="1745"/>
      <c r="I148" s="1745"/>
      <c r="J148" s="1745"/>
      <c r="K148" s="1745"/>
      <c r="L148" s="1745"/>
      <c r="M148" s="1745"/>
      <c r="N148" s="1745"/>
      <c r="O148" s="1745"/>
      <c r="P148" s="1745"/>
    </row>
    <row r="149" spans="1:16">
      <c r="A149" s="1745"/>
      <c r="B149" s="1745"/>
      <c r="C149" s="1745"/>
      <c r="D149" s="1745"/>
      <c r="E149" s="1745"/>
      <c r="F149" s="1745"/>
      <c r="G149" s="1745"/>
      <c r="H149" s="1745"/>
      <c r="I149" s="1745"/>
      <c r="J149" s="1745"/>
      <c r="K149" s="1745"/>
      <c r="L149" s="1745"/>
      <c r="M149" s="1745"/>
      <c r="N149" s="1745"/>
      <c r="O149" s="1745"/>
      <c r="P149" s="1745"/>
    </row>
    <row r="150" spans="1:16">
      <c r="A150" s="1745"/>
      <c r="B150" s="1745"/>
      <c r="C150" s="1745"/>
      <c r="D150" s="1745"/>
      <c r="E150" s="1745"/>
      <c r="F150" s="1745"/>
      <c r="G150" s="1745"/>
      <c r="H150" s="1745"/>
      <c r="I150" s="1745"/>
      <c r="J150" s="1745"/>
      <c r="K150" s="1745"/>
      <c r="L150" s="1745"/>
      <c r="M150" s="1745"/>
      <c r="N150" s="1745"/>
      <c r="O150" s="1745"/>
      <c r="P150" s="1745"/>
    </row>
    <row r="151" spans="1:16">
      <c r="A151" s="1745"/>
      <c r="B151" s="1745"/>
      <c r="C151" s="1745"/>
      <c r="D151" s="1745"/>
      <c r="E151" s="1745"/>
      <c r="F151" s="1745"/>
      <c r="G151" s="1745"/>
      <c r="H151" s="1745"/>
      <c r="I151" s="1745"/>
      <c r="J151" s="1745"/>
      <c r="K151" s="1745"/>
      <c r="L151" s="1745"/>
      <c r="M151" s="1745"/>
      <c r="N151" s="1745"/>
      <c r="O151" s="1745"/>
      <c r="P151" s="1745"/>
    </row>
    <row r="152" spans="1:16">
      <c r="A152" s="1745"/>
      <c r="B152" s="1745"/>
      <c r="C152" s="1745"/>
      <c r="D152" s="1745"/>
      <c r="E152" s="1745"/>
      <c r="F152" s="1745"/>
      <c r="G152" s="1745"/>
      <c r="H152" s="1745"/>
      <c r="I152" s="1745"/>
      <c r="J152" s="1745"/>
      <c r="K152" s="1745"/>
      <c r="L152" s="1745"/>
      <c r="M152" s="1745"/>
      <c r="N152" s="1745"/>
      <c r="O152" s="1745"/>
      <c r="P152" s="1745"/>
    </row>
    <row r="153" spans="1:16">
      <c r="A153" s="1745"/>
      <c r="B153" s="1745"/>
      <c r="C153" s="1745"/>
      <c r="D153" s="1745"/>
      <c r="E153" s="1745"/>
      <c r="F153" s="1745"/>
      <c r="G153" s="1745"/>
      <c r="H153" s="1745"/>
      <c r="I153" s="1745"/>
      <c r="J153" s="1745"/>
      <c r="K153" s="1745"/>
      <c r="L153" s="1745"/>
      <c r="M153" s="1745"/>
      <c r="N153" s="1745"/>
      <c r="O153" s="1745"/>
      <c r="P153" s="1745"/>
    </row>
    <row r="154" spans="1:16">
      <c r="A154" s="1745"/>
      <c r="B154" s="1745"/>
      <c r="C154" s="1745"/>
      <c r="D154" s="1745"/>
      <c r="E154" s="1745"/>
      <c r="F154" s="1745"/>
      <c r="G154" s="1745"/>
      <c r="H154" s="1745"/>
      <c r="I154" s="1745"/>
      <c r="J154" s="1745"/>
      <c r="K154" s="1745"/>
      <c r="L154" s="1745"/>
      <c r="M154" s="1745"/>
      <c r="N154" s="1745"/>
      <c r="O154" s="1745"/>
      <c r="P154" s="1745"/>
    </row>
    <row r="155" spans="1:16">
      <c r="A155" s="1745"/>
      <c r="B155" s="1745"/>
      <c r="C155" s="1745"/>
      <c r="D155" s="1745"/>
      <c r="E155" s="1745"/>
      <c r="F155" s="1745"/>
      <c r="G155" s="1745"/>
      <c r="H155" s="1745"/>
      <c r="I155" s="1745"/>
      <c r="J155" s="1745"/>
      <c r="K155" s="1745"/>
      <c r="L155" s="1745"/>
      <c r="M155" s="1745"/>
      <c r="N155" s="1745"/>
      <c r="O155" s="1745"/>
      <c r="P155" s="1745"/>
    </row>
    <row r="156" spans="1:16">
      <c r="A156" s="1745"/>
      <c r="B156" s="1745"/>
      <c r="C156" s="1745"/>
      <c r="D156" s="1745"/>
      <c r="E156" s="1745"/>
      <c r="F156" s="1745"/>
      <c r="G156" s="1745"/>
      <c r="H156" s="1745"/>
      <c r="I156" s="1745"/>
      <c r="J156" s="1745"/>
      <c r="K156" s="1745"/>
      <c r="L156" s="1745"/>
      <c r="M156" s="1745"/>
      <c r="N156" s="1745"/>
      <c r="O156" s="1745"/>
      <c r="P156" s="1745"/>
    </row>
    <row r="157" spans="1:16">
      <c r="A157" s="1745"/>
      <c r="B157" s="1745"/>
      <c r="C157" s="1745"/>
      <c r="D157" s="1745"/>
      <c r="E157" s="1745"/>
      <c r="F157" s="1745"/>
      <c r="G157" s="1745"/>
      <c r="H157" s="1745"/>
      <c r="I157" s="1745"/>
      <c r="J157" s="1745"/>
      <c r="K157" s="1745"/>
      <c r="L157" s="1745"/>
      <c r="M157" s="1745"/>
      <c r="N157" s="1745"/>
      <c r="O157" s="1745"/>
      <c r="P157" s="1745"/>
    </row>
    <row r="158" spans="1:16">
      <c r="A158" s="1745"/>
      <c r="B158" s="1745"/>
      <c r="C158" s="1745"/>
      <c r="D158" s="1745"/>
      <c r="E158" s="1745"/>
      <c r="F158" s="1745"/>
      <c r="G158" s="1745"/>
      <c r="H158" s="1745"/>
      <c r="I158" s="1745"/>
      <c r="J158" s="1745"/>
      <c r="K158" s="1745"/>
      <c r="L158" s="1745"/>
      <c r="M158" s="1745"/>
      <c r="N158" s="1745"/>
      <c r="O158" s="1745"/>
      <c r="P158" s="1745"/>
    </row>
    <row r="159" spans="1:16">
      <c r="A159" s="1745"/>
      <c r="B159" s="1745"/>
      <c r="C159" s="1745"/>
      <c r="D159" s="1745"/>
      <c r="E159" s="1745"/>
      <c r="F159" s="1745"/>
      <c r="G159" s="1745"/>
      <c r="H159" s="1745"/>
      <c r="I159" s="1745"/>
      <c r="J159" s="1745"/>
      <c r="K159" s="1745"/>
      <c r="L159" s="1745"/>
      <c r="M159" s="1745"/>
      <c r="N159" s="1745"/>
      <c r="O159" s="1745"/>
      <c r="P159" s="1745"/>
    </row>
    <row r="160" spans="1:16">
      <c r="A160" s="1745"/>
      <c r="B160" s="1745"/>
      <c r="C160" s="1745"/>
      <c r="D160" s="1745"/>
      <c r="E160" s="1745"/>
      <c r="F160" s="1745"/>
      <c r="G160" s="1745"/>
      <c r="H160" s="1745"/>
      <c r="I160" s="1745"/>
      <c r="J160" s="1745"/>
      <c r="K160" s="1745"/>
      <c r="L160" s="1745"/>
      <c r="M160" s="1745"/>
      <c r="N160" s="1745"/>
      <c r="O160" s="1745"/>
      <c r="P160" s="1745"/>
    </row>
    <row r="161" spans="1:16">
      <c r="A161" s="1745"/>
      <c r="B161" s="1745"/>
      <c r="C161" s="1745"/>
      <c r="D161" s="1745"/>
      <c r="E161" s="1745"/>
      <c r="F161" s="1745"/>
      <c r="G161" s="1745"/>
      <c r="H161" s="1745"/>
      <c r="I161" s="1745"/>
      <c r="J161" s="1745"/>
      <c r="K161" s="1745"/>
      <c r="L161" s="1745"/>
      <c r="M161" s="1745"/>
      <c r="N161" s="1745"/>
      <c r="O161" s="1745"/>
      <c r="P161" s="1745"/>
    </row>
    <row r="162" spans="1:16">
      <c r="A162" s="1745"/>
      <c r="B162" s="1745"/>
      <c r="C162" s="1745"/>
      <c r="D162" s="1745"/>
      <c r="E162" s="1745"/>
      <c r="F162" s="1745"/>
      <c r="G162" s="1745"/>
      <c r="H162" s="1745"/>
      <c r="I162" s="1745"/>
      <c r="J162" s="1745"/>
      <c r="K162" s="1745"/>
      <c r="L162" s="1745"/>
      <c r="M162" s="1745"/>
      <c r="N162" s="1745"/>
      <c r="O162" s="1745"/>
      <c r="P162" s="1745"/>
    </row>
    <row r="163" spans="1:16">
      <c r="A163" s="1745"/>
      <c r="B163" s="1745"/>
      <c r="C163" s="1745"/>
      <c r="D163" s="1745"/>
      <c r="E163" s="1745"/>
      <c r="F163" s="1745"/>
      <c r="G163" s="1745"/>
      <c r="H163" s="1745"/>
      <c r="I163" s="1745"/>
      <c r="J163" s="1745"/>
      <c r="K163" s="1745"/>
      <c r="L163" s="1745"/>
      <c r="M163" s="1745"/>
      <c r="N163" s="1745"/>
      <c r="O163" s="1745"/>
      <c r="P163" s="1745"/>
    </row>
    <row r="164" spans="1:16">
      <c r="A164" s="1745"/>
      <c r="B164" s="1745"/>
      <c r="C164" s="1745"/>
      <c r="D164" s="1745"/>
      <c r="E164" s="1745"/>
      <c r="F164" s="1745"/>
      <c r="G164" s="1745"/>
      <c r="H164" s="1745"/>
      <c r="I164" s="1745"/>
      <c r="J164" s="1745"/>
      <c r="K164" s="1745"/>
      <c r="L164" s="1745"/>
      <c r="M164" s="1745"/>
      <c r="N164" s="1745"/>
      <c r="O164" s="1745"/>
      <c r="P164" s="1745"/>
    </row>
    <row r="165" spans="1:16">
      <c r="A165" s="1745"/>
      <c r="B165" s="1745"/>
      <c r="C165" s="1745"/>
      <c r="D165" s="1745"/>
      <c r="E165" s="1745"/>
      <c r="F165" s="1745"/>
      <c r="G165" s="1745"/>
      <c r="H165" s="1745"/>
      <c r="I165" s="1745"/>
      <c r="J165" s="1745"/>
      <c r="K165" s="1745"/>
      <c r="L165" s="1745"/>
      <c r="M165" s="1745"/>
      <c r="N165" s="1745"/>
      <c r="O165" s="1745"/>
      <c r="P165" s="1745"/>
    </row>
    <row r="166" spans="1:16">
      <c r="A166" s="1745"/>
      <c r="B166" s="1745"/>
      <c r="C166" s="1745"/>
      <c r="D166" s="1745"/>
      <c r="E166" s="1745"/>
      <c r="F166" s="1745"/>
      <c r="G166" s="1745"/>
      <c r="H166" s="1745"/>
      <c r="I166" s="1745"/>
      <c r="J166" s="1745"/>
      <c r="K166" s="1745"/>
      <c r="L166" s="1745"/>
      <c r="M166" s="1745"/>
      <c r="N166" s="1745"/>
      <c r="O166" s="1745"/>
      <c r="P166" s="1745"/>
    </row>
    <row r="167" spans="1:16">
      <c r="A167" s="1745"/>
      <c r="B167" s="1745"/>
      <c r="C167" s="1745"/>
      <c r="D167" s="1745"/>
      <c r="E167" s="1745"/>
      <c r="F167" s="1745"/>
      <c r="G167" s="1745"/>
      <c r="H167" s="1745"/>
      <c r="I167" s="1745"/>
      <c r="J167" s="1745"/>
      <c r="K167" s="1745"/>
      <c r="L167" s="1745"/>
      <c r="M167" s="1745"/>
      <c r="N167" s="1745"/>
      <c r="O167" s="1745"/>
      <c r="P167" s="1745"/>
    </row>
    <row r="168" spans="1:16">
      <c r="A168" s="1745"/>
      <c r="B168" s="1745"/>
      <c r="C168" s="1745"/>
      <c r="D168" s="1745"/>
      <c r="E168" s="1745"/>
      <c r="F168" s="1745"/>
      <c r="G168" s="1745"/>
      <c r="H168" s="1745"/>
      <c r="I168" s="1745"/>
      <c r="J168" s="1745"/>
      <c r="K168" s="1745"/>
      <c r="L168" s="1745"/>
      <c r="M168" s="1745"/>
      <c r="N168" s="1745"/>
      <c r="O168" s="1745"/>
      <c r="P168" s="1745"/>
    </row>
    <row r="169" spans="1:16">
      <c r="A169" s="1745"/>
      <c r="B169" s="1745"/>
      <c r="C169" s="1745"/>
      <c r="D169" s="1745"/>
      <c r="E169" s="1745"/>
      <c r="F169" s="1745"/>
      <c r="G169" s="1745"/>
      <c r="H169" s="1745"/>
      <c r="I169" s="1745"/>
      <c r="J169" s="1745"/>
      <c r="K169" s="1745"/>
      <c r="L169" s="1745"/>
      <c r="M169" s="1745"/>
      <c r="N169" s="1745"/>
      <c r="O169" s="1745"/>
      <c r="P169" s="1745"/>
    </row>
    <row r="170" spans="1:16">
      <c r="A170" s="1745"/>
      <c r="B170" s="1745"/>
      <c r="C170" s="1745"/>
      <c r="D170" s="1745"/>
      <c r="E170" s="1745"/>
      <c r="F170" s="1745"/>
      <c r="G170" s="1745"/>
      <c r="H170" s="1745"/>
      <c r="I170" s="1745"/>
      <c r="J170" s="1745"/>
      <c r="K170" s="1745"/>
      <c r="L170" s="1745"/>
      <c r="M170" s="1745"/>
      <c r="N170" s="1745"/>
      <c r="O170" s="1745"/>
      <c r="P170" s="1745"/>
    </row>
    <row r="171" spans="1:16">
      <c r="A171" s="1745"/>
      <c r="B171" s="1745"/>
      <c r="C171" s="1745"/>
      <c r="D171" s="1745"/>
      <c r="E171" s="1745"/>
      <c r="F171" s="1745"/>
      <c r="G171" s="1745"/>
      <c r="H171" s="1745"/>
      <c r="I171" s="1745"/>
      <c r="J171" s="1745"/>
      <c r="K171" s="1745"/>
      <c r="L171" s="1745"/>
      <c r="M171" s="1745"/>
      <c r="N171" s="1745"/>
      <c r="O171" s="1745"/>
      <c r="P171" s="1745"/>
    </row>
    <row r="172" spans="1:16">
      <c r="A172" s="1745"/>
      <c r="B172" s="1745"/>
      <c r="C172" s="1745"/>
      <c r="D172" s="1745"/>
      <c r="E172" s="1745"/>
      <c r="F172" s="1745"/>
      <c r="G172" s="1745"/>
      <c r="H172" s="1745"/>
      <c r="I172" s="1745"/>
      <c r="J172" s="1745"/>
      <c r="K172" s="1745"/>
      <c r="L172" s="1745"/>
      <c r="M172" s="1745"/>
      <c r="N172" s="1745"/>
      <c r="O172" s="1745"/>
      <c r="P172" s="1745"/>
    </row>
    <row r="173" spans="1:16">
      <c r="A173" s="1745"/>
      <c r="B173" s="1745"/>
      <c r="C173" s="1745"/>
      <c r="D173" s="1745"/>
      <c r="E173" s="1745"/>
      <c r="F173" s="1745"/>
      <c r="G173" s="1745"/>
      <c r="H173" s="1745"/>
      <c r="I173" s="1745"/>
      <c r="J173" s="1745"/>
      <c r="K173" s="1745"/>
      <c r="L173" s="1745"/>
      <c r="M173" s="1745"/>
      <c r="N173" s="1745"/>
      <c r="O173" s="1745"/>
      <c r="P173" s="1745"/>
    </row>
  </sheetData>
  <pageMargins left="0.7" right="0.7" top="0.75" bottom="0.75" header="0.3" footer="0.3"/>
  <pageSetup scale="67"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7"/>
  <sheetViews>
    <sheetView workbookViewId="0">
      <selection activeCell="F15" sqref="F15"/>
    </sheetView>
  </sheetViews>
  <sheetFormatPr defaultRowHeight="15"/>
  <cols>
    <col min="1" max="1" width="12.7109375" customWidth="1"/>
    <col min="2" max="3" width="17.28515625" customWidth="1"/>
    <col min="4" max="4" width="56.28515625" bestFit="1" customWidth="1"/>
    <col min="5" max="5" width="30.42578125" bestFit="1" customWidth="1"/>
    <col min="6" max="18" width="14.7109375" customWidth="1"/>
    <col min="19" max="19" width="14" bestFit="1" customWidth="1"/>
    <col min="20" max="20" width="20.28515625" bestFit="1" customWidth="1"/>
  </cols>
  <sheetData>
    <row r="1" spans="1:20" ht="15.75">
      <c r="A1" s="1754" t="s">
        <v>2</v>
      </c>
      <c r="B1" s="1754"/>
      <c r="C1" s="1754"/>
      <c r="D1" s="1755"/>
      <c r="E1" s="1755"/>
      <c r="F1" s="1755"/>
      <c r="G1" s="1755"/>
      <c r="H1" s="1755"/>
      <c r="I1" s="1755"/>
      <c r="J1" s="1755"/>
      <c r="K1" s="1756"/>
      <c r="L1" s="1756"/>
      <c r="M1" s="1757"/>
      <c r="N1" s="1758"/>
      <c r="O1" s="1759"/>
      <c r="P1" s="1759"/>
      <c r="Q1" s="1759"/>
      <c r="R1" s="1759"/>
      <c r="S1" s="1760"/>
      <c r="T1" s="1760"/>
    </row>
    <row r="2" spans="1:20" ht="15.75">
      <c r="A2" s="1754" t="s">
        <v>1484</v>
      </c>
      <c r="B2" s="1754"/>
      <c r="C2" s="1754"/>
      <c r="D2" s="1755"/>
      <c r="E2" s="1755"/>
      <c r="F2" s="1755"/>
      <c r="G2" s="1755"/>
      <c r="H2" s="1755"/>
      <c r="I2" s="1755"/>
      <c r="J2" s="1755"/>
      <c r="K2" s="1759"/>
      <c r="L2" s="1759"/>
      <c r="M2" s="1759"/>
      <c r="N2" s="1761"/>
      <c r="O2" s="1759"/>
      <c r="P2" s="1759"/>
      <c r="Q2" s="1759"/>
      <c r="R2" s="1759"/>
      <c r="S2" s="1760"/>
      <c r="T2" s="1760"/>
    </row>
    <row r="3" spans="1:20" ht="15.75" thickBot="1">
      <c r="A3" s="1762"/>
      <c r="B3" s="1763"/>
      <c r="C3" s="1763"/>
      <c r="D3" s="1763"/>
      <c r="E3" s="1763"/>
      <c r="F3" s="1763"/>
      <c r="G3" s="1763"/>
      <c r="H3" s="1764"/>
      <c r="I3" s="1764"/>
      <c r="J3" s="1759"/>
      <c r="K3" s="1759"/>
      <c r="L3" s="1759"/>
      <c r="M3" s="1759"/>
      <c r="N3" s="1761"/>
      <c r="O3" s="1759"/>
      <c r="P3" s="1759"/>
      <c r="Q3" s="1759"/>
      <c r="R3" s="1759"/>
      <c r="S3" s="1760"/>
      <c r="T3" s="1760"/>
    </row>
    <row r="4" spans="1:20" ht="27" thickBot="1">
      <c r="A4" s="1765"/>
      <c r="B4" s="1765"/>
      <c r="C4" s="1765"/>
      <c r="D4" s="1766"/>
      <c r="E4" s="1765"/>
      <c r="F4" s="1767" t="s">
        <v>1485</v>
      </c>
      <c r="G4" s="1768" t="s">
        <v>1486</v>
      </c>
      <c r="H4" s="1769"/>
      <c r="I4" s="1770"/>
      <c r="J4" s="1770"/>
      <c r="K4" s="1769"/>
      <c r="L4" s="1770"/>
      <c r="M4" s="1770"/>
      <c r="N4" s="1771"/>
      <c r="O4" s="1772"/>
      <c r="P4" s="1772"/>
      <c r="Q4" s="1772"/>
      <c r="R4" s="1773"/>
      <c r="S4" s="1760"/>
      <c r="T4" s="1760"/>
    </row>
    <row r="5" spans="1:20" ht="78" thickBot="1">
      <c r="A5" s="1774" t="s">
        <v>1487</v>
      </c>
      <c r="B5" s="1775" t="s">
        <v>1488</v>
      </c>
      <c r="C5" s="1775" t="s">
        <v>1489</v>
      </c>
      <c r="D5" s="1776" t="s">
        <v>1490</v>
      </c>
      <c r="E5" s="1777" t="s">
        <v>316</v>
      </c>
      <c r="F5" s="1778" t="s">
        <v>1019</v>
      </c>
      <c r="G5" s="1779" t="s">
        <v>1021</v>
      </c>
      <c r="H5" s="1780" t="s">
        <v>1023</v>
      </c>
      <c r="I5" s="1780" t="s">
        <v>1024</v>
      </c>
      <c r="J5" s="1780" t="s">
        <v>1025</v>
      </c>
      <c r="K5" s="1780" t="s">
        <v>1026</v>
      </c>
      <c r="L5" s="1780" t="s">
        <v>1180</v>
      </c>
      <c r="M5" s="1780" t="s">
        <v>1028</v>
      </c>
      <c r="N5" s="1780" t="s">
        <v>1029</v>
      </c>
      <c r="O5" s="1780" t="s">
        <v>1030</v>
      </c>
      <c r="P5" s="1780" t="s">
        <v>1037</v>
      </c>
      <c r="Q5" s="1780" t="s">
        <v>1032</v>
      </c>
      <c r="R5" s="1781" t="s">
        <v>1019</v>
      </c>
      <c r="S5" s="1765"/>
      <c r="T5" s="1765"/>
    </row>
    <row r="6" spans="1:20">
      <c r="A6" s="1782">
        <v>86</v>
      </c>
      <c r="B6" s="1783" t="s">
        <v>1491</v>
      </c>
      <c r="C6" s="1784">
        <f>AVERAGE(F6:R6)</f>
        <v>7451428846.1538458</v>
      </c>
      <c r="D6" s="1785" t="s">
        <v>1492</v>
      </c>
      <c r="E6" s="1786" t="s">
        <v>1493</v>
      </c>
      <c r="F6" s="2218">
        <v>7055275000</v>
      </c>
      <c r="G6" s="2219">
        <v>6705275000</v>
      </c>
      <c r="H6" s="2220">
        <v>6705275000</v>
      </c>
      <c r="I6" s="2220">
        <v>7705275000</v>
      </c>
      <c r="J6" s="2220">
        <v>7705275000</v>
      </c>
      <c r="K6" s="2220">
        <v>7705275000</v>
      </c>
      <c r="L6" s="2220">
        <v>7705275000</v>
      </c>
      <c r="M6" s="2220">
        <v>7705275000</v>
      </c>
      <c r="N6" s="2220">
        <v>7705275000</v>
      </c>
      <c r="O6" s="2220">
        <v>7705275000</v>
      </c>
      <c r="P6" s="2220">
        <v>7705275000</v>
      </c>
      <c r="Q6" s="2220">
        <v>7705275000</v>
      </c>
      <c r="R6" s="2220">
        <v>7055275000</v>
      </c>
      <c r="S6" s="1765"/>
      <c r="T6" s="1765"/>
    </row>
    <row r="7" spans="1:20">
      <c r="A7" s="1787">
        <v>87</v>
      </c>
      <c r="B7" s="1788" t="s">
        <v>1491</v>
      </c>
      <c r="C7" s="1789">
        <f t="shared" ref="C7:C14" si="0">AVERAGE(F7:R7)</f>
        <v>0</v>
      </c>
      <c r="D7" s="1790" t="s">
        <v>1494</v>
      </c>
      <c r="E7" s="1791" t="s">
        <v>1495</v>
      </c>
      <c r="F7" s="2221">
        <v>0</v>
      </c>
      <c r="G7" s="2222">
        <v>0</v>
      </c>
      <c r="H7" s="2223">
        <v>0</v>
      </c>
      <c r="I7" s="2223">
        <v>0</v>
      </c>
      <c r="J7" s="2223">
        <v>0</v>
      </c>
      <c r="K7" s="2223">
        <v>0</v>
      </c>
      <c r="L7" s="2223">
        <v>0</v>
      </c>
      <c r="M7" s="2223">
        <v>0</v>
      </c>
      <c r="N7" s="2223">
        <v>0</v>
      </c>
      <c r="O7" s="2223">
        <v>0</v>
      </c>
      <c r="P7" s="2223">
        <v>0</v>
      </c>
      <c r="Q7" s="2223">
        <v>0</v>
      </c>
      <c r="R7" s="2224">
        <v>0</v>
      </c>
      <c r="S7" s="1765"/>
      <c r="T7" s="1765"/>
    </row>
    <row r="8" spans="1:20">
      <c r="A8" s="1787">
        <v>88</v>
      </c>
      <c r="B8" s="1788" t="s">
        <v>1491</v>
      </c>
      <c r="C8" s="1789">
        <f t="shared" si="0"/>
        <v>0</v>
      </c>
      <c r="D8" s="1790" t="s">
        <v>1496</v>
      </c>
      <c r="E8" s="1791" t="s">
        <v>1497</v>
      </c>
      <c r="F8" s="2221">
        <v>0</v>
      </c>
      <c r="G8" s="2222">
        <v>0</v>
      </c>
      <c r="H8" s="2223">
        <v>0</v>
      </c>
      <c r="I8" s="2223">
        <v>0</v>
      </c>
      <c r="J8" s="2223">
        <v>0</v>
      </c>
      <c r="K8" s="2223">
        <v>0</v>
      </c>
      <c r="L8" s="2223">
        <v>0</v>
      </c>
      <c r="M8" s="2223">
        <v>0</v>
      </c>
      <c r="N8" s="2223">
        <v>0</v>
      </c>
      <c r="O8" s="2223">
        <v>0</v>
      </c>
      <c r="P8" s="2223">
        <v>0</v>
      </c>
      <c r="Q8" s="2223">
        <v>0</v>
      </c>
      <c r="R8" s="2224">
        <v>0</v>
      </c>
      <c r="S8" s="1765"/>
      <c r="T8" s="1765"/>
    </row>
    <row r="9" spans="1:20">
      <c r="A9" s="1787">
        <v>89</v>
      </c>
      <c r="B9" s="1788" t="s">
        <v>1491</v>
      </c>
      <c r="C9" s="1789">
        <f t="shared" si="0"/>
        <v>0</v>
      </c>
      <c r="D9" s="1790" t="s">
        <v>1498</v>
      </c>
      <c r="E9" s="1791" t="s">
        <v>1499</v>
      </c>
      <c r="F9" s="2221">
        <v>0</v>
      </c>
      <c r="G9" s="2222">
        <v>0</v>
      </c>
      <c r="H9" s="2223">
        <v>0</v>
      </c>
      <c r="I9" s="2223">
        <v>0</v>
      </c>
      <c r="J9" s="2223">
        <v>0</v>
      </c>
      <c r="K9" s="2223">
        <v>0</v>
      </c>
      <c r="L9" s="2223">
        <v>0</v>
      </c>
      <c r="M9" s="2223">
        <v>0</v>
      </c>
      <c r="N9" s="2223">
        <v>0</v>
      </c>
      <c r="O9" s="2223">
        <v>0</v>
      </c>
      <c r="P9" s="2223">
        <v>0</v>
      </c>
      <c r="Q9" s="2223">
        <v>0</v>
      </c>
      <c r="R9" s="2224">
        <v>0</v>
      </c>
      <c r="S9" s="1765"/>
      <c r="T9" s="1765"/>
    </row>
    <row r="10" spans="1:20">
      <c r="A10" s="1787">
        <v>91</v>
      </c>
      <c r="B10" s="1788" t="s">
        <v>1491</v>
      </c>
      <c r="C10" s="1789">
        <f t="shared" si="0"/>
        <v>13080345.171538461</v>
      </c>
      <c r="D10" s="1790" t="s">
        <v>1500</v>
      </c>
      <c r="E10" s="1791" t="s">
        <v>1501</v>
      </c>
      <c r="F10" s="2221">
        <v>10793806.710000001</v>
      </c>
      <c r="G10" s="2222">
        <v>10731877.300000001</v>
      </c>
      <c r="H10" s="2223">
        <v>10669947.9</v>
      </c>
      <c r="I10" s="2223">
        <v>14124482.01</v>
      </c>
      <c r="J10" s="2223">
        <v>14049016.129999999</v>
      </c>
      <c r="K10" s="2223">
        <v>13973550.239999998</v>
      </c>
      <c r="L10" s="2223">
        <v>13898084.359999998</v>
      </c>
      <c r="M10" s="2223">
        <v>13822618.469999997</v>
      </c>
      <c r="N10" s="2223">
        <v>13747152.59</v>
      </c>
      <c r="O10" s="2223">
        <v>13671686.710000001</v>
      </c>
      <c r="P10" s="2223">
        <v>13596220.82</v>
      </c>
      <c r="Q10" s="2223">
        <v>13520754.939999999</v>
      </c>
      <c r="R10" s="2224">
        <v>13445289.050000001</v>
      </c>
      <c r="S10" s="1765"/>
      <c r="T10" s="1765"/>
    </row>
    <row r="11" spans="1:20">
      <c r="A11" s="1787">
        <v>92</v>
      </c>
      <c r="B11" s="1788" t="s">
        <v>1491</v>
      </c>
      <c r="C11" s="1789">
        <f t="shared" si="0"/>
        <v>33427806.975384615</v>
      </c>
      <c r="D11" s="1792" t="s">
        <v>1502</v>
      </c>
      <c r="E11" s="1765" t="s">
        <v>1503</v>
      </c>
      <c r="F11" s="2221">
        <v>29412801.98</v>
      </c>
      <c r="G11" s="2222">
        <v>29187294.52</v>
      </c>
      <c r="H11" s="2223">
        <v>28961787.099999998</v>
      </c>
      <c r="I11" s="2223">
        <v>35412229.649999999</v>
      </c>
      <c r="J11" s="2223">
        <v>35340922.979999997</v>
      </c>
      <c r="K11" s="2223">
        <v>35113757.82</v>
      </c>
      <c r="L11" s="2223">
        <v>35208318.380000003</v>
      </c>
      <c r="M11" s="2223">
        <v>34953010.789999999</v>
      </c>
      <c r="N11" s="2223">
        <v>34695952.740000002</v>
      </c>
      <c r="O11" s="2223">
        <v>34454317.68</v>
      </c>
      <c r="P11" s="2223">
        <v>34197503.890000001</v>
      </c>
      <c r="Q11" s="2223">
        <v>33940365.670000002</v>
      </c>
      <c r="R11" s="2224">
        <v>33683227.479999997</v>
      </c>
      <c r="S11" s="1765"/>
      <c r="T11" s="1765"/>
    </row>
    <row r="12" spans="1:20">
      <c r="A12" s="1787">
        <v>93</v>
      </c>
      <c r="B12" s="1788" t="s">
        <v>1491</v>
      </c>
      <c r="C12" s="1789">
        <f t="shared" si="0"/>
        <v>4262740.6469230773</v>
      </c>
      <c r="D12" s="1793" t="s">
        <v>1504</v>
      </c>
      <c r="E12" s="1765" t="s">
        <v>1505</v>
      </c>
      <c r="F12" s="2221">
        <v>4554871.2</v>
      </c>
      <c r="G12" s="2222">
        <v>4506127.6400000006</v>
      </c>
      <c r="H12" s="2223">
        <v>4457384.1900000004</v>
      </c>
      <c r="I12" s="2223">
        <v>4408640.74</v>
      </c>
      <c r="J12" s="2223">
        <v>4359897.29</v>
      </c>
      <c r="K12" s="2223">
        <v>4311153.84</v>
      </c>
      <c r="L12" s="2223">
        <v>4262410.3899999997</v>
      </c>
      <c r="M12" s="2223">
        <v>4213871.3899999997</v>
      </c>
      <c r="N12" s="2223">
        <v>4165332.27</v>
      </c>
      <c r="O12" s="2223">
        <v>4116793.27</v>
      </c>
      <c r="P12" s="2223">
        <v>4068254.37</v>
      </c>
      <c r="Q12" s="2223">
        <v>4019715.36</v>
      </c>
      <c r="R12" s="2224">
        <v>3971176.46</v>
      </c>
      <c r="S12" s="1765"/>
      <c r="T12" s="1765"/>
    </row>
    <row r="13" spans="1:20">
      <c r="A13" s="1787">
        <v>94</v>
      </c>
      <c r="B13" s="1788" t="s">
        <v>1491</v>
      </c>
      <c r="C13" s="1789">
        <f t="shared" si="0"/>
        <v>30509.290000000005</v>
      </c>
      <c r="D13" s="1790" t="s">
        <v>1506</v>
      </c>
      <c r="E13" s="1765" t="s">
        <v>1507</v>
      </c>
      <c r="F13" s="2221">
        <v>36022.21</v>
      </c>
      <c r="G13" s="2222">
        <v>35103.39</v>
      </c>
      <c r="H13" s="2223">
        <v>34184.57</v>
      </c>
      <c r="I13" s="2223">
        <v>33265.75</v>
      </c>
      <c r="J13" s="2223">
        <v>32346.93</v>
      </c>
      <c r="K13" s="2223">
        <v>31428.11</v>
      </c>
      <c r="L13" s="2223">
        <v>30509.29</v>
      </c>
      <c r="M13" s="2223">
        <v>29590.47</v>
      </c>
      <c r="N13" s="2223">
        <v>28671.65</v>
      </c>
      <c r="O13" s="2223">
        <v>27752.83</v>
      </c>
      <c r="P13" s="2223">
        <v>26834.010000000002</v>
      </c>
      <c r="Q13" s="2223">
        <v>25915.19</v>
      </c>
      <c r="R13" s="2224">
        <v>24996.37</v>
      </c>
      <c r="S13" s="1765"/>
      <c r="T13" s="1765"/>
    </row>
    <row r="14" spans="1:20">
      <c r="A14" s="1787">
        <v>95</v>
      </c>
      <c r="B14" s="1788" t="s">
        <v>1491</v>
      </c>
      <c r="C14" s="1789">
        <f t="shared" si="0"/>
        <v>0</v>
      </c>
      <c r="D14" s="1793" t="s">
        <v>1508</v>
      </c>
      <c r="E14" s="1765" t="s">
        <v>1509</v>
      </c>
      <c r="F14" s="2221">
        <v>0</v>
      </c>
      <c r="G14" s="2222">
        <v>0</v>
      </c>
      <c r="H14" s="2223">
        <v>0</v>
      </c>
      <c r="I14" s="2223">
        <v>0</v>
      </c>
      <c r="J14" s="2223">
        <v>0</v>
      </c>
      <c r="K14" s="2223">
        <v>0</v>
      </c>
      <c r="L14" s="2223">
        <v>0</v>
      </c>
      <c r="M14" s="2223">
        <v>0</v>
      </c>
      <c r="N14" s="2223">
        <v>0</v>
      </c>
      <c r="O14" s="2223">
        <v>0</v>
      </c>
      <c r="P14" s="2223">
        <v>0</v>
      </c>
      <c r="Q14" s="2223">
        <v>0</v>
      </c>
      <c r="R14" s="2224">
        <v>0</v>
      </c>
      <c r="S14" s="1765"/>
      <c r="T14" s="1794"/>
    </row>
    <row r="15" spans="1:20" ht="26.25">
      <c r="A15" s="1787">
        <v>97</v>
      </c>
      <c r="B15" s="1788" t="s">
        <v>1510</v>
      </c>
      <c r="C15" s="1789">
        <f t="shared" ref="C15:C20" si="1">SUM(G15:R15)</f>
        <v>369853258.76000005</v>
      </c>
      <c r="D15" s="1795" t="s">
        <v>1511</v>
      </c>
      <c r="E15" s="1796" t="s">
        <v>1512</v>
      </c>
      <c r="F15" s="2221">
        <v>29752845.199999999</v>
      </c>
      <c r="G15" s="2222">
        <v>28845061.170000002</v>
      </c>
      <c r="H15" s="2223">
        <v>28121959.73</v>
      </c>
      <c r="I15" s="2223">
        <v>31243040.890000001</v>
      </c>
      <c r="J15" s="2223">
        <v>31366026.52</v>
      </c>
      <c r="K15" s="2223">
        <v>31341432.559999999</v>
      </c>
      <c r="L15" s="2223">
        <v>31341090.48</v>
      </c>
      <c r="M15" s="2223">
        <v>31283531.559999999</v>
      </c>
      <c r="N15" s="2223">
        <v>31270360.219999999</v>
      </c>
      <c r="O15" s="2223">
        <v>31286086.100000001</v>
      </c>
      <c r="P15" s="2223">
        <v>31278533.600000001</v>
      </c>
      <c r="Q15" s="2223">
        <v>31215967.859999999</v>
      </c>
      <c r="R15" s="2224">
        <v>31260168.07</v>
      </c>
      <c r="S15" s="1765"/>
      <c r="T15" s="1760"/>
    </row>
    <row r="16" spans="1:20">
      <c r="A16" s="1787">
        <v>98</v>
      </c>
      <c r="B16" s="1788" t="s">
        <v>1510</v>
      </c>
      <c r="C16" s="1789">
        <f t="shared" si="1"/>
        <v>0</v>
      </c>
      <c r="D16" s="1790" t="s">
        <v>1513</v>
      </c>
      <c r="E16" s="1791" t="s">
        <v>1514</v>
      </c>
      <c r="F16" s="2221">
        <v>0</v>
      </c>
      <c r="G16" s="2222">
        <v>0</v>
      </c>
      <c r="H16" s="2223">
        <v>0</v>
      </c>
      <c r="I16" s="2223">
        <v>0</v>
      </c>
      <c r="J16" s="2223">
        <v>0</v>
      </c>
      <c r="K16" s="2223">
        <v>0</v>
      </c>
      <c r="L16" s="2223">
        <v>0</v>
      </c>
      <c r="M16" s="2223">
        <v>0</v>
      </c>
      <c r="N16" s="2223">
        <v>0</v>
      </c>
      <c r="O16" s="2223">
        <v>0</v>
      </c>
      <c r="P16" s="2223">
        <v>0</v>
      </c>
      <c r="Q16" s="2223">
        <v>0</v>
      </c>
      <c r="R16" s="2224">
        <v>0</v>
      </c>
      <c r="S16" s="1765"/>
      <c r="T16" s="1765"/>
    </row>
    <row r="17" spans="1:20">
      <c r="A17" s="1787">
        <v>99</v>
      </c>
      <c r="B17" s="1788" t="s">
        <v>1510</v>
      </c>
      <c r="C17" s="1789">
        <f t="shared" si="1"/>
        <v>3892240.4400000004</v>
      </c>
      <c r="D17" s="1792" t="s">
        <v>1515</v>
      </c>
      <c r="E17" s="1791" t="s">
        <v>1516</v>
      </c>
      <c r="F17" s="2221">
        <v>346591.3</v>
      </c>
      <c r="G17" s="2222">
        <v>287436.87</v>
      </c>
      <c r="H17" s="2223">
        <v>287436.82</v>
      </c>
      <c r="I17" s="2223">
        <v>329385.15999999997</v>
      </c>
      <c r="J17" s="2223">
        <v>330284.40000000002</v>
      </c>
      <c r="K17" s="2223">
        <v>330421.5</v>
      </c>
      <c r="L17" s="2223">
        <v>332165.02</v>
      </c>
      <c r="M17" s="2223">
        <v>332172.03000000003</v>
      </c>
      <c r="N17" s="2223">
        <v>332523.93</v>
      </c>
      <c r="O17" s="2223">
        <v>332602.45</v>
      </c>
      <c r="P17" s="2223">
        <v>332604.08</v>
      </c>
      <c r="Q17" s="2223">
        <v>332604.09999999998</v>
      </c>
      <c r="R17" s="2224">
        <v>332604.08</v>
      </c>
      <c r="S17" s="1765"/>
      <c r="T17" s="1797"/>
    </row>
    <row r="18" spans="1:20">
      <c r="A18" s="1787">
        <v>100</v>
      </c>
      <c r="B18" s="1788" t="s">
        <v>1510</v>
      </c>
      <c r="C18" s="1789">
        <f t="shared" si="1"/>
        <v>583694.85000000009</v>
      </c>
      <c r="D18" s="1792" t="s">
        <v>1517</v>
      </c>
      <c r="E18" s="1791" t="s">
        <v>1518</v>
      </c>
      <c r="F18" s="2221">
        <v>48743.47</v>
      </c>
      <c r="G18" s="2222">
        <v>48743.56</v>
      </c>
      <c r="H18" s="2223">
        <v>48743.45</v>
      </c>
      <c r="I18" s="2223">
        <v>48743.56</v>
      </c>
      <c r="J18" s="2223">
        <v>48743.45</v>
      </c>
      <c r="K18" s="2223">
        <v>48743.56</v>
      </c>
      <c r="L18" s="2223">
        <v>48743.56</v>
      </c>
      <c r="M18" s="2223">
        <v>48539</v>
      </c>
      <c r="N18" s="2223">
        <v>48538.9</v>
      </c>
      <c r="O18" s="2223">
        <v>48539</v>
      </c>
      <c r="P18" s="2223">
        <v>48538.9</v>
      </c>
      <c r="Q18" s="2223">
        <v>48539.01</v>
      </c>
      <c r="R18" s="2224">
        <v>48538.9</v>
      </c>
      <c r="S18" s="1765"/>
      <c r="T18" s="1797"/>
    </row>
    <row r="19" spans="1:20">
      <c r="A19" s="1787">
        <v>101</v>
      </c>
      <c r="B19" s="1788" t="s">
        <v>1510</v>
      </c>
      <c r="C19" s="1789">
        <f t="shared" si="1"/>
        <v>11025.839999999998</v>
      </c>
      <c r="D19" s="1792" t="s">
        <v>1519</v>
      </c>
      <c r="E19" s="1791" t="s">
        <v>1520</v>
      </c>
      <c r="F19" s="2221">
        <v>918.82</v>
      </c>
      <c r="G19" s="2223">
        <v>918.82</v>
      </c>
      <c r="H19" s="2223">
        <v>918.82</v>
      </c>
      <c r="I19" s="2223">
        <v>918.82</v>
      </c>
      <c r="J19" s="2223">
        <v>918.82</v>
      </c>
      <c r="K19" s="2223">
        <v>918.82</v>
      </c>
      <c r="L19" s="2223">
        <v>918.82</v>
      </c>
      <c r="M19" s="2223">
        <v>918.82</v>
      </c>
      <c r="N19" s="2223">
        <v>918.82</v>
      </c>
      <c r="O19" s="2223">
        <v>918.82</v>
      </c>
      <c r="P19" s="2223">
        <v>918.82</v>
      </c>
      <c r="Q19" s="2223">
        <v>918.82</v>
      </c>
      <c r="R19" s="2224">
        <v>918.82</v>
      </c>
      <c r="S19" s="1765"/>
      <c r="T19" s="1797"/>
    </row>
    <row r="20" spans="1:20">
      <c r="A20" s="1787">
        <v>102</v>
      </c>
      <c r="B20" s="1788" t="s">
        <v>1510</v>
      </c>
      <c r="C20" s="1789">
        <f t="shared" si="1"/>
        <v>0</v>
      </c>
      <c r="D20" s="1792" t="s">
        <v>1521</v>
      </c>
      <c r="E20" s="1791" t="s">
        <v>1522</v>
      </c>
      <c r="F20" s="2221">
        <v>0</v>
      </c>
      <c r="G20" s="2222">
        <v>0</v>
      </c>
      <c r="H20" s="2223">
        <v>0</v>
      </c>
      <c r="I20" s="2223">
        <v>0</v>
      </c>
      <c r="J20" s="2223">
        <v>0</v>
      </c>
      <c r="K20" s="2223">
        <v>0</v>
      </c>
      <c r="L20" s="2223">
        <v>0</v>
      </c>
      <c r="M20" s="2223">
        <v>0</v>
      </c>
      <c r="N20" s="2223">
        <v>0</v>
      </c>
      <c r="O20" s="2223">
        <v>0</v>
      </c>
      <c r="P20" s="2223">
        <v>0</v>
      </c>
      <c r="Q20" s="2223">
        <v>0</v>
      </c>
      <c r="R20" s="2224">
        <v>0</v>
      </c>
      <c r="S20" s="1765"/>
      <c r="T20" s="1765"/>
    </row>
    <row r="21" spans="1:20">
      <c r="A21" s="1787">
        <v>104</v>
      </c>
      <c r="B21" s="1788" t="s">
        <v>1491</v>
      </c>
      <c r="C21" s="1789">
        <f t="shared" ref="C21:C26" si="2">AVERAGE(F21:R21)</f>
        <v>2397600</v>
      </c>
      <c r="D21" s="1793" t="s">
        <v>1523</v>
      </c>
      <c r="E21" s="1791" t="s">
        <v>1524</v>
      </c>
      <c r="F21" s="2221">
        <v>2397600</v>
      </c>
      <c r="G21" s="2222">
        <v>2397600</v>
      </c>
      <c r="H21" s="2223">
        <v>2397600</v>
      </c>
      <c r="I21" s="2223">
        <v>2397600</v>
      </c>
      <c r="J21" s="2223">
        <v>2397600</v>
      </c>
      <c r="K21" s="2223">
        <v>2397600</v>
      </c>
      <c r="L21" s="2223">
        <v>2397600</v>
      </c>
      <c r="M21" s="2223">
        <v>2397600</v>
      </c>
      <c r="N21" s="2223">
        <v>2397600</v>
      </c>
      <c r="O21" s="2223">
        <v>2397600</v>
      </c>
      <c r="P21" s="2223">
        <v>2397600</v>
      </c>
      <c r="Q21" s="2223">
        <v>2397600</v>
      </c>
      <c r="R21" s="2224">
        <v>2397600</v>
      </c>
      <c r="S21" s="1765"/>
      <c r="T21" s="1765"/>
    </row>
    <row r="22" spans="1:20">
      <c r="A22" s="1787">
        <v>105</v>
      </c>
      <c r="B22" s="1788" t="s">
        <v>1491</v>
      </c>
      <c r="C22" s="1789">
        <f t="shared" si="2"/>
        <v>0</v>
      </c>
      <c r="D22" s="1790" t="s">
        <v>1525</v>
      </c>
      <c r="E22" s="1791" t="s">
        <v>1526</v>
      </c>
      <c r="F22" s="2221">
        <v>0</v>
      </c>
      <c r="G22" s="2222">
        <v>0</v>
      </c>
      <c r="H22" s="2223">
        <v>0</v>
      </c>
      <c r="I22" s="2223">
        <v>0</v>
      </c>
      <c r="J22" s="2223">
        <v>0</v>
      </c>
      <c r="K22" s="2223">
        <v>0</v>
      </c>
      <c r="L22" s="2223">
        <v>0</v>
      </c>
      <c r="M22" s="2223">
        <v>0</v>
      </c>
      <c r="N22" s="2223">
        <v>0</v>
      </c>
      <c r="O22" s="2223">
        <v>0</v>
      </c>
      <c r="P22" s="2223">
        <v>0</v>
      </c>
      <c r="Q22" s="2223">
        <v>0</v>
      </c>
      <c r="R22" s="2224">
        <v>0</v>
      </c>
      <c r="S22" s="1765"/>
      <c r="T22" s="1765"/>
    </row>
    <row r="23" spans="1:20">
      <c r="A23" s="1787">
        <v>106</v>
      </c>
      <c r="B23" s="1788" t="s">
        <v>1491</v>
      </c>
      <c r="C23" s="1789">
        <f t="shared" si="2"/>
        <v>0</v>
      </c>
      <c r="D23" s="1790" t="s">
        <v>1527</v>
      </c>
      <c r="E23" s="1791" t="s">
        <v>1528</v>
      </c>
      <c r="F23" s="2221">
        <v>0</v>
      </c>
      <c r="G23" s="2222">
        <v>0</v>
      </c>
      <c r="H23" s="2223">
        <v>0</v>
      </c>
      <c r="I23" s="2223">
        <v>0</v>
      </c>
      <c r="J23" s="2223">
        <v>0</v>
      </c>
      <c r="K23" s="2223">
        <v>0</v>
      </c>
      <c r="L23" s="2223">
        <v>0</v>
      </c>
      <c r="M23" s="2223">
        <v>0</v>
      </c>
      <c r="N23" s="2223">
        <v>0</v>
      </c>
      <c r="O23" s="2223">
        <v>0</v>
      </c>
      <c r="P23" s="2223">
        <v>0</v>
      </c>
      <c r="Q23" s="2223">
        <v>0</v>
      </c>
      <c r="R23" s="2224">
        <v>0</v>
      </c>
      <c r="S23" s="1765"/>
      <c r="T23" s="1765"/>
    </row>
    <row r="24" spans="1:20">
      <c r="A24" s="1787">
        <v>107</v>
      </c>
      <c r="B24" s="1788" t="s">
        <v>1491</v>
      </c>
      <c r="C24" s="1789">
        <f t="shared" si="2"/>
        <v>0</v>
      </c>
      <c r="D24" s="1793" t="s">
        <v>1529</v>
      </c>
      <c r="E24" s="1791" t="s">
        <v>1530</v>
      </c>
      <c r="F24" s="2221">
        <v>0</v>
      </c>
      <c r="G24" s="2222">
        <v>0</v>
      </c>
      <c r="H24" s="2223">
        <v>0</v>
      </c>
      <c r="I24" s="2223">
        <v>0</v>
      </c>
      <c r="J24" s="2223">
        <v>0</v>
      </c>
      <c r="K24" s="2223">
        <v>0</v>
      </c>
      <c r="L24" s="2223">
        <v>0</v>
      </c>
      <c r="M24" s="2223">
        <v>0</v>
      </c>
      <c r="N24" s="2223">
        <v>0</v>
      </c>
      <c r="O24" s="2223">
        <v>0</v>
      </c>
      <c r="P24" s="2223">
        <v>0</v>
      </c>
      <c r="Q24" s="2223">
        <v>0</v>
      </c>
      <c r="R24" s="2224">
        <v>0</v>
      </c>
      <c r="S24" s="1765"/>
      <c r="T24" s="1765"/>
    </row>
    <row r="25" spans="1:20">
      <c r="A25" s="1787">
        <v>108</v>
      </c>
      <c r="B25" s="1788" t="s">
        <v>1491</v>
      </c>
      <c r="C25" s="1789">
        <f t="shared" si="2"/>
        <v>0</v>
      </c>
      <c r="D25" s="1790" t="s">
        <v>1531</v>
      </c>
      <c r="E25" s="1791" t="s">
        <v>1532</v>
      </c>
      <c r="F25" s="2221">
        <v>0</v>
      </c>
      <c r="G25" s="2222">
        <v>0</v>
      </c>
      <c r="H25" s="2223">
        <v>0</v>
      </c>
      <c r="I25" s="2223">
        <v>0</v>
      </c>
      <c r="J25" s="2223">
        <v>0</v>
      </c>
      <c r="K25" s="2223">
        <v>0</v>
      </c>
      <c r="L25" s="2223">
        <v>0</v>
      </c>
      <c r="M25" s="2223">
        <v>0</v>
      </c>
      <c r="N25" s="2223">
        <v>0</v>
      </c>
      <c r="O25" s="2223">
        <v>0</v>
      </c>
      <c r="P25" s="2223">
        <v>0</v>
      </c>
      <c r="Q25" s="2223">
        <v>0</v>
      </c>
      <c r="R25" s="2224">
        <v>0</v>
      </c>
      <c r="S25" s="1765"/>
      <c r="T25" s="1765"/>
    </row>
    <row r="26" spans="1:20">
      <c r="A26" s="1787">
        <v>109</v>
      </c>
      <c r="B26" s="1788" t="s">
        <v>1491</v>
      </c>
      <c r="C26" s="1789">
        <f t="shared" si="2"/>
        <v>0</v>
      </c>
      <c r="D26" s="1793" t="s">
        <v>1533</v>
      </c>
      <c r="E26" s="1791" t="s">
        <v>1534</v>
      </c>
      <c r="F26" s="2221">
        <v>0</v>
      </c>
      <c r="G26" s="2222">
        <v>0</v>
      </c>
      <c r="H26" s="2223">
        <v>0</v>
      </c>
      <c r="I26" s="2223">
        <v>0</v>
      </c>
      <c r="J26" s="2223">
        <v>0</v>
      </c>
      <c r="K26" s="2223">
        <v>0</v>
      </c>
      <c r="L26" s="2223">
        <v>0</v>
      </c>
      <c r="M26" s="2223">
        <v>0</v>
      </c>
      <c r="N26" s="2223">
        <v>0</v>
      </c>
      <c r="O26" s="2223">
        <v>0</v>
      </c>
      <c r="P26" s="2223">
        <v>0</v>
      </c>
      <c r="Q26" s="2223">
        <v>0</v>
      </c>
      <c r="R26" s="2224">
        <v>0</v>
      </c>
      <c r="S26" s="1765"/>
      <c r="T26" s="1765"/>
    </row>
    <row r="27" spans="1:20" ht="25.5">
      <c r="A27" s="1787">
        <v>111</v>
      </c>
      <c r="B27" s="1798" t="s">
        <v>1535</v>
      </c>
      <c r="C27" s="1789">
        <f>ABS(SUM(G27:R27))</f>
        <v>161901.96</v>
      </c>
      <c r="D27" s="1790" t="s">
        <v>153</v>
      </c>
      <c r="E27" s="1796" t="s">
        <v>1536</v>
      </c>
      <c r="F27" s="2221">
        <v>40475.49</v>
      </c>
      <c r="G27" s="2222">
        <v>0</v>
      </c>
      <c r="H27" s="2223">
        <v>0</v>
      </c>
      <c r="I27" s="2223">
        <v>40475.49</v>
      </c>
      <c r="J27" s="2223">
        <v>0</v>
      </c>
      <c r="K27" s="2223">
        <v>0</v>
      </c>
      <c r="L27" s="2223">
        <v>40475.49</v>
      </c>
      <c r="M27" s="2223">
        <v>0</v>
      </c>
      <c r="N27" s="2223">
        <v>0</v>
      </c>
      <c r="O27" s="2223">
        <v>40475.49</v>
      </c>
      <c r="P27" s="2223">
        <v>0</v>
      </c>
      <c r="Q27" s="2223">
        <v>0</v>
      </c>
      <c r="R27" s="2224">
        <v>40475.49</v>
      </c>
      <c r="S27" s="1765"/>
      <c r="T27" s="1765"/>
    </row>
    <row r="28" spans="1:20">
      <c r="A28" s="1787">
        <v>112</v>
      </c>
      <c r="B28" s="1788" t="s">
        <v>1491</v>
      </c>
      <c r="C28" s="1789">
        <f>AVERAGE(F28:R28)</f>
        <v>8083782146.4438457</v>
      </c>
      <c r="D28" s="1793" t="s">
        <v>1537</v>
      </c>
      <c r="E28" s="1791" t="s">
        <v>1538</v>
      </c>
      <c r="F28" s="2221">
        <v>7845040094.8400002</v>
      </c>
      <c r="G28" s="2222">
        <v>7919723040.8000002</v>
      </c>
      <c r="H28" s="2223">
        <v>7797497595.7799997</v>
      </c>
      <c r="I28" s="2223">
        <v>7849674209</v>
      </c>
      <c r="J28" s="2223">
        <v>7881518677.3800001</v>
      </c>
      <c r="K28" s="2223">
        <v>7933361500.0200005</v>
      </c>
      <c r="L28" s="2223">
        <v>8017152407</v>
      </c>
      <c r="M28" s="2223">
        <v>8130203351.0100002</v>
      </c>
      <c r="N28" s="2223">
        <v>8230032109.3800001</v>
      </c>
      <c r="O28" s="2223">
        <v>8295315925.9399996</v>
      </c>
      <c r="P28" s="2223">
        <v>8348176274.3100004</v>
      </c>
      <c r="Q28" s="2223">
        <v>8403683786.4799995</v>
      </c>
      <c r="R28" s="2224">
        <v>8437788931.8299999</v>
      </c>
      <c r="S28" s="1765"/>
      <c r="T28" s="1765"/>
    </row>
    <row r="29" spans="1:20">
      <c r="A29" s="1787">
        <v>114</v>
      </c>
      <c r="B29" s="1788" t="s">
        <v>1491</v>
      </c>
      <c r="C29" s="1789">
        <f>AVERAGE(F29:R29)</f>
        <v>117471233.69769232</v>
      </c>
      <c r="D29" s="1790" t="s">
        <v>1539</v>
      </c>
      <c r="E29" s="1791" t="s">
        <v>1540</v>
      </c>
      <c r="F29" s="2221">
        <v>104399245.92000002</v>
      </c>
      <c r="G29" s="2222">
        <v>109177232.31000002</v>
      </c>
      <c r="H29" s="2223">
        <v>112306248.99000002</v>
      </c>
      <c r="I29" s="2223">
        <v>115761061.53000003</v>
      </c>
      <c r="J29" s="2223">
        <v>116802035.25000003</v>
      </c>
      <c r="K29" s="2223">
        <v>115947351.08000003</v>
      </c>
      <c r="L29" s="2223">
        <v>116041302.68000002</v>
      </c>
      <c r="M29" s="2223">
        <v>119056866.13000003</v>
      </c>
      <c r="N29" s="2223">
        <v>121185953.41000003</v>
      </c>
      <c r="O29" s="2223">
        <v>121748472.93000002</v>
      </c>
      <c r="P29" s="2223">
        <v>122967367.23000002</v>
      </c>
      <c r="Q29" s="2223">
        <v>126167670.55000001</v>
      </c>
      <c r="R29" s="2224">
        <v>125565230.06000002</v>
      </c>
      <c r="S29" s="1765"/>
      <c r="T29" s="1765"/>
    </row>
    <row r="30" spans="1:20" ht="25.5">
      <c r="A30" s="1787">
        <v>115</v>
      </c>
      <c r="B30" s="1798" t="s">
        <v>1541</v>
      </c>
      <c r="C30" s="1789">
        <f>AVERAGE(F30:R30)</f>
        <v>-12642902.668461539</v>
      </c>
      <c r="D30" s="1793" t="s">
        <v>1542</v>
      </c>
      <c r="E30" s="1796" t="s">
        <v>1543</v>
      </c>
      <c r="F30" s="2221">
        <v>-12635042.359999999</v>
      </c>
      <c r="G30" s="2222">
        <v>-12586869.52</v>
      </c>
      <c r="H30" s="2223">
        <v>-12538696.68</v>
      </c>
      <c r="I30" s="2223">
        <v>-12490523.84</v>
      </c>
      <c r="J30" s="2223">
        <v>-12442351</v>
      </c>
      <c r="K30" s="2223">
        <v>-12394178.16</v>
      </c>
      <c r="L30" s="2223">
        <v>-12346005.32</v>
      </c>
      <c r="M30" s="2223">
        <v>-12297832.48</v>
      </c>
      <c r="N30" s="2223">
        <v>-12249659.779999999</v>
      </c>
      <c r="O30" s="2223">
        <v>-12201486.960000001</v>
      </c>
      <c r="P30" s="2223">
        <v>-12153314.15</v>
      </c>
      <c r="Q30" s="2223">
        <v>-12105141.310000001</v>
      </c>
      <c r="R30" s="2224">
        <v>-15916633.130000001</v>
      </c>
      <c r="S30" s="1765"/>
      <c r="T30" s="1765"/>
    </row>
    <row r="31" spans="1:20">
      <c r="A31" s="1787" t="s">
        <v>1469</v>
      </c>
      <c r="B31" s="1799" t="s">
        <v>1436</v>
      </c>
      <c r="C31" s="1800" t="s">
        <v>1436</v>
      </c>
      <c r="D31" s="1790" t="s">
        <v>1544</v>
      </c>
      <c r="E31" s="1801" t="s">
        <v>1514</v>
      </c>
      <c r="F31" s="2221">
        <v>3417945896.2399998</v>
      </c>
      <c r="G31" s="2222">
        <v>3417945896.2399998</v>
      </c>
      <c r="H31" s="2223">
        <v>3417945896.2399998</v>
      </c>
      <c r="I31" s="2223">
        <v>3417945896.2399998</v>
      </c>
      <c r="J31" s="2223">
        <v>3417945896.2399998</v>
      </c>
      <c r="K31" s="2223">
        <v>3417945896.2399998</v>
      </c>
      <c r="L31" s="2223">
        <v>3417945896.2399998</v>
      </c>
      <c r="M31" s="2223">
        <v>3417945896.2399998</v>
      </c>
      <c r="N31" s="2223">
        <v>3417945896.2399998</v>
      </c>
      <c r="O31" s="2223">
        <v>3417945896.2399998</v>
      </c>
      <c r="P31" s="2223">
        <v>3417945896.2399998</v>
      </c>
      <c r="Q31" s="2223">
        <v>3417945896.2399998</v>
      </c>
      <c r="R31" s="2224">
        <v>3417945896.2399998</v>
      </c>
      <c r="S31" s="1765"/>
      <c r="T31" s="1765"/>
    </row>
    <row r="32" spans="1:20" ht="15.75" thickBot="1">
      <c r="A32" s="1802" t="s">
        <v>1469</v>
      </c>
      <c r="B32" s="1803" t="s">
        <v>1436</v>
      </c>
      <c r="C32" s="1804" t="s">
        <v>1436</v>
      </c>
      <c r="D32" s="1805" t="s">
        <v>1545</v>
      </c>
      <c r="E32" s="1806" t="s">
        <v>1514</v>
      </c>
      <c r="F32" s="2225">
        <v>1102063956</v>
      </c>
      <c r="G32" s="2226">
        <v>1102063956</v>
      </c>
      <c r="H32" s="2227">
        <v>1102063956</v>
      </c>
      <c r="I32" s="2227">
        <v>1102063956</v>
      </c>
      <c r="J32" s="2227">
        <v>1102063956</v>
      </c>
      <c r="K32" s="2227">
        <v>1102063956</v>
      </c>
      <c r="L32" s="2227">
        <v>1102063956</v>
      </c>
      <c r="M32" s="2227">
        <v>1102063956</v>
      </c>
      <c r="N32" s="2227">
        <v>1102063956</v>
      </c>
      <c r="O32" s="2227">
        <v>1102063956</v>
      </c>
      <c r="P32" s="2227">
        <v>1102063956</v>
      </c>
      <c r="Q32" s="2227">
        <v>1102063956</v>
      </c>
      <c r="R32" s="2228">
        <v>1102063956</v>
      </c>
      <c r="S32" s="1765"/>
      <c r="T32" s="1765"/>
    </row>
    <row r="33" spans="1:20">
      <c r="A33" s="1765"/>
      <c r="B33" s="1765"/>
      <c r="C33" s="1765"/>
      <c r="D33" s="1765"/>
      <c r="E33" s="1765"/>
      <c r="F33" s="1765"/>
      <c r="G33" s="1765"/>
      <c r="H33" s="1765"/>
      <c r="I33" s="1765"/>
      <c r="J33" s="1765"/>
      <c r="K33" s="1765"/>
      <c r="L33" s="1765"/>
      <c r="M33" s="1765"/>
      <c r="N33" s="1765"/>
      <c r="O33" s="1765"/>
      <c r="P33" s="1765"/>
      <c r="Q33" s="1765"/>
      <c r="R33" s="1765"/>
      <c r="S33" s="1765"/>
      <c r="T33" s="1765"/>
    </row>
    <row r="34" spans="1:20" ht="15.75" thickBot="1">
      <c r="A34" s="1765"/>
      <c r="B34" s="1765"/>
      <c r="C34" s="1765"/>
      <c r="D34" s="1765"/>
      <c r="E34" s="1765"/>
      <c r="F34" s="1765"/>
      <c r="G34" s="1765"/>
      <c r="H34" s="1765"/>
      <c r="I34" s="1765"/>
      <c r="J34" s="1765"/>
      <c r="K34" s="1765"/>
      <c r="L34" s="1765"/>
      <c r="M34" s="1765"/>
      <c r="N34" s="1765"/>
      <c r="O34" s="1765"/>
      <c r="P34" s="1765"/>
      <c r="Q34" s="1765"/>
      <c r="R34" s="1765"/>
      <c r="S34" s="1765"/>
      <c r="T34" s="1765"/>
    </row>
    <row r="35" spans="1:20" ht="15.75" thickBot="1">
      <c r="A35" s="1765"/>
      <c r="B35" s="1765"/>
      <c r="C35" s="1765"/>
      <c r="D35" s="1807" t="s">
        <v>288</v>
      </c>
      <c r="E35" s="1808"/>
      <c r="F35" s="1809" t="s">
        <v>115</v>
      </c>
      <c r="G35" s="1810" t="s">
        <v>1546</v>
      </c>
      <c r="H35" s="1811" t="s">
        <v>1142</v>
      </c>
      <c r="I35" s="1765"/>
      <c r="J35" s="1765"/>
      <c r="K35" s="1765"/>
      <c r="L35" s="1765"/>
      <c r="M35" s="1765"/>
      <c r="N35" s="1812"/>
      <c r="O35" s="1760"/>
      <c r="P35" s="1760"/>
      <c r="Q35" s="1760"/>
      <c r="R35" s="1760"/>
      <c r="S35" s="1760"/>
      <c r="T35" s="1760"/>
    </row>
    <row r="36" spans="1:20">
      <c r="A36" s="1765"/>
      <c r="B36" s="1765"/>
      <c r="C36" s="1765"/>
      <c r="D36" s="1813" t="s">
        <v>1547</v>
      </c>
      <c r="E36" s="1814" t="s">
        <v>1548</v>
      </c>
      <c r="F36" s="1815">
        <v>0</v>
      </c>
      <c r="G36" s="1815">
        <v>0</v>
      </c>
      <c r="H36" s="1816">
        <v>0</v>
      </c>
      <c r="I36" s="1765"/>
      <c r="J36" s="1765"/>
      <c r="K36" s="1765"/>
      <c r="L36" s="1765"/>
      <c r="M36" s="1765"/>
      <c r="N36" s="1812"/>
      <c r="O36" s="1760"/>
      <c r="P36" s="1760"/>
      <c r="Q36" s="1760"/>
      <c r="R36" s="1760"/>
      <c r="S36" s="1760"/>
      <c r="T36" s="1760"/>
    </row>
    <row r="37" spans="1:20" ht="15.75" thickBot="1">
      <c r="A37" s="1765"/>
      <c r="B37" s="1765"/>
      <c r="C37" s="1765"/>
      <c r="D37" s="1817" t="s">
        <v>1549</v>
      </c>
      <c r="E37" s="1818" t="s">
        <v>1548</v>
      </c>
      <c r="F37" s="1819">
        <v>0</v>
      </c>
      <c r="G37" s="1819">
        <v>0</v>
      </c>
      <c r="H37" s="1820">
        <v>0</v>
      </c>
      <c r="I37" s="1765"/>
      <c r="J37" s="1765"/>
      <c r="K37" s="1765"/>
      <c r="L37" s="1765"/>
      <c r="M37" s="1765"/>
      <c r="N37" s="1812"/>
      <c r="O37" s="1760"/>
      <c r="P37" s="1760"/>
      <c r="Q37" s="1760"/>
      <c r="R37" s="1760"/>
      <c r="S37" s="1760"/>
      <c r="T37" s="1760"/>
    </row>
    <row r="38" spans="1:20">
      <c r="A38" s="1765"/>
      <c r="B38" s="1765"/>
      <c r="C38" s="1765"/>
      <c r="D38" s="1765"/>
      <c r="E38" s="1765"/>
      <c r="F38" s="1765"/>
      <c r="G38" s="1765"/>
      <c r="H38" s="1765"/>
      <c r="I38" s="1765"/>
      <c r="J38" s="1765"/>
      <c r="K38" s="1765"/>
      <c r="L38" s="1765"/>
      <c r="M38" s="1765"/>
      <c r="N38" s="1812"/>
      <c r="O38" s="1760"/>
      <c r="P38" s="1760"/>
      <c r="Q38" s="1760"/>
      <c r="R38" s="1760"/>
      <c r="S38" s="1760"/>
      <c r="T38" s="1760"/>
    </row>
    <row r="39" spans="1:20">
      <c r="A39" s="1765"/>
      <c r="B39" s="1765"/>
      <c r="C39" s="1765"/>
      <c r="D39" s="1765"/>
      <c r="E39" s="1765"/>
      <c r="F39" s="1765"/>
      <c r="G39" s="1765"/>
      <c r="H39" s="1765"/>
      <c r="I39" s="1765"/>
      <c r="J39" s="1765"/>
      <c r="K39" s="1765"/>
      <c r="L39" s="1765"/>
      <c r="M39" s="1765"/>
      <c r="N39" s="1812"/>
      <c r="O39" s="1760"/>
      <c r="P39" s="1760"/>
      <c r="Q39" s="1760"/>
      <c r="R39" s="1760"/>
      <c r="S39" s="1760"/>
      <c r="T39" s="1760"/>
    </row>
    <row r="40" spans="1:20">
      <c r="A40" s="1765"/>
      <c r="B40" s="1765"/>
      <c r="C40" s="1765"/>
      <c r="D40" s="1765"/>
      <c r="E40" s="1765"/>
      <c r="F40" s="1765"/>
      <c r="G40" s="1765"/>
      <c r="H40" s="1765"/>
      <c r="I40" s="1765"/>
      <c r="J40" s="1765"/>
      <c r="K40" s="1765"/>
      <c r="L40" s="1765"/>
      <c r="M40" s="1765"/>
      <c r="N40" s="1812"/>
      <c r="O40" s="1760"/>
      <c r="P40" s="1760"/>
      <c r="Q40" s="1760"/>
      <c r="R40" s="1760"/>
      <c r="S40" s="1760"/>
      <c r="T40" s="1760"/>
    </row>
    <row r="41" spans="1:20">
      <c r="A41" s="1765"/>
      <c r="B41" s="1765"/>
      <c r="C41" s="1765"/>
      <c r="D41" s="1765"/>
      <c r="E41" s="1765"/>
      <c r="F41" s="1765"/>
      <c r="G41" s="1765"/>
      <c r="H41" s="1765"/>
      <c r="I41" s="1765"/>
      <c r="J41" s="1765"/>
      <c r="K41" s="1765"/>
      <c r="L41" s="1765"/>
      <c r="M41" s="1765"/>
      <c r="N41" s="1812"/>
      <c r="O41" s="1760"/>
      <c r="P41" s="1760"/>
      <c r="Q41" s="1760"/>
      <c r="R41" s="1760"/>
      <c r="S41" s="1760"/>
      <c r="T41" s="1760"/>
    </row>
    <row r="42" spans="1:20">
      <c r="A42" s="1765"/>
      <c r="B42" s="1765"/>
      <c r="C42" s="1765"/>
      <c r="D42" s="1765"/>
      <c r="E42" s="1765"/>
      <c r="F42" s="1765"/>
      <c r="G42" s="1765"/>
      <c r="H42" s="1765"/>
      <c r="I42" s="1765"/>
      <c r="J42" s="1765"/>
      <c r="K42" s="1765"/>
      <c r="L42" s="1765"/>
      <c r="M42" s="1765"/>
      <c r="N42" s="1812"/>
      <c r="O42" s="1760"/>
      <c r="P42" s="1760"/>
      <c r="Q42" s="1760"/>
      <c r="R42" s="1760"/>
      <c r="S42" s="1760"/>
      <c r="T42" s="1760"/>
    </row>
    <row r="43" spans="1:20">
      <c r="A43" s="1765"/>
      <c r="B43" s="1765"/>
      <c r="C43" s="1765"/>
      <c r="D43" s="1765"/>
      <c r="E43" s="1765"/>
      <c r="F43" s="1765"/>
      <c r="G43" s="1765"/>
      <c r="H43" s="1765"/>
      <c r="I43" s="1765"/>
      <c r="J43" s="1765"/>
      <c r="K43" s="1765"/>
      <c r="L43" s="1765"/>
      <c r="M43" s="1765"/>
      <c r="N43" s="1812"/>
      <c r="O43" s="1760"/>
      <c r="P43" s="1760"/>
      <c r="Q43" s="1760"/>
      <c r="R43" s="1760"/>
      <c r="S43" s="1760"/>
      <c r="T43" s="1760"/>
    </row>
    <row r="44" spans="1:20">
      <c r="A44" s="1765"/>
      <c r="B44" s="1765"/>
      <c r="C44" s="1765"/>
      <c r="D44" s="1765"/>
      <c r="E44" s="1765"/>
      <c r="F44" s="1765"/>
      <c r="G44" s="1765"/>
      <c r="H44" s="1765"/>
      <c r="I44" s="1765"/>
      <c r="J44" s="1765"/>
      <c r="K44" s="1765"/>
      <c r="L44" s="1765"/>
      <c r="M44" s="1765"/>
      <c r="N44" s="1812"/>
      <c r="O44" s="1760"/>
      <c r="P44" s="1760"/>
      <c r="Q44" s="1760"/>
      <c r="R44" s="1760"/>
      <c r="S44" s="1760"/>
      <c r="T44" s="1760"/>
    </row>
    <row r="45" spans="1:20">
      <c r="A45" s="1765"/>
      <c r="B45" s="1765"/>
      <c r="C45" s="1765"/>
      <c r="D45" s="1765"/>
      <c r="E45" s="1765"/>
      <c r="F45" s="1765"/>
      <c r="G45" s="1765"/>
      <c r="H45" s="1765"/>
      <c r="I45" s="1765"/>
      <c r="J45" s="1765"/>
      <c r="K45" s="1765"/>
      <c r="L45" s="1765"/>
      <c r="M45" s="1765"/>
      <c r="N45" s="1812"/>
      <c r="O45" s="1760"/>
      <c r="P45" s="1760"/>
      <c r="Q45" s="1760"/>
      <c r="R45" s="1760"/>
      <c r="S45" s="1760"/>
      <c r="T45" s="1760"/>
    </row>
    <row r="46" spans="1:20">
      <c r="A46" s="1765"/>
      <c r="B46" s="1765"/>
      <c r="C46" s="1765"/>
      <c r="D46" s="1765"/>
      <c r="E46" s="1765"/>
      <c r="F46" s="1765"/>
      <c r="G46" s="1765"/>
      <c r="H46" s="1765"/>
      <c r="I46" s="1765"/>
      <c r="J46" s="1765"/>
      <c r="K46" s="1765"/>
      <c r="L46" s="1765"/>
      <c r="M46" s="1765"/>
      <c r="N46" s="1812"/>
      <c r="O46" s="1760"/>
      <c r="P46" s="1760"/>
      <c r="Q46" s="1760"/>
      <c r="R46" s="1760"/>
      <c r="S46" s="1760"/>
      <c r="T46" s="1760"/>
    </row>
    <row r="47" spans="1:20">
      <c r="A47" s="1765"/>
      <c r="B47" s="1765"/>
      <c r="C47" s="1765"/>
      <c r="D47" s="1765"/>
      <c r="E47" s="1765"/>
      <c r="F47" s="1765"/>
      <c r="G47" s="1765"/>
      <c r="H47" s="1765"/>
      <c r="I47" s="1765"/>
      <c r="J47" s="1765"/>
      <c r="K47" s="1765"/>
      <c r="L47" s="1765"/>
      <c r="M47" s="1765"/>
      <c r="N47" s="1812"/>
      <c r="O47" s="1760"/>
      <c r="P47" s="1760"/>
      <c r="Q47" s="1760"/>
      <c r="R47" s="1760"/>
      <c r="S47" s="1760"/>
      <c r="T47" s="1760"/>
    </row>
    <row r="48" spans="1:20">
      <c r="A48" s="1765"/>
      <c r="B48" s="1765"/>
      <c r="C48" s="1765"/>
      <c r="D48" s="1765"/>
      <c r="E48" s="1765"/>
      <c r="F48" s="1765"/>
      <c r="G48" s="1765"/>
      <c r="H48" s="1765"/>
      <c r="I48" s="1765"/>
      <c r="J48" s="1765"/>
      <c r="K48" s="1765"/>
      <c r="L48" s="1765"/>
      <c r="M48" s="1765"/>
      <c r="N48" s="1812"/>
      <c r="O48" s="1760"/>
      <c r="P48" s="1760"/>
      <c r="Q48" s="1760"/>
      <c r="R48" s="1760"/>
      <c r="S48" s="1760"/>
      <c r="T48" s="1760"/>
    </row>
    <row r="49" spans="1:20">
      <c r="A49" s="1765"/>
      <c r="B49" s="1765"/>
      <c r="C49" s="1765"/>
      <c r="D49" s="1765"/>
      <c r="E49" s="1765"/>
      <c r="F49" s="1765"/>
      <c r="G49" s="1765"/>
      <c r="H49" s="1765"/>
      <c r="I49" s="1765"/>
      <c r="J49" s="1765"/>
      <c r="K49" s="1765"/>
      <c r="L49" s="1765"/>
      <c r="M49" s="1765"/>
      <c r="N49" s="1812"/>
      <c r="O49" s="1760"/>
      <c r="P49" s="1760"/>
      <c r="Q49" s="1760"/>
      <c r="R49" s="1760"/>
      <c r="S49" s="1760"/>
      <c r="T49" s="1760"/>
    </row>
    <row r="50" spans="1:20">
      <c r="A50" s="1765"/>
      <c r="B50" s="1765"/>
      <c r="C50" s="1765"/>
      <c r="D50" s="1765"/>
      <c r="E50" s="1765"/>
      <c r="F50" s="1765"/>
      <c r="G50" s="1765"/>
      <c r="H50" s="1765"/>
      <c r="I50" s="1765"/>
      <c r="J50" s="1765"/>
      <c r="K50" s="1765"/>
      <c r="L50" s="1765"/>
      <c r="M50" s="1765"/>
      <c r="N50" s="1812"/>
      <c r="O50" s="1760"/>
      <c r="P50" s="1760"/>
      <c r="Q50" s="1760"/>
      <c r="R50" s="1760"/>
      <c r="S50" s="1760"/>
      <c r="T50" s="1760"/>
    </row>
    <row r="51" spans="1:20">
      <c r="A51" s="1765"/>
      <c r="B51" s="1765"/>
      <c r="C51" s="1765"/>
      <c r="D51" s="1765"/>
      <c r="E51" s="1765"/>
      <c r="F51" s="1765"/>
      <c r="G51" s="1765"/>
      <c r="H51" s="1765"/>
      <c r="I51" s="1765"/>
      <c r="J51" s="1765"/>
      <c r="K51" s="1765"/>
      <c r="L51" s="1765"/>
      <c r="M51" s="1765"/>
      <c r="N51" s="1812"/>
      <c r="O51" s="1760"/>
      <c r="P51" s="1760"/>
      <c r="Q51" s="1760"/>
      <c r="R51" s="1760"/>
      <c r="S51" s="1760"/>
      <c r="T51" s="1760"/>
    </row>
    <row r="52" spans="1:20">
      <c r="A52" s="1765"/>
      <c r="B52" s="1765"/>
      <c r="C52" s="1765"/>
      <c r="D52" s="1765"/>
      <c r="E52" s="1765"/>
      <c r="F52" s="1765"/>
      <c r="G52" s="1765"/>
      <c r="H52" s="1765"/>
      <c r="I52" s="1765"/>
      <c r="J52" s="1765"/>
      <c r="K52" s="1765"/>
      <c r="L52" s="1765"/>
      <c r="M52" s="1765"/>
      <c r="N52" s="1812"/>
      <c r="O52" s="1760"/>
      <c r="P52" s="1760"/>
      <c r="Q52" s="1760"/>
      <c r="R52" s="1760"/>
      <c r="S52" s="1760"/>
      <c r="T52" s="1760"/>
    </row>
    <row r="53" spans="1:20">
      <c r="A53" s="1765"/>
      <c r="B53" s="1765"/>
      <c r="C53" s="1765"/>
      <c r="D53" s="1765"/>
      <c r="E53" s="1765"/>
      <c r="F53" s="1765"/>
      <c r="G53" s="1765"/>
      <c r="H53" s="1765"/>
      <c r="I53" s="1765"/>
      <c r="J53" s="1765"/>
      <c r="K53" s="1765"/>
      <c r="L53" s="1765"/>
      <c r="M53" s="1765"/>
      <c r="N53" s="1812"/>
      <c r="O53" s="1760"/>
      <c r="P53" s="1760"/>
      <c r="Q53" s="1760"/>
      <c r="R53" s="1760"/>
      <c r="S53" s="1760"/>
      <c r="T53" s="1760"/>
    </row>
    <row r="54" spans="1:20">
      <c r="A54" s="1765"/>
      <c r="B54" s="1765"/>
      <c r="C54" s="1765"/>
      <c r="D54" s="1765"/>
      <c r="E54" s="1765"/>
      <c r="F54" s="1765"/>
      <c r="G54" s="1765"/>
      <c r="H54" s="1765"/>
      <c r="I54" s="1765"/>
      <c r="J54" s="1765"/>
      <c r="K54" s="1765"/>
      <c r="L54" s="1765"/>
      <c r="M54" s="1765"/>
      <c r="N54" s="1812"/>
      <c r="O54" s="1760"/>
      <c r="P54" s="1760"/>
      <c r="Q54" s="1760"/>
      <c r="R54" s="1760"/>
      <c r="S54" s="1760"/>
      <c r="T54" s="1760"/>
    </row>
    <row r="55" spans="1:20">
      <c r="A55" s="1765"/>
      <c r="B55" s="1765"/>
      <c r="C55" s="1765"/>
      <c r="D55" s="1765"/>
      <c r="E55" s="1765"/>
      <c r="F55" s="1765"/>
      <c r="G55" s="1765"/>
      <c r="H55" s="1765"/>
      <c r="I55" s="1765"/>
      <c r="J55" s="1765"/>
      <c r="K55" s="1765"/>
      <c r="L55" s="1765"/>
      <c r="M55" s="1765"/>
      <c r="N55" s="1812"/>
      <c r="O55" s="1760"/>
      <c r="P55" s="1760"/>
      <c r="Q55" s="1760"/>
      <c r="R55" s="1760"/>
      <c r="S55" s="1760"/>
      <c r="T55" s="1760"/>
    </row>
    <row r="56" spans="1:20">
      <c r="A56" s="1765"/>
      <c r="B56" s="1765"/>
      <c r="C56" s="1765"/>
      <c r="D56" s="1765"/>
      <c r="E56" s="1765"/>
      <c r="F56" s="1765"/>
      <c r="G56" s="1765"/>
      <c r="H56" s="1765"/>
      <c r="I56" s="1765"/>
      <c r="J56" s="1765"/>
      <c r="K56" s="1765"/>
      <c r="L56" s="1765"/>
      <c r="M56" s="1765"/>
      <c r="N56" s="1812"/>
      <c r="O56" s="1760"/>
      <c r="P56" s="1760"/>
      <c r="Q56" s="1760"/>
      <c r="R56" s="1760"/>
      <c r="S56" s="1760"/>
      <c r="T56" s="1760"/>
    </row>
    <row r="57" spans="1:20">
      <c r="A57" s="1765"/>
      <c r="B57" s="1765"/>
      <c r="C57" s="1765"/>
      <c r="D57" s="1765"/>
      <c r="E57" s="1765"/>
      <c r="F57" s="1765"/>
      <c r="G57" s="1765"/>
      <c r="H57" s="1765"/>
      <c r="I57" s="1765"/>
      <c r="J57" s="1765"/>
      <c r="K57" s="1765"/>
      <c r="L57" s="1765"/>
      <c r="M57" s="1765"/>
      <c r="N57" s="1812"/>
      <c r="O57" s="1760"/>
      <c r="P57" s="1760"/>
      <c r="Q57" s="1760"/>
      <c r="R57" s="1760"/>
      <c r="S57" s="1760"/>
      <c r="T57" s="1760"/>
    </row>
    <row r="58" spans="1:20">
      <c r="A58" s="1765"/>
      <c r="B58" s="1765"/>
      <c r="C58" s="1765"/>
      <c r="D58" s="1765"/>
      <c r="E58" s="1765"/>
      <c r="F58" s="1765"/>
      <c r="G58" s="1765"/>
      <c r="H58" s="1765"/>
      <c r="I58" s="1765"/>
      <c r="J58" s="1765"/>
      <c r="K58" s="1765"/>
      <c r="L58" s="1765"/>
      <c r="M58" s="1765"/>
      <c r="N58" s="1812"/>
      <c r="O58" s="1760"/>
      <c r="P58" s="1760"/>
      <c r="Q58" s="1760"/>
      <c r="R58" s="1760"/>
      <c r="S58" s="1760"/>
      <c r="T58" s="1760"/>
    </row>
    <row r="59" spans="1:20">
      <c r="A59" s="1765"/>
      <c r="B59" s="1765"/>
      <c r="C59" s="1765"/>
      <c r="D59" s="1765"/>
      <c r="E59" s="1765"/>
      <c r="F59" s="1765"/>
      <c r="G59" s="1765"/>
      <c r="H59" s="1765"/>
      <c r="I59" s="1765"/>
      <c r="J59" s="1765"/>
      <c r="K59" s="1765"/>
      <c r="L59" s="1765"/>
      <c r="M59" s="1765"/>
      <c r="N59" s="1812"/>
      <c r="O59" s="1760"/>
      <c r="P59" s="1760"/>
      <c r="Q59" s="1760"/>
      <c r="R59" s="1760"/>
      <c r="S59" s="1760"/>
      <c r="T59" s="1760"/>
    </row>
    <row r="60" spans="1:20">
      <c r="A60" s="1765"/>
      <c r="B60" s="1765"/>
      <c r="C60" s="1765"/>
      <c r="D60" s="1765"/>
      <c r="E60" s="1765"/>
      <c r="F60" s="1765"/>
      <c r="G60" s="1765"/>
      <c r="H60" s="1765"/>
      <c r="I60" s="1765"/>
      <c r="J60" s="1765"/>
      <c r="K60" s="1765"/>
      <c r="L60" s="1765"/>
      <c r="M60" s="1765"/>
      <c r="N60" s="1812"/>
      <c r="O60" s="1760"/>
      <c r="P60" s="1760"/>
      <c r="Q60" s="1760"/>
      <c r="R60" s="1760"/>
      <c r="S60" s="1760"/>
      <c r="T60" s="1760"/>
    </row>
    <row r="61" spans="1:20">
      <c r="A61" s="1765"/>
      <c r="B61" s="1765"/>
      <c r="C61" s="1765"/>
      <c r="D61" s="1765"/>
      <c r="E61" s="1765"/>
      <c r="F61" s="1765"/>
      <c r="G61" s="1765"/>
      <c r="H61" s="1765"/>
      <c r="I61" s="1765"/>
      <c r="J61" s="1765"/>
      <c r="K61" s="1765"/>
      <c r="L61" s="1765"/>
      <c r="M61" s="1765"/>
      <c r="N61" s="1812"/>
      <c r="O61" s="1760"/>
      <c r="P61" s="1760"/>
      <c r="Q61" s="1760"/>
      <c r="R61" s="1760"/>
      <c r="S61" s="1760"/>
      <c r="T61" s="1760"/>
    </row>
    <row r="62" spans="1:20">
      <c r="A62" s="1765"/>
      <c r="B62" s="1765"/>
      <c r="C62" s="1765"/>
      <c r="D62" s="1765"/>
      <c r="E62" s="1765"/>
      <c r="F62" s="1765"/>
      <c r="G62" s="1765"/>
      <c r="H62" s="1765"/>
      <c r="I62" s="1765"/>
      <c r="J62" s="1765"/>
      <c r="K62" s="1765"/>
      <c r="L62" s="1765"/>
      <c r="M62" s="1765"/>
      <c r="N62" s="1812"/>
      <c r="O62" s="1760"/>
      <c r="P62" s="1760"/>
      <c r="Q62" s="1760"/>
      <c r="R62" s="1760"/>
      <c r="S62" s="1760"/>
      <c r="T62" s="1760"/>
    </row>
    <row r="63" spans="1:20">
      <c r="A63" s="1765"/>
      <c r="B63" s="1765"/>
      <c r="C63" s="1765"/>
      <c r="D63" s="1765"/>
      <c r="E63" s="1765"/>
      <c r="F63" s="1765"/>
      <c r="G63" s="1765"/>
      <c r="H63" s="1765"/>
      <c r="I63" s="1765"/>
      <c r="J63" s="1765"/>
      <c r="K63" s="1765"/>
      <c r="L63" s="1765"/>
      <c r="M63" s="1765"/>
      <c r="N63" s="1812"/>
      <c r="O63" s="1760"/>
      <c r="P63" s="1760"/>
      <c r="Q63" s="1760"/>
      <c r="R63" s="1760"/>
      <c r="S63" s="1760"/>
      <c r="T63" s="1760"/>
    </row>
    <row r="64" spans="1:20">
      <c r="A64" s="1765"/>
      <c r="B64" s="1765"/>
      <c r="C64" s="1765"/>
      <c r="D64" s="1765"/>
      <c r="E64" s="1765"/>
      <c r="F64" s="1765"/>
      <c r="G64" s="1765"/>
      <c r="H64" s="1765"/>
      <c r="I64" s="1765"/>
      <c r="J64" s="1765"/>
      <c r="K64" s="1765"/>
      <c r="L64" s="1765"/>
      <c r="M64" s="1765"/>
      <c r="N64" s="1812"/>
      <c r="O64" s="1760"/>
      <c r="P64" s="1760"/>
      <c r="Q64" s="1760"/>
      <c r="R64" s="1760"/>
      <c r="S64" s="1760"/>
      <c r="T64" s="1760"/>
    </row>
    <row r="65" spans="1:20">
      <c r="A65" s="1765"/>
      <c r="B65" s="1765"/>
      <c r="C65" s="1765"/>
      <c r="D65" s="1765"/>
      <c r="E65" s="1765"/>
      <c r="F65" s="1765"/>
      <c r="G65" s="1765"/>
      <c r="H65" s="1765"/>
      <c r="I65" s="1765"/>
      <c r="J65" s="1765"/>
      <c r="K65" s="1765"/>
      <c r="L65" s="1765"/>
      <c r="M65" s="1765"/>
      <c r="N65" s="1812"/>
      <c r="O65" s="1760"/>
      <c r="P65" s="1760"/>
      <c r="Q65" s="1760"/>
      <c r="R65" s="1760"/>
      <c r="S65" s="1760"/>
      <c r="T65" s="1760"/>
    </row>
    <row r="66" spans="1:20">
      <c r="A66" s="1765"/>
      <c r="B66" s="1765"/>
      <c r="C66" s="1765"/>
      <c r="D66" s="1765"/>
      <c r="E66" s="1765"/>
      <c r="F66" s="1765"/>
      <c r="G66" s="1765"/>
      <c r="H66" s="1765"/>
      <c r="I66" s="1765"/>
      <c r="J66" s="1765"/>
      <c r="K66" s="1765"/>
      <c r="L66" s="1765"/>
      <c r="M66" s="1765"/>
      <c r="N66" s="1812"/>
      <c r="O66" s="1760"/>
      <c r="P66" s="1760"/>
      <c r="Q66" s="1760"/>
      <c r="R66" s="1760"/>
      <c r="S66" s="1760"/>
      <c r="T66" s="1760"/>
    </row>
    <row r="67" spans="1:20">
      <c r="A67" s="1765"/>
      <c r="B67" s="1765"/>
      <c r="C67" s="1765"/>
      <c r="D67" s="1765"/>
      <c r="E67" s="1765"/>
      <c r="F67" s="1765"/>
      <c r="G67" s="1765"/>
      <c r="H67" s="1765"/>
      <c r="I67" s="1765"/>
      <c r="J67" s="1765"/>
      <c r="K67" s="1765"/>
      <c r="L67" s="1765"/>
      <c r="M67" s="1765"/>
      <c r="N67" s="1812"/>
      <c r="O67" s="1760"/>
      <c r="P67" s="1760"/>
      <c r="Q67" s="1760"/>
      <c r="R67" s="1760"/>
      <c r="S67" s="1760"/>
      <c r="T67" s="1760"/>
    </row>
    <row r="68" spans="1:20">
      <c r="A68" s="1765"/>
      <c r="B68" s="1765"/>
      <c r="C68" s="1765"/>
      <c r="D68" s="1765"/>
      <c r="E68" s="1765"/>
      <c r="F68" s="1765"/>
      <c r="G68" s="1765"/>
      <c r="H68" s="1765"/>
      <c r="I68" s="1765"/>
      <c r="J68" s="1765"/>
      <c r="K68" s="1765"/>
      <c r="L68" s="1765"/>
      <c r="M68" s="1765"/>
      <c r="N68" s="1812"/>
      <c r="O68" s="1760"/>
      <c r="P68" s="1760"/>
      <c r="Q68" s="1760"/>
      <c r="R68" s="1760"/>
      <c r="S68" s="1760"/>
      <c r="T68" s="1760"/>
    </row>
    <row r="69" spans="1:20">
      <c r="A69" s="1765"/>
      <c r="B69" s="1765"/>
      <c r="C69" s="1765"/>
      <c r="D69" s="1765"/>
      <c r="E69" s="1765"/>
      <c r="F69" s="1765"/>
      <c r="G69" s="1765"/>
      <c r="H69" s="1765"/>
      <c r="I69" s="1765"/>
      <c r="J69" s="1765"/>
      <c r="K69" s="1765"/>
      <c r="L69" s="1765"/>
      <c r="M69" s="1765"/>
      <c r="N69" s="1812"/>
      <c r="O69" s="1760"/>
      <c r="P69" s="1760"/>
      <c r="Q69" s="1760"/>
      <c r="R69" s="1760"/>
      <c r="S69" s="1760"/>
      <c r="T69" s="1760"/>
    </row>
    <row r="70" spans="1:20">
      <c r="A70" s="1765"/>
      <c r="B70" s="1765"/>
      <c r="C70" s="1765"/>
      <c r="D70" s="1765"/>
      <c r="E70" s="1765"/>
      <c r="F70" s="1765"/>
      <c r="G70" s="1765"/>
      <c r="H70" s="1765"/>
      <c r="I70" s="1765"/>
      <c r="J70" s="1765"/>
      <c r="K70" s="1765"/>
      <c r="L70" s="1765"/>
      <c r="M70" s="1765"/>
      <c r="N70" s="1812"/>
      <c r="O70" s="1760"/>
      <c r="P70" s="1760"/>
      <c r="Q70" s="1760"/>
      <c r="R70" s="1760"/>
      <c r="S70" s="1760"/>
      <c r="T70" s="1760"/>
    </row>
    <row r="71" spans="1:20">
      <c r="A71" s="1765"/>
      <c r="B71" s="1765"/>
      <c r="C71" s="1765"/>
      <c r="D71" s="1765"/>
      <c r="E71" s="1765"/>
      <c r="F71" s="1765"/>
      <c r="G71" s="1765"/>
      <c r="H71" s="1765"/>
      <c r="I71" s="1765"/>
      <c r="J71" s="1765"/>
      <c r="K71" s="1765"/>
      <c r="L71" s="1765"/>
      <c r="M71" s="1765"/>
      <c r="N71" s="1812"/>
      <c r="O71" s="1760"/>
      <c r="P71" s="1760"/>
      <c r="Q71" s="1760"/>
      <c r="R71" s="1760"/>
      <c r="S71" s="1760"/>
      <c r="T71" s="1760"/>
    </row>
    <row r="72" spans="1:20">
      <c r="A72" s="1765"/>
      <c r="B72" s="1765"/>
      <c r="C72" s="1765"/>
      <c r="D72" s="1765"/>
      <c r="E72" s="1765"/>
      <c r="F72" s="1765"/>
      <c r="G72" s="1765"/>
      <c r="H72" s="1765"/>
      <c r="I72" s="1765"/>
      <c r="J72" s="1765"/>
      <c r="K72" s="1765"/>
      <c r="L72" s="1765"/>
      <c r="M72" s="1765"/>
      <c r="N72" s="1812"/>
      <c r="O72" s="1760"/>
      <c r="P72" s="1760"/>
      <c r="Q72" s="1760"/>
      <c r="R72" s="1760"/>
      <c r="S72" s="1760"/>
      <c r="T72" s="1760"/>
    </row>
    <row r="73" spans="1:20">
      <c r="A73" s="1765"/>
      <c r="B73" s="1765"/>
      <c r="C73" s="1765"/>
      <c r="D73" s="1765"/>
      <c r="E73" s="1765"/>
      <c r="F73" s="1765"/>
      <c r="G73" s="1765"/>
      <c r="H73" s="1765"/>
      <c r="I73" s="1765"/>
      <c r="J73" s="1765"/>
      <c r="K73" s="1765"/>
      <c r="L73" s="1765"/>
      <c r="M73" s="1765"/>
      <c r="N73" s="1812"/>
      <c r="O73" s="1760"/>
      <c r="P73" s="1760"/>
      <c r="Q73" s="1760"/>
      <c r="R73" s="1760"/>
      <c r="S73" s="1760"/>
      <c r="T73" s="1760"/>
    </row>
    <row r="74" spans="1:20">
      <c r="A74" s="1765"/>
      <c r="B74" s="1765"/>
      <c r="C74" s="1765"/>
      <c r="D74" s="1765"/>
      <c r="E74" s="1765"/>
      <c r="F74" s="1765"/>
      <c r="G74" s="1765"/>
      <c r="H74" s="1765"/>
      <c r="I74" s="1765"/>
      <c r="J74" s="1765"/>
      <c r="K74" s="1765"/>
      <c r="L74" s="1765"/>
      <c r="M74" s="1765"/>
      <c r="N74" s="1812"/>
      <c r="O74" s="1760"/>
      <c r="P74" s="1760"/>
      <c r="Q74" s="1760"/>
      <c r="R74" s="1760"/>
      <c r="S74" s="1760"/>
      <c r="T74" s="1760"/>
    </row>
    <row r="75" spans="1:20">
      <c r="A75" s="1765"/>
      <c r="B75" s="1765"/>
      <c r="C75" s="1765"/>
      <c r="D75" s="1765"/>
      <c r="E75" s="1765"/>
      <c r="F75" s="1765"/>
      <c r="G75" s="1765"/>
      <c r="H75" s="1765"/>
      <c r="I75" s="1765"/>
      <c r="J75" s="1765"/>
      <c r="K75" s="1765"/>
      <c r="L75" s="1765"/>
      <c r="M75" s="1765"/>
      <c r="N75" s="1812"/>
      <c r="O75" s="1760"/>
      <c r="P75" s="1760"/>
      <c r="Q75" s="1760"/>
      <c r="R75" s="1760"/>
      <c r="S75" s="1760"/>
      <c r="T75" s="1760"/>
    </row>
    <row r="76" spans="1:20">
      <c r="A76" s="1765"/>
      <c r="B76" s="1765"/>
      <c r="C76" s="1765"/>
      <c r="D76" s="1765"/>
      <c r="E76" s="1765"/>
      <c r="F76" s="1765"/>
      <c r="G76" s="1765"/>
      <c r="H76" s="1765"/>
      <c r="I76" s="1765"/>
      <c r="J76" s="1765"/>
      <c r="K76" s="1765"/>
      <c r="L76" s="1765"/>
      <c r="M76" s="1765"/>
      <c r="N76" s="1812"/>
      <c r="O76" s="1760"/>
      <c r="P76" s="1760"/>
      <c r="Q76" s="1760"/>
      <c r="R76" s="1760"/>
      <c r="S76" s="1760"/>
      <c r="T76" s="1760"/>
    </row>
    <row r="77" spans="1:20">
      <c r="A77" s="1765"/>
      <c r="B77" s="1765"/>
      <c r="C77" s="1765"/>
      <c r="D77" s="1765"/>
      <c r="E77" s="1765"/>
      <c r="F77" s="1765"/>
      <c r="G77" s="1765"/>
      <c r="H77" s="1765"/>
      <c r="I77" s="1765"/>
      <c r="J77" s="1765"/>
      <c r="K77" s="1765"/>
      <c r="L77" s="1765"/>
      <c r="M77" s="1765"/>
      <c r="N77" s="1812"/>
      <c r="O77" s="1760"/>
      <c r="P77" s="1760"/>
      <c r="Q77" s="1760"/>
      <c r="R77" s="1760"/>
      <c r="S77" s="1760"/>
      <c r="T77" s="1760"/>
    </row>
  </sheetData>
  <pageMargins left="0.7" right="0.7" top="0.75" bottom="0.75" header="0.3" footer="0.3"/>
  <pageSetup scale="37"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workbookViewId="0">
      <selection activeCell="N33" sqref="N33"/>
    </sheetView>
  </sheetViews>
  <sheetFormatPr defaultRowHeight="15"/>
  <cols>
    <col min="1" max="1" width="2.5703125" customWidth="1"/>
    <col min="2" max="2" width="58.7109375" customWidth="1"/>
    <col min="3" max="3" width="23.28515625" customWidth="1"/>
    <col min="4" max="4" width="3.28515625" customWidth="1"/>
    <col min="5" max="5" width="21.42578125" customWidth="1"/>
  </cols>
  <sheetData>
    <row r="1" spans="1:18" ht="15.75">
      <c r="A1" s="487"/>
      <c r="B1" s="2482" t="s">
        <v>2</v>
      </c>
      <c r="C1" s="2482"/>
      <c r="D1" s="1646"/>
      <c r="E1" s="1646"/>
      <c r="F1" s="1646"/>
      <c r="G1" s="1646"/>
      <c r="H1" s="1646"/>
      <c r="I1" s="1646"/>
      <c r="J1" s="1646"/>
      <c r="K1" s="1646"/>
      <c r="L1" s="1646"/>
      <c r="M1" s="1646"/>
      <c r="N1" s="487"/>
      <c r="O1" s="487"/>
      <c r="P1" s="487"/>
      <c r="Q1" s="487"/>
      <c r="R1" s="487"/>
    </row>
    <row r="2" spans="1:18" ht="15.75">
      <c r="A2" s="487"/>
      <c r="B2" s="2482" t="s">
        <v>1550</v>
      </c>
      <c r="C2" s="2482"/>
      <c r="D2" s="1646"/>
      <c r="E2" s="1646"/>
      <c r="F2" s="1646"/>
      <c r="G2" s="1646"/>
      <c r="H2" s="1646"/>
      <c r="I2" s="1646"/>
      <c r="J2" s="1646"/>
      <c r="K2" s="1646"/>
      <c r="L2" s="1646"/>
      <c r="M2" s="1646"/>
      <c r="N2" s="487"/>
      <c r="O2" s="487"/>
      <c r="P2" s="487"/>
      <c r="Q2" s="487"/>
      <c r="R2" s="487"/>
    </row>
    <row r="3" spans="1:18">
      <c r="A3" s="487"/>
      <c r="B3" s="2484"/>
      <c r="C3" s="2484"/>
      <c r="D3" s="1647"/>
      <c r="E3" s="1647"/>
      <c r="F3" s="1647"/>
      <c r="G3" s="1647"/>
      <c r="H3" s="1647"/>
      <c r="I3" s="1647"/>
      <c r="J3" s="1647"/>
      <c r="K3" s="1647"/>
      <c r="L3" s="1647"/>
      <c r="M3" s="1647"/>
      <c r="N3" s="487"/>
      <c r="O3" s="487"/>
      <c r="P3" s="487"/>
      <c r="Q3" s="487"/>
      <c r="R3" s="487"/>
    </row>
    <row r="4" spans="1:18">
      <c r="A4" s="1648"/>
      <c r="B4" s="1648"/>
      <c r="C4" s="1648"/>
      <c r="D4" s="1649"/>
      <c r="E4" s="1649"/>
      <c r="F4" s="1649"/>
      <c r="G4" s="1649"/>
      <c r="H4" s="1649"/>
      <c r="I4" s="1649"/>
      <c r="J4" s="1649"/>
      <c r="K4" s="1649"/>
      <c r="L4" s="1649"/>
      <c r="M4" s="1649"/>
      <c r="N4" s="1649"/>
      <c r="O4" s="1649"/>
      <c r="P4" s="1649"/>
      <c r="Q4" s="1649"/>
      <c r="R4" s="1649"/>
    </row>
    <row r="5" spans="1:18" ht="32.25" customHeight="1">
      <c r="A5" s="487"/>
      <c r="B5" s="2485" t="s">
        <v>1551</v>
      </c>
      <c r="C5" s="2485"/>
      <c r="D5" s="474"/>
      <c r="E5" s="474"/>
      <c r="F5" s="474"/>
      <c r="G5" s="474"/>
      <c r="H5" s="474"/>
      <c r="I5" s="474"/>
      <c r="J5" s="474"/>
      <c r="K5" s="474"/>
      <c r="L5" s="474"/>
      <c r="M5" s="474"/>
      <c r="N5" s="474"/>
      <c r="O5" s="474"/>
      <c r="P5" s="474"/>
      <c r="Q5" s="474"/>
      <c r="R5" s="474"/>
    </row>
    <row r="6" spans="1:18">
      <c r="A6" s="487"/>
      <c r="B6" s="513" t="s">
        <v>2019</v>
      </c>
      <c r="C6" s="487"/>
      <c r="D6" s="1821"/>
      <c r="E6" s="643"/>
      <c r="F6" s="474"/>
      <c r="G6" s="474"/>
      <c r="H6" s="474"/>
      <c r="I6" s="474"/>
      <c r="J6" s="474"/>
      <c r="K6" s="474"/>
      <c r="L6" s="474"/>
      <c r="M6" s="474"/>
      <c r="N6" s="474"/>
      <c r="O6" s="474"/>
      <c r="P6" s="474"/>
      <c r="Q6" s="474"/>
      <c r="R6" s="474"/>
    </row>
    <row r="7" spans="1:18">
      <c r="A7" s="487"/>
      <c r="B7" s="1822"/>
      <c r="C7" s="487"/>
      <c r="D7" s="474"/>
      <c r="E7" s="643"/>
      <c r="F7" s="474"/>
      <c r="G7" s="474"/>
      <c r="H7" s="474"/>
      <c r="I7" s="474"/>
      <c r="J7" s="474"/>
      <c r="K7" s="474"/>
      <c r="L7" s="474"/>
      <c r="M7" s="474"/>
      <c r="N7" s="474"/>
      <c r="O7" s="474"/>
      <c r="P7" s="474"/>
      <c r="Q7" s="474"/>
      <c r="R7" s="474"/>
    </row>
    <row r="8" spans="1:18">
      <c r="A8" s="487"/>
      <c r="B8" s="487"/>
      <c r="C8" s="487"/>
      <c r="D8" s="474"/>
      <c r="E8" s="643"/>
      <c r="F8" s="474"/>
      <c r="G8" s="474"/>
      <c r="H8" s="474"/>
      <c r="I8" s="474"/>
      <c r="J8" s="474"/>
      <c r="K8" s="474"/>
      <c r="L8" s="474"/>
      <c r="M8" s="474"/>
      <c r="N8" s="474"/>
      <c r="O8" s="474"/>
      <c r="P8" s="474"/>
      <c r="Q8" s="474"/>
      <c r="R8" s="474"/>
    </row>
    <row r="9" spans="1:18">
      <c r="A9" s="1823"/>
      <c r="B9" s="1824" t="s">
        <v>1552</v>
      </c>
      <c r="C9" s="1825" t="s">
        <v>1553</v>
      </c>
      <c r="D9" s="1826"/>
      <c r="E9" s="2311"/>
      <c r="F9" s="1826"/>
      <c r="G9" s="1826"/>
      <c r="H9" s="1826"/>
      <c r="I9" s="1826"/>
      <c r="J9" s="1826"/>
      <c r="K9" s="1826"/>
      <c r="L9" s="1826"/>
      <c r="M9" s="1826"/>
      <c r="N9" s="1826"/>
      <c r="O9" s="1826"/>
      <c r="P9" s="1826"/>
      <c r="Q9" s="1826"/>
      <c r="R9" s="1826"/>
    </row>
    <row r="10" spans="1:18">
      <c r="A10" s="487"/>
      <c r="B10" s="1827" t="s">
        <v>2387</v>
      </c>
      <c r="C10" s="1828">
        <v>27811.03</v>
      </c>
      <c r="D10" s="474"/>
      <c r="E10" s="2301"/>
      <c r="F10" s="474"/>
      <c r="G10" s="474"/>
      <c r="H10" s="474"/>
      <c r="I10" s="474"/>
      <c r="J10" s="474"/>
      <c r="K10" s="474"/>
      <c r="L10" s="474"/>
      <c r="M10" s="474"/>
      <c r="N10" s="474"/>
      <c r="O10" s="474"/>
      <c r="P10" s="474"/>
      <c r="Q10" s="474"/>
      <c r="R10" s="474"/>
    </row>
    <row r="11" spans="1:18">
      <c r="A11" s="487"/>
      <c r="B11" s="1827" t="s">
        <v>2388</v>
      </c>
      <c r="C11" s="1828">
        <v>4885836.3699999992</v>
      </c>
      <c r="D11" s="474"/>
      <c r="E11" s="2301"/>
      <c r="F11" s="474"/>
      <c r="G11" s="474"/>
      <c r="H11" s="474"/>
      <c r="I11" s="474"/>
      <c r="J11" s="474"/>
      <c r="K11" s="474"/>
      <c r="L11" s="474"/>
      <c r="M11" s="474"/>
      <c r="N11" s="474"/>
      <c r="O11" s="474"/>
      <c r="P11" s="474"/>
      <c r="Q11" s="474"/>
      <c r="R11" s="474"/>
    </row>
    <row r="12" spans="1:18">
      <c r="A12" s="487"/>
      <c r="B12" s="1827" t="s">
        <v>2389</v>
      </c>
      <c r="C12" s="1828">
        <v>1419002.4900000002</v>
      </c>
      <c r="D12" s="474"/>
      <c r="E12" s="2301"/>
      <c r="F12" s="474"/>
      <c r="G12" s="474"/>
      <c r="H12" s="474"/>
      <c r="I12" s="474"/>
      <c r="J12" s="474"/>
      <c r="K12" s="474"/>
      <c r="L12" s="474"/>
      <c r="M12" s="474"/>
      <c r="N12" s="474"/>
      <c r="O12" s="474"/>
      <c r="P12" s="474"/>
      <c r="Q12" s="474"/>
      <c r="R12" s="474"/>
    </row>
    <row r="13" spans="1:18">
      <c r="A13" s="487"/>
      <c r="B13" s="1827" t="s">
        <v>2390</v>
      </c>
      <c r="C13" s="1828">
        <v>988087.3</v>
      </c>
      <c r="D13" s="474"/>
      <c r="E13" s="2301"/>
      <c r="F13" s="474"/>
      <c r="G13" s="474"/>
      <c r="H13" s="474"/>
      <c r="I13" s="474"/>
      <c r="J13" s="474"/>
      <c r="K13" s="474"/>
      <c r="L13" s="474"/>
      <c r="M13" s="474"/>
      <c r="N13" s="474"/>
      <c r="O13" s="474"/>
      <c r="P13" s="474"/>
      <c r="Q13" s="474"/>
      <c r="R13" s="474"/>
    </row>
    <row r="14" spans="1:18">
      <c r="A14" s="487"/>
      <c r="B14" s="1827" t="s">
        <v>2391</v>
      </c>
      <c r="C14" s="1828">
        <v>2519792.16</v>
      </c>
      <c r="D14" s="474"/>
      <c r="E14" s="2301"/>
      <c r="F14" s="474"/>
      <c r="G14" s="474"/>
      <c r="H14" s="474"/>
      <c r="I14" s="474"/>
      <c r="J14" s="474"/>
      <c r="K14" s="474"/>
      <c r="L14" s="474"/>
      <c r="M14" s="474"/>
      <c r="N14" s="474"/>
      <c r="O14" s="474"/>
      <c r="P14" s="474"/>
      <c r="Q14" s="474"/>
      <c r="R14" s="474"/>
    </row>
    <row r="15" spans="1:18">
      <c r="A15" s="487"/>
      <c r="B15" s="1827" t="s">
        <v>2392</v>
      </c>
      <c r="C15" s="1828">
        <v>68954.48</v>
      </c>
      <c r="D15" s="474"/>
      <c r="E15" s="2301"/>
      <c r="F15" s="474"/>
      <c r="G15" s="474"/>
      <c r="H15" s="474"/>
      <c r="I15" s="474"/>
      <c r="J15" s="474"/>
      <c r="K15" s="474"/>
      <c r="L15" s="474"/>
      <c r="M15" s="474"/>
      <c r="N15" s="474"/>
      <c r="O15" s="474"/>
      <c r="P15" s="474"/>
      <c r="Q15" s="474"/>
      <c r="R15" s="474"/>
    </row>
    <row r="16" spans="1:18">
      <c r="A16" s="487"/>
      <c r="B16" s="1827" t="s">
        <v>2393</v>
      </c>
      <c r="C16" s="1828">
        <v>259869.02999999997</v>
      </c>
      <c r="D16" s="474"/>
      <c r="E16" s="2301"/>
      <c r="F16" s="474"/>
      <c r="G16" s="474"/>
      <c r="H16" s="474"/>
      <c r="I16" s="474"/>
      <c r="J16" s="474"/>
      <c r="K16" s="474"/>
      <c r="L16" s="474"/>
      <c r="M16" s="474"/>
      <c r="N16" s="474"/>
      <c r="O16" s="474"/>
      <c r="P16" s="474"/>
      <c r="Q16" s="474"/>
      <c r="R16" s="474"/>
    </row>
    <row r="17" spans="1:18">
      <c r="A17" s="487"/>
      <c r="B17" s="1827" t="s">
        <v>2394</v>
      </c>
      <c r="C17" s="1828">
        <v>1776854.16</v>
      </c>
      <c r="D17" s="474"/>
      <c r="E17" s="2301"/>
      <c r="F17" s="474"/>
      <c r="G17" s="474"/>
      <c r="H17" s="474"/>
      <c r="I17" s="474"/>
      <c r="J17" s="474"/>
      <c r="K17" s="474"/>
      <c r="L17" s="474"/>
      <c r="M17" s="474"/>
      <c r="N17" s="474"/>
      <c r="O17" s="474"/>
      <c r="P17" s="474"/>
      <c r="Q17" s="474"/>
      <c r="R17" s="474"/>
    </row>
    <row r="18" spans="1:18">
      <c r="A18" s="487"/>
      <c r="B18" s="1827" t="s">
        <v>2395</v>
      </c>
      <c r="C18" s="1828">
        <v>968637.95000000019</v>
      </c>
      <c r="D18" s="474"/>
      <c r="E18" s="2301"/>
      <c r="F18" s="474"/>
      <c r="G18" s="474"/>
      <c r="H18" s="474"/>
      <c r="I18" s="474"/>
      <c r="J18" s="474"/>
      <c r="K18" s="474"/>
      <c r="L18" s="474"/>
      <c r="M18" s="474"/>
      <c r="N18" s="474"/>
      <c r="O18" s="474"/>
      <c r="P18" s="474"/>
      <c r="Q18" s="474"/>
      <c r="R18" s="474"/>
    </row>
    <row r="19" spans="1:18">
      <c r="A19" s="487"/>
      <c r="B19" s="1827" t="s">
        <v>2396</v>
      </c>
      <c r="C19" s="1828">
        <v>274162.55</v>
      </c>
      <c r="D19" s="474"/>
      <c r="E19" s="2301"/>
      <c r="F19" s="474"/>
      <c r="G19" s="474"/>
      <c r="H19" s="474"/>
      <c r="I19" s="474"/>
      <c r="J19" s="474"/>
      <c r="K19" s="474"/>
      <c r="L19" s="474"/>
      <c r="M19" s="474"/>
      <c r="N19" s="474"/>
      <c r="O19" s="474"/>
      <c r="P19" s="474"/>
      <c r="Q19" s="474"/>
      <c r="R19" s="474"/>
    </row>
    <row r="20" spans="1:18">
      <c r="A20" s="487"/>
      <c r="B20" s="1827" t="s">
        <v>2397</v>
      </c>
      <c r="C20" s="1828">
        <v>152607176.79999992</v>
      </c>
      <c r="D20" s="474"/>
      <c r="E20" s="2301"/>
      <c r="F20" s="474"/>
      <c r="G20" s="474"/>
      <c r="H20" s="474"/>
      <c r="I20" s="474"/>
      <c r="J20" s="474"/>
      <c r="K20" s="474"/>
      <c r="L20" s="474"/>
      <c r="M20" s="474"/>
      <c r="N20" s="474"/>
      <c r="O20" s="474"/>
      <c r="P20" s="474"/>
      <c r="Q20" s="474"/>
      <c r="R20" s="474"/>
    </row>
    <row r="21" spans="1:18">
      <c r="A21" s="487"/>
      <c r="B21" s="1829" t="s">
        <v>1554</v>
      </c>
      <c r="C21" s="1830">
        <f>SUM(C10:C20)</f>
        <v>165796184.31999993</v>
      </c>
      <c r="D21" s="474"/>
      <c r="E21" s="643"/>
      <c r="F21" s="474"/>
      <c r="G21" s="474"/>
      <c r="H21" s="474"/>
      <c r="I21" s="474"/>
      <c r="J21" s="474"/>
      <c r="K21" s="474"/>
      <c r="L21" s="474"/>
      <c r="M21" s="474"/>
      <c r="N21" s="474"/>
      <c r="O21" s="474"/>
      <c r="P21" s="474"/>
      <c r="Q21" s="474"/>
      <c r="R21" s="474"/>
    </row>
    <row r="22" spans="1:18">
      <c r="A22" s="487"/>
      <c r="B22" s="1831"/>
      <c r="C22" s="1832"/>
      <c r="D22" s="474"/>
      <c r="E22" s="643"/>
      <c r="F22" s="474"/>
      <c r="G22" s="474"/>
      <c r="H22" s="474"/>
      <c r="I22" s="474"/>
      <c r="J22" s="474"/>
      <c r="K22" s="474"/>
      <c r="L22" s="474"/>
      <c r="M22" s="474"/>
      <c r="N22" s="474"/>
      <c r="O22" s="474"/>
      <c r="P22" s="474"/>
      <c r="Q22" s="474"/>
      <c r="R22" s="474"/>
    </row>
    <row r="23" spans="1:18">
      <c r="A23" s="487"/>
      <c r="B23" s="1829" t="s">
        <v>1555</v>
      </c>
      <c r="C23" s="1833">
        <f>SUM( Inputs!E101,Inputs!E102,Inputs!E103)</f>
        <v>77446668.925106764</v>
      </c>
      <c r="D23" s="474"/>
      <c r="E23" s="513" t="s">
        <v>1556</v>
      </c>
      <c r="F23" s="474"/>
      <c r="G23" s="474"/>
      <c r="H23" s="474"/>
      <c r="I23" s="474"/>
      <c r="J23" s="474"/>
      <c r="K23" s="474"/>
      <c r="L23" s="474"/>
      <c r="M23" s="474"/>
      <c r="N23" s="474"/>
      <c r="O23" s="474"/>
      <c r="P23" s="474"/>
      <c r="Q23" s="474"/>
      <c r="R23" s="474"/>
    </row>
    <row r="24" spans="1:18">
      <c r="A24" s="474"/>
      <c r="B24" s="474"/>
      <c r="C24" s="474"/>
      <c r="D24" s="474"/>
      <c r="E24" s="643"/>
      <c r="F24" s="474"/>
      <c r="G24" s="474"/>
      <c r="H24" s="474"/>
      <c r="I24" s="474"/>
      <c r="J24" s="474"/>
      <c r="K24" s="474"/>
      <c r="L24" s="474"/>
      <c r="M24" s="474"/>
      <c r="N24" s="474"/>
      <c r="O24" s="474"/>
      <c r="P24" s="474"/>
      <c r="Q24" s="474"/>
      <c r="R24" s="474"/>
    </row>
    <row r="25" spans="1:18">
      <c r="A25" s="487"/>
      <c r="B25" s="1829" t="s">
        <v>1557</v>
      </c>
      <c r="C25" s="1833">
        <v>8262420.4099999992</v>
      </c>
      <c r="D25" s="474"/>
      <c r="E25" s="2301"/>
      <c r="F25" s="474"/>
      <c r="G25" s="474"/>
      <c r="H25" s="474"/>
      <c r="I25" s="474"/>
      <c r="J25" s="474"/>
      <c r="K25" s="474"/>
      <c r="L25" s="474"/>
      <c r="M25" s="474"/>
      <c r="N25" s="474"/>
      <c r="O25" s="474"/>
      <c r="P25" s="474"/>
      <c r="Q25" s="474"/>
      <c r="R25" s="474"/>
    </row>
    <row r="26" spans="1:18">
      <c r="A26" s="487"/>
      <c r="B26" s="487"/>
      <c r="C26" s="487"/>
      <c r="D26" s="474"/>
      <c r="E26" s="643"/>
      <c r="F26" s="474"/>
      <c r="G26" s="474"/>
      <c r="H26" s="474"/>
      <c r="I26" s="474"/>
      <c r="J26" s="474"/>
      <c r="K26" s="474"/>
      <c r="L26" s="474"/>
      <c r="M26" s="474"/>
      <c r="N26" s="474"/>
      <c r="O26" s="474"/>
      <c r="P26" s="474"/>
      <c r="Q26" s="474"/>
      <c r="R26" s="474"/>
    </row>
    <row r="27" spans="1:18" ht="15.75" thickBot="1">
      <c r="A27" s="487"/>
      <c r="B27" s="1834" t="s">
        <v>1558</v>
      </c>
      <c r="C27" s="1835">
        <f>SUM(C21,C23,C25)</f>
        <v>251505273.65510669</v>
      </c>
      <c r="D27" s="474"/>
      <c r="E27" s="513" t="s">
        <v>1559</v>
      </c>
      <c r="F27" s="474"/>
      <c r="G27" s="474"/>
      <c r="H27" s="474"/>
      <c r="I27" s="474"/>
      <c r="J27" s="474"/>
      <c r="K27" s="474"/>
      <c r="L27" s="474"/>
      <c r="M27" s="474"/>
      <c r="N27" s="474"/>
      <c r="O27" s="474"/>
      <c r="P27" s="474"/>
      <c r="Q27" s="474"/>
      <c r="R27" s="474"/>
    </row>
    <row r="28" spans="1:18" ht="15.75" thickTop="1">
      <c r="A28" s="487"/>
      <c r="B28" s="487"/>
      <c r="C28" s="487"/>
      <c r="D28" s="474"/>
      <c r="E28" s="643"/>
      <c r="F28" s="474"/>
      <c r="G28" s="474"/>
      <c r="H28" s="474"/>
      <c r="I28" s="474"/>
      <c r="J28" s="474"/>
      <c r="K28" s="474"/>
      <c r="L28" s="474"/>
      <c r="M28" s="474"/>
      <c r="N28" s="474"/>
      <c r="O28" s="474"/>
      <c r="P28" s="474"/>
      <c r="Q28" s="474"/>
      <c r="R28" s="474"/>
    </row>
    <row r="29" spans="1:18">
      <c r="A29" s="487"/>
      <c r="B29" s="487"/>
      <c r="C29" s="487"/>
      <c r="D29" s="474"/>
      <c r="E29" s="643"/>
      <c r="F29" s="474"/>
      <c r="G29" s="474"/>
      <c r="H29" s="474"/>
      <c r="I29" s="474"/>
      <c r="J29" s="474"/>
      <c r="K29" s="474"/>
      <c r="L29" s="474"/>
      <c r="M29" s="474"/>
      <c r="N29" s="474"/>
      <c r="O29" s="474"/>
      <c r="P29" s="474"/>
      <c r="Q29" s="474"/>
      <c r="R29" s="474"/>
    </row>
    <row r="30" spans="1:18">
      <c r="A30" s="474"/>
      <c r="B30" s="474"/>
      <c r="C30" s="474"/>
      <c r="D30" s="474"/>
      <c r="E30" s="474"/>
      <c r="F30" s="474"/>
      <c r="G30" s="474"/>
      <c r="H30" s="474"/>
      <c r="I30" s="474"/>
      <c r="J30" s="474"/>
      <c r="K30" s="474"/>
      <c r="L30" s="474"/>
      <c r="M30" s="474"/>
      <c r="N30" s="474"/>
      <c r="O30" s="474"/>
      <c r="P30" s="474"/>
      <c r="Q30" s="474"/>
      <c r="R30" s="474"/>
    </row>
    <row r="31" spans="1:18">
      <c r="A31" s="474"/>
      <c r="B31" s="474"/>
      <c r="C31" s="474"/>
      <c r="D31" s="474"/>
      <c r="E31" s="474"/>
      <c r="F31" s="474"/>
      <c r="G31" s="474"/>
      <c r="H31" s="474"/>
      <c r="I31" s="474"/>
      <c r="J31" s="474"/>
      <c r="K31" s="474"/>
      <c r="L31" s="474"/>
      <c r="M31" s="474"/>
      <c r="N31" s="474"/>
      <c r="O31" s="474"/>
      <c r="P31" s="474"/>
      <c r="Q31" s="474"/>
      <c r="R31" s="474"/>
    </row>
    <row r="32" spans="1:18">
      <c r="A32" s="474"/>
      <c r="B32" s="474"/>
      <c r="C32" s="474"/>
      <c r="D32" s="474"/>
      <c r="E32" s="474"/>
      <c r="F32" s="474"/>
      <c r="G32" s="474"/>
      <c r="H32" s="474"/>
      <c r="I32" s="474"/>
      <c r="J32" s="474"/>
      <c r="K32" s="474"/>
      <c r="L32" s="474"/>
      <c r="M32" s="474"/>
      <c r="N32" s="474"/>
      <c r="O32" s="474"/>
      <c r="P32" s="474"/>
      <c r="Q32" s="474"/>
      <c r="R32" s="474"/>
    </row>
    <row r="33" spans="1:18">
      <c r="A33" s="474"/>
      <c r="B33" s="474"/>
      <c r="C33" s="474"/>
      <c r="D33" s="474"/>
      <c r="E33" s="474"/>
      <c r="F33" s="474"/>
      <c r="G33" s="474"/>
      <c r="H33" s="474"/>
      <c r="I33" s="474"/>
      <c r="J33" s="474"/>
      <c r="K33" s="474"/>
      <c r="L33" s="474"/>
      <c r="M33" s="474"/>
      <c r="N33" s="474"/>
      <c r="O33" s="474"/>
      <c r="P33" s="474"/>
      <c r="Q33" s="474"/>
      <c r="R33" s="474"/>
    </row>
    <row r="34" spans="1:18">
      <c r="A34" s="474"/>
      <c r="B34" s="474"/>
      <c r="C34" s="474"/>
      <c r="D34" s="474"/>
      <c r="E34" s="474"/>
      <c r="F34" s="474"/>
      <c r="G34" s="474"/>
      <c r="H34" s="474"/>
      <c r="I34" s="474"/>
      <c r="J34" s="474"/>
      <c r="K34" s="474"/>
      <c r="L34" s="474"/>
      <c r="M34" s="474"/>
      <c r="N34" s="474"/>
      <c r="O34" s="474"/>
      <c r="P34" s="474"/>
      <c r="Q34" s="474"/>
      <c r="R34" s="474"/>
    </row>
  </sheetData>
  <mergeCells count="4">
    <mergeCell ref="B1:C1"/>
    <mergeCell ref="B2:C2"/>
    <mergeCell ref="B3:C3"/>
    <mergeCell ref="B5:C5"/>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14"/>
  <sheetViews>
    <sheetView topLeftCell="K34" workbookViewId="0">
      <selection activeCell="Y63" sqref="Y63"/>
    </sheetView>
  </sheetViews>
  <sheetFormatPr defaultRowHeight="15" outlineLevelCol="1"/>
  <cols>
    <col min="1" max="1" width="57.7109375" customWidth="1"/>
    <col min="2" max="2" width="30.140625" customWidth="1"/>
    <col min="3" max="3" width="19.7109375" customWidth="1"/>
    <col min="4" max="4" width="3.85546875" customWidth="1"/>
    <col min="5" max="6" width="13.7109375" customWidth="1"/>
    <col min="7" max="7" width="1.5703125" customWidth="1"/>
    <col min="8" max="9" width="13.7109375" customWidth="1"/>
    <col min="10" max="10" width="4.28515625" customWidth="1"/>
    <col min="11" max="11" width="14.7109375" customWidth="1"/>
    <col min="12" max="22" width="9.140625" customWidth="1" outlineLevel="1"/>
    <col min="23" max="23" width="14.7109375" customWidth="1"/>
    <col min="24" max="24" width="1.5703125" customWidth="1"/>
    <col min="25" max="25" width="18.140625" customWidth="1"/>
    <col min="26" max="26" width="1.7109375" customWidth="1"/>
    <col min="27" max="27" width="14.7109375" customWidth="1"/>
    <col min="28" max="28" width="1.7109375" customWidth="1"/>
    <col min="29" max="33" width="15.7109375" customWidth="1"/>
  </cols>
  <sheetData>
    <row r="1" spans="1:35" ht="15.75">
      <c r="A1" s="1836" t="s">
        <v>2</v>
      </c>
      <c r="B1" s="1837"/>
      <c r="C1" s="1837"/>
      <c r="D1" s="481"/>
      <c r="E1" s="1837"/>
      <c r="F1" s="1837"/>
      <c r="G1" s="1837"/>
      <c r="H1" s="1837"/>
      <c r="I1" s="1837"/>
      <c r="J1" s="481"/>
      <c r="K1" s="1838"/>
      <c r="L1" s="1838"/>
      <c r="M1" s="1838"/>
      <c r="N1" s="1838"/>
      <c r="O1" s="1838"/>
      <c r="P1" s="1838"/>
      <c r="Q1" s="1838"/>
      <c r="R1" s="1838"/>
      <c r="S1" s="1838"/>
      <c r="T1" s="1838"/>
      <c r="U1" s="1838"/>
      <c r="V1" s="1838"/>
      <c r="W1" s="1839"/>
      <c r="X1" s="1837"/>
      <c r="Y1" s="1837"/>
      <c r="Z1" s="481"/>
      <c r="AA1" s="1837"/>
      <c r="AB1" s="481"/>
      <c r="AC1" s="1837"/>
      <c r="AD1" s="1837"/>
      <c r="AE1" s="1837"/>
      <c r="AF1" s="1837"/>
      <c r="AG1" s="1837"/>
      <c r="AH1" s="487"/>
      <c r="AI1" s="474"/>
    </row>
    <row r="2" spans="1:35" ht="15.75">
      <c r="A2" s="1836" t="s">
        <v>1560</v>
      </c>
      <c r="B2" s="1837"/>
      <c r="C2" s="1837"/>
      <c r="D2" s="481"/>
      <c r="E2" s="1837"/>
      <c r="F2" s="1837"/>
      <c r="G2" s="1837"/>
      <c r="H2" s="1837"/>
      <c r="I2" s="1837"/>
      <c r="J2" s="481"/>
      <c r="K2" s="1838"/>
      <c r="L2" s="1838"/>
      <c r="M2" s="1838"/>
      <c r="N2" s="1838"/>
      <c r="O2" s="1838"/>
      <c r="P2" s="1838"/>
      <c r="Q2" s="1838"/>
      <c r="R2" s="1838"/>
      <c r="S2" s="1838"/>
      <c r="T2" s="1838"/>
      <c r="U2" s="1838"/>
      <c r="V2" s="1838"/>
      <c r="W2" s="1839"/>
      <c r="X2" s="1837"/>
      <c r="Y2" s="1837"/>
      <c r="Z2" s="481"/>
      <c r="AA2" s="1837"/>
      <c r="AB2" s="481"/>
      <c r="AC2" s="1837"/>
      <c r="AD2" s="1837"/>
      <c r="AE2" s="1837"/>
      <c r="AF2" s="1837"/>
      <c r="AG2" s="1837"/>
      <c r="AH2" s="487"/>
      <c r="AI2" s="474"/>
    </row>
    <row r="3" spans="1:35">
      <c r="A3" s="1840"/>
      <c r="B3" s="487"/>
      <c r="C3" s="487"/>
      <c r="D3" s="762"/>
      <c r="E3" s="592"/>
      <c r="F3" s="592"/>
      <c r="G3" s="592"/>
      <c r="H3" s="592"/>
      <c r="I3" s="592"/>
      <c r="J3" s="762"/>
      <c r="K3" s="1841"/>
      <c r="L3" s="1841"/>
      <c r="M3" s="1841"/>
      <c r="N3" s="1841"/>
      <c r="O3" s="1841"/>
      <c r="P3" s="1841"/>
      <c r="Q3" s="1841"/>
      <c r="R3" s="1841"/>
      <c r="S3" s="1841"/>
      <c r="T3" s="1841"/>
      <c r="U3" s="1841"/>
      <c r="V3" s="1841"/>
      <c r="W3" s="1842"/>
      <c r="X3" s="487"/>
      <c r="Y3" s="487"/>
      <c r="Z3" s="493"/>
      <c r="AA3" s="487"/>
      <c r="AB3" s="493"/>
      <c r="AC3" s="487"/>
      <c r="AD3" s="487"/>
      <c r="AE3" s="487"/>
      <c r="AF3" s="487"/>
      <c r="AG3" s="487"/>
      <c r="AH3" s="487"/>
      <c r="AI3" s="474"/>
    </row>
    <row r="4" spans="1:35" ht="25.5">
      <c r="A4" s="1843" t="s">
        <v>1561</v>
      </c>
      <c r="B4" s="615"/>
      <c r="C4" s="615"/>
      <c r="D4" s="1844"/>
      <c r="E4" s="591"/>
      <c r="F4" s="591"/>
      <c r="G4" s="591"/>
      <c r="H4" s="591"/>
      <c r="I4" s="591"/>
      <c r="J4" s="514"/>
      <c r="K4" s="1841"/>
      <c r="L4" s="1841"/>
      <c r="M4" s="1841"/>
      <c r="N4" s="1841"/>
      <c r="O4" s="1841"/>
      <c r="P4" s="1841"/>
      <c r="Q4" s="1841"/>
      <c r="R4" s="1841"/>
      <c r="S4" s="1841"/>
      <c r="T4" s="1841"/>
      <c r="U4" s="1841"/>
      <c r="V4" s="1841"/>
      <c r="W4" s="1845"/>
      <c r="X4" s="487"/>
      <c r="Y4" s="487"/>
      <c r="Z4" s="493"/>
      <c r="AA4" s="487"/>
      <c r="AB4" s="493"/>
      <c r="AC4" s="487"/>
      <c r="AD4" s="474"/>
      <c r="AE4" s="487"/>
      <c r="AF4" s="487"/>
      <c r="AG4" s="487"/>
      <c r="AH4" s="487"/>
      <c r="AI4" s="474"/>
    </row>
    <row r="5" spans="1:35">
      <c r="A5" s="1840" t="s">
        <v>1562</v>
      </c>
      <c r="B5" s="615"/>
      <c r="C5" s="615"/>
      <c r="D5" s="1844"/>
      <c r="E5" s="591"/>
      <c r="F5" s="591"/>
      <c r="G5" s="591"/>
      <c r="H5" s="591"/>
      <c r="I5" s="591"/>
      <c r="J5" s="514"/>
      <c r="K5" s="1841"/>
      <c r="L5" s="1841"/>
      <c r="M5" s="1841"/>
      <c r="N5" s="1841"/>
      <c r="O5" s="1841"/>
      <c r="P5" s="1841"/>
      <c r="Q5" s="1841"/>
      <c r="R5" s="1841"/>
      <c r="S5" s="1841"/>
      <c r="T5" s="1841"/>
      <c r="U5" s="1841"/>
      <c r="V5" s="1841"/>
      <c r="W5" s="1845"/>
      <c r="X5" s="487"/>
      <c r="Y5" s="487"/>
      <c r="Z5" s="493"/>
      <c r="AA5" s="487"/>
      <c r="AB5" s="493"/>
      <c r="AC5" s="487"/>
      <c r="AD5" s="487"/>
      <c r="AE5" s="487"/>
      <c r="AF5" s="487"/>
      <c r="AG5" s="487"/>
      <c r="AH5" s="487"/>
      <c r="AI5" s="474"/>
    </row>
    <row r="6" spans="1:35">
      <c r="A6" s="1846"/>
      <c r="B6" s="1847"/>
      <c r="C6" s="1848"/>
      <c r="D6" s="576"/>
      <c r="E6" s="1849" t="s">
        <v>1563</v>
      </c>
      <c r="F6" s="1849"/>
      <c r="G6" s="1848"/>
      <c r="H6" s="2486" t="s">
        <v>1564</v>
      </c>
      <c r="I6" s="2486"/>
      <c r="J6" s="576"/>
      <c r="K6" s="1850" t="s">
        <v>1565</v>
      </c>
      <c r="L6" s="1850" t="s">
        <v>1566</v>
      </c>
      <c r="M6" s="1850"/>
      <c r="N6" s="1850"/>
      <c r="O6" s="1850"/>
      <c r="P6" s="1850"/>
      <c r="Q6" s="1850"/>
      <c r="R6" s="1850"/>
      <c r="S6" s="1850"/>
      <c r="T6" s="1850"/>
      <c r="U6" s="1850"/>
      <c r="V6" s="1850"/>
      <c r="W6" s="1850" t="s">
        <v>1080</v>
      </c>
      <c r="X6" s="493"/>
      <c r="Y6" s="1851" t="str">
        <f>Toggle</f>
        <v>True-Up</v>
      </c>
      <c r="Z6" s="493"/>
      <c r="AA6" s="487"/>
      <c r="AB6" s="493"/>
      <c r="AC6" s="1849" t="s">
        <v>1567</v>
      </c>
      <c r="AD6" s="1852"/>
      <c r="AE6" s="1852"/>
      <c r="AF6" s="1852"/>
      <c r="AG6" s="487"/>
      <c r="AH6" s="487"/>
      <c r="AI6" s="474"/>
    </row>
    <row r="7" spans="1:35" ht="64.5">
      <c r="A7" s="1853" t="s">
        <v>288</v>
      </c>
      <c r="B7" s="1854" t="s">
        <v>1568</v>
      </c>
      <c r="C7" s="1855" t="s">
        <v>1569</v>
      </c>
      <c r="D7" s="589"/>
      <c r="E7" s="588" t="s">
        <v>1570</v>
      </c>
      <c r="F7" s="588" t="s">
        <v>1440</v>
      </c>
      <c r="G7" s="589"/>
      <c r="H7" s="588" t="s">
        <v>1570</v>
      </c>
      <c r="I7" s="588" t="s">
        <v>1440</v>
      </c>
      <c r="J7" s="589"/>
      <c r="K7" s="1856" t="s">
        <v>1571</v>
      </c>
      <c r="L7" s="1856" t="s">
        <v>1572</v>
      </c>
      <c r="M7" s="1856" t="s">
        <v>1573</v>
      </c>
      <c r="N7" s="1856" t="s">
        <v>1574</v>
      </c>
      <c r="O7" s="1856" t="s">
        <v>1575</v>
      </c>
      <c r="P7" s="1856" t="s">
        <v>1576</v>
      </c>
      <c r="Q7" s="1856" t="s">
        <v>1577</v>
      </c>
      <c r="R7" s="1856" t="s">
        <v>1578</v>
      </c>
      <c r="S7" s="1856" t="s">
        <v>1579</v>
      </c>
      <c r="T7" s="1856" t="s">
        <v>1580</v>
      </c>
      <c r="U7" s="1856" t="s">
        <v>1581</v>
      </c>
      <c r="V7" s="1856" t="s">
        <v>1582</v>
      </c>
      <c r="W7" s="1856" t="s">
        <v>1571</v>
      </c>
      <c r="X7" s="493"/>
      <c r="Y7" s="1857" t="str">
        <f>IF(Toggle=Projection,"Beg-/End-of-Year Average",IF(Toggle=True_up,"13-month Average","Set Toggle!"))</f>
        <v>13-month Average</v>
      </c>
      <c r="Z7" s="493"/>
      <c r="AA7" s="586" t="s">
        <v>1450</v>
      </c>
      <c r="AB7" s="493"/>
      <c r="AC7" s="1855" t="s">
        <v>1452</v>
      </c>
      <c r="AD7" s="1858" t="s">
        <v>1583</v>
      </c>
      <c r="AE7" s="1858" t="s">
        <v>371</v>
      </c>
      <c r="AF7" s="1858" t="s">
        <v>1142</v>
      </c>
      <c r="AG7" s="1855" t="s">
        <v>1584</v>
      </c>
      <c r="AH7" s="487"/>
      <c r="AI7" s="474"/>
    </row>
    <row r="8" spans="1:35">
      <c r="A8" s="1859" t="s">
        <v>2398</v>
      </c>
      <c r="B8" s="1859" t="s">
        <v>2399</v>
      </c>
      <c r="C8" s="1860" t="s">
        <v>2400</v>
      </c>
      <c r="D8" s="750"/>
      <c r="E8" s="1860">
        <v>248020</v>
      </c>
      <c r="F8" s="1860">
        <v>242</v>
      </c>
      <c r="G8" s="1860">
        <v>0</v>
      </c>
      <c r="H8" s="1860">
        <v>546526</v>
      </c>
      <c r="I8" s="1860">
        <v>555.66999999999996</v>
      </c>
      <c r="J8" s="753"/>
      <c r="K8" s="1861">
        <v>-5.6731756600000001</v>
      </c>
      <c r="L8" s="1861">
        <v>-6.2195344300000004</v>
      </c>
      <c r="M8" s="1861">
        <v>-6.9740278299999998</v>
      </c>
      <c r="N8" s="1861">
        <v>-7.5312310499999997</v>
      </c>
      <c r="O8" s="1861">
        <v>-7.8629198899999997</v>
      </c>
      <c r="P8" s="1861">
        <v>-8.2214492900000007</v>
      </c>
      <c r="Q8" s="1861">
        <v>-8.7421350800000006</v>
      </c>
      <c r="R8" s="1861">
        <v>-9.4516258999999998</v>
      </c>
      <c r="S8" s="1861">
        <v>-10.3148254</v>
      </c>
      <c r="T8" s="1861">
        <v>-12.9504234</v>
      </c>
      <c r="U8" s="1861">
        <v>-11.26189301</v>
      </c>
      <c r="V8" s="1861">
        <v>-11.929916929999999</v>
      </c>
      <c r="W8" s="1861">
        <v>-12.64729109</v>
      </c>
      <c r="X8" s="748">
        <v>0</v>
      </c>
      <c r="Y8" s="1862">
        <f t="shared" ref="Y8:Y73" si="0">IF(Toggle=Projection,AVERAGE(K8,W8),IF(Toggle=True_up,AVERAGE(K8:W8),"Set Toggle!"))</f>
        <v>-9.2138806892307699</v>
      </c>
      <c r="Z8" s="493"/>
      <c r="AA8" s="1863" t="s">
        <v>1142</v>
      </c>
      <c r="AB8" s="493"/>
      <c r="AC8" s="1864" t="str">
        <f t="shared" ref="AC8:AF33" si="1">IF($AA8=AC$7,$Y8,"")</f>
        <v/>
      </c>
      <c r="AD8" s="1864" t="str">
        <f t="shared" si="1"/>
        <v/>
      </c>
      <c r="AE8" s="1864" t="str">
        <f t="shared" si="1"/>
        <v/>
      </c>
      <c r="AF8" s="1864">
        <f t="shared" si="1"/>
        <v>-9.2138806892307699</v>
      </c>
      <c r="AG8" s="1865"/>
      <c r="AH8" s="1866"/>
      <c r="AI8" s="1867"/>
    </row>
    <row r="9" spans="1:35">
      <c r="A9" s="1859" t="s">
        <v>2401</v>
      </c>
      <c r="B9" s="1859" t="s">
        <v>2399</v>
      </c>
      <c r="C9" s="1860" t="s">
        <v>2400</v>
      </c>
      <c r="D9" s="750"/>
      <c r="E9" s="1860">
        <v>248028</v>
      </c>
      <c r="F9" s="1860">
        <v>242</v>
      </c>
      <c r="G9" s="1860">
        <v>0</v>
      </c>
      <c r="H9" s="1860">
        <v>546516</v>
      </c>
      <c r="I9" s="1860">
        <v>555.66999999999996</v>
      </c>
      <c r="J9" s="753"/>
      <c r="K9" s="1861">
        <v>-1.6906363</v>
      </c>
      <c r="L9" s="1861">
        <v>-2.4180246300000001</v>
      </c>
      <c r="M9" s="1861">
        <v>-3.1999436299999999</v>
      </c>
      <c r="N9" s="1861">
        <v>-3.9963506299999998</v>
      </c>
      <c r="O9" s="1861">
        <v>-4.4970026299999999</v>
      </c>
      <c r="P9" s="1861">
        <v>-4.6943546300000003</v>
      </c>
      <c r="Q9" s="1861">
        <v>-4.7575926300000004</v>
      </c>
      <c r="R9" s="1861">
        <v>-4.7575926300000004</v>
      </c>
      <c r="S9" s="1861">
        <v>-5.2376616299999998</v>
      </c>
      <c r="T9" s="1861">
        <v>-5.4896686299999997</v>
      </c>
      <c r="U9" s="1861">
        <v>-4.9787756300000003</v>
      </c>
      <c r="V9" s="1861">
        <v>-5.3735135999999999</v>
      </c>
      <c r="W9" s="1861">
        <v>-6.0196746000000001</v>
      </c>
      <c r="X9" s="748">
        <v>0</v>
      </c>
      <c r="Y9" s="1862">
        <f t="shared" si="0"/>
        <v>-4.3931378307692306</v>
      </c>
      <c r="Z9" s="493"/>
      <c r="AA9" s="1863" t="s">
        <v>1142</v>
      </c>
      <c r="AB9" s="493"/>
      <c r="AC9" s="1864" t="str">
        <f t="shared" si="1"/>
        <v/>
      </c>
      <c r="AD9" s="1864" t="str">
        <f t="shared" si="1"/>
        <v/>
      </c>
      <c r="AE9" s="1864" t="str">
        <f t="shared" si="1"/>
        <v/>
      </c>
      <c r="AF9" s="1864">
        <f t="shared" si="1"/>
        <v>-4.3931378307692306</v>
      </c>
      <c r="AG9" s="1865"/>
      <c r="AH9" s="1866"/>
      <c r="AI9" s="1867"/>
    </row>
    <row r="10" spans="1:35">
      <c r="A10" s="1859" t="s">
        <v>2402</v>
      </c>
      <c r="B10" s="1859" t="s">
        <v>2403</v>
      </c>
      <c r="C10" s="1860" t="s">
        <v>2400</v>
      </c>
      <c r="D10" s="750"/>
      <c r="E10" s="1860">
        <v>248070</v>
      </c>
      <c r="F10" s="1860">
        <v>242</v>
      </c>
      <c r="G10" s="1860">
        <v>0</v>
      </c>
      <c r="H10" s="1860">
        <v>545510</v>
      </c>
      <c r="I10" s="1860">
        <v>426.3</v>
      </c>
      <c r="J10" s="753"/>
      <c r="K10" s="1861">
        <v>-2</v>
      </c>
      <c r="L10" s="1861">
        <v>-2</v>
      </c>
      <c r="M10" s="1861">
        <v>-2</v>
      </c>
      <c r="N10" s="1861">
        <v>-2</v>
      </c>
      <c r="O10" s="1861">
        <v>-2</v>
      </c>
      <c r="P10" s="1861">
        <v>-2</v>
      </c>
      <c r="Q10" s="1861">
        <v>-2</v>
      </c>
      <c r="R10" s="1861">
        <v>-2</v>
      </c>
      <c r="S10" s="1861">
        <v>-2</v>
      </c>
      <c r="T10" s="1861">
        <v>-2</v>
      </c>
      <c r="U10" s="1861">
        <v>-2</v>
      </c>
      <c r="V10" s="1861">
        <v>-2</v>
      </c>
      <c r="W10" s="1861">
        <v>-2</v>
      </c>
      <c r="X10" s="748">
        <v>0</v>
      </c>
      <c r="Y10" s="1862">
        <f t="shared" si="0"/>
        <v>-2</v>
      </c>
      <c r="Z10" s="493"/>
      <c r="AA10" s="1863" t="s">
        <v>1142</v>
      </c>
      <c r="AB10" s="493"/>
      <c r="AC10" s="1864" t="str">
        <f t="shared" si="1"/>
        <v/>
      </c>
      <c r="AD10" s="1864" t="str">
        <f t="shared" si="1"/>
        <v/>
      </c>
      <c r="AE10" s="1864" t="str">
        <f t="shared" si="1"/>
        <v/>
      </c>
      <c r="AF10" s="1864">
        <f t="shared" si="1"/>
        <v>-2</v>
      </c>
      <c r="AG10" s="1865"/>
      <c r="AH10" s="1866"/>
      <c r="AI10" s="1867"/>
    </row>
    <row r="11" spans="1:35">
      <c r="A11" s="1859" t="s">
        <v>2404</v>
      </c>
      <c r="B11" s="1859" t="s">
        <v>2403</v>
      </c>
      <c r="C11" s="1860" t="s">
        <v>2400</v>
      </c>
      <c r="D11" s="750"/>
      <c r="E11" s="1860">
        <v>248070</v>
      </c>
      <c r="F11" s="1860">
        <v>242</v>
      </c>
      <c r="G11" s="1860">
        <v>0</v>
      </c>
      <c r="H11" s="1860">
        <v>545500</v>
      </c>
      <c r="I11" s="1860">
        <v>598</v>
      </c>
      <c r="J11" s="753"/>
      <c r="K11" s="1861">
        <v>0</v>
      </c>
      <c r="L11" s="1861">
        <v>0</v>
      </c>
      <c r="M11" s="1861">
        <v>0</v>
      </c>
      <c r="N11" s="1861">
        <v>0</v>
      </c>
      <c r="O11" s="1861">
        <v>0</v>
      </c>
      <c r="P11" s="1861">
        <v>0</v>
      </c>
      <c r="Q11" s="1861">
        <v>0</v>
      </c>
      <c r="R11" s="1861">
        <v>0</v>
      </c>
      <c r="S11" s="1861">
        <v>0</v>
      </c>
      <c r="T11" s="1861">
        <v>0</v>
      </c>
      <c r="U11" s="1861">
        <v>0</v>
      </c>
      <c r="V11" s="1861">
        <v>0</v>
      </c>
      <c r="W11" s="1861">
        <v>0</v>
      </c>
      <c r="X11" s="748">
        <v>0</v>
      </c>
      <c r="Y11" s="1862">
        <f t="shared" si="0"/>
        <v>0</v>
      </c>
      <c r="Z11" s="493"/>
      <c r="AA11" s="1863" t="s">
        <v>1142</v>
      </c>
      <c r="AB11" s="493"/>
      <c r="AC11" s="1864" t="str">
        <f t="shared" si="1"/>
        <v/>
      </c>
      <c r="AD11" s="1864" t="str">
        <f t="shared" si="1"/>
        <v/>
      </c>
      <c r="AE11" s="1864" t="str">
        <f t="shared" si="1"/>
        <v/>
      </c>
      <c r="AF11" s="1864">
        <f t="shared" si="1"/>
        <v>0</v>
      </c>
      <c r="AG11" s="1865"/>
      <c r="AH11" s="1866"/>
      <c r="AI11" s="1867"/>
    </row>
    <row r="12" spans="1:35">
      <c r="A12" s="1859" t="s">
        <v>2405</v>
      </c>
      <c r="B12" s="1859" t="s">
        <v>2403</v>
      </c>
      <c r="C12" s="1860" t="s">
        <v>2400</v>
      </c>
      <c r="D12" s="750"/>
      <c r="E12" s="1860">
        <v>289950</v>
      </c>
      <c r="F12" s="1860">
        <v>253.99</v>
      </c>
      <c r="G12" s="1860">
        <v>0</v>
      </c>
      <c r="H12" s="1860">
        <v>545502</v>
      </c>
      <c r="I12" s="1860">
        <v>426.5</v>
      </c>
      <c r="J12" s="753"/>
      <c r="K12" s="1861">
        <v>0</v>
      </c>
      <c r="L12" s="1861">
        <v>0</v>
      </c>
      <c r="M12" s="1861">
        <v>0</v>
      </c>
      <c r="N12" s="1861">
        <v>0</v>
      </c>
      <c r="O12" s="1861">
        <v>0</v>
      </c>
      <c r="P12" s="1861">
        <v>0</v>
      </c>
      <c r="Q12" s="1861">
        <v>0</v>
      </c>
      <c r="R12" s="1861">
        <v>0</v>
      </c>
      <c r="S12" s="1861">
        <v>0</v>
      </c>
      <c r="T12" s="1861">
        <v>0</v>
      </c>
      <c r="U12" s="1861">
        <v>0</v>
      </c>
      <c r="V12" s="1861">
        <v>0</v>
      </c>
      <c r="W12" s="1861">
        <v>0</v>
      </c>
      <c r="X12" s="748">
        <v>0</v>
      </c>
      <c r="Y12" s="1862">
        <f t="shared" si="0"/>
        <v>0</v>
      </c>
      <c r="Z12" s="493"/>
      <c r="AA12" s="1863" t="s">
        <v>1142</v>
      </c>
      <c r="AB12" s="493"/>
      <c r="AC12" s="1864" t="str">
        <f t="shared" si="1"/>
        <v/>
      </c>
      <c r="AD12" s="1864" t="str">
        <f t="shared" si="1"/>
        <v/>
      </c>
      <c r="AE12" s="1864" t="str">
        <f t="shared" si="1"/>
        <v/>
      </c>
      <c r="AF12" s="1864">
        <f t="shared" si="1"/>
        <v>0</v>
      </c>
      <c r="AG12" s="1865"/>
      <c r="AH12" s="1866"/>
      <c r="AI12" s="1867"/>
    </row>
    <row r="13" spans="1:35">
      <c r="A13" s="1859" t="s">
        <v>2406</v>
      </c>
      <c r="B13" s="1859" t="s">
        <v>2399</v>
      </c>
      <c r="C13" s="1860" t="s">
        <v>2400</v>
      </c>
      <c r="D13" s="750"/>
      <c r="E13" s="1860">
        <v>248025</v>
      </c>
      <c r="F13" s="1860">
        <v>242</v>
      </c>
      <c r="G13" s="1860">
        <v>0</v>
      </c>
      <c r="H13" s="1860">
        <v>505206</v>
      </c>
      <c r="I13" s="1860">
        <v>555.25</v>
      </c>
      <c r="J13" s="753"/>
      <c r="K13" s="1861">
        <v>-0.20635539</v>
      </c>
      <c r="L13" s="1861">
        <v>-0.20635539</v>
      </c>
      <c r="M13" s="1861">
        <v>-0.20635539</v>
      </c>
      <c r="N13" s="1861">
        <v>-0.20635539</v>
      </c>
      <c r="O13" s="1861">
        <v>-0.20635539</v>
      </c>
      <c r="P13" s="1861">
        <v>-0.20635539</v>
      </c>
      <c r="Q13" s="1861">
        <v>-0.20195339000000001</v>
      </c>
      <c r="R13" s="1861">
        <v>-0.20195339000000001</v>
      </c>
      <c r="S13" s="1861">
        <v>-0.20195339000000001</v>
      </c>
      <c r="T13" s="1861">
        <v>-0.20195339000000001</v>
      </c>
      <c r="U13" s="1861">
        <v>-0.20195339000000001</v>
      </c>
      <c r="V13" s="1861">
        <v>-0.20195339000000001</v>
      </c>
      <c r="W13" s="1861">
        <v>-0.20195339000000001</v>
      </c>
      <c r="X13" s="748">
        <v>0</v>
      </c>
      <c r="Y13" s="1862">
        <f t="shared" si="0"/>
        <v>-0.20398508230769224</v>
      </c>
      <c r="Z13" s="493"/>
      <c r="AA13" s="1863" t="s">
        <v>1142</v>
      </c>
      <c r="AB13" s="493"/>
      <c r="AC13" s="1864" t="str">
        <f t="shared" si="1"/>
        <v/>
      </c>
      <c r="AD13" s="1864" t="str">
        <f t="shared" si="1"/>
        <v/>
      </c>
      <c r="AE13" s="1864" t="str">
        <f t="shared" si="1"/>
        <v/>
      </c>
      <c r="AF13" s="1864">
        <f t="shared" si="1"/>
        <v>-0.20398508230769224</v>
      </c>
      <c r="AG13" s="1865"/>
      <c r="AH13" s="1866"/>
      <c r="AI13" s="1867"/>
    </row>
    <row r="14" spans="1:35">
      <c r="A14" s="1859" t="s">
        <v>2407</v>
      </c>
      <c r="B14" s="1859" t="s">
        <v>2399</v>
      </c>
      <c r="C14" s="1860" t="s">
        <v>2400</v>
      </c>
      <c r="D14" s="750"/>
      <c r="E14" s="1860">
        <v>248025</v>
      </c>
      <c r="F14" s="1860">
        <v>242</v>
      </c>
      <c r="G14" s="1860">
        <v>0</v>
      </c>
      <c r="H14" s="1860">
        <v>506050</v>
      </c>
      <c r="I14" s="1860">
        <v>565.46</v>
      </c>
      <c r="J14" s="753"/>
      <c r="K14" s="1861">
        <v>-3.6314415900000001</v>
      </c>
      <c r="L14" s="1861">
        <v>-3.6314415900000001</v>
      </c>
      <c r="M14" s="1861">
        <v>-3.6314415900000001</v>
      </c>
      <c r="N14" s="1861">
        <v>-3.6314415900000001</v>
      </c>
      <c r="O14" s="1861">
        <v>-3.6314415900000001</v>
      </c>
      <c r="P14" s="1861">
        <v>-3.6314415900000001</v>
      </c>
      <c r="Q14" s="1861">
        <v>-10.132293710000001</v>
      </c>
      <c r="R14" s="1861">
        <v>-10.132293930000001</v>
      </c>
      <c r="S14" s="1861">
        <v>-10.22814239</v>
      </c>
      <c r="T14" s="1861">
        <v>-10.27452068</v>
      </c>
      <c r="U14" s="1861">
        <v>-1.4423055400000009</v>
      </c>
      <c r="V14" s="1861">
        <v>-2.5726000000000956E-2</v>
      </c>
      <c r="W14" s="1861">
        <v>-2.5726000000000956E-2</v>
      </c>
      <c r="X14" s="748">
        <v>0</v>
      </c>
      <c r="Y14" s="1862">
        <f t="shared" si="0"/>
        <v>-4.9268967530769237</v>
      </c>
      <c r="Z14" s="493"/>
      <c r="AA14" s="1863" t="s">
        <v>1142</v>
      </c>
      <c r="AB14" s="493"/>
      <c r="AC14" s="1864" t="str">
        <f t="shared" si="1"/>
        <v/>
      </c>
      <c r="AD14" s="1864" t="str">
        <f t="shared" si="1"/>
        <v/>
      </c>
      <c r="AE14" s="1864" t="str">
        <f t="shared" si="1"/>
        <v/>
      </c>
      <c r="AF14" s="1864">
        <f t="shared" si="1"/>
        <v>-4.9268967530769237</v>
      </c>
      <c r="AG14" s="1865"/>
      <c r="AH14" s="1866"/>
      <c r="AI14" s="1867"/>
    </row>
    <row r="15" spans="1:35">
      <c r="A15" s="1859" t="s">
        <v>2408</v>
      </c>
      <c r="B15" s="1859" t="s">
        <v>2409</v>
      </c>
      <c r="C15" s="1860" t="s">
        <v>2400</v>
      </c>
      <c r="D15" s="750"/>
      <c r="E15" s="1860">
        <v>284100</v>
      </c>
      <c r="F15" s="1860">
        <v>229</v>
      </c>
      <c r="G15" s="1860">
        <v>0</v>
      </c>
      <c r="H15" s="1860">
        <v>301913</v>
      </c>
      <c r="I15" s="1860">
        <v>456.19900000000001</v>
      </c>
      <c r="J15" s="753"/>
      <c r="K15" s="1861">
        <v>-2.5510615200000002</v>
      </c>
      <c r="L15" s="1861">
        <v>-2.5510615200000002</v>
      </c>
      <c r="M15" s="1861">
        <v>-2.5510615200000002</v>
      </c>
      <c r="N15" s="1861">
        <v>-2.5510615200000002</v>
      </c>
      <c r="O15" s="1861">
        <v>-2.5510615200000002</v>
      </c>
      <c r="P15" s="1861">
        <v>-1.97784505</v>
      </c>
      <c r="Q15" s="1861">
        <v>-1.2310615199999999</v>
      </c>
      <c r="R15" s="1861">
        <v>-0.49199999999999999</v>
      </c>
      <c r="S15" s="1861">
        <v>-0.49199999999999999</v>
      </c>
      <c r="T15" s="1861">
        <v>-0.49309999999999998</v>
      </c>
      <c r="U15" s="1861">
        <v>-2.2609600000000001E-2</v>
      </c>
      <c r="V15" s="1861">
        <v>0</v>
      </c>
      <c r="W15" s="1861">
        <v>-1.5</v>
      </c>
      <c r="X15" s="748">
        <v>0</v>
      </c>
      <c r="Y15" s="1862">
        <f t="shared" si="0"/>
        <v>-1.4587633669230771</v>
      </c>
      <c r="Z15" s="493"/>
      <c r="AA15" s="1863" t="s">
        <v>1142</v>
      </c>
      <c r="AB15" s="493"/>
      <c r="AC15" s="1864" t="str">
        <f t="shared" si="1"/>
        <v/>
      </c>
      <c r="AD15" s="1864" t="str">
        <f t="shared" si="1"/>
        <v/>
      </c>
      <c r="AE15" s="1864" t="str">
        <f t="shared" si="1"/>
        <v/>
      </c>
      <c r="AF15" s="1864">
        <f t="shared" si="1"/>
        <v>-1.4587633669230771</v>
      </c>
      <c r="AG15" s="1865"/>
      <c r="AH15" s="1866"/>
      <c r="AI15" s="1867"/>
    </row>
    <row r="16" spans="1:35">
      <c r="A16" s="1859" t="s">
        <v>2410</v>
      </c>
      <c r="B16" s="1859" t="s">
        <v>2411</v>
      </c>
      <c r="C16" s="1860" t="s">
        <v>2400</v>
      </c>
      <c r="D16" s="750"/>
      <c r="E16" s="1860">
        <v>289517</v>
      </c>
      <c r="F16" s="1860">
        <v>253.3</v>
      </c>
      <c r="G16" s="1860">
        <v>0</v>
      </c>
      <c r="H16" s="1860">
        <v>515100</v>
      </c>
      <c r="I16" s="1860">
        <v>501.1</v>
      </c>
      <c r="J16" s="753"/>
      <c r="K16" s="1861">
        <v>-6.4981809400000001</v>
      </c>
      <c r="L16" s="1861">
        <v>-6.5253375399999998</v>
      </c>
      <c r="M16" s="1861">
        <v>-6.54658433</v>
      </c>
      <c r="N16" s="1861">
        <v>-6.5641216399999998</v>
      </c>
      <c r="O16" s="1861">
        <v>-6.5843884299999997</v>
      </c>
      <c r="P16" s="1861">
        <v>-6.6019116499999999</v>
      </c>
      <c r="Q16" s="1861">
        <v>-6.62813783</v>
      </c>
      <c r="R16" s="1861">
        <v>-6.6515983500000004</v>
      </c>
      <c r="S16" s="1861">
        <v>-6.6729002199999998</v>
      </c>
      <c r="T16" s="1861">
        <v>-6.6869342200000004</v>
      </c>
      <c r="U16" s="1861">
        <v>-6.7049076699999999</v>
      </c>
      <c r="V16" s="1861">
        <v>-6.7154236000000003</v>
      </c>
      <c r="W16" s="1861">
        <v>-6.7230403499999998</v>
      </c>
      <c r="X16" s="748">
        <v>0</v>
      </c>
      <c r="Y16" s="1862">
        <f t="shared" si="0"/>
        <v>-6.6233435976923074</v>
      </c>
      <c r="Z16" s="493"/>
      <c r="AA16" s="1863" t="s">
        <v>1142</v>
      </c>
      <c r="AB16" s="493"/>
      <c r="AC16" s="1864" t="str">
        <f t="shared" si="1"/>
        <v/>
      </c>
      <c r="AD16" s="1864" t="str">
        <f t="shared" si="1"/>
        <v/>
      </c>
      <c r="AE16" s="1864" t="str">
        <f t="shared" si="1"/>
        <v/>
      </c>
      <c r="AF16" s="1864">
        <f t="shared" si="1"/>
        <v>-6.6233435976923074</v>
      </c>
      <c r="AG16" s="1865"/>
      <c r="AH16" s="1866"/>
      <c r="AI16" s="1867"/>
    </row>
    <row r="17" spans="1:35" s="2410" customFormat="1" ht="38.25">
      <c r="A17" s="1859" t="s">
        <v>2412</v>
      </c>
      <c r="B17" s="1859" t="s">
        <v>2413</v>
      </c>
      <c r="C17" s="1860" t="s">
        <v>2400</v>
      </c>
      <c r="D17" s="750"/>
      <c r="E17" s="1860">
        <v>289955</v>
      </c>
      <c r="F17" s="1860">
        <v>253.99</v>
      </c>
      <c r="G17" s="1860">
        <v>0</v>
      </c>
      <c r="H17" s="1860" t="s">
        <v>2414</v>
      </c>
      <c r="I17" s="1860" t="s">
        <v>2415</v>
      </c>
      <c r="J17" s="2405"/>
      <c r="K17" s="1861">
        <v>-1.0646713999999999</v>
      </c>
      <c r="L17" s="1861">
        <v>-1.0782035299999999</v>
      </c>
      <c r="M17" s="1861">
        <v>-1.0909451999999999</v>
      </c>
      <c r="N17" s="1861">
        <v>-1.1044773299999999</v>
      </c>
      <c r="O17" s="1861">
        <v>-1.13600945</v>
      </c>
      <c r="P17" s="1861">
        <v>-1.14954158</v>
      </c>
      <c r="Q17" s="1861">
        <v>-1.1630737099999999</v>
      </c>
      <c r="R17" s="1861">
        <v>-1.1766058399999999</v>
      </c>
      <c r="S17" s="1861">
        <v>-1.1909284199999999</v>
      </c>
      <c r="T17" s="1861">
        <v>-1.2036700899999999</v>
      </c>
      <c r="U17" s="1861">
        <v>-1.2179926799999998</v>
      </c>
      <c r="V17" s="1861">
        <v>-1.2307343399999999</v>
      </c>
      <c r="W17" s="1861">
        <v>-1.2450569299999998</v>
      </c>
      <c r="X17" s="2406">
        <v>0</v>
      </c>
      <c r="Y17" s="1862">
        <f t="shared" si="0"/>
        <v>-1.1578392692307693</v>
      </c>
      <c r="Z17" s="2407"/>
      <c r="AA17" s="1863" t="s">
        <v>1452</v>
      </c>
      <c r="AB17" s="2407"/>
      <c r="AC17" s="1864">
        <f t="shared" si="1"/>
        <v>-1.1578392692307693</v>
      </c>
      <c r="AD17" s="1864" t="str">
        <f t="shared" si="1"/>
        <v/>
      </c>
      <c r="AE17" s="1864" t="str">
        <f t="shared" si="1"/>
        <v/>
      </c>
      <c r="AF17" s="1864" t="str">
        <f t="shared" si="1"/>
        <v/>
      </c>
      <c r="AG17" s="2408"/>
      <c r="AH17" s="2409"/>
      <c r="AI17" s="2409"/>
    </row>
    <row r="18" spans="1:35" s="2410" customFormat="1">
      <c r="A18" s="1859"/>
      <c r="B18" s="1859"/>
      <c r="C18" s="1860"/>
      <c r="D18" s="750"/>
      <c r="E18" s="1860"/>
      <c r="F18" s="1860"/>
      <c r="G18" s="1860"/>
      <c r="H18" s="1860"/>
      <c r="I18" s="1860"/>
      <c r="J18" s="2405"/>
      <c r="K18" s="1861"/>
      <c r="L18" s="1861"/>
      <c r="M18" s="1861"/>
      <c r="N18" s="1861"/>
      <c r="O18" s="1861"/>
      <c r="P18" s="1861"/>
      <c r="Q18" s="1861"/>
      <c r="R18" s="1861"/>
      <c r="S18" s="1861"/>
      <c r="T18" s="1861"/>
      <c r="U18" s="1861"/>
      <c r="V18" s="1861"/>
      <c r="W18" s="1861"/>
      <c r="X18" s="2406"/>
      <c r="Y18" s="1862"/>
      <c r="Z18" s="2407"/>
      <c r="AA18" s="1863"/>
      <c r="AB18" s="2407"/>
      <c r="AC18" s="1864"/>
      <c r="AD18" s="1864"/>
      <c r="AE18" s="1864"/>
      <c r="AF18" s="1864"/>
      <c r="AG18" s="2408"/>
      <c r="AH18" s="2409"/>
      <c r="AI18" s="2409"/>
    </row>
    <row r="19" spans="1:35" ht="38.25">
      <c r="A19" s="1859" t="s">
        <v>2416</v>
      </c>
      <c r="B19" s="1859" t="s">
        <v>2413</v>
      </c>
      <c r="C19" s="1860" t="s">
        <v>2400</v>
      </c>
      <c r="D19" s="750"/>
      <c r="E19" s="1860">
        <v>289955</v>
      </c>
      <c r="F19" s="1860">
        <v>253.99</v>
      </c>
      <c r="G19" s="1860">
        <v>0</v>
      </c>
      <c r="H19" s="1860" t="s">
        <v>2417</v>
      </c>
      <c r="I19" s="1860">
        <v>589</v>
      </c>
      <c r="J19" s="753"/>
      <c r="K19" s="1861">
        <v>-1.3556208599999999</v>
      </c>
      <c r="L19" s="1861">
        <v>-1.3746744899999999</v>
      </c>
      <c r="M19" s="1861">
        <v>-1.3917220599999998</v>
      </c>
      <c r="N19" s="1861">
        <v>-1.4107756899999997</v>
      </c>
      <c r="O19" s="1861">
        <v>-1.4298293199999996</v>
      </c>
      <c r="P19" s="1861">
        <v>-1.4488829499999996</v>
      </c>
      <c r="Q19" s="1861">
        <v>-1.4679365799999995</v>
      </c>
      <c r="R19" s="1861">
        <v>-1.4869902099999994</v>
      </c>
      <c r="S19" s="1861">
        <v>-1.5060438499999995</v>
      </c>
      <c r="T19" s="1861">
        <v>-1.5250974699999995</v>
      </c>
      <c r="U19" s="1861">
        <v>-1.5441510999999994</v>
      </c>
      <c r="V19" s="1861">
        <v>-1.5632047399999995</v>
      </c>
      <c r="W19" s="1861">
        <v>-1.5842644299999995</v>
      </c>
      <c r="X19" s="748"/>
      <c r="Y19" s="1862">
        <f t="shared" si="0"/>
        <v>-1.4683995192307688</v>
      </c>
      <c r="Z19" s="493"/>
      <c r="AA19" s="1863" t="s">
        <v>1142</v>
      </c>
      <c r="AB19" s="493"/>
      <c r="AC19" s="1864" t="str">
        <f t="shared" si="1"/>
        <v/>
      </c>
      <c r="AD19" s="1864" t="str">
        <f t="shared" si="1"/>
        <v/>
      </c>
      <c r="AE19" s="1864" t="str">
        <f t="shared" si="1"/>
        <v/>
      </c>
      <c r="AF19" s="1864">
        <f t="shared" si="1"/>
        <v>-1.4683995192307688</v>
      </c>
      <c r="AG19" s="1865"/>
      <c r="AH19" s="1866"/>
      <c r="AI19" s="1867"/>
    </row>
    <row r="20" spans="1:35">
      <c r="A20" s="1859"/>
      <c r="B20" s="1859"/>
      <c r="C20" s="1860"/>
      <c r="D20" s="750"/>
      <c r="E20" s="1860"/>
      <c r="F20" s="1860"/>
      <c r="G20" s="1860"/>
      <c r="H20" s="1860"/>
      <c r="I20" s="1860"/>
      <c r="J20" s="753"/>
      <c r="K20" s="1861"/>
      <c r="L20" s="1861"/>
      <c r="M20" s="1861"/>
      <c r="N20" s="1861"/>
      <c r="O20" s="1861"/>
      <c r="P20" s="1861"/>
      <c r="Q20" s="1861"/>
      <c r="R20" s="1861"/>
      <c r="S20" s="1861"/>
      <c r="T20" s="1861"/>
      <c r="U20" s="1861"/>
      <c r="V20" s="1861"/>
      <c r="W20" s="1861"/>
      <c r="X20" s="748"/>
      <c r="Y20" s="1862"/>
      <c r="Z20" s="493"/>
      <c r="AA20" s="1863"/>
      <c r="AB20" s="493"/>
      <c r="AC20" s="1864"/>
      <c r="AD20" s="1864"/>
      <c r="AE20" s="1864"/>
      <c r="AF20" s="1864"/>
      <c r="AG20" s="1865"/>
      <c r="AH20" s="1866"/>
      <c r="AI20" s="1867"/>
    </row>
    <row r="21" spans="1:35">
      <c r="A21" s="1859" t="s">
        <v>2418</v>
      </c>
      <c r="B21" s="1859" t="s">
        <v>2419</v>
      </c>
      <c r="C21" s="1860" t="s">
        <v>2400</v>
      </c>
      <c r="D21" s="750"/>
      <c r="E21" s="1860">
        <v>280311</v>
      </c>
      <c r="F21" s="1860">
        <v>228.21</v>
      </c>
      <c r="G21" s="1860">
        <v>0</v>
      </c>
      <c r="H21" s="1860">
        <v>545050</v>
      </c>
      <c r="I21" s="1860">
        <v>925</v>
      </c>
      <c r="J21" s="753"/>
      <c r="K21" s="1861">
        <v>-15.751599499999999</v>
      </c>
      <c r="L21" s="1861">
        <v>-15.665824580000001</v>
      </c>
      <c r="M21" s="1861">
        <v>-15.64021393</v>
      </c>
      <c r="N21" s="1861">
        <v>-15.60867099</v>
      </c>
      <c r="O21" s="1861">
        <v>-16.17080005</v>
      </c>
      <c r="P21" s="1861">
        <v>-15.982975550000001</v>
      </c>
      <c r="Q21" s="1861">
        <v>-16.281343740000001</v>
      </c>
      <c r="R21" s="1861">
        <v>-14.186710740000001</v>
      </c>
      <c r="S21" s="1861">
        <v>-13.22421074</v>
      </c>
      <c r="T21" s="1861">
        <v>-12.260757099999999</v>
      </c>
      <c r="U21" s="1861">
        <v>-12.484957100000001</v>
      </c>
      <c r="V21" s="1861">
        <v>-12.50676099</v>
      </c>
      <c r="W21" s="1861">
        <v>-11.964609100000001</v>
      </c>
      <c r="X21" s="748">
        <v>0</v>
      </c>
      <c r="Y21" s="1862">
        <f t="shared" si="0"/>
        <v>-14.440725700769232</v>
      </c>
      <c r="Z21" s="493"/>
      <c r="AA21" s="1863" t="s">
        <v>371</v>
      </c>
      <c r="AB21" s="493"/>
      <c r="AC21" s="1864" t="str">
        <f t="shared" si="1"/>
        <v/>
      </c>
      <c r="AD21" s="1864" t="str">
        <f t="shared" si="1"/>
        <v/>
      </c>
      <c r="AE21" s="1864">
        <f t="shared" si="1"/>
        <v>-14.440725700769232</v>
      </c>
      <c r="AF21" s="1864" t="str">
        <f t="shared" si="1"/>
        <v/>
      </c>
      <c r="AG21" s="1865"/>
      <c r="AH21" s="1866"/>
      <c r="AI21" s="1867"/>
    </row>
    <row r="22" spans="1:35">
      <c r="A22" s="1859" t="s">
        <v>2420</v>
      </c>
      <c r="B22" s="1859" t="s">
        <v>2421</v>
      </c>
      <c r="C22" s="1860" t="s">
        <v>2400</v>
      </c>
      <c r="D22" s="750"/>
      <c r="E22" s="1860">
        <v>280311</v>
      </c>
      <c r="F22" s="1860">
        <v>228.21</v>
      </c>
      <c r="G22" s="1860">
        <v>0</v>
      </c>
      <c r="H22" s="1860">
        <v>545050</v>
      </c>
      <c r="I22" s="1860">
        <v>426.5</v>
      </c>
      <c r="J22" s="753"/>
      <c r="K22" s="1861">
        <v>0</v>
      </c>
      <c r="L22" s="1861">
        <v>0</v>
      </c>
      <c r="M22" s="1861">
        <v>0</v>
      </c>
      <c r="N22" s="1861">
        <v>0</v>
      </c>
      <c r="O22" s="1861">
        <v>0</v>
      </c>
      <c r="P22" s="1861">
        <v>0</v>
      </c>
      <c r="Q22" s="1861">
        <v>0</v>
      </c>
      <c r="R22" s="1861">
        <v>0</v>
      </c>
      <c r="S22" s="1861">
        <v>0</v>
      </c>
      <c r="T22" s="1861">
        <v>0</v>
      </c>
      <c r="U22" s="1861">
        <v>0</v>
      </c>
      <c r="V22" s="1861">
        <v>0</v>
      </c>
      <c r="W22" s="1861">
        <v>0</v>
      </c>
      <c r="X22" s="748">
        <v>0</v>
      </c>
      <c r="Y22" s="1862">
        <f t="shared" si="0"/>
        <v>0</v>
      </c>
      <c r="Z22" s="493"/>
      <c r="AA22" s="1863" t="s">
        <v>1142</v>
      </c>
      <c r="AB22" s="493"/>
      <c r="AC22" s="1864" t="str">
        <f t="shared" si="1"/>
        <v/>
      </c>
      <c r="AD22" s="1864" t="str">
        <f t="shared" si="1"/>
        <v/>
      </c>
      <c r="AE22" s="1864" t="str">
        <f t="shared" si="1"/>
        <v/>
      </c>
      <c r="AF22" s="1864">
        <f t="shared" si="1"/>
        <v>0</v>
      </c>
      <c r="AG22" s="1865"/>
      <c r="AH22" s="1866"/>
      <c r="AI22" s="1867"/>
    </row>
    <row r="23" spans="1:35">
      <c r="A23" s="1859" t="s">
        <v>2422</v>
      </c>
      <c r="B23" s="1859" t="s">
        <v>2419</v>
      </c>
      <c r="C23" s="1860" t="s">
        <v>2400</v>
      </c>
      <c r="D23" s="750"/>
      <c r="E23" s="1860">
        <v>116925</v>
      </c>
      <c r="F23" s="1860">
        <v>228.25</v>
      </c>
      <c r="G23" s="1860">
        <v>0</v>
      </c>
      <c r="H23" s="1860">
        <v>545050</v>
      </c>
      <c r="I23" s="1860">
        <v>925</v>
      </c>
      <c r="J23" s="753"/>
      <c r="K23" s="1861">
        <v>0</v>
      </c>
      <c r="L23" s="1861">
        <v>0</v>
      </c>
      <c r="M23" s="1861">
        <v>0</v>
      </c>
      <c r="N23" s="1861">
        <v>0</v>
      </c>
      <c r="O23" s="1861">
        <v>0</v>
      </c>
      <c r="P23" s="1861">
        <v>0</v>
      </c>
      <c r="Q23" s="1861">
        <v>0</v>
      </c>
      <c r="R23" s="1861">
        <v>0</v>
      </c>
      <c r="S23" s="1861">
        <v>0</v>
      </c>
      <c r="T23" s="1861">
        <v>0</v>
      </c>
      <c r="U23" s="1861">
        <v>0</v>
      </c>
      <c r="V23" s="1861">
        <v>0</v>
      </c>
      <c r="W23" s="1861">
        <v>0</v>
      </c>
      <c r="X23" s="748"/>
      <c r="Y23" s="1862">
        <f t="shared" si="0"/>
        <v>0</v>
      </c>
      <c r="Z23" s="493"/>
      <c r="AA23" s="1863" t="s">
        <v>371</v>
      </c>
      <c r="AB23" s="493"/>
      <c r="AC23" s="1864" t="str">
        <f t="shared" si="1"/>
        <v/>
      </c>
      <c r="AD23" s="1864" t="str">
        <f t="shared" si="1"/>
        <v/>
      </c>
      <c r="AE23" s="1864">
        <f t="shared" si="1"/>
        <v>0</v>
      </c>
      <c r="AF23" s="1864" t="str">
        <f t="shared" si="1"/>
        <v/>
      </c>
      <c r="AG23" s="1865"/>
      <c r="AH23" s="1866"/>
      <c r="AI23" s="1867"/>
    </row>
    <row r="24" spans="1:35">
      <c r="A24" s="1859" t="s">
        <v>2423</v>
      </c>
      <c r="B24" s="1859" t="s">
        <v>2421</v>
      </c>
      <c r="C24" s="1860" t="s">
        <v>2400</v>
      </c>
      <c r="D24" s="750"/>
      <c r="E24" s="1860">
        <v>116925</v>
      </c>
      <c r="F24" s="1860">
        <v>228.25</v>
      </c>
      <c r="G24" s="1860">
        <v>0</v>
      </c>
      <c r="H24" s="1860">
        <v>545050</v>
      </c>
      <c r="I24" s="1860">
        <v>426.5</v>
      </c>
      <c r="J24" s="753"/>
      <c r="K24" s="1861">
        <v>0</v>
      </c>
      <c r="L24" s="1861">
        <v>0</v>
      </c>
      <c r="M24" s="1861">
        <v>0</v>
      </c>
      <c r="N24" s="1861">
        <v>0</v>
      </c>
      <c r="O24" s="1861">
        <v>0</v>
      </c>
      <c r="P24" s="1861">
        <v>0</v>
      </c>
      <c r="Q24" s="1861">
        <v>0</v>
      </c>
      <c r="R24" s="1861">
        <v>0</v>
      </c>
      <c r="S24" s="1861">
        <v>0</v>
      </c>
      <c r="T24" s="1861">
        <v>0</v>
      </c>
      <c r="U24" s="1861">
        <v>0</v>
      </c>
      <c r="V24" s="1861">
        <v>0</v>
      </c>
      <c r="W24" s="1861">
        <v>0</v>
      </c>
      <c r="X24" s="748"/>
      <c r="Y24" s="1862">
        <f t="shared" si="0"/>
        <v>0</v>
      </c>
      <c r="Z24" s="493"/>
      <c r="AA24" s="1863" t="s">
        <v>1142</v>
      </c>
      <c r="AB24" s="493"/>
      <c r="AC24" s="1864" t="str">
        <f t="shared" si="1"/>
        <v/>
      </c>
      <c r="AD24" s="1864" t="str">
        <f t="shared" si="1"/>
        <v/>
      </c>
      <c r="AE24" s="1864" t="str">
        <f t="shared" si="1"/>
        <v/>
      </c>
      <c r="AF24" s="1864">
        <f t="shared" si="1"/>
        <v>0</v>
      </c>
      <c r="AG24" s="1865"/>
      <c r="AH24" s="1866"/>
      <c r="AI24" s="1867"/>
    </row>
    <row r="25" spans="1:35">
      <c r="A25" s="1859"/>
      <c r="B25" s="1859"/>
      <c r="C25" s="1860"/>
      <c r="D25" s="750"/>
      <c r="E25" s="1860"/>
      <c r="F25" s="1860"/>
      <c r="G25" s="1860"/>
      <c r="H25" s="1860"/>
      <c r="I25" s="1860"/>
      <c r="J25" s="753"/>
      <c r="K25" s="1861"/>
      <c r="L25" s="1861"/>
      <c r="M25" s="1861"/>
      <c r="N25" s="1861"/>
      <c r="O25" s="1861"/>
      <c r="P25" s="1861"/>
      <c r="Q25" s="1861"/>
      <c r="R25" s="1861"/>
      <c r="S25" s="1861"/>
      <c r="T25" s="1861"/>
      <c r="U25" s="1861"/>
      <c r="V25" s="1861"/>
      <c r="W25" s="1861"/>
      <c r="X25" s="748"/>
      <c r="Y25" s="1862"/>
      <c r="Z25" s="493"/>
      <c r="AA25" s="1863"/>
      <c r="AB25" s="493"/>
      <c r="AC25" s="1864"/>
      <c r="AD25" s="1864"/>
      <c r="AE25" s="1864"/>
      <c r="AF25" s="1864"/>
      <c r="AG25" s="1865"/>
      <c r="AH25" s="1866"/>
      <c r="AI25" s="1867"/>
    </row>
    <row r="26" spans="1:35">
      <c r="A26" s="1859" t="s">
        <v>2424</v>
      </c>
      <c r="B26" s="1859" t="s">
        <v>2425</v>
      </c>
      <c r="C26" s="1860" t="s">
        <v>2400</v>
      </c>
      <c r="D26" s="750"/>
      <c r="E26" s="1860">
        <v>118100</v>
      </c>
      <c r="F26" s="1860">
        <v>144</v>
      </c>
      <c r="G26" s="1860">
        <v>0</v>
      </c>
      <c r="H26" s="1860">
        <v>550750</v>
      </c>
      <c r="I26" s="1860">
        <v>904</v>
      </c>
      <c r="J26" s="753"/>
      <c r="K26" s="1861">
        <v>-7.1538329999999997</v>
      </c>
      <c r="L26" s="1861">
        <v>-7.7991979999999996</v>
      </c>
      <c r="M26" s="1861">
        <v>-8.1807569999999998</v>
      </c>
      <c r="N26" s="1861">
        <v>-9.0817999500000006</v>
      </c>
      <c r="O26" s="1861">
        <v>-9.3199749500000006</v>
      </c>
      <c r="P26" s="1861">
        <v>-9.1178757200000007</v>
      </c>
      <c r="Q26" s="1861">
        <v>-9.1942414899999996</v>
      </c>
      <c r="R26" s="1861">
        <v>-9.3953734900000008</v>
      </c>
      <c r="S26" s="1861">
        <v>-9.0006404900000003</v>
      </c>
      <c r="T26" s="1861">
        <v>-9.3540374899999996</v>
      </c>
      <c r="U26" s="1861">
        <v>-7.5775844899999996</v>
      </c>
      <c r="V26" s="1861">
        <v>-6.5637350000000003</v>
      </c>
      <c r="W26" s="1861">
        <v>-6.3651660000000003</v>
      </c>
      <c r="X26" s="748"/>
      <c r="Y26" s="1862">
        <f t="shared" si="0"/>
        <v>-8.3157090053846137</v>
      </c>
      <c r="Z26" s="493"/>
      <c r="AA26" s="1863" t="s">
        <v>1142</v>
      </c>
      <c r="AB26" s="493"/>
      <c r="AC26" s="1864" t="str">
        <f t="shared" si="1"/>
        <v/>
      </c>
      <c r="AD26" s="1864" t="str">
        <f t="shared" si="1"/>
        <v/>
      </c>
      <c r="AE26" s="1864" t="str">
        <f t="shared" si="1"/>
        <v/>
      </c>
      <c r="AF26" s="1864">
        <f t="shared" si="1"/>
        <v>-8.3157090053846137</v>
      </c>
      <c r="AG26" s="1865"/>
      <c r="AH26" s="1866"/>
      <c r="AI26" s="1867"/>
    </row>
    <row r="27" spans="1:35">
      <c r="A27" s="1859" t="s">
        <v>2426</v>
      </c>
      <c r="B27" s="1859" t="s">
        <v>2425</v>
      </c>
      <c r="C27" s="1860" t="s">
        <v>2400</v>
      </c>
      <c r="D27" s="750"/>
      <c r="E27" s="1860">
        <v>118150</v>
      </c>
      <c r="F27" s="1860">
        <v>144</v>
      </c>
      <c r="G27" s="1860">
        <v>0</v>
      </c>
      <c r="H27" s="1860">
        <v>550750</v>
      </c>
      <c r="I27" s="1860">
        <v>904</v>
      </c>
      <c r="J27" s="753"/>
      <c r="K27" s="1861">
        <v>-1.4874999999999999E-2</v>
      </c>
      <c r="L27" s="1861">
        <v>-1.1462E-2</v>
      </c>
      <c r="M27" s="1861">
        <v>-1.304E-2</v>
      </c>
      <c r="N27" s="1861">
        <v>-2.7248200000000002E-3</v>
      </c>
      <c r="O27" s="1861">
        <v>-7.8415659999999998E-2</v>
      </c>
      <c r="P27" s="1861">
        <v>-7.9657660000000005E-2</v>
      </c>
      <c r="Q27" s="1861">
        <v>-7.6861659999999998E-2</v>
      </c>
      <c r="R27" s="1861">
        <v>-7.6632660000000005E-2</v>
      </c>
      <c r="S27" s="1861">
        <v>-7.9477660000000006E-2</v>
      </c>
      <c r="T27" s="1861">
        <v>-0.82933659999999998</v>
      </c>
      <c r="U27" s="1861">
        <v>-0.90445660000000005</v>
      </c>
      <c r="V27" s="1861">
        <v>-0.87777660000000002</v>
      </c>
      <c r="W27" s="1861">
        <v>-0.82058660000000005</v>
      </c>
      <c r="X27" s="748">
        <v>0</v>
      </c>
      <c r="Y27" s="1862">
        <f t="shared" si="0"/>
        <v>-0.29733103999999999</v>
      </c>
      <c r="Z27" s="493"/>
      <c r="AA27" s="1863" t="s">
        <v>1142</v>
      </c>
      <c r="AB27" s="493"/>
      <c r="AC27" s="1864" t="str">
        <f t="shared" si="1"/>
        <v/>
      </c>
      <c r="AD27" s="1864" t="str">
        <f t="shared" si="1"/>
        <v/>
      </c>
      <c r="AE27" s="1864" t="str">
        <f t="shared" si="1"/>
        <v/>
      </c>
      <c r="AF27" s="1864">
        <f t="shared" si="1"/>
        <v>-0.29733103999999999</v>
      </c>
      <c r="AG27" s="1865"/>
      <c r="AH27" s="1866"/>
      <c r="AI27" s="1867"/>
    </row>
    <row r="28" spans="1:35">
      <c r="A28" s="1859" t="s">
        <v>2427</v>
      </c>
      <c r="B28" s="1859" t="s">
        <v>2428</v>
      </c>
      <c r="C28" s="1860" t="s">
        <v>2400</v>
      </c>
      <c r="D28" s="750"/>
      <c r="E28" s="1860">
        <v>118155</v>
      </c>
      <c r="F28" s="1860">
        <v>172</v>
      </c>
      <c r="G28" s="1860">
        <v>0</v>
      </c>
      <c r="H28" s="1860">
        <v>301869</v>
      </c>
      <c r="I28" s="1860">
        <v>454.1</v>
      </c>
      <c r="J28" s="753"/>
      <c r="K28" s="1861">
        <v>-5.493046E-2</v>
      </c>
      <c r="L28" s="1861">
        <v>-4.2809399999999997E-2</v>
      </c>
      <c r="M28" s="1861">
        <v>-4.2424080000000003E-2</v>
      </c>
      <c r="N28" s="1861">
        <v>-3.381439E-2</v>
      </c>
      <c r="O28" s="1861">
        <v>-3.6403350000000001E-2</v>
      </c>
      <c r="P28" s="1861">
        <v>-3.6110940000000001E-2</v>
      </c>
      <c r="Q28" s="1861">
        <v>-4.0799290000000002E-2</v>
      </c>
      <c r="R28" s="1861">
        <v>-3.5344260000000002E-2</v>
      </c>
      <c r="S28" s="1861">
        <v>-0.10744286</v>
      </c>
      <c r="T28" s="1861">
        <v>-0.11246426</v>
      </c>
      <c r="U28" s="1861">
        <v>-0.83802140000000003</v>
      </c>
      <c r="V28" s="1861">
        <v>-0.70552420000000005</v>
      </c>
      <c r="W28" s="1861">
        <v>-0.67167379999999999</v>
      </c>
      <c r="X28" s="748">
        <v>0</v>
      </c>
      <c r="Y28" s="1862">
        <f t="shared" si="0"/>
        <v>-0.21213559153846154</v>
      </c>
      <c r="Z28" s="493"/>
      <c r="AA28" s="1863" t="s">
        <v>1142</v>
      </c>
      <c r="AB28" s="493"/>
      <c r="AC28" s="1864" t="str">
        <f t="shared" si="1"/>
        <v/>
      </c>
      <c r="AD28" s="1864" t="str">
        <f t="shared" si="1"/>
        <v/>
      </c>
      <c r="AE28" s="1864" t="str">
        <f t="shared" si="1"/>
        <v/>
      </c>
      <c r="AF28" s="1864">
        <f t="shared" si="1"/>
        <v>-0.21213559153846154</v>
      </c>
      <c r="AG28" s="1865"/>
      <c r="AH28" s="1866"/>
      <c r="AI28" s="1867"/>
    </row>
    <row r="29" spans="1:35">
      <c r="A29" s="1859" t="s">
        <v>2429</v>
      </c>
      <c r="B29" s="1859" t="s">
        <v>2430</v>
      </c>
      <c r="C29" s="1860" t="s">
        <v>2400</v>
      </c>
      <c r="D29" s="750"/>
      <c r="E29" s="1860">
        <v>118157</v>
      </c>
      <c r="F29" s="1860">
        <v>144</v>
      </c>
      <c r="G29" s="1860">
        <v>0</v>
      </c>
      <c r="H29" s="1860">
        <v>550776</v>
      </c>
      <c r="I29" s="1860">
        <v>904.2</v>
      </c>
      <c r="J29" s="753"/>
      <c r="K29" s="1861">
        <v>-0.37858134000000004</v>
      </c>
      <c r="L29" s="1861">
        <v>-0.37764958999999998</v>
      </c>
      <c r="M29" s="1861">
        <v>-0.38912081999999998</v>
      </c>
      <c r="N29" s="1861">
        <v>-0.24246572</v>
      </c>
      <c r="O29" s="1861">
        <v>-0.12265377</v>
      </c>
      <c r="P29" s="1861">
        <v>-0.12043537999999999</v>
      </c>
      <c r="Q29" s="1861">
        <v>-0.12307368</v>
      </c>
      <c r="R29" s="1861">
        <v>-0.12725052000000001</v>
      </c>
      <c r="S29" s="1861">
        <v>-0.126114</v>
      </c>
      <c r="T29" s="1861">
        <v>-0.13131966</v>
      </c>
      <c r="U29" s="1861">
        <v>-0.13613392999999999</v>
      </c>
      <c r="V29" s="1861">
        <v>-0.13343181000000001</v>
      </c>
      <c r="W29" s="1861">
        <v>-0.12512493999999999</v>
      </c>
      <c r="X29" s="748"/>
      <c r="Y29" s="1862">
        <f t="shared" si="0"/>
        <v>-0.19487347384615386</v>
      </c>
      <c r="Z29" s="493"/>
      <c r="AA29" s="1863" t="s">
        <v>1142</v>
      </c>
      <c r="AB29" s="493"/>
      <c r="AC29" s="1864" t="str">
        <f t="shared" si="1"/>
        <v/>
      </c>
      <c r="AD29" s="1864" t="str">
        <f t="shared" si="1"/>
        <v/>
      </c>
      <c r="AE29" s="1864" t="str">
        <f t="shared" si="1"/>
        <v/>
      </c>
      <c r="AF29" s="1864">
        <f t="shared" si="1"/>
        <v>-0.19487347384615386</v>
      </c>
      <c r="AG29" s="1865"/>
      <c r="AH29" s="1866"/>
      <c r="AI29" s="1867"/>
    </row>
    <row r="30" spans="1:35">
      <c r="A30" s="1859" t="s">
        <v>2431</v>
      </c>
      <c r="B30" s="1859" t="s">
        <v>2432</v>
      </c>
      <c r="C30" s="1860" t="s">
        <v>2400</v>
      </c>
      <c r="D30" s="750"/>
      <c r="E30" s="1860">
        <v>118168</v>
      </c>
      <c r="F30" s="1860">
        <v>144</v>
      </c>
      <c r="G30" s="1860">
        <v>0</v>
      </c>
      <c r="H30" s="1860">
        <v>550750</v>
      </c>
      <c r="I30" s="1860">
        <v>904</v>
      </c>
      <c r="J30" s="753"/>
      <c r="K30" s="1861">
        <v>-0.11005928</v>
      </c>
      <c r="L30" s="1861">
        <v>-0.11005928</v>
      </c>
      <c r="M30" s="1861">
        <v>-0.11005928</v>
      </c>
      <c r="N30" s="1861">
        <v>-0.11055479999999999</v>
      </c>
      <c r="O30" s="1861">
        <v>-0.11055479999999999</v>
      </c>
      <c r="P30" s="1861">
        <v>-0.11055479999999999</v>
      </c>
      <c r="Q30" s="1861">
        <v>-0.16889496000000001</v>
      </c>
      <c r="R30" s="1861">
        <v>-0.16889496000000001</v>
      </c>
      <c r="S30" s="1861">
        <v>-0.16889496000000001</v>
      </c>
      <c r="T30" s="1861">
        <v>-0.14897094999999999</v>
      </c>
      <c r="U30" s="1861">
        <v>-0.14897094999999999</v>
      </c>
      <c r="V30" s="1861">
        <v>-0.14897094999999999</v>
      </c>
      <c r="W30" s="1861">
        <v>-0.11647085</v>
      </c>
      <c r="X30" s="748"/>
      <c r="Y30" s="1862">
        <f t="shared" si="0"/>
        <v>-0.13322390923076924</v>
      </c>
      <c r="Z30" s="493"/>
      <c r="AA30" s="1863" t="s">
        <v>1142</v>
      </c>
      <c r="AB30" s="493"/>
      <c r="AC30" s="1864" t="str">
        <f t="shared" si="1"/>
        <v/>
      </c>
      <c r="AD30" s="1864" t="str">
        <f t="shared" si="1"/>
        <v/>
      </c>
      <c r="AE30" s="1864" t="str">
        <f t="shared" si="1"/>
        <v/>
      </c>
      <c r="AF30" s="1864">
        <f t="shared" si="1"/>
        <v>-0.13322390923076924</v>
      </c>
      <c r="AG30" s="1865"/>
      <c r="AH30" s="1866"/>
      <c r="AI30" s="1867"/>
    </row>
    <row r="31" spans="1:35">
      <c r="A31" s="1859" t="s">
        <v>2433</v>
      </c>
      <c r="B31" s="1859" t="s">
        <v>2432</v>
      </c>
      <c r="C31" s="1860" t="s">
        <v>2400</v>
      </c>
      <c r="D31" s="750"/>
      <c r="E31" s="1860">
        <v>118175</v>
      </c>
      <c r="F31" s="1860">
        <v>144</v>
      </c>
      <c r="G31" s="1860">
        <v>0</v>
      </c>
      <c r="H31" s="1860">
        <v>550775</v>
      </c>
      <c r="I31" s="1860">
        <v>904</v>
      </c>
      <c r="J31" s="753"/>
      <c r="K31" s="1861">
        <v>-3.3805370000000001E-2</v>
      </c>
      <c r="L31" s="1861">
        <v>-3.3805370000000001E-2</v>
      </c>
      <c r="M31" s="1861">
        <v>-3.3805370000000001E-2</v>
      </c>
      <c r="N31" s="1861">
        <v>-3.3805370000000001E-2</v>
      </c>
      <c r="O31" s="1861">
        <v>-3.3805370000000001E-2</v>
      </c>
      <c r="P31" s="1861">
        <v>-3.3805370000000001E-2</v>
      </c>
      <c r="Q31" s="1861">
        <v>-3.3805370000000001E-2</v>
      </c>
      <c r="R31" s="1861">
        <v>-3.3805370000000001E-2</v>
      </c>
      <c r="S31" s="1861">
        <v>-3.3805370000000001E-2</v>
      </c>
      <c r="T31" s="1861">
        <v>-3.3805370000000001E-2</v>
      </c>
      <c r="U31" s="1861">
        <v>-3.3805370000000001E-2</v>
      </c>
      <c r="V31" s="1861">
        <v>-3.3805370000000001E-2</v>
      </c>
      <c r="W31" s="1861">
        <v>-0.95608797000000001</v>
      </c>
      <c r="X31" s="748">
        <v>0</v>
      </c>
      <c r="Y31" s="1862">
        <f t="shared" si="0"/>
        <v>-0.10475018538461539</v>
      </c>
      <c r="Z31" s="493"/>
      <c r="AA31" s="1863" t="s">
        <v>1142</v>
      </c>
      <c r="AB31" s="493"/>
      <c r="AC31" s="1864" t="str">
        <f t="shared" si="1"/>
        <v/>
      </c>
      <c r="AD31" s="1864" t="str">
        <f t="shared" si="1"/>
        <v/>
      </c>
      <c r="AE31" s="1864" t="str">
        <f t="shared" si="1"/>
        <v/>
      </c>
      <c r="AF31" s="1864">
        <f t="shared" si="1"/>
        <v>-0.10475018538461539</v>
      </c>
      <c r="AG31" s="1865"/>
      <c r="AH31" s="1866"/>
      <c r="AI31" s="1867"/>
    </row>
    <row r="32" spans="1:35">
      <c r="A32" s="1859" t="s">
        <v>2434</v>
      </c>
      <c r="B32" s="1859" t="s">
        <v>2425</v>
      </c>
      <c r="C32" s="1860" t="s">
        <v>2400</v>
      </c>
      <c r="D32" s="750"/>
      <c r="E32" s="1860">
        <v>118200</v>
      </c>
      <c r="F32" s="1860">
        <v>173</v>
      </c>
      <c r="G32" s="1860">
        <v>0</v>
      </c>
      <c r="H32" s="1860">
        <v>301119</v>
      </c>
      <c r="I32" s="1860">
        <v>440.1</v>
      </c>
      <c r="J32" s="753"/>
      <c r="K32" s="1861">
        <v>-0.247</v>
      </c>
      <c r="L32" s="1861">
        <v>-0.28000000000000003</v>
      </c>
      <c r="M32" s="1861">
        <v>-0.28799999999999998</v>
      </c>
      <c r="N32" s="1861">
        <v>-0.26800000000000002</v>
      </c>
      <c r="O32" s="1861">
        <v>-0.247</v>
      </c>
      <c r="P32" s="1861">
        <v>-0.26200000000000001</v>
      </c>
      <c r="Q32" s="1861">
        <v>-0.27300000000000002</v>
      </c>
      <c r="R32" s="1861">
        <v>-0.29399999999999998</v>
      </c>
      <c r="S32" s="1861">
        <v>-0.30299999999999999</v>
      </c>
      <c r="T32" s="1861">
        <v>-0.255</v>
      </c>
      <c r="U32" s="1861">
        <v>-0.29799999999999999</v>
      </c>
      <c r="V32" s="1861">
        <v>-0.32</v>
      </c>
      <c r="W32" s="1861">
        <v>-0.314</v>
      </c>
      <c r="X32" s="748"/>
      <c r="Y32" s="1862">
        <f t="shared" si="0"/>
        <v>-0.28069230769230769</v>
      </c>
      <c r="Z32" s="493"/>
      <c r="AA32" s="1863" t="s">
        <v>1142</v>
      </c>
      <c r="AB32" s="493"/>
      <c r="AC32" s="1864" t="str">
        <f t="shared" si="1"/>
        <v/>
      </c>
      <c r="AD32" s="1864" t="str">
        <f t="shared" si="1"/>
        <v/>
      </c>
      <c r="AE32" s="1864" t="str">
        <f t="shared" si="1"/>
        <v/>
      </c>
      <c r="AF32" s="1864">
        <f t="shared" si="1"/>
        <v>-0.28069230769230769</v>
      </c>
      <c r="AG32" s="1865"/>
      <c r="AH32" s="1866"/>
      <c r="AI32" s="1867"/>
    </row>
    <row r="33" spans="1:35">
      <c r="A33" s="1859" t="s">
        <v>2435</v>
      </c>
      <c r="B33" s="1859" t="s">
        <v>2425</v>
      </c>
      <c r="C33" s="1860" t="s">
        <v>2400</v>
      </c>
      <c r="D33" s="750"/>
      <c r="E33" s="1860">
        <v>118300</v>
      </c>
      <c r="F33" s="1860">
        <v>173</v>
      </c>
      <c r="G33" s="1860">
        <v>0</v>
      </c>
      <c r="H33" s="1860">
        <v>301119</v>
      </c>
      <c r="I33" s="1860">
        <v>440.1</v>
      </c>
      <c r="J33" s="753"/>
      <c r="K33" s="1861">
        <v>-0.35799999999999998</v>
      </c>
      <c r="L33" s="1861">
        <v>-0.38300000000000001</v>
      </c>
      <c r="M33" s="1861">
        <v>-0.36099999999999999</v>
      </c>
      <c r="N33" s="1861">
        <v>-0.34799999999999998</v>
      </c>
      <c r="O33" s="1861">
        <v>-0.33100000000000002</v>
      </c>
      <c r="P33" s="1861">
        <v>-0.40500000000000003</v>
      </c>
      <c r="Q33" s="1861">
        <v>-0.46</v>
      </c>
      <c r="R33" s="1861">
        <v>-0.55300000000000005</v>
      </c>
      <c r="S33" s="1861">
        <v>-0.54</v>
      </c>
      <c r="T33" s="1861">
        <v>-0.40200000000000002</v>
      </c>
      <c r="U33" s="1861">
        <v>-0.44</v>
      </c>
      <c r="V33" s="1861">
        <v>-0.38800000000000001</v>
      </c>
      <c r="W33" s="1861">
        <v>-0.4</v>
      </c>
      <c r="X33" s="748"/>
      <c r="Y33" s="1862">
        <f t="shared" si="0"/>
        <v>-0.41300000000000003</v>
      </c>
      <c r="Z33" s="493"/>
      <c r="AA33" s="1863" t="s">
        <v>1142</v>
      </c>
      <c r="AB33" s="493"/>
      <c r="AC33" s="1864" t="str">
        <f t="shared" si="1"/>
        <v/>
      </c>
      <c r="AD33" s="1864" t="str">
        <f t="shared" si="1"/>
        <v/>
      </c>
      <c r="AE33" s="1864" t="str">
        <f t="shared" si="1"/>
        <v/>
      </c>
      <c r="AF33" s="1864">
        <f t="shared" si="1"/>
        <v>-0.41300000000000003</v>
      </c>
      <c r="AG33" s="1865"/>
      <c r="AH33" s="1866"/>
      <c r="AI33" s="1867"/>
    </row>
    <row r="34" spans="1:35">
      <c r="A34" s="1859"/>
      <c r="B34" s="1859"/>
      <c r="C34" s="1860"/>
      <c r="D34" s="750"/>
      <c r="E34" s="1860"/>
      <c r="F34" s="1860"/>
      <c r="G34" s="1860"/>
      <c r="H34" s="1860"/>
      <c r="I34" s="1860"/>
      <c r="J34" s="753"/>
      <c r="K34" s="1861"/>
      <c r="L34" s="1861"/>
      <c r="M34" s="1861"/>
      <c r="N34" s="1861"/>
      <c r="O34" s="1861"/>
      <c r="P34" s="1861"/>
      <c r="Q34" s="1861"/>
      <c r="R34" s="1861"/>
      <c r="S34" s="1861"/>
      <c r="T34" s="1861"/>
      <c r="U34" s="1861"/>
      <c r="V34" s="1861"/>
      <c r="W34" s="1861"/>
      <c r="X34" s="748"/>
      <c r="Y34" s="1862"/>
      <c r="Z34" s="493"/>
      <c r="AA34" s="1863"/>
      <c r="AB34" s="493"/>
      <c r="AC34" s="1864"/>
      <c r="AD34" s="1864"/>
      <c r="AE34" s="1864"/>
      <c r="AF34" s="1864"/>
      <c r="AG34" s="1865"/>
      <c r="AH34" s="1866"/>
      <c r="AI34" s="1867"/>
    </row>
    <row r="35" spans="1:35">
      <c r="A35" s="1859" t="s">
        <v>2436</v>
      </c>
      <c r="B35" s="1859" t="s">
        <v>2437</v>
      </c>
      <c r="C35" s="1860" t="s">
        <v>2400</v>
      </c>
      <c r="D35" s="750"/>
      <c r="E35" s="1860">
        <v>120930</v>
      </c>
      <c r="F35" s="1860">
        <v>154.99</v>
      </c>
      <c r="G35" s="1860">
        <v>0</v>
      </c>
      <c r="H35" s="1860">
        <v>516400</v>
      </c>
      <c r="I35" s="1860">
        <v>557</v>
      </c>
      <c r="J35" s="753"/>
      <c r="K35" s="1861">
        <v>-0.45930249000000001</v>
      </c>
      <c r="L35" s="1861">
        <v>-0.46173109000000001</v>
      </c>
      <c r="M35" s="1861">
        <v>-0.46015088999999998</v>
      </c>
      <c r="N35" s="1861">
        <v>-0.79816445000000003</v>
      </c>
      <c r="O35" s="1861">
        <v>-0.79816445000000003</v>
      </c>
      <c r="P35" s="1861">
        <v>-0.79816445000000003</v>
      </c>
      <c r="Q35" s="1861">
        <v>-1.10772059</v>
      </c>
      <c r="R35" s="1861">
        <v>-1.02869846</v>
      </c>
      <c r="S35" s="1861">
        <v>-1.02869846</v>
      </c>
      <c r="T35" s="1861">
        <v>-0.25113150000000001</v>
      </c>
      <c r="U35" s="1861">
        <v>-0.25166378</v>
      </c>
      <c r="V35" s="1861">
        <v>-0.25160601999999999</v>
      </c>
      <c r="W35" s="1861">
        <v>-0.46239427999999999</v>
      </c>
      <c r="X35" s="748"/>
      <c r="Y35" s="1862">
        <f t="shared" si="0"/>
        <v>-0.62750699307692304</v>
      </c>
      <c r="Z35" s="493"/>
      <c r="AA35" s="1863" t="s">
        <v>1142</v>
      </c>
      <c r="AB35" s="493"/>
      <c r="AC35" s="1864" t="str">
        <f t="shared" ref="AC35:AF73" si="2">IF($AA35=AC$7,$Y35,"")</f>
        <v/>
      </c>
      <c r="AD35" s="1864" t="str">
        <f t="shared" si="2"/>
        <v/>
      </c>
      <c r="AE35" s="1864" t="str">
        <f t="shared" si="2"/>
        <v/>
      </c>
      <c r="AF35" s="1864">
        <f t="shared" si="2"/>
        <v>-0.62750699307692304</v>
      </c>
      <c r="AG35" s="1865"/>
      <c r="AH35" s="1866"/>
      <c r="AI35" s="1867"/>
    </row>
    <row r="36" spans="1:35">
      <c r="A36" s="1859" t="s">
        <v>2438</v>
      </c>
      <c r="B36" s="1859" t="s">
        <v>2439</v>
      </c>
      <c r="C36" s="1860" t="s">
        <v>2400</v>
      </c>
      <c r="D36" s="750"/>
      <c r="E36" s="1860">
        <v>120932</v>
      </c>
      <c r="F36" s="1860">
        <v>154.99</v>
      </c>
      <c r="G36" s="1860">
        <v>0</v>
      </c>
      <c r="H36" s="1860">
        <v>516900</v>
      </c>
      <c r="I36" s="1860" t="s">
        <v>2440</v>
      </c>
      <c r="J36" s="753"/>
      <c r="K36" s="1861">
        <v>-0.87802378000000003</v>
      </c>
      <c r="L36" s="1861">
        <v>-0.90959002</v>
      </c>
      <c r="M36" s="1861">
        <v>-0.95394804</v>
      </c>
      <c r="N36" s="1861">
        <v>-0.97979969</v>
      </c>
      <c r="O36" s="1861">
        <v>-0.98254726000000003</v>
      </c>
      <c r="P36" s="1861">
        <v>-0.98254726000000003</v>
      </c>
      <c r="Q36" s="1861">
        <v>-0.90418518000000003</v>
      </c>
      <c r="R36" s="1861">
        <v>-0.83710815999999999</v>
      </c>
      <c r="S36" s="1861">
        <v>-0.86242912999999999</v>
      </c>
      <c r="T36" s="1861">
        <v>-0.91559193999999999</v>
      </c>
      <c r="U36" s="1861">
        <v>-0.82533517999999995</v>
      </c>
      <c r="V36" s="1861">
        <v>-0.95867429000000004</v>
      </c>
      <c r="W36" s="1861">
        <v>-0.85729414999999998</v>
      </c>
      <c r="X36" s="2236">
        <v>0</v>
      </c>
      <c r="Y36" s="1862">
        <f t="shared" si="0"/>
        <v>-0.91131339076923068</v>
      </c>
      <c r="Z36" s="493"/>
      <c r="AA36" s="1863" t="s">
        <v>1142</v>
      </c>
      <c r="AB36" s="493"/>
      <c r="AC36" s="1864" t="str">
        <f t="shared" si="2"/>
        <v/>
      </c>
      <c r="AD36" s="1864" t="str">
        <f t="shared" si="2"/>
        <v/>
      </c>
      <c r="AE36" s="1864" t="str">
        <f t="shared" si="2"/>
        <v/>
      </c>
      <c r="AF36" s="1864">
        <f t="shared" si="2"/>
        <v>-0.91131339076923068</v>
      </c>
      <c r="AG36" s="1865"/>
      <c r="AH36" s="1866"/>
      <c r="AI36" s="1867"/>
    </row>
    <row r="37" spans="1:35">
      <c r="A37" s="1859" t="s">
        <v>2441</v>
      </c>
      <c r="B37" s="1859" t="s">
        <v>2442</v>
      </c>
      <c r="C37" s="1860" t="s">
        <v>2400</v>
      </c>
      <c r="D37" s="750"/>
      <c r="E37" s="1860">
        <v>120933</v>
      </c>
      <c r="F37" s="1860">
        <v>154.99</v>
      </c>
      <c r="G37" s="1860">
        <v>0</v>
      </c>
      <c r="H37" s="1860">
        <v>516900</v>
      </c>
      <c r="I37" s="1860" t="s">
        <v>2440</v>
      </c>
      <c r="J37" s="753"/>
      <c r="K37" s="1861">
        <v>-0.83737906000000006</v>
      </c>
      <c r="L37" s="1861">
        <v>-0.83737906000000006</v>
      </c>
      <c r="M37" s="1861">
        <v>-0.83737906000000006</v>
      </c>
      <c r="N37" s="1861">
        <v>-0.88730379000000004</v>
      </c>
      <c r="O37" s="1861">
        <v>-0.88471211999999999</v>
      </c>
      <c r="P37" s="1861">
        <v>-0.88471211999999999</v>
      </c>
      <c r="Q37" s="1861">
        <v>-0.91899514999999998</v>
      </c>
      <c r="R37" s="1861">
        <v>-0.91500771000000003</v>
      </c>
      <c r="S37" s="1861">
        <v>-0.87236848</v>
      </c>
      <c r="T37" s="1861">
        <v>-0.88595478000000005</v>
      </c>
      <c r="U37" s="1861">
        <v>-0.88292075000000003</v>
      </c>
      <c r="V37" s="1861">
        <v>-0.78653118</v>
      </c>
      <c r="W37" s="1861">
        <v>-0.60947039999999997</v>
      </c>
      <c r="X37" s="748">
        <v>0</v>
      </c>
      <c r="Y37" s="1862">
        <f t="shared" si="0"/>
        <v>-0.84923951230769235</v>
      </c>
      <c r="Z37" s="493"/>
      <c r="AA37" s="1863" t="s">
        <v>1142</v>
      </c>
      <c r="AB37" s="493"/>
      <c r="AC37" s="1864" t="str">
        <f t="shared" si="2"/>
        <v/>
      </c>
      <c r="AD37" s="1864" t="str">
        <f t="shared" si="2"/>
        <v/>
      </c>
      <c r="AE37" s="1864" t="str">
        <f t="shared" si="2"/>
        <v/>
      </c>
      <c r="AF37" s="1864">
        <f t="shared" si="2"/>
        <v>-0.84923951230769235</v>
      </c>
      <c r="AG37" s="1865"/>
      <c r="AH37" s="1866"/>
      <c r="AI37" s="1867"/>
    </row>
    <row r="38" spans="1:35">
      <c r="A38" s="1859" t="s">
        <v>2443</v>
      </c>
      <c r="B38" s="1859" t="s">
        <v>2444</v>
      </c>
      <c r="C38" s="1860" t="s">
        <v>2400</v>
      </c>
      <c r="D38" s="750"/>
      <c r="E38" s="1860">
        <v>148001</v>
      </c>
      <c r="F38" s="1860">
        <v>107</v>
      </c>
      <c r="G38" s="1860">
        <v>0</v>
      </c>
      <c r="H38" s="1860">
        <v>554990</v>
      </c>
      <c r="I38" s="1860" t="s">
        <v>2445</v>
      </c>
      <c r="J38" s="753"/>
      <c r="K38" s="1861">
        <v>-5.60638506</v>
      </c>
      <c r="L38" s="1861">
        <v>-5.7863850599999997</v>
      </c>
      <c r="M38" s="1861">
        <v>-5.92538506</v>
      </c>
      <c r="N38" s="1861">
        <v>-5.8156222299999998</v>
      </c>
      <c r="O38" s="1861">
        <v>-5.8523850599999996</v>
      </c>
      <c r="P38" s="1861">
        <v>-6.0353850600000003</v>
      </c>
      <c r="Q38" s="1861">
        <v>-5.88524388</v>
      </c>
      <c r="R38" s="1861">
        <v>-6.2582438800000002</v>
      </c>
      <c r="S38" s="1861">
        <v>-6.4052438799999996</v>
      </c>
      <c r="T38" s="1861">
        <v>-5.2976912199999999</v>
      </c>
      <c r="U38" s="1861">
        <v>-5.3326912200000001</v>
      </c>
      <c r="V38" s="1861">
        <v>-5.74406412</v>
      </c>
      <c r="W38" s="1861">
        <v>-7.4326130399999997</v>
      </c>
      <c r="X38" s="748"/>
      <c r="Y38" s="1862">
        <f t="shared" si="0"/>
        <v>-5.9521029823076921</v>
      </c>
      <c r="Z38" s="493"/>
      <c r="AA38" s="1863" t="s">
        <v>1142</v>
      </c>
      <c r="AB38" s="493"/>
      <c r="AC38" s="1864" t="str">
        <f t="shared" si="2"/>
        <v/>
      </c>
      <c r="AD38" s="1864" t="str">
        <f t="shared" si="2"/>
        <v/>
      </c>
      <c r="AE38" s="1864" t="str">
        <f t="shared" si="2"/>
        <v/>
      </c>
      <c r="AF38" s="1864">
        <f t="shared" si="2"/>
        <v>-5.9521029823076921</v>
      </c>
      <c r="AG38" s="1865"/>
      <c r="AH38" s="1866"/>
      <c r="AI38" s="1867"/>
    </row>
    <row r="39" spans="1:35">
      <c r="A39" s="1859" t="s">
        <v>2446</v>
      </c>
      <c r="B39" s="1859" t="s">
        <v>2439</v>
      </c>
      <c r="C39" s="1860" t="s">
        <v>2400</v>
      </c>
      <c r="D39" s="750"/>
      <c r="E39" s="1860">
        <v>148019</v>
      </c>
      <c r="F39" s="1860">
        <v>107</v>
      </c>
      <c r="G39" s="1860">
        <v>0</v>
      </c>
      <c r="H39" s="1860">
        <v>554702</v>
      </c>
      <c r="I39" s="1860">
        <v>426.5</v>
      </c>
      <c r="J39" s="753"/>
      <c r="K39" s="1861">
        <v>0</v>
      </c>
      <c r="L39" s="1861">
        <v>0</v>
      </c>
      <c r="M39" s="1861">
        <v>0</v>
      </c>
      <c r="N39" s="1861">
        <v>-0.44538100000000003</v>
      </c>
      <c r="O39" s="1861">
        <v>-0.44811200000000001</v>
      </c>
      <c r="P39" s="1861">
        <v>-0.32244800000000001</v>
      </c>
      <c r="Q39" s="1861">
        <v>-0.32244800000000001</v>
      </c>
      <c r="R39" s="1861">
        <v>-0.32244800000000001</v>
      </c>
      <c r="S39" s="1861">
        <v>-0.32244800000000001</v>
      </c>
      <c r="T39" s="1861">
        <v>-0.98169399999999996</v>
      </c>
      <c r="U39" s="1861">
        <v>-0.98169399999999996</v>
      </c>
      <c r="V39" s="1861">
        <v>-0.98169399999999996</v>
      </c>
      <c r="W39" s="1861">
        <v>-0.75842299999999996</v>
      </c>
      <c r="X39" s="748"/>
      <c r="Y39" s="1862">
        <f t="shared" si="0"/>
        <v>-0.45282999999999995</v>
      </c>
      <c r="Z39" s="493"/>
      <c r="AA39" s="1863" t="s">
        <v>1142</v>
      </c>
      <c r="AB39" s="493"/>
      <c r="AC39" s="1864" t="str">
        <f t="shared" si="2"/>
        <v/>
      </c>
      <c r="AD39" s="1864" t="str">
        <f t="shared" si="2"/>
        <v/>
      </c>
      <c r="AE39" s="1864" t="str">
        <f t="shared" si="2"/>
        <v/>
      </c>
      <c r="AF39" s="1864">
        <f t="shared" si="2"/>
        <v>-0.45282999999999995</v>
      </c>
      <c r="AG39" s="1865"/>
      <c r="AH39" s="1866"/>
      <c r="AI39" s="1867"/>
    </row>
    <row r="40" spans="1:35">
      <c r="A40" s="1859" t="s">
        <v>2447</v>
      </c>
      <c r="B40" s="1859" t="s">
        <v>2442</v>
      </c>
      <c r="C40" s="1860" t="s">
        <v>2400</v>
      </c>
      <c r="D40" s="750"/>
      <c r="E40" s="1860">
        <v>148907</v>
      </c>
      <c r="F40" s="1860">
        <v>107</v>
      </c>
      <c r="G40" s="1860">
        <v>0</v>
      </c>
      <c r="H40" s="1860">
        <v>185861</v>
      </c>
      <c r="I40" s="1860">
        <v>182.3</v>
      </c>
      <c r="J40" s="753"/>
      <c r="K40" s="1861">
        <v>0</v>
      </c>
      <c r="L40" s="1861">
        <v>0</v>
      </c>
      <c r="M40" s="1861">
        <v>0</v>
      </c>
      <c r="N40" s="1861">
        <v>0</v>
      </c>
      <c r="O40" s="1861">
        <v>0</v>
      </c>
      <c r="P40" s="1861">
        <v>0</v>
      </c>
      <c r="Q40" s="1861">
        <v>0</v>
      </c>
      <c r="R40" s="1861">
        <v>0</v>
      </c>
      <c r="S40" s="1861">
        <v>0</v>
      </c>
      <c r="T40" s="1861">
        <v>0</v>
      </c>
      <c r="U40" s="1861">
        <v>0</v>
      </c>
      <c r="V40" s="1861">
        <v>0</v>
      </c>
      <c r="W40" s="1861">
        <v>-1.8497950000000001</v>
      </c>
      <c r="X40" s="748">
        <v>0</v>
      </c>
      <c r="Y40" s="1862">
        <f t="shared" si="0"/>
        <v>-0.14229192307692309</v>
      </c>
      <c r="Z40" s="493"/>
      <c r="AA40" s="1863" t="s">
        <v>1142</v>
      </c>
      <c r="AB40" s="493"/>
      <c r="AC40" s="1864" t="str">
        <f t="shared" si="2"/>
        <v/>
      </c>
      <c r="AD40" s="1864" t="str">
        <f t="shared" si="2"/>
        <v/>
      </c>
      <c r="AE40" s="1864" t="str">
        <f t="shared" si="2"/>
        <v/>
      </c>
      <c r="AF40" s="1864">
        <f t="shared" si="2"/>
        <v>-0.14229192307692309</v>
      </c>
      <c r="AG40" s="1865"/>
      <c r="AH40" s="1866"/>
      <c r="AI40" s="1867"/>
    </row>
    <row r="41" spans="1:35">
      <c r="A41" s="1859" t="s">
        <v>2448</v>
      </c>
      <c r="B41" s="1859" t="s">
        <v>2449</v>
      </c>
      <c r="C41" s="1860" t="s">
        <v>2400</v>
      </c>
      <c r="D41" s="750"/>
      <c r="E41" s="1860">
        <v>162010</v>
      </c>
      <c r="F41" s="1860">
        <v>124.9</v>
      </c>
      <c r="G41" s="1860">
        <v>0</v>
      </c>
      <c r="H41" s="1860">
        <v>550750</v>
      </c>
      <c r="I41" s="1860">
        <v>904</v>
      </c>
      <c r="J41" s="753"/>
      <c r="K41" s="1861">
        <v>-0.24879817000000001</v>
      </c>
      <c r="L41" s="1861">
        <v>-0.24678815000000001</v>
      </c>
      <c r="M41" s="1861">
        <v>-0.24678815000000001</v>
      </c>
      <c r="N41" s="1861">
        <v>-0.26722053000000001</v>
      </c>
      <c r="O41" s="1861">
        <v>-0.26722053000000001</v>
      </c>
      <c r="P41" s="1861">
        <v>-0.26947025000000002</v>
      </c>
      <c r="Q41" s="1861">
        <v>-0.23385579000000001</v>
      </c>
      <c r="R41" s="1861">
        <v>-0.23565106</v>
      </c>
      <c r="S41" s="1861">
        <v>-0.23564905999999999</v>
      </c>
      <c r="T41" s="1861">
        <v>-0.23564905999999999</v>
      </c>
      <c r="U41" s="1861">
        <v>-0.23564905999999999</v>
      </c>
      <c r="V41" s="1861">
        <v>-0.23564905999999999</v>
      </c>
      <c r="W41" s="1861">
        <v>-0.22596171000000001</v>
      </c>
      <c r="X41" s="748"/>
      <c r="Y41" s="1862">
        <f t="shared" si="0"/>
        <v>-0.24495004461538464</v>
      </c>
      <c r="Z41" s="493"/>
      <c r="AA41" s="1863" t="s">
        <v>1142</v>
      </c>
      <c r="AB41" s="493"/>
      <c r="AC41" s="1864" t="str">
        <f t="shared" si="2"/>
        <v/>
      </c>
      <c r="AD41" s="1864" t="str">
        <f t="shared" si="2"/>
        <v/>
      </c>
      <c r="AE41" s="1864" t="str">
        <f t="shared" si="2"/>
        <v/>
      </c>
      <c r="AF41" s="1864">
        <f t="shared" si="2"/>
        <v>-0.24495004461538464</v>
      </c>
      <c r="AG41" s="1865"/>
      <c r="AH41" s="1866"/>
      <c r="AI41" s="1867"/>
    </row>
    <row r="42" spans="1:35">
      <c r="A42" s="1859"/>
      <c r="B42" s="1859"/>
      <c r="C42" s="1860"/>
      <c r="D42" s="750"/>
      <c r="E42" s="1860"/>
      <c r="F42" s="1860"/>
      <c r="G42" s="1860"/>
      <c r="H42" s="1860"/>
      <c r="I42" s="1860"/>
      <c r="J42" s="753"/>
      <c r="K42" s="1861"/>
      <c r="L42" s="1861"/>
      <c r="M42" s="1861"/>
      <c r="N42" s="1861"/>
      <c r="O42" s="1861"/>
      <c r="P42" s="1861"/>
      <c r="Q42" s="1861"/>
      <c r="R42" s="1861"/>
      <c r="S42" s="1861"/>
      <c r="T42" s="1861"/>
      <c r="U42" s="1861"/>
      <c r="V42" s="1861"/>
      <c r="W42" s="1861"/>
      <c r="X42" s="748"/>
      <c r="Y42" s="1862"/>
      <c r="Z42" s="493"/>
      <c r="AA42" s="1863"/>
      <c r="AB42" s="493"/>
      <c r="AC42" s="1864"/>
      <c r="AD42" s="1864"/>
      <c r="AE42" s="1864"/>
      <c r="AF42" s="1864"/>
      <c r="AG42" s="1865"/>
      <c r="AH42" s="1866"/>
      <c r="AI42" s="1867"/>
    </row>
    <row r="43" spans="1:35">
      <c r="A43" s="1859" t="s">
        <v>2450</v>
      </c>
      <c r="B43" s="1859" t="s">
        <v>2451</v>
      </c>
      <c r="C43" s="1860" t="s">
        <v>2400</v>
      </c>
      <c r="D43" s="750"/>
      <c r="E43" s="1860">
        <v>210649</v>
      </c>
      <c r="F43" s="1860">
        <v>232</v>
      </c>
      <c r="G43" s="1860">
        <v>0</v>
      </c>
      <c r="H43" s="1860">
        <v>515100</v>
      </c>
      <c r="I43" s="1860">
        <v>501.1</v>
      </c>
      <c r="J43" s="753"/>
      <c r="K43" s="1861">
        <v>0</v>
      </c>
      <c r="L43" s="1861">
        <v>0</v>
      </c>
      <c r="M43" s="1861">
        <v>0</v>
      </c>
      <c r="N43" s="1861">
        <v>0</v>
      </c>
      <c r="O43" s="1861">
        <v>0</v>
      </c>
      <c r="P43" s="1861">
        <v>0</v>
      </c>
      <c r="Q43" s="1861">
        <v>0</v>
      </c>
      <c r="R43" s="1861">
        <v>0</v>
      </c>
      <c r="S43" s="1861">
        <v>0</v>
      </c>
      <c r="T43" s="1861">
        <v>0</v>
      </c>
      <c r="U43" s="1861">
        <v>0</v>
      </c>
      <c r="V43" s="1861">
        <v>0</v>
      </c>
      <c r="W43" s="1861">
        <v>0</v>
      </c>
      <c r="X43" s="748"/>
      <c r="Y43" s="1862">
        <f t="shared" si="0"/>
        <v>0</v>
      </c>
      <c r="Z43" s="493"/>
      <c r="AA43" s="1863" t="s">
        <v>1142</v>
      </c>
      <c r="AB43" s="493"/>
      <c r="AC43" s="1864" t="str">
        <f t="shared" si="2"/>
        <v/>
      </c>
      <c r="AD43" s="1864" t="str">
        <f t="shared" si="2"/>
        <v/>
      </c>
      <c r="AE43" s="1864" t="str">
        <f t="shared" si="2"/>
        <v/>
      </c>
      <c r="AF43" s="1864">
        <f t="shared" si="2"/>
        <v>0</v>
      </c>
      <c r="AG43" s="1865"/>
      <c r="AH43" s="1866"/>
      <c r="AI43" s="1867"/>
    </row>
    <row r="44" spans="1:35">
      <c r="A44" s="1859"/>
      <c r="B44" s="1859"/>
      <c r="C44" s="1860"/>
      <c r="D44" s="750"/>
      <c r="E44" s="1860"/>
      <c r="F44" s="1860"/>
      <c r="G44" s="1860"/>
      <c r="H44" s="1860"/>
      <c r="I44" s="1860"/>
      <c r="J44" s="753"/>
      <c r="K44" s="1861"/>
      <c r="L44" s="1861"/>
      <c r="M44" s="1861"/>
      <c r="N44" s="1861"/>
      <c r="O44" s="1861"/>
      <c r="P44" s="1861"/>
      <c r="Q44" s="1861"/>
      <c r="R44" s="1861"/>
      <c r="S44" s="1861"/>
      <c r="T44" s="1861"/>
      <c r="U44" s="1861"/>
      <c r="V44" s="1861"/>
      <c r="W44" s="1861"/>
      <c r="X44" s="748"/>
      <c r="Y44" s="1862"/>
      <c r="Z44" s="493"/>
      <c r="AA44" s="1863"/>
      <c r="AB44" s="493"/>
      <c r="AC44" s="1864"/>
      <c r="AD44" s="1864"/>
      <c r="AE44" s="1864"/>
      <c r="AF44" s="1864"/>
      <c r="AG44" s="1865"/>
      <c r="AH44" s="1866"/>
      <c r="AI44" s="1867"/>
    </row>
    <row r="45" spans="1:35">
      <c r="A45" s="1859" t="s">
        <v>2452</v>
      </c>
      <c r="B45" s="1859" t="s">
        <v>2453</v>
      </c>
      <c r="C45" s="1860" t="s">
        <v>2400</v>
      </c>
      <c r="D45" s="750"/>
      <c r="E45" s="1860">
        <v>210675</v>
      </c>
      <c r="F45" s="1860">
        <v>232</v>
      </c>
      <c r="G45" s="1860">
        <v>0</v>
      </c>
      <c r="H45" s="1860">
        <v>515100</v>
      </c>
      <c r="I45" s="1860">
        <v>501.1</v>
      </c>
      <c r="J45" s="753"/>
      <c r="K45" s="1861">
        <v>0</v>
      </c>
      <c r="L45" s="1861">
        <v>0</v>
      </c>
      <c r="M45" s="1861">
        <v>0</v>
      </c>
      <c r="N45" s="1861">
        <v>0</v>
      </c>
      <c r="O45" s="1861">
        <v>0</v>
      </c>
      <c r="P45" s="1861">
        <v>0</v>
      </c>
      <c r="Q45" s="1861">
        <v>-4.3251249999999999</v>
      </c>
      <c r="R45" s="1861">
        <v>-4.3251249999999999</v>
      </c>
      <c r="S45" s="1861">
        <v>-4.3251249999999999</v>
      </c>
      <c r="T45" s="1861">
        <v>-4.3251249999999999</v>
      </c>
      <c r="U45" s="1861">
        <v>-4.3316249999999998</v>
      </c>
      <c r="V45" s="1861">
        <v>-4.3386250000000004</v>
      </c>
      <c r="W45" s="1861">
        <v>-9.9174015099999995</v>
      </c>
      <c r="X45" s="748">
        <v>0</v>
      </c>
      <c r="Y45" s="1862">
        <f t="shared" si="0"/>
        <v>-2.7606270392307692</v>
      </c>
      <c r="Z45" s="493"/>
      <c r="AA45" s="1863" t="s">
        <v>1142</v>
      </c>
      <c r="AB45" s="493"/>
      <c r="AC45" s="1864" t="str">
        <f t="shared" si="2"/>
        <v/>
      </c>
      <c r="AD45" s="1864" t="str">
        <f t="shared" si="2"/>
        <v/>
      </c>
      <c r="AE45" s="1864" t="str">
        <f t="shared" si="2"/>
        <v/>
      </c>
      <c r="AF45" s="1864">
        <f t="shared" si="2"/>
        <v>-2.7606270392307692</v>
      </c>
      <c r="AG45" s="1865"/>
      <c r="AH45" s="1866"/>
      <c r="AI45" s="1867"/>
    </row>
    <row r="46" spans="1:35">
      <c r="A46" s="1859" t="s">
        <v>2454</v>
      </c>
      <c r="B46" s="1859" t="s">
        <v>2453</v>
      </c>
      <c r="C46" s="1860" t="s">
        <v>2400</v>
      </c>
      <c r="D46" s="750"/>
      <c r="E46" s="1860">
        <v>210678</v>
      </c>
      <c r="F46" s="1860">
        <v>232</v>
      </c>
      <c r="G46" s="1860">
        <v>0</v>
      </c>
      <c r="H46" s="1860">
        <v>515100</v>
      </c>
      <c r="I46" s="1860">
        <v>501.1</v>
      </c>
      <c r="J46" s="753"/>
      <c r="K46" s="1861">
        <v>0</v>
      </c>
      <c r="L46" s="1861">
        <v>0</v>
      </c>
      <c r="M46" s="1861">
        <v>0</v>
      </c>
      <c r="N46" s="1861">
        <v>0</v>
      </c>
      <c r="O46" s="1861">
        <v>0</v>
      </c>
      <c r="P46" s="1861">
        <v>0</v>
      </c>
      <c r="Q46" s="1861">
        <v>0</v>
      </c>
      <c r="R46" s="1861">
        <v>0</v>
      </c>
      <c r="S46" s="1861">
        <v>0</v>
      </c>
      <c r="T46" s="1861">
        <v>0</v>
      </c>
      <c r="U46" s="1861">
        <v>0</v>
      </c>
      <c r="V46" s="1861">
        <v>0</v>
      </c>
      <c r="W46" s="1861">
        <v>-19.606069999999999</v>
      </c>
      <c r="X46" s="748"/>
      <c r="Y46" s="1862">
        <f t="shared" si="0"/>
        <v>-1.5081592307692306</v>
      </c>
      <c r="Z46" s="493"/>
      <c r="AA46" s="1863" t="s">
        <v>1142</v>
      </c>
      <c r="AB46" s="493"/>
      <c r="AC46" s="1864" t="str">
        <f t="shared" si="2"/>
        <v/>
      </c>
      <c r="AD46" s="1864" t="str">
        <f t="shared" si="2"/>
        <v/>
      </c>
      <c r="AE46" s="1864" t="str">
        <f t="shared" si="2"/>
        <v/>
      </c>
      <c r="AF46" s="1864">
        <f t="shared" si="2"/>
        <v>-1.5081592307692306</v>
      </c>
      <c r="AG46" s="1865"/>
      <c r="AH46" s="1866"/>
      <c r="AI46" s="1867"/>
    </row>
    <row r="47" spans="1:35">
      <c r="A47" s="1859" t="s">
        <v>2455</v>
      </c>
      <c r="B47" s="1859" t="s">
        <v>2432</v>
      </c>
      <c r="C47" s="1860" t="s">
        <v>2400</v>
      </c>
      <c r="D47" s="750"/>
      <c r="E47" s="1860">
        <v>235190</v>
      </c>
      <c r="F47" s="1860">
        <v>232</v>
      </c>
      <c r="G47" s="1860">
        <v>0</v>
      </c>
      <c r="H47" s="1860">
        <v>500700</v>
      </c>
      <c r="I47" s="1860">
        <v>920</v>
      </c>
      <c r="J47" s="753"/>
      <c r="K47" s="1861">
        <v>-1.2737924700000001</v>
      </c>
      <c r="L47" s="1861">
        <v>-1.1605156400000001</v>
      </c>
      <c r="M47" s="1861">
        <v>-1.1254861899999999</v>
      </c>
      <c r="N47" s="1861">
        <v>-1.0680556999999999</v>
      </c>
      <c r="O47" s="1861">
        <v>-1.02227219</v>
      </c>
      <c r="P47" s="1861">
        <v>-0.97637364000000004</v>
      </c>
      <c r="Q47" s="1861">
        <v>-0.96532412999999995</v>
      </c>
      <c r="R47" s="1861">
        <v>-0.94413627</v>
      </c>
      <c r="S47" s="1861">
        <v>-0.94413627</v>
      </c>
      <c r="T47" s="1861">
        <v>-0.95435031000000003</v>
      </c>
      <c r="U47" s="1861">
        <v>-0.92186188999999996</v>
      </c>
      <c r="V47" s="1861">
        <v>-0.86863062999999996</v>
      </c>
      <c r="W47" s="1861">
        <v>-0.64090738999999997</v>
      </c>
      <c r="X47" s="748">
        <v>0</v>
      </c>
      <c r="Y47" s="1862">
        <f t="shared" si="0"/>
        <v>-0.98968020923076938</v>
      </c>
      <c r="Z47" s="493"/>
      <c r="AA47" s="1863" t="s">
        <v>371</v>
      </c>
      <c r="AB47" s="493"/>
      <c r="AC47" s="1864" t="str">
        <f t="shared" si="2"/>
        <v/>
      </c>
      <c r="AD47" s="1864" t="str">
        <f t="shared" si="2"/>
        <v/>
      </c>
      <c r="AE47" s="1864">
        <f t="shared" si="2"/>
        <v>-0.98968020923076938</v>
      </c>
      <c r="AF47" s="1864" t="str">
        <f t="shared" si="2"/>
        <v/>
      </c>
      <c r="AG47" s="1865"/>
      <c r="AH47" s="1866"/>
      <c r="AI47" s="1867"/>
    </row>
    <row r="48" spans="1:35">
      <c r="A48" s="1859" t="s">
        <v>2456</v>
      </c>
      <c r="B48" s="1859" t="s">
        <v>2457</v>
      </c>
      <c r="C48" s="1860" t="s">
        <v>2400</v>
      </c>
      <c r="D48" s="750"/>
      <c r="E48" s="1860">
        <v>235510</v>
      </c>
      <c r="F48" s="1860">
        <v>232</v>
      </c>
      <c r="G48" s="1860">
        <v>0</v>
      </c>
      <c r="H48" s="1860">
        <v>500410</v>
      </c>
      <c r="I48" s="1860" t="s">
        <v>2458</v>
      </c>
      <c r="J48" s="753"/>
      <c r="K48" s="1861">
        <v>0</v>
      </c>
      <c r="L48" s="1861">
        <v>-2.6994385699999999</v>
      </c>
      <c r="M48" s="1861">
        <v>-5.3906897999999996</v>
      </c>
      <c r="N48" s="1861">
        <v>-8.0166956200000001</v>
      </c>
      <c r="O48" s="1861">
        <v>-10.72024025</v>
      </c>
      <c r="P48" s="1861">
        <v>-13.438418459999999</v>
      </c>
      <c r="Q48" s="1861">
        <v>-16.170782460000002</v>
      </c>
      <c r="R48" s="1861">
        <v>-18.878272299999999</v>
      </c>
      <c r="S48" s="1861">
        <v>-21.767999199999998</v>
      </c>
      <c r="T48" s="1861">
        <v>-24.454049829999999</v>
      </c>
      <c r="U48" s="1861">
        <v>-27.168852529999999</v>
      </c>
      <c r="V48" s="1861">
        <v>-27.33648208</v>
      </c>
      <c r="W48" s="1861">
        <v>0</v>
      </c>
      <c r="X48" s="748"/>
      <c r="Y48" s="1862">
        <f t="shared" si="0"/>
        <v>-13.541686238461539</v>
      </c>
      <c r="Z48" s="493"/>
      <c r="AA48" s="1863" t="s">
        <v>371</v>
      </c>
      <c r="AB48" s="493"/>
      <c r="AC48" s="1864" t="str">
        <f t="shared" si="2"/>
        <v/>
      </c>
      <c r="AD48" s="1864" t="str">
        <f t="shared" si="2"/>
        <v/>
      </c>
      <c r="AE48" s="1864">
        <f t="shared" si="2"/>
        <v>-13.541686238461539</v>
      </c>
      <c r="AF48" s="1864" t="str">
        <f t="shared" si="2"/>
        <v/>
      </c>
      <c r="AG48" s="1865"/>
      <c r="AH48" s="1866"/>
      <c r="AI48" s="1867"/>
    </row>
    <row r="49" spans="1:35">
      <c r="A49" s="1859" t="s">
        <v>2459</v>
      </c>
      <c r="B49" s="1859" t="s">
        <v>2457</v>
      </c>
      <c r="C49" s="1860" t="s">
        <v>2400</v>
      </c>
      <c r="D49" s="750"/>
      <c r="E49" s="1860">
        <v>215078</v>
      </c>
      <c r="F49" s="1860">
        <v>232</v>
      </c>
      <c r="G49" s="1860">
        <v>0</v>
      </c>
      <c r="H49" s="1860">
        <v>501250</v>
      </c>
      <c r="I49" s="1860" t="s">
        <v>2458</v>
      </c>
      <c r="J49" s="753"/>
      <c r="K49" s="1861">
        <v>-1.8532750200000001</v>
      </c>
      <c r="L49" s="1861">
        <v>-1.9303539700000001</v>
      </c>
      <c r="M49" s="1861">
        <v>-0.46288649999999998</v>
      </c>
      <c r="N49" s="1861">
        <v>-0.61373200000000006</v>
      </c>
      <c r="O49" s="1861">
        <v>-0.76912652999999997</v>
      </c>
      <c r="P49" s="1861">
        <v>-0.86229975999999997</v>
      </c>
      <c r="Q49" s="1861">
        <v>-1.0935619000000001</v>
      </c>
      <c r="R49" s="1861">
        <v>-1.25915384</v>
      </c>
      <c r="S49" s="1861">
        <v>-1.33088004</v>
      </c>
      <c r="T49" s="1861">
        <v>-1.56742501</v>
      </c>
      <c r="U49" s="1861">
        <v>-1.7328467599999999</v>
      </c>
      <c r="V49" s="1861">
        <v>-1.88224627</v>
      </c>
      <c r="W49" s="1861">
        <v>-1.94846962</v>
      </c>
      <c r="X49" s="748">
        <v>0</v>
      </c>
      <c r="Y49" s="1862">
        <f t="shared" si="0"/>
        <v>-1.3312505553846152</v>
      </c>
      <c r="Z49" s="493"/>
      <c r="AA49" s="1863" t="s">
        <v>371</v>
      </c>
      <c r="AB49" s="493"/>
      <c r="AC49" s="1864" t="str">
        <f t="shared" si="2"/>
        <v/>
      </c>
      <c r="AD49" s="1864" t="str">
        <f t="shared" si="2"/>
        <v/>
      </c>
      <c r="AE49" s="1864">
        <f t="shared" si="2"/>
        <v>-1.3312505553846152</v>
      </c>
      <c r="AF49" s="1864" t="str">
        <f t="shared" si="2"/>
        <v/>
      </c>
      <c r="AG49" s="1865"/>
      <c r="AH49" s="1866"/>
      <c r="AI49" s="1867"/>
    </row>
    <row r="50" spans="1:35">
      <c r="A50" s="1859" t="s">
        <v>2460</v>
      </c>
      <c r="B50" s="1859" t="s">
        <v>2457</v>
      </c>
      <c r="C50" s="1860" t="s">
        <v>2400</v>
      </c>
      <c r="D50" s="750"/>
      <c r="E50" s="1860">
        <v>235599</v>
      </c>
      <c r="F50" s="1860">
        <v>232</v>
      </c>
      <c r="G50" s="1860">
        <v>0</v>
      </c>
      <c r="H50" s="1860">
        <v>500400</v>
      </c>
      <c r="I50" s="1860" t="s">
        <v>2458</v>
      </c>
      <c r="J50" s="753"/>
      <c r="K50" s="1861">
        <v>-1.3879296000000001</v>
      </c>
      <c r="L50" s="1861">
        <v>-0.34415127000000001</v>
      </c>
      <c r="M50" s="1861">
        <v>-0.53532968000000003</v>
      </c>
      <c r="N50" s="1861">
        <v>-0.73663460000000003</v>
      </c>
      <c r="O50" s="1861">
        <v>-0.91918624999999998</v>
      </c>
      <c r="P50" s="1861">
        <v>-1.09362789</v>
      </c>
      <c r="Q50" s="1861">
        <v>-1.2969196000000001</v>
      </c>
      <c r="R50" s="1861">
        <v>-1.4746396399999999</v>
      </c>
      <c r="S50" s="1861">
        <v>-0.85905635999999996</v>
      </c>
      <c r="T50" s="1861">
        <v>-0.95575710000000003</v>
      </c>
      <c r="U50" s="1861">
        <v>-1.05346457</v>
      </c>
      <c r="V50" s="1861">
        <v>-1.15065796</v>
      </c>
      <c r="W50" s="1861">
        <v>-1.2377396000000001</v>
      </c>
      <c r="X50" s="748">
        <v>0</v>
      </c>
      <c r="Y50" s="1862">
        <f t="shared" si="0"/>
        <v>-1.0034687784615384</v>
      </c>
      <c r="Z50" s="493"/>
      <c r="AA50" s="1863" t="s">
        <v>371</v>
      </c>
      <c r="AB50" s="493"/>
      <c r="AC50" s="1864" t="str">
        <f t="shared" si="2"/>
        <v/>
      </c>
      <c r="AD50" s="1864" t="str">
        <f t="shared" si="2"/>
        <v/>
      </c>
      <c r="AE50" s="1864">
        <f t="shared" si="2"/>
        <v>-1.0034687784615384</v>
      </c>
      <c r="AF50" s="1864" t="str">
        <f t="shared" si="2"/>
        <v/>
      </c>
      <c r="AG50" s="1865"/>
      <c r="AH50" s="1866"/>
      <c r="AI50" s="1867"/>
    </row>
    <row r="51" spans="1:35">
      <c r="A51" s="1859" t="s">
        <v>2461</v>
      </c>
      <c r="B51" s="1859" t="s">
        <v>2462</v>
      </c>
      <c r="C51" s="1860" t="s">
        <v>2463</v>
      </c>
      <c r="D51" s="750"/>
      <c r="E51" s="1860">
        <v>289000</v>
      </c>
      <c r="F51" s="1860">
        <v>253.99</v>
      </c>
      <c r="G51" s="1860">
        <v>0</v>
      </c>
      <c r="H51" s="1860">
        <v>550500</v>
      </c>
      <c r="I51" s="1860">
        <v>921</v>
      </c>
      <c r="J51" s="753"/>
      <c r="K51" s="1861">
        <v>-0.28110504999999997</v>
      </c>
      <c r="L51" s="1861">
        <v>-0.28110504999999997</v>
      </c>
      <c r="M51" s="1861">
        <v>-0.28110504999999997</v>
      </c>
      <c r="N51" s="1861">
        <v>-0.14055245999999999</v>
      </c>
      <c r="O51" s="1861">
        <v>-0.13274399000000001</v>
      </c>
      <c r="P51" s="1861">
        <v>-0.13274399000000001</v>
      </c>
      <c r="Q51" s="1861">
        <v>-0.11712705</v>
      </c>
      <c r="R51" s="1861">
        <v>-0.10931858</v>
      </c>
      <c r="S51" s="1861">
        <v>-0.10151011</v>
      </c>
      <c r="T51" s="1861">
        <v>-0.93701639999999997</v>
      </c>
      <c r="U51" s="1861">
        <v>-0.85893169999999996</v>
      </c>
      <c r="V51" s="1861">
        <v>-0.78084699999999996</v>
      </c>
      <c r="W51" s="1861">
        <v>-0.70276229999999995</v>
      </c>
      <c r="X51" s="748">
        <v>0</v>
      </c>
      <c r="Y51" s="1862">
        <f t="shared" si="0"/>
        <v>-0.37360528692307687</v>
      </c>
      <c r="Z51" s="493"/>
      <c r="AA51" s="1863" t="s">
        <v>371</v>
      </c>
      <c r="AB51" s="493"/>
      <c r="AC51" s="1864" t="str">
        <f t="shared" si="2"/>
        <v/>
      </c>
      <c r="AD51" s="1864" t="str">
        <f t="shared" si="2"/>
        <v/>
      </c>
      <c r="AE51" s="1864">
        <f t="shared" si="2"/>
        <v>-0.37360528692307687</v>
      </c>
      <c r="AF51" s="1864" t="str">
        <f t="shared" si="2"/>
        <v/>
      </c>
      <c r="AG51" s="1865"/>
      <c r="AH51" s="1866"/>
      <c r="AI51" s="1867"/>
    </row>
    <row r="52" spans="1:35">
      <c r="A52" s="1859" t="s">
        <v>2464</v>
      </c>
      <c r="B52" s="1859" t="s">
        <v>2453</v>
      </c>
      <c r="C52" s="1860" t="s">
        <v>2400</v>
      </c>
      <c r="D52" s="750"/>
      <c r="E52" s="1860">
        <v>289540</v>
      </c>
      <c r="F52" s="1860">
        <v>253.99</v>
      </c>
      <c r="G52" s="1860">
        <v>0</v>
      </c>
      <c r="H52" s="1860">
        <v>515100</v>
      </c>
      <c r="I52" s="1860">
        <v>501.1</v>
      </c>
      <c r="J52" s="753"/>
      <c r="K52" s="1861">
        <v>0</v>
      </c>
      <c r="L52" s="1861">
        <v>0</v>
      </c>
      <c r="M52" s="1861">
        <v>0</v>
      </c>
      <c r="N52" s="1861">
        <v>-10.989561999999999</v>
      </c>
      <c r="O52" s="1861">
        <v>-10.989561999999999</v>
      </c>
      <c r="P52" s="1861">
        <v>-10.989561999999999</v>
      </c>
      <c r="Q52" s="1861">
        <v>-10.989561999999999</v>
      </c>
      <c r="R52" s="1861">
        <v>-6.6644370000000004</v>
      </c>
      <c r="S52" s="1861">
        <v>-6.6644370000000004</v>
      </c>
      <c r="T52" s="1861">
        <v>-6.6644370000000004</v>
      </c>
      <c r="U52" s="1861">
        <v>-6.6644370000000004</v>
      </c>
      <c r="V52" s="1861">
        <v>-6.6644370000000004</v>
      </c>
      <c r="W52" s="1861">
        <v>-6.6644370000000004</v>
      </c>
      <c r="X52" s="748"/>
      <c r="Y52" s="1862">
        <f t="shared" si="0"/>
        <v>-6.4572976923076926</v>
      </c>
      <c r="Z52" s="493"/>
      <c r="AA52" s="1863" t="s">
        <v>1142</v>
      </c>
      <c r="AB52" s="493"/>
      <c r="AC52" s="1864" t="str">
        <f t="shared" si="2"/>
        <v/>
      </c>
      <c r="AD52" s="1864" t="str">
        <f t="shared" si="2"/>
        <v/>
      </c>
      <c r="AE52" s="1864" t="str">
        <f t="shared" si="2"/>
        <v/>
      </c>
      <c r="AF52" s="1864">
        <f t="shared" si="2"/>
        <v>-6.4572976923076926</v>
      </c>
      <c r="AG52" s="1865"/>
      <c r="AH52" s="1866"/>
      <c r="AI52" s="1867"/>
    </row>
    <row r="53" spans="1:35" ht="38.25">
      <c r="A53" s="1859" t="s">
        <v>2465</v>
      </c>
      <c r="B53" s="1859" t="s">
        <v>2466</v>
      </c>
      <c r="C53" s="1860" t="s">
        <v>2467</v>
      </c>
      <c r="D53" s="750"/>
      <c r="E53" s="1860">
        <v>288601</v>
      </c>
      <c r="F53" s="1860">
        <v>253.99</v>
      </c>
      <c r="G53" s="1860">
        <v>0</v>
      </c>
      <c r="H53" s="1860">
        <v>140709</v>
      </c>
      <c r="I53" s="1860">
        <v>102</v>
      </c>
      <c r="J53" s="753"/>
      <c r="K53" s="1861">
        <v>0</v>
      </c>
      <c r="L53" s="1861">
        <v>0</v>
      </c>
      <c r="M53" s="1861">
        <v>0</v>
      </c>
      <c r="N53" s="1861">
        <v>0</v>
      </c>
      <c r="O53" s="1861">
        <v>0</v>
      </c>
      <c r="P53" s="1861">
        <v>0</v>
      </c>
      <c r="Q53" s="1861">
        <v>0</v>
      </c>
      <c r="R53" s="1861">
        <v>0</v>
      </c>
      <c r="S53" s="1861">
        <v>0</v>
      </c>
      <c r="T53" s="1861">
        <v>0</v>
      </c>
      <c r="U53" s="1861">
        <v>0</v>
      </c>
      <c r="V53" s="1861">
        <v>0</v>
      </c>
      <c r="W53" s="1861">
        <v>0</v>
      </c>
      <c r="X53" s="748">
        <v>0</v>
      </c>
      <c r="Y53" s="1862">
        <f t="shared" si="0"/>
        <v>0</v>
      </c>
      <c r="Z53" s="493"/>
      <c r="AA53" s="1863" t="s">
        <v>1142</v>
      </c>
      <c r="AB53" s="493"/>
      <c r="AC53" s="1864" t="str">
        <f t="shared" si="2"/>
        <v/>
      </c>
      <c r="AD53" s="1864" t="str">
        <f t="shared" si="2"/>
        <v/>
      </c>
      <c r="AE53" s="1864" t="str">
        <f t="shared" si="2"/>
        <v/>
      </c>
      <c r="AF53" s="1864">
        <f t="shared" si="2"/>
        <v>0</v>
      </c>
      <c r="AG53" s="1865"/>
      <c r="AH53" s="1866"/>
      <c r="AI53" s="1867"/>
    </row>
    <row r="54" spans="1:35" ht="38.25">
      <c r="A54" s="1859" t="s">
        <v>2468</v>
      </c>
      <c r="B54" s="1859" t="s">
        <v>2466</v>
      </c>
      <c r="C54" s="1860" t="s">
        <v>2467</v>
      </c>
      <c r="D54" s="750"/>
      <c r="E54" s="1860">
        <v>288602</v>
      </c>
      <c r="F54" s="1860">
        <v>253.99</v>
      </c>
      <c r="G54" s="1860">
        <v>0</v>
      </c>
      <c r="H54" s="1860">
        <v>140709</v>
      </c>
      <c r="I54" s="1860">
        <v>102</v>
      </c>
      <c r="J54" s="753"/>
      <c r="K54" s="1861">
        <v>0</v>
      </c>
      <c r="L54" s="1861">
        <v>0</v>
      </c>
      <c r="M54" s="1861">
        <v>0</v>
      </c>
      <c r="N54" s="1861">
        <v>0</v>
      </c>
      <c r="O54" s="1861">
        <v>0</v>
      </c>
      <c r="P54" s="1861">
        <v>0</v>
      </c>
      <c r="Q54" s="1861">
        <v>0</v>
      </c>
      <c r="R54" s="1861">
        <v>0</v>
      </c>
      <c r="S54" s="1861">
        <v>0</v>
      </c>
      <c r="T54" s="1861">
        <v>0</v>
      </c>
      <c r="U54" s="1861">
        <v>0</v>
      </c>
      <c r="V54" s="1861">
        <v>0</v>
      </c>
      <c r="W54" s="1861">
        <v>0</v>
      </c>
      <c r="X54" s="748"/>
      <c r="Y54" s="1862">
        <f t="shared" si="0"/>
        <v>0</v>
      </c>
      <c r="Z54" s="493"/>
      <c r="AA54" s="1863" t="s">
        <v>1142</v>
      </c>
      <c r="AB54" s="493"/>
      <c r="AC54" s="1864" t="str">
        <f t="shared" si="2"/>
        <v/>
      </c>
      <c r="AD54" s="1864" t="str">
        <f t="shared" si="2"/>
        <v/>
      </c>
      <c r="AE54" s="1864" t="str">
        <f t="shared" si="2"/>
        <v/>
      </c>
      <c r="AF54" s="1864">
        <f t="shared" si="2"/>
        <v>0</v>
      </c>
      <c r="AG54" s="1865"/>
      <c r="AH54" s="1866"/>
      <c r="AI54" s="1867"/>
    </row>
    <row r="55" spans="1:35" ht="38.25">
      <c r="A55" s="1859" t="s">
        <v>2469</v>
      </c>
      <c r="B55" s="1859" t="s">
        <v>2466</v>
      </c>
      <c r="C55" s="1860" t="s">
        <v>2467</v>
      </c>
      <c r="D55" s="750"/>
      <c r="E55" s="1860">
        <v>288603</v>
      </c>
      <c r="F55" s="1860">
        <v>253.99</v>
      </c>
      <c r="G55" s="1860">
        <v>0</v>
      </c>
      <c r="H55" s="1860">
        <v>140709</v>
      </c>
      <c r="I55" s="1860">
        <v>102</v>
      </c>
      <c r="J55" s="753"/>
      <c r="K55" s="1861">
        <v>0</v>
      </c>
      <c r="L55" s="1861">
        <v>0</v>
      </c>
      <c r="M55" s="1861">
        <v>0</v>
      </c>
      <c r="N55" s="1861">
        <v>0</v>
      </c>
      <c r="O55" s="1861">
        <v>0</v>
      </c>
      <c r="P55" s="1861">
        <v>0</v>
      </c>
      <c r="Q55" s="1861">
        <v>0</v>
      </c>
      <c r="R55" s="1861">
        <v>0</v>
      </c>
      <c r="S55" s="1861">
        <v>0</v>
      </c>
      <c r="T55" s="1861">
        <v>0</v>
      </c>
      <c r="U55" s="1861">
        <v>0</v>
      </c>
      <c r="V55" s="1861">
        <v>0</v>
      </c>
      <c r="W55" s="1861">
        <v>0</v>
      </c>
      <c r="X55" s="748"/>
      <c r="Y55" s="1862">
        <f t="shared" si="0"/>
        <v>0</v>
      </c>
      <c r="Z55" s="493"/>
      <c r="AA55" s="1863" t="s">
        <v>1142</v>
      </c>
      <c r="AB55" s="493"/>
      <c r="AC55" s="1864" t="str">
        <f t="shared" si="2"/>
        <v/>
      </c>
      <c r="AD55" s="1864" t="str">
        <f t="shared" si="2"/>
        <v/>
      </c>
      <c r="AE55" s="1864" t="str">
        <f t="shared" si="2"/>
        <v/>
      </c>
      <c r="AF55" s="1864">
        <f t="shared" si="2"/>
        <v>0</v>
      </c>
      <c r="AG55" s="1865"/>
      <c r="AH55" s="1866"/>
      <c r="AI55" s="1867"/>
    </row>
    <row r="56" spans="1:35">
      <c r="A56" s="1859"/>
      <c r="B56" s="1859"/>
      <c r="C56" s="1860"/>
      <c r="D56" s="750"/>
      <c r="E56" s="1860"/>
      <c r="F56" s="1860"/>
      <c r="G56" s="1860"/>
      <c r="H56" s="1860"/>
      <c r="I56" s="1860"/>
      <c r="J56" s="753"/>
      <c r="K56" s="1861"/>
      <c r="L56" s="1861"/>
      <c r="M56" s="1861"/>
      <c r="N56" s="1861"/>
      <c r="O56" s="1861"/>
      <c r="P56" s="1861"/>
      <c r="Q56" s="1861"/>
      <c r="R56" s="1861"/>
      <c r="S56" s="1861"/>
      <c r="T56" s="1861"/>
      <c r="U56" s="1861"/>
      <c r="V56" s="1861"/>
      <c r="W56" s="1861"/>
      <c r="X56" s="748"/>
      <c r="Y56" s="1862"/>
      <c r="Z56" s="493"/>
      <c r="AA56" s="1863"/>
      <c r="AB56" s="493"/>
      <c r="AC56" s="1864"/>
      <c r="AD56" s="1864"/>
      <c r="AE56" s="1864"/>
      <c r="AF56" s="1864"/>
      <c r="AG56" s="1865"/>
      <c r="AH56" s="1866"/>
      <c r="AI56" s="1867"/>
    </row>
    <row r="57" spans="1:35">
      <c r="A57" s="1859" t="s">
        <v>2470</v>
      </c>
      <c r="B57" s="1859" t="s">
        <v>2471</v>
      </c>
      <c r="C57" s="1860" t="s">
        <v>2400</v>
      </c>
      <c r="D57" s="750"/>
      <c r="E57" s="1860">
        <v>248181</v>
      </c>
      <c r="F57" s="1860">
        <v>242</v>
      </c>
      <c r="G57" s="1860">
        <v>0</v>
      </c>
      <c r="H57" s="1860">
        <v>500515</v>
      </c>
      <c r="I57" s="1860" t="s">
        <v>2458</v>
      </c>
      <c r="J57" s="753"/>
      <c r="K57" s="1861">
        <v>-2.74551056</v>
      </c>
      <c r="L57" s="1861">
        <v>-3.1934031200000002</v>
      </c>
      <c r="M57" s="1861">
        <v>-3.6435909500000001</v>
      </c>
      <c r="N57" s="1861">
        <v>-3.97003145</v>
      </c>
      <c r="O57" s="1861">
        <v>-4.1612486000000004</v>
      </c>
      <c r="P57" s="1861">
        <v>-4.28461114</v>
      </c>
      <c r="Q57" s="1861">
        <v>-4.3125273100000001</v>
      </c>
      <c r="R57" s="1861">
        <v>-3.8044364900000001</v>
      </c>
      <c r="S57" s="1861">
        <v>-3.6271160400000002</v>
      </c>
      <c r="T57" s="1861">
        <v>-3.50417516</v>
      </c>
      <c r="U57" s="1861">
        <v>-3.2761337799999999</v>
      </c>
      <c r="V57" s="1861">
        <v>-3.3631631400000002</v>
      </c>
      <c r="W57" s="1861">
        <v>-2.5145303000000001</v>
      </c>
      <c r="X57" s="748"/>
      <c r="Y57" s="1862">
        <f t="shared" si="0"/>
        <v>-3.5692675415384616</v>
      </c>
      <c r="Z57" s="493"/>
      <c r="AA57" s="1863" t="s">
        <v>371</v>
      </c>
      <c r="AB57" s="493"/>
      <c r="AC57" s="1864" t="str">
        <f t="shared" si="2"/>
        <v/>
      </c>
      <c r="AD57" s="1864" t="str">
        <f t="shared" si="2"/>
        <v/>
      </c>
      <c r="AE57" s="1864">
        <f t="shared" si="2"/>
        <v>-3.5692675415384616</v>
      </c>
      <c r="AF57" s="1864" t="str">
        <f t="shared" si="2"/>
        <v/>
      </c>
      <c r="AG57" s="1865"/>
      <c r="AH57" s="1866"/>
      <c r="AI57" s="1867"/>
    </row>
    <row r="58" spans="1:35">
      <c r="A58" s="1859" t="s">
        <v>2472</v>
      </c>
      <c r="B58" s="1859" t="s">
        <v>2471</v>
      </c>
      <c r="C58" s="1860" t="s">
        <v>2400</v>
      </c>
      <c r="D58" s="750"/>
      <c r="E58" s="1860">
        <v>248182</v>
      </c>
      <c r="F58" s="1860">
        <v>242</v>
      </c>
      <c r="G58" s="1860">
        <v>0</v>
      </c>
      <c r="H58" s="1860">
        <v>500517</v>
      </c>
      <c r="I58" s="1860" t="s">
        <v>2458</v>
      </c>
      <c r="J58" s="753"/>
      <c r="K58" s="1861">
        <v>-1.8549282300000001</v>
      </c>
      <c r="L58" s="1861">
        <v>-1.9445809199999999</v>
      </c>
      <c r="M58" s="1861">
        <v>-2.0435701499999999</v>
      </c>
      <c r="N58" s="1861">
        <v>-2.1190377599999999</v>
      </c>
      <c r="O58" s="1861">
        <v>-2.1397367799999998</v>
      </c>
      <c r="P58" s="1861">
        <v>-2.1170208800000001</v>
      </c>
      <c r="Q58" s="1861">
        <v>-2.0985190299999998</v>
      </c>
      <c r="R58" s="1861">
        <v>-2.0286015000000002</v>
      </c>
      <c r="S58" s="1861">
        <v>-1.95576935</v>
      </c>
      <c r="T58" s="1861">
        <v>-1.9176710299999999</v>
      </c>
      <c r="U58" s="1861">
        <v>-1.95996386</v>
      </c>
      <c r="V58" s="1861">
        <v>-1.98166504</v>
      </c>
      <c r="W58" s="1861">
        <v>-1.8510586099999999</v>
      </c>
      <c r="X58" s="748">
        <v>0</v>
      </c>
      <c r="Y58" s="1862">
        <f t="shared" si="0"/>
        <v>-2.000932549230769</v>
      </c>
      <c r="Z58" s="493"/>
      <c r="AA58" s="1863" t="s">
        <v>371</v>
      </c>
      <c r="AB58" s="493"/>
      <c r="AC58" s="1864" t="str">
        <f t="shared" si="2"/>
        <v/>
      </c>
      <c r="AD58" s="1864" t="str">
        <f t="shared" si="2"/>
        <v/>
      </c>
      <c r="AE58" s="1864">
        <f t="shared" si="2"/>
        <v>-2.000932549230769</v>
      </c>
      <c r="AF58" s="1864" t="str">
        <f t="shared" si="2"/>
        <v/>
      </c>
      <c r="AG58" s="1865"/>
      <c r="AH58" s="1866"/>
      <c r="AI58" s="1867"/>
    </row>
    <row r="59" spans="1:35">
      <c r="A59" s="1859" t="s">
        <v>2473</v>
      </c>
      <c r="B59" s="1859" t="s">
        <v>2471</v>
      </c>
      <c r="C59" s="1860" t="s">
        <v>2400</v>
      </c>
      <c r="D59" s="750"/>
      <c r="E59" s="1860">
        <v>248183</v>
      </c>
      <c r="F59" s="1860">
        <v>242</v>
      </c>
      <c r="G59" s="1860">
        <v>0</v>
      </c>
      <c r="H59" s="1860">
        <v>500520</v>
      </c>
      <c r="I59" s="1860" t="s">
        <v>2458</v>
      </c>
      <c r="J59" s="753"/>
      <c r="K59" s="1861">
        <v>-2.0698461299999997</v>
      </c>
      <c r="L59" s="1861">
        <v>-2.13944695</v>
      </c>
      <c r="M59" s="1861">
        <v>-2.2444593400000001</v>
      </c>
      <c r="N59" s="1861">
        <v>-2.3163955899999999</v>
      </c>
      <c r="O59" s="1861">
        <v>-2.3730719900000001</v>
      </c>
      <c r="P59" s="1861">
        <v>-2.3295492699999998</v>
      </c>
      <c r="Q59" s="1861">
        <v>-2.33954927</v>
      </c>
      <c r="R59" s="1861">
        <v>-2.2507331399999999</v>
      </c>
      <c r="S59" s="1861">
        <v>-2.3042150100000001</v>
      </c>
      <c r="T59" s="1861">
        <v>-2.3274234900000002</v>
      </c>
      <c r="U59" s="1861">
        <v>-2.2964521499999999</v>
      </c>
      <c r="V59" s="1861">
        <v>-2.30444972</v>
      </c>
      <c r="W59" s="1861">
        <v>-2.1913905800000002</v>
      </c>
      <c r="X59" s="748">
        <v>0</v>
      </c>
      <c r="Y59" s="1862">
        <f t="shared" si="0"/>
        <v>-2.2682294330769235</v>
      </c>
      <c r="Z59" s="493"/>
      <c r="AA59" s="1863" t="s">
        <v>371</v>
      </c>
      <c r="AB59" s="493"/>
      <c r="AC59" s="1864" t="str">
        <f t="shared" si="2"/>
        <v/>
      </c>
      <c r="AD59" s="1864" t="str">
        <f t="shared" si="2"/>
        <v/>
      </c>
      <c r="AE59" s="1864">
        <f t="shared" si="2"/>
        <v>-2.2682294330769235</v>
      </c>
      <c r="AF59" s="1864" t="str">
        <f t="shared" si="2"/>
        <v/>
      </c>
      <c r="AG59" s="1865"/>
      <c r="AH59" s="1866"/>
      <c r="AI59" s="1867"/>
    </row>
    <row r="60" spans="1:35">
      <c r="A60" s="1859" t="s">
        <v>2474</v>
      </c>
      <c r="B60" s="1859" t="s">
        <v>2471</v>
      </c>
      <c r="C60" s="1860" t="s">
        <v>2400</v>
      </c>
      <c r="D60" s="750"/>
      <c r="E60" s="1860">
        <v>248186</v>
      </c>
      <c r="F60" s="1860">
        <v>242</v>
      </c>
      <c r="G60" s="1860">
        <v>0</v>
      </c>
      <c r="H60" s="1860">
        <v>500515</v>
      </c>
      <c r="I60" s="1860" t="s">
        <v>2458</v>
      </c>
      <c r="J60" s="753"/>
      <c r="K60" s="1861">
        <v>-3.5749219999999998E-2</v>
      </c>
      <c r="L60" s="1861">
        <v>-3.3979040000000002E-2</v>
      </c>
      <c r="M60" s="1861">
        <v>-3.5036419999999999E-2</v>
      </c>
      <c r="N60" s="1861">
        <v>-3.7182380000000001E-2</v>
      </c>
      <c r="O60" s="1861">
        <v>-3.9988269999999999E-2</v>
      </c>
      <c r="P60" s="1861">
        <v>-3.7263839999999999E-2</v>
      </c>
      <c r="Q60" s="1861">
        <v>-4.1170730000000003E-2</v>
      </c>
      <c r="R60" s="1861">
        <v>-4.3044800000000001E-2</v>
      </c>
      <c r="S60" s="1861">
        <v>-4.3149420000000001E-2</v>
      </c>
      <c r="T60" s="1861">
        <v>-4.1816800000000001E-2</v>
      </c>
      <c r="U60" s="1861">
        <v>-3.7269980000000001E-2</v>
      </c>
      <c r="V60" s="1861">
        <v>-3.9769489999999998E-2</v>
      </c>
      <c r="W60" s="1861">
        <v>-3.8308490000000001E-2</v>
      </c>
      <c r="X60" s="748">
        <v>0</v>
      </c>
      <c r="Y60" s="1862">
        <f t="shared" si="0"/>
        <v>-3.8748375384615383E-2</v>
      </c>
      <c r="Z60" s="493"/>
      <c r="AA60" s="1863" t="s">
        <v>371</v>
      </c>
      <c r="AB60" s="493"/>
      <c r="AC60" s="1864" t="str">
        <f t="shared" si="2"/>
        <v/>
      </c>
      <c r="AD60" s="1864" t="str">
        <f t="shared" si="2"/>
        <v/>
      </c>
      <c r="AE60" s="1864">
        <f t="shared" si="2"/>
        <v>-3.8748375384615383E-2</v>
      </c>
      <c r="AF60" s="1864" t="str">
        <f t="shared" si="2"/>
        <v/>
      </c>
      <c r="AG60" s="1865"/>
      <c r="AH60" s="1866"/>
      <c r="AI60" s="1867"/>
    </row>
    <row r="61" spans="1:35">
      <c r="A61" s="1859" t="s">
        <v>2475</v>
      </c>
      <c r="B61" s="1859" t="s">
        <v>2471</v>
      </c>
      <c r="C61" s="1860" t="s">
        <v>2400</v>
      </c>
      <c r="D61" s="750"/>
      <c r="E61" s="1860">
        <v>248187</v>
      </c>
      <c r="F61" s="1860">
        <v>242</v>
      </c>
      <c r="G61" s="1860">
        <v>0</v>
      </c>
      <c r="H61" s="1860">
        <v>500518</v>
      </c>
      <c r="I61" s="1860" t="s">
        <v>2458</v>
      </c>
      <c r="J61" s="753"/>
      <c r="K61" s="1861">
        <v>-3.6609299100000001</v>
      </c>
      <c r="L61" s="1861">
        <v>-3.7655973299999999</v>
      </c>
      <c r="M61" s="1861">
        <v>-3.90063403</v>
      </c>
      <c r="N61" s="1861">
        <v>-3.9892262600000001</v>
      </c>
      <c r="O61" s="1861">
        <v>-4.1272700000000002</v>
      </c>
      <c r="P61" s="1861">
        <v>-4.1614904800000003</v>
      </c>
      <c r="Q61" s="1861">
        <v>-4.0371263099999997</v>
      </c>
      <c r="R61" s="1861">
        <v>-3.8225014100000001</v>
      </c>
      <c r="S61" s="1861">
        <v>-3.7167243000000001</v>
      </c>
      <c r="T61" s="1861">
        <v>-3.7402711000000002</v>
      </c>
      <c r="U61" s="1861">
        <v>-3.6487840299999998</v>
      </c>
      <c r="V61" s="1861">
        <v>-3.7286618599999999</v>
      </c>
      <c r="W61" s="1861">
        <v>-3.5323527600000002</v>
      </c>
      <c r="X61" s="748"/>
      <c r="Y61" s="1862">
        <f t="shared" si="0"/>
        <v>-3.8331976753846169</v>
      </c>
      <c r="Z61" s="493"/>
      <c r="AA61" s="1863" t="s">
        <v>371</v>
      </c>
      <c r="AB61" s="493"/>
      <c r="AC61" s="1864" t="str">
        <f t="shared" si="2"/>
        <v/>
      </c>
      <c r="AD61" s="1864" t="str">
        <f t="shared" si="2"/>
        <v/>
      </c>
      <c r="AE61" s="1864">
        <f t="shared" si="2"/>
        <v>-3.8331976753846169</v>
      </c>
      <c r="AF61" s="1864" t="str">
        <f t="shared" si="2"/>
        <v/>
      </c>
      <c r="AG61" s="1865"/>
      <c r="AH61" s="1866"/>
      <c r="AI61" s="1867"/>
    </row>
    <row r="62" spans="1:35">
      <c r="A62" s="1859" t="s">
        <v>2476</v>
      </c>
      <c r="B62" s="1859" t="s">
        <v>2471</v>
      </c>
      <c r="C62" s="1860" t="s">
        <v>2400</v>
      </c>
      <c r="D62" s="750"/>
      <c r="E62" s="1860">
        <v>248188</v>
      </c>
      <c r="F62" s="1860">
        <v>242</v>
      </c>
      <c r="G62" s="1860">
        <v>0</v>
      </c>
      <c r="H62" s="1860">
        <v>500519</v>
      </c>
      <c r="I62" s="1860" t="s">
        <v>2458</v>
      </c>
      <c r="J62" s="797"/>
      <c r="K62" s="1861">
        <v>-0.1271921</v>
      </c>
      <c r="L62" s="1861">
        <v>-0.12807755000000001</v>
      </c>
      <c r="M62" s="1861">
        <v>-0.13653839000000001</v>
      </c>
      <c r="N62" s="1861">
        <v>-0.14102149</v>
      </c>
      <c r="O62" s="1861">
        <v>-0.14369238000000001</v>
      </c>
      <c r="P62" s="1861">
        <v>-0.14886884</v>
      </c>
      <c r="Q62" s="1861">
        <v>-0.15111326</v>
      </c>
      <c r="R62" s="1861">
        <v>-0.14069229</v>
      </c>
      <c r="S62" s="1861">
        <v>-0.13228458000000001</v>
      </c>
      <c r="T62" s="1861">
        <v>-0.13571426</v>
      </c>
      <c r="U62" s="1861">
        <v>-0.13955822000000001</v>
      </c>
      <c r="V62" s="1861">
        <v>-0.13646786999999999</v>
      </c>
      <c r="W62" s="1861">
        <v>-0.13094945999999999</v>
      </c>
      <c r="X62" s="581">
        <v>0</v>
      </c>
      <c r="Y62" s="1862">
        <f t="shared" si="0"/>
        <v>-0.13785928384615387</v>
      </c>
      <c r="Z62" s="581"/>
      <c r="AA62" s="1863" t="s">
        <v>371</v>
      </c>
      <c r="AB62" s="581"/>
      <c r="AC62" s="1864" t="str">
        <f t="shared" si="2"/>
        <v/>
      </c>
      <c r="AD62" s="1864" t="str">
        <f t="shared" si="2"/>
        <v/>
      </c>
      <c r="AE62" s="1864">
        <f t="shared" si="2"/>
        <v>-0.13785928384615387</v>
      </c>
      <c r="AF62" s="1864" t="str">
        <f t="shared" si="2"/>
        <v/>
      </c>
      <c r="AG62" s="518"/>
      <c r="AH62" s="565"/>
      <c r="AI62" s="1867"/>
    </row>
    <row r="63" spans="1:35">
      <c r="A63" s="1859" t="s">
        <v>2477</v>
      </c>
      <c r="B63" s="1859" t="s">
        <v>2471</v>
      </c>
      <c r="C63" s="1860" t="s">
        <v>2400</v>
      </c>
      <c r="D63" s="750"/>
      <c r="E63" s="1860">
        <v>248189</v>
      </c>
      <c r="F63" s="1860">
        <v>242</v>
      </c>
      <c r="G63" s="1860">
        <v>0</v>
      </c>
      <c r="H63" s="1860">
        <v>500516</v>
      </c>
      <c r="I63" s="1860" t="s">
        <v>2458</v>
      </c>
      <c r="J63" s="753"/>
      <c r="K63" s="1861">
        <v>-15.26841915</v>
      </c>
      <c r="L63" s="1861">
        <v>-15.44759049</v>
      </c>
      <c r="M63" s="1861">
        <v>-15.667774420000001</v>
      </c>
      <c r="N63" s="1861">
        <v>-15.802040290000001</v>
      </c>
      <c r="O63" s="1861">
        <v>-15.963232769999999</v>
      </c>
      <c r="P63" s="1861">
        <v>-16.00619799</v>
      </c>
      <c r="Q63" s="1861">
        <v>-16.032629350000001</v>
      </c>
      <c r="R63" s="1861">
        <v>-15.58284587</v>
      </c>
      <c r="S63" s="1861">
        <v>-15.453692970000001</v>
      </c>
      <c r="T63" s="1861">
        <v>-15.481398799999999</v>
      </c>
      <c r="U63" s="1861">
        <v>-15.52659046</v>
      </c>
      <c r="V63" s="1861">
        <v>-15.826924979999999</v>
      </c>
      <c r="W63" s="1861">
        <v>-15.800949340000001</v>
      </c>
      <c r="X63" s="748"/>
      <c r="Y63" s="1862">
        <f t="shared" si="0"/>
        <v>-15.681560529230767</v>
      </c>
      <c r="Z63" s="493"/>
      <c r="AA63" s="1863" t="s">
        <v>371</v>
      </c>
      <c r="AB63" s="493"/>
      <c r="AC63" s="1864" t="str">
        <f t="shared" si="2"/>
        <v/>
      </c>
      <c r="AD63" s="1864" t="str">
        <f t="shared" si="2"/>
        <v/>
      </c>
      <c r="AE63" s="1864">
        <f t="shared" si="2"/>
        <v>-15.681560529230767</v>
      </c>
      <c r="AF63" s="1864" t="str">
        <f t="shared" si="2"/>
        <v/>
      </c>
      <c r="AG63" s="1865"/>
      <c r="AH63" s="1866"/>
      <c r="AI63" s="1867"/>
    </row>
    <row r="64" spans="1:35">
      <c r="A64" s="1859" t="s">
        <v>2478</v>
      </c>
      <c r="B64" s="1859" t="s">
        <v>2471</v>
      </c>
      <c r="C64" s="1860" t="s">
        <v>2400</v>
      </c>
      <c r="D64" s="750"/>
      <c r="E64" s="1860">
        <v>248195</v>
      </c>
      <c r="F64" s="1860">
        <v>242</v>
      </c>
      <c r="G64" s="1860">
        <v>0</v>
      </c>
      <c r="H64" s="1860">
        <v>500515</v>
      </c>
      <c r="I64" s="1860" t="s">
        <v>2458</v>
      </c>
      <c r="J64" s="753"/>
      <c r="K64" s="1861">
        <v>-6.1105782800000004</v>
      </c>
      <c r="L64" s="1861">
        <v>-6.2590455199999999</v>
      </c>
      <c r="M64" s="1861">
        <v>-6.24233028</v>
      </c>
      <c r="N64" s="1861">
        <v>-6.2594526100000003</v>
      </c>
      <c r="O64" s="1861">
        <v>-6.2819789000000004</v>
      </c>
      <c r="P64" s="1861">
        <v>-6.3166848099999999</v>
      </c>
      <c r="Q64" s="1861">
        <v>-6.3488433200000003</v>
      </c>
      <c r="R64" s="1861">
        <v>-5.5535518699999997</v>
      </c>
      <c r="S64" s="1861">
        <v>-5.5531623799999998</v>
      </c>
      <c r="T64" s="1861">
        <v>-5.5709381999999996</v>
      </c>
      <c r="U64" s="1861">
        <v>-5.5341246899999996</v>
      </c>
      <c r="V64" s="1861">
        <v>-5.5422187899999997</v>
      </c>
      <c r="W64" s="1861">
        <v>-6.11488794</v>
      </c>
      <c r="X64" s="748"/>
      <c r="Y64" s="1862">
        <f t="shared" si="0"/>
        <v>-5.9759844299999987</v>
      </c>
      <c r="Z64" s="493"/>
      <c r="AA64" s="1863" t="s">
        <v>371</v>
      </c>
      <c r="AB64" s="493"/>
      <c r="AC64" s="1864" t="str">
        <f t="shared" si="2"/>
        <v/>
      </c>
      <c r="AD64" s="1864" t="str">
        <f t="shared" si="2"/>
        <v/>
      </c>
      <c r="AE64" s="1864">
        <f t="shared" si="2"/>
        <v>-5.9759844299999987</v>
      </c>
      <c r="AF64" s="1864" t="str">
        <f t="shared" si="2"/>
        <v/>
      </c>
      <c r="AG64" s="1865"/>
      <c r="AH64" s="1866"/>
      <c r="AI64" s="1867"/>
    </row>
    <row r="65" spans="1:35">
      <c r="A65" s="1859"/>
      <c r="B65" s="1859"/>
      <c r="C65" s="1860"/>
      <c r="D65" s="750"/>
      <c r="E65" s="1860"/>
      <c r="F65" s="1860"/>
      <c r="G65" s="1860"/>
      <c r="H65" s="1860"/>
      <c r="I65" s="1860"/>
      <c r="J65" s="753"/>
      <c r="K65" s="1861"/>
      <c r="L65" s="1861"/>
      <c r="M65" s="1861"/>
      <c r="N65" s="1861"/>
      <c r="O65" s="1861"/>
      <c r="P65" s="1861"/>
      <c r="Q65" s="1861"/>
      <c r="R65" s="1861"/>
      <c r="S65" s="1861"/>
      <c r="T65" s="1861"/>
      <c r="U65" s="1861"/>
      <c r="V65" s="1861"/>
      <c r="W65" s="1861"/>
      <c r="X65" s="748"/>
      <c r="Y65" s="1862"/>
      <c r="Z65" s="493"/>
      <c r="AA65" s="1863"/>
      <c r="AB65" s="493"/>
      <c r="AC65" s="1864"/>
      <c r="AD65" s="1864"/>
      <c r="AE65" s="1864"/>
      <c r="AF65" s="1864"/>
      <c r="AG65" s="1865"/>
      <c r="AH65" s="1866"/>
      <c r="AI65" s="1867"/>
    </row>
    <row r="66" spans="1:35">
      <c r="A66" s="1859" t="s">
        <v>2479</v>
      </c>
      <c r="B66" s="1859" t="s">
        <v>2480</v>
      </c>
      <c r="C66" s="1860" t="s">
        <v>2400</v>
      </c>
      <c r="D66" s="750"/>
      <c r="E66" s="1860">
        <v>280349</v>
      </c>
      <c r="F66" s="1860">
        <v>228.3</v>
      </c>
      <c r="G66" s="1860">
        <v>0</v>
      </c>
      <c r="H66" s="1860">
        <v>501106</v>
      </c>
      <c r="I66" s="1860">
        <v>426.5</v>
      </c>
      <c r="J66" s="753"/>
      <c r="K66" s="1861">
        <v>-1.6904749999999999</v>
      </c>
      <c r="L66" s="1861">
        <v>-1.7076910000000001</v>
      </c>
      <c r="M66" s="1861">
        <v>-1.6699839999999999</v>
      </c>
      <c r="N66" s="1861">
        <v>-1.6666069999999999</v>
      </c>
      <c r="O66" s="1861">
        <v>-1.657427</v>
      </c>
      <c r="P66" s="1861">
        <v>-1.657427</v>
      </c>
      <c r="Q66" s="1861">
        <v>-1.650782</v>
      </c>
      <c r="R66" s="1861">
        <v>-1.642136</v>
      </c>
      <c r="S66" s="1861">
        <v>-1.642136</v>
      </c>
      <c r="T66" s="1861">
        <v>-1.6390180000000001</v>
      </c>
      <c r="U66" s="1861">
        <v>-1.630563</v>
      </c>
      <c r="V66" s="1861">
        <v>-1.622425</v>
      </c>
      <c r="W66" s="1861">
        <v>-1.6159140000000001</v>
      </c>
      <c r="X66" s="748"/>
      <c r="Y66" s="1862">
        <f t="shared" si="0"/>
        <v>-1.6532757692307691</v>
      </c>
      <c r="Z66" s="493"/>
      <c r="AA66" s="1863" t="s">
        <v>1142</v>
      </c>
      <c r="AB66" s="493"/>
      <c r="AC66" s="1864" t="str">
        <f t="shared" si="2"/>
        <v/>
      </c>
      <c r="AD66" s="1864" t="str">
        <f t="shared" si="2"/>
        <v/>
      </c>
      <c r="AE66" s="1864" t="str">
        <f t="shared" si="2"/>
        <v/>
      </c>
      <c r="AF66" s="1864">
        <f t="shared" si="2"/>
        <v>-1.6532757692307691</v>
      </c>
      <c r="AG66" s="1865"/>
      <c r="AH66" s="1866"/>
      <c r="AI66" s="1867"/>
    </row>
    <row r="67" spans="1:35">
      <c r="A67" s="1859" t="s">
        <v>2481</v>
      </c>
      <c r="B67" s="1859" t="s">
        <v>2482</v>
      </c>
      <c r="C67" s="1860" t="s">
        <v>2400</v>
      </c>
      <c r="D67" s="750"/>
      <c r="E67" s="1860">
        <v>280350</v>
      </c>
      <c r="F67" s="1860">
        <v>228.35</v>
      </c>
      <c r="G67" s="1860">
        <v>0</v>
      </c>
      <c r="H67" s="1860">
        <v>501105</v>
      </c>
      <c r="I67" s="1860" t="s">
        <v>2458</v>
      </c>
      <c r="J67" s="753"/>
      <c r="K67" s="1861">
        <v>-0.57699999999999996</v>
      </c>
      <c r="L67" s="1861">
        <v>-1.1539999999999999</v>
      </c>
      <c r="M67" s="1861">
        <v>-0.56999999999999995</v>
      </c>
      <c r="N67" s="1861">
        <v>-0.57099999999999995</v>
      </c>
      <c r="O67" s="1861">
        <v>-0.57299999999999995</v>
      </c>
      <c r="P67" s="1861">
        <v>-0.57399999999999995</v>
      </c>
      <c r="Q67" s="1861">
        <v>-0.57199999999999995</v>
      </c>
      <c r="R67" s="1861">
        <v>-0.56999999999999995</v>
      </c>
      <c r="S67" s="1861">
        <v>-0.56799999999999995</v>
      </c>
      <c r="T67" s="1861">
        <v>-0.56399999999999995</v>
      </c>
      <c r="U67" s="1861">
        <v>-0.56000000000000005</v>
      </c>
      <c r="V67" s="1861">
        <v>-0.55600000000000005</v>
      </c>
      <c r="W67" s="1861">
        <v>-0.55300000000000005</v>
      </c>
      <c r="X67" s="748"/>
      <c r="Y67" s="1862">
        <f t="shared" si="0"/>
        <v>-0.61246153846153839</v>
      </c>
      <c r="Z67" s="493"/>
      <c r="AA67" s="1863" t="s">
        <v>371</v>
      </c>
      <c r="AB67" s="493"/>
      <c r="AC67" s="1864" t="str">
        <f t="shared" si="2"/>
        <v/>
      </c>
      <c r="AD67" s="1864" t="str">
        <f t="shared" si="2"/>
        <v/>
      </c>
      <c r="AE67" s="1864">
        <f t="shared" si="2"/>
        <v>-0.61246153846153839</v>
      </c>
      <c r="AF67" s="1864" t="str">
        <f t="shared" si="2"/>
        <v/>
      </c>
      <c r="AG67" s="1865"/>
      <c r="AH67" s="1866"/>
      <c r="AI67" s="1867"/>
    </row>
    <row r="68" spans="1:35">
      <c r="A68" s="1859"/>
      <c r="B68" s="1859"/>
      <c r="C68" s="1860"/>
      <c r="D68" s="750"/>
      <c r="E68" s="1860"/>
      <c r="F68" s="1860"/>
      <c r="G68" s="1860"/>
      <c r="H68" s="1860"/>
      <c r="I68" s="1860"/>
      <c r="J68" s="797"/>
      <c r="K68" s="1861"/>
      <c r="L68" s="1861"/>
      <c r="M68" s="1861"/>
      <c r="N68" s="1861"/>
      <c r="O68" s="1861"/>
      <c r="P68" s="1861"/>
      <c r="Q68" s="1861"/>
      <c r="R68" s="1861"/>
      <c r="S68" s="1861"/>
      <c r="T68" s="1861"/>
      <c r="U68" s="1861"/>
      <c r="V68" s="1861"/>
      <c r="W68" s="1861"/>
      <c r="X68" s="581"/>
      <c r="Y68" s="1862"/>
      <c r="Z68" s="581"/>
      <c r="AA68" s="1863"/>
      <c r="AB68" s="581"/>
      <c r="AC68" s="1864"/>
      <c r="AD68" s="1864"/>
      <c r="AE68" s="1864"/>
      <c r="AF68" s="1864"/>
      <c r="AG68" s="518"/>
      <c r="AH68" s="565"/>
      <c r="AI68" s="1867"/>
    </row>
    <row r="69" spans="1:35">
      <c r="A69" s="1859" t="s">
        <v>401</v>
      </c>
      <c r="B69" s="1859" t="s">
        <v>2483</v>
      </c>
      <c r="C69" s="1860" t="s">
        <v>2400</v>
      </c>
      <c r="D69" s="750"/>
      <c r="E69" s="1860">
        <v>280465</v>
      </c>
      <c r="F69" s="1860">
        <v>228.35</v>
      </c>
      <c r="G69" s="1860">
        <v>0</v>
      </c>
      <c r="H69" s="1860">
        <v>501115</v>
      </c>
      <c r="I69" s="1860" t="s">
        <v>2484</v>
      </c>
      <c r="J69" s="797"/>
      <c r="K69" s="1861">
        <v>-52.755205789999998</v>
      </c>
      <c r="L69" s="1861">
        <v>-0.52565940639999997</v>
      </c>
      <c r="M69" s="1861">
        <v>-52.376675489999997</v>
      </c>
      <c r="N69" s="1861">
        <v>-52.18741034</v>
      </c>
      <c r="O69" s="1861">
        <v>-51.996785189999997</v>
      </c>
      <c r="P69" s="1861">
        <v>-51.810142040000002</v>
      </c>
      <c r="Q69" s="1861">
        <v>-51.621750890000001</v>
      </c>
      <c r="R69" s="1861">
        <v>-51.431999740000002</v>
      </c>
      <c r="S69" s="1861">
        <v>-51.243608590000001</v>
      </c>
      <c r="T69" s="1861">
        <v>-51.05521744</v>
      </c>
      <c r="U69" s="1861">
        <v>-50.866826289999999</v>
      </c>
      <c r="V69" s="1861">
        <v>-50.678435139999998</v>
      </c>
      <c r="W69" s="1861">
        <v>-55.608052999999998</v>
      </c>
      <c r="X69" s="581"/>
      <c r="Y69" s="1862">
        <f t="shared" si="0"/>
        <v>-48.012136103569226</v>
      </c>
      <c r="Z69" s="581"/>
      <c r="AA69" s="1863" t="s">
        <v>371</v>
      </c>
      <c r="AB69" s="581"/>
      <c r="AC69" s="1864" t="str">
        <f t="shared" si="2"/>
        <v/>
      </c>
      <c r="AD69" s="1864" t="str">
        <f t="shared" si="2"/>
        <v/>
      </c>
      <c r="AE69" s="1864">
        <f t="shared" si="2"/>
        <v>-48.012136103569226</v>
      </c>
      <c r="AF69" s="1864" t="str">
        <f t="shared" si="2"/>
        <v/>
      </c>
      <c r="AG69" s="518"/>
      <c r="AH69" s="565"/>
      <c r="AI69" s="1867"/>
    </row>
    <row r="70" spans="1:35" ht="38.25">
      <c r="A70" s="1859" t="s">
        <v>2485</v>
      </c>
      <c r="B70" s="1859" t="s">
        <v>2483</v>
      </c>
      <c r="C70" s="1860" t="s">
        <v>2486</v>
      </c>
      <c r="D70" s="750"/>
      <c r="E70" s="1860">
        <v>299107</v>
      </c>
      <c r="F70" s="1860">
        <v>219</v>
      </c>
      <c r="G70" s="1860">
        <v>0</v>
      </c>
      <c r="H70" s="1860">
        <v>0</v>
      </c>
      <c r="I70" s="1860">
        <v>0</v>
      </c>
      <c r="J70" s="797"/>
      <c r="K70" s="1861">
        <v>16.754372</v>
      </c>
      <c r="L70" s="1861">
        <v>16.690493669999999</v>
      </c>
      <c r="M70" s="1861">
        <v>16.626615340000001</v>
      </c>
      <c r="N70" s="1861">
        <v>16.562737009999999</v>
      </c>
      <c r="O70" s="1861">
        <v>16.498858680000001</v>
      </c>
      <c r="P70" s="1861">
        <v>16.43498035</v>
      </c>
      <c r="Q70" s="1861">
        <v>16.371102019999999</v>
      </c>
      <c r="R70" s="1861">
        <v>16.307223690000001</v>
      </c>
      <c r="S70" s="1861">
        <v>16.243345359999999</v>
      </c>
      <c r="T70" s="1861">
        <v>-16.179467030000001</v>
      </c>
      <c r="U70" s="1861">
        <v>-16.1155887</v>
      </c>
      <c r="V70" s="1861">
        <v>-16.051710369999999</v>
      </c>
      <c r="W70" s="1861">
        <v>-21.105841049999999</v>
      </c>
      <c r="X70" s="581"/>
      <c r="Y70" s="1862">
        <f t="shared" si="0"/>
        <v>6.079778536153845</v>
      </c>
      <c r="Z70" s="581"/>
      <c r="AA70" s="1863" t="s">
        <v>371</v>
      </c>
      <c r="AB70" s="581"/>
      <c r="AC70" s="1864" t="str">
        <f t="shared" si="2"/>
        <v/>
      </c>
      <c r="AD70" s="1864" t="str">
        <f t="shared" si="2"/>
        <v/>
      </c>
      <c r="AE70" s="1864">
        <f t="shared" si="2"/>
        <v>6.079778536153845</v>
      </c>
      <c r="AF70" s="1864" t="str">
        <f t="shared" si="2"/>
        <v/>
      </c>
      <c r="AG70" s="518"/>
      <c r="AH70" s="565"/>
      <c r="AI70" s="1867"/>
    </row>
    <row r="71" spans="1:35">
      <c r="A71" s="1859"/>
      <c r="B71" s="1859"/>
      <c r="C71" s="1860"/>
      <c r="D71" s="750"/>
      <c r="E71" s="1860"/>
      <c r="F71" s="1860"/>
      <c r="G71" s="1860"/>
      <c r="H71" s="1860"/>
      <c r="I71" s="1860"/>
      <c r="J71" s="797"/>
      <c r="K71" s="1861"/>
      <c r="L71" s="1861"/>
      <c r="M71" s="1861"/>
      <c r="N71" s="1861"/>
      <c r="O71" s="1861"/>
      <c r="P71" s="1861"/>
      <c r="Q71" s="1861"/>
      <c r="R71" s="1861"/>
      <c r="S71" s="1861"/>
      <c r="T71" s="1861"/>
      <c r="U71" s="1861"/>
      <c r="V71" s="1861"/>
      <c r="W71" s="1861"/>
      <c r="X71" s="581"/>
      <c r="Y71" s="1862"/>
      <c r="Z71" s="581"/>
      <c r="AA71" s="1863"/>
      <c r="AB71" s="581"/>
      <c r="AC71" s="1864"/>
      <c r="AD71" s="1864"/>
      <c r="AE71" s="1864"/>
      <c r="AF71" s="1864"/>
      <c r="AG71" s="518"/>
      <c r="AH71" s="565"/>
      <c r="AI71" s="1867"/>
    </row>
    <row r="72" spans="1:35">
      <c r="A72" s="1859" t="s">
        <v>2487</v>
      </c>
      <c r="B72" s="1859" t="s">
        <v>2488</v>
      </c>
      <c r="C72" s="1860" t="s">
        <v>2400</v>
      </c>
      <c r="D72" s="750"/>
      <c r="E72" s="1860">
        <v>280330</v>
      </c>
      <c r="F72" s="1860">
        <v>228.3</v>
      </c>
      <c r="G72" s="1860">
        <v>0</v>
      </c>
      <c r="H72" s="1860">
        <v>501160</v>
      </c>
      <c r="I72" s="1860">
        <v>920</v>
      </c>
      <c r="J72" s="797"/>
      <c r="K72" s="1861">
        <v>-25.954632</v>
      </c>
      <c r="L72" s="1861">
        <v>-25.738385919999999</v>
      </c>
      <c r="M72" s="1861">
        <v>-25.751515950000002</v>
      </c>
      <c r="N72" s="1861">
        <v>-25.867502529999999</v>
      </c>
      <c r="O72" s="1861">
        <v>-27.552405409999999</v>
      </c>
      <c r="P72" s="1861">
        <v>-27.430015180000002</v>
      </c>
      <c r="Q72" s="1861">
        <v>-27.751474049999999</v>
      </c>
      <c r="R72" s="1861">
        <v>-27.783613280000001</v>
      </c>
      <c r="S72" s="1861">
        <v>-28.076929230000001</v>
      </c>
      <c r="T72" s="1861">
        <v>-28.124818820000002</v>
      </c>
      <c r="U72" s="1861">
        <v>-28.201972510000001</v>
      </c>
      <c r="V72" s="1861">
        <v>-28.407836469999999</v>
      </c>
      <c r="W72" s="1861">
        <v>-28.318359999999998</v>
      </c>
      <c r="X72" s="581"/>
      <c r="Y72" s="1862">
        <f t="shared" si="0"/>
        <v>-27.304573949999998</v>
      </c>
      <c r="Z72" s="581"/>
      <c r="AA72" s="1863" t="s">
        <v>371</v>
      </c>
      <c r="AB72" s="581"/>
      <c r="AC72" s="1864" t="str">
        <f t="shared" si="2"/>
        <v/>
      </c>
      <c r="AD72" s="1864" t="str">
        <f t="shared" si="2"/>
        <v/>
      </c>
      <c r="AE72" s="1864">
        <f t="shared" si="2"/>
        <v>-27.304573949999998</v>
      </c>
      <c r="AF72" s="1864" t="str">
        <f t="shared" si="2"/>
        <v/>
      </c>
      <c r="AG72" s="518"/>
      <c r="AH72" s="565"/>
      <c r="AI72" s="1867"/>
    </row>
    <row r="73" spans="1:35">
      <c r="A73" s="1859" t="s">
        <v>2489</v>
      </c>
      <c r="B73" s="1859" t="s">
        <v>2488</v>
      </c>
      <c r="C73" s="1860" t="s">
        <v>2400</v>
      </c>
      <c r="D73" s="750"/>
      <c r="E73" s="1860">
        <v>280490</v>
      </c>
      <c r="F73" s="1860">
        <v>228.3</v>
      </c>
      <c r="G73" s="1860">
        <v>0</v>
      </c>
      <c r="H73" s="1860">
        <v>501160</v>
      </c>
      <c r="I73" s="1860">
        <v>920</v>
      </c>
      <c r="J73" s="797"/>
      <c r="K73" s="1861">
        <v>-2.6633119999999999</v>
      </c>
      <c r="L73" s="1861">
        <v>-2.6662181899999999</v>
      </c>
      <c r="M73" s="1861">
        <v>-2.6711087600000001</v>
      </c>
      <c r="N73" s="1861">
        <v>-2.6638440399999999</v>
      </c>
      <c r="O73" s="1861">
        <v>-2.65612812</v>
      </c>
      <c r="P73" s="1861">
        <v>-2.6572148499999999</v>
      </c>
      <c r="Q73" s="1861">
        <v>-2.65851332</v>
      </c>
      <c r="R73" s="1861">
        <v>-2.6322545700000002</v>
      </c>
      <c r="S73" s="1861">
        <v>-2.5739003399999998</v>
      </c>
      <c r="T73" s="1861">
        <v>-2.5539070499999998</v>
      </c>
      <c r="U73" s="1861">
        <v>-2.53620109</v>
      </c>
      <c r="V73" s="1861">
        <v>-2.47251055</v>
      </c>
      <c r="W73" s="1861">
        <v>-2.483781</v>
      </c>
      <c r="X73" s="581"/>
      <c r="Y73" s="1862">
        <f t="shared" si="0"/>
        <v>-2.6068379907692307</v>
      </c>
      <c r="Z73" s="581"/>
      <c r="AA73" s="1863" t="s">
        <v>371</v>
      </c>
      <c r="AB73" s="581"/>
      <c r="AC73" s="1864" t="str">
        <f t="shared" si="2"/>
        <v/>
      </c>
      <c r="AD73" s="1864" t="str">
        <f t="shared" si="2"/>
        <v/>
      </c>
      <c r="AE73" s="1864">
        <f t="shared" si="2"/>
        <v>-2.6068379907692307</v>
      </c>
      <c r="AF73" s="1864" t="str">
        <f t="shared" si="2"/>
        <v/>
      </c>
      <c r="AG73" s="518"/>
      <c r="AH73" s="565"/>
      <c r="AI73" s="1867"/>
    </row>
    <row r="74" spans="1:35">
      <c r="A74" s="1868" t="s">
        <v>1585</v>
      </c>
      <c r="B74" s="1869"/>
      <c r="C74" s="1869"/>
      <c r="D74" s="750"/>
      <c r="E74" s="1870"/>
      <c r="F74" s="1870"/>
      <c r="G74" s="1870"/>
      <c r="H74" s="1870"/>
      <c r="I74" s="1870"/>
      <c r="J74" s="1870"/>
      <c r="K74" s="1871">
        <f>SUM(K8:K73)</f>
        <v>-160.35922468000001</v>
      </c>
      <c r="L74" s="1871">
        <f t="shared" ref="L74:W74" si="3">SUM(L8:L73)</f>
        <v>-113.37906098640001</v>
      </c>
      <c r="M74" s="1871">
        <f t="shared" si="3"/>
        <v>-169.19625328999999</v>
      </c>
      <c r="N74" s="1871">
        <f t="shared" si="3"/>
        <v>-186.51238967999996</v>
      </c>
      <c r="O74" s="1871">
        <f t="shared" si="3"/>
        <v>-193.30299552999998</v>
      </c>
      <c r="P74" s="1871">
        <f t="shared" si="3"/>
        <v>-195.96145640000003</v>
      </c>
      <c r="Q74" s="1871">
        <f t="shared" si="3"/>
        <v>-210.55195219000001</v>
      </c>
      <c r="R74" s="1871">
        <f t="shared" si="3"/>
        <v>-205.45309941999997</v>
      </c>
      <c r="S74" s="1871">
        <f t="shared" si="3"/>
        <v>-207.79536522000001</v>
      </c>
      <c r="T74" s="1871">
        <f t="shared" si="3"/>
        <v>-245.61476964000002</v>
      </c>
      <c r="U74" s="1871">
        <f t="shared" si="3"/>
        <v>-235.80852065999997</v>
      </c>
      <c r="V74" s="1871">
        <f t="shared" si="3"/>
        <v>-235.41086054999997</v>
      </c>
      <c r="W74" s="1871">
        <f t="shared" si="3"/>
        <v>-248.45384157999999</v>
      </c>
      <c r="X74" s="1872"/>
      <c r="Y74" s="1873">
        <f>ROUND(SUM(K74+W74)/2,4)</f>
        <v>-204.40649999999999</v>
      </c>
      <c r="Z74" s="1872"/>
      <c r="AA74" s="1872"/>
      <c r="AB74" s="1872"/>
      <c r="AC74" s="1874">
        <f>SUM(AC8:AC73)</f>
        <v>-1.1578392692307693</v>
      </c>
      <c r="AD74" s="1874">
        <f t="shared" ref="AD74:AF74" si="4">SUM(AD8:AD73)</f>
        <v>0</v>
      </c>
      <c r="AE74" s="1874">
        <f t="shared" si="4"/>
        <v>-137.64242763356924</v>
      </c>
      <c r="AF74" s="1874">
        <f t="shared" si="4"/>
        <v>-61.799716929999995</v>
      </c>
      <c r="AG74" s="1872"/>
      <c r="AH74" s="1866"/>
      <c r="AI74" s="740"/>
    </row>
    <row r="75" spans="1:35">
      <c r="A75" s="1875"/>
      <c r="B75" s="615"/>
      <c r="C75" s="615"/>
      <c r="D75" s="591"/>
      <c r="E75" s="591"/>
      <c r="F75" s="591"/>
      <c r="G75" s="591"/>
      <c r="H75" s="591"/>
      <c r="I75" s="591"/>
      <c r="J75" s="591"/>
      <c r="K75" s="1841"/>
      <c r="L75" s="1841"/>
      <c r="M75" s="1841"/>
      <c r="N75" s="1841"/>
      <c r="O75" s="1841"/>
      <c r="P75" s="1841"/>
      <c r="Q75" s="1841"/>
      <c r="R75" s="1841"/>
      <c r="S75" s="1841"/>
      <c r="T75" s="1841"/>
      <c r="U75" s="1841"/>
      <c r="V75" s="1841"/>
      <c r="W75" s="1841"/>
      <c r="X75" s="487"/>
      <c r="Y75" s="487"/>
      <c r="Z75" s="487"/>
      <c r="AA75" s="487"/>
      <c r="AB75" s="487"/>
      <c r="AC75" s="1876"/>
      <c r="AD75" s="1876"/>
      <c r="AE75" s="1876"/>
      <c r="AF75" s="1876"/>
      <c r="AG75" s="1865"/>
      <c r="AH75" s="487"/>
      <c r="AI75" s="474"/>
    </row>
    <row r="76" spans="1:35">
      <c r="A76" s="1875"/>
      <c r="B76" s="615"/>
      <c r="C76" s="615"/>
      <c r="D76" s="591"/>
      <c r="E76" s="591"/>
      <c r="F76" s="591"/>
      <c r="G76" s="591"/>
      <c r="H76" s="591"/>
      <c r="I76" s="591"/>
      <c r="J76" s="591"/>
      <c r="K76" s="1841"/>
      <c r="L76" s="1841"/>
      <c r="M76" s="1841"/>
      <c r="N76" s="1841"/>
      <c r="O76" s="1841"/>
      <c r="P76" s="1841"/>
      <c r="Q76" s="1841"/>
      <c r="R76" s="1841"/>
      <c r="S76" s="1841"/>
      <c r="T76" s="1841"/>
      <c r="U76" s="1841"/>
      <c r="V76" s="1841"/>
      <c r="W76" s="1841"/>
      <c r="X76" s="487"/>
      <c r="Y76" s="1841"/>
      <c r="Z76" s="487"/>
      <c r="AA76" s="487"/>
      <c r="AB76" s="487"/>
      <c r="AC76" s="474"/>
      <c r="AD76" s="474"/>
      <c r="AE76" s="1841"/>
      <c r="AF76" s="1841"/>
      <c r="AG76" s="1865"/>
      <c r="AH76" s="487"/>
      <c r="AI76" s="474"/>
    </row>
    <row r="77" spans="1:35">
      <c r="A77" s="1875"/>
      <c r="B77" s="615"/>
      <c r="C77" s="615"/>
      <c r="D77" s="591"/>
      <c r="E77" s="591"/>
      <c r="F77" s="591"/>
      <c r="G77" s="591"/>
      <c r="H77" s="591"/>
      <c r="I77" s="591"/>
      <c r="J77" s="591"/>
      <c r="K77" s="1841"/>
      <c r="L77" s="1841"/>
      <c r="M77" s="1841"/>
      <c r="N77" s="1841"/>
      <c r="O77" s="1841"/>
      <c r="P77" s="1841"/>
      <c r="Q77" s="1841"/>
      <c r="R77" s="1841"/>
      <c r="S77" s="1841"/>
      <c r="T77" s="1841"/>
      <c r="U77" s="1841"/>
      <c r="V77" s="1841"/>
      <c r="W77" s="1842"/>
      <c r="X77" s="487"/>
      <c r="Y77" s="487"/>
      <c r="Z77" s="487"/>
      <c r="AA77" s="1877" t="s">
        <v>13</v>
      </c>
      <c r="AB77" s="1877"/>
      <c r="AC77" s="1878">
        <v>1</v>
      </c>
      <c r="AD77" s="1879">
        <f>Allocator.gross.plant</f>
        <v>0.23445953113573914</v>
      </c>
      <c r="AE77" s="1879">
        <f>Allocator.wages.salary</f>
        <v>8.414504158513228E-2</v>
      </c>
      <c r="AF77" s="1879">
        <v>0</v>
      </c>
      <c r="AG77" s="487"/>
      <c r="AH77" s="487"/>
      <c r="AI77" s="474"/>
    </row>
    <row r="78" spans="1:35">
      <c r="A78" s="1875"/>
      <c r="B78" s="615"/>
      <c r="C78" s="615"/>
      <c r="D78" s="591"/>
      <c r="E78" s="591"/>
      <c r="F78" s="591"/>
      <c r="G78" s="591"/>
      <c r="H78" s="591"/>
      <c r="I78" s="591"/>
      <c r="J78" s="591"/>
      <c r="K78" s="1841"/>
      <c r="L78" s="1841"/>
      <c r="M78" s="1841"/>
      <c r="N78" s="1841"/>
      <c r="O78" s="1841"/>
      <c r="P78" s="1841"/>
      <c r="Q78" s="1841"/>
      <c r="R78" s="1841"/>
      <c r="S78" s="1841"/>
      <c r="T78" s="1841"/>
      <c r="U78" s="1841"/>
      <c r="V78" s="1841"/>
      <c r="W78" s="1842"/>
      <c r="X78" s="487"/>
      <c r="Y78" s="487"/>
      <c r="Z78" s="487"/>
      <c r="AA78" s="1877" t="s">
        <v>1586</v>
      </c>
      <c r="AB78" s="1877"/>
      <c r="AC78" s="1880">
        <f>AC74*AC77</f>
        <v>-1.1578392692307693</v>
      </c>
      <c r="AD78" s="1881">
        <f>AD74*AD77</f>
        <v>0</v>
      </c>
      <c r="AE78" s="1881">
        <f>AE74*AE77</f>
        <v>-11.581927797105244</v>
      </c>
      <c r="AF78" s="1881">
        <f>AF74*AF77</f>
        <v>0</v>
      </c>
      <c r="AG78" s="1882">
        <f>SUM(AC78:AF78)</f>
        <v>-12.739767066336015</v>
      </c>
      <c r="AH78" s="474"/>
      <c r="AI78" s="474"/>
    </row>
    <row r="79" spans="1:35">
      <c r="A79" s="1875"/>
      <c r="B79" s="615"/>
      <c r="C79" s="615"/>
      <c r="D79" s="591"/>
      <c r="E79" s="591"/>
      <c r="F79" s="591"/>
      <c r="G79" s="591"/>
      <c r="H79" s="591"/>
      <c r="I79" s="591"/>
      <c r="J79" s="591"/>
      <c r="K79" s="1841"/>
      <c r="L79" s="1841"/>
      <c r="M79" s="1841"/>
      <c r="N79" s="1841"/>
      <c r="O79" s="1841"/>
      <c r="P79" s="1841"/>
      <c r="Q79" s="1841"/>
      <c r="R79" s="1841"/>
      <c r="S79" s="1841"/>
      <c r="T79" s="1841"/>
      <c r="U79" s="1841"/>
      <c r="V79" s="1841"/>
      <c r="W79" s="1842"/>
      <c r="X79" s="487"/>
      <c r="Y79" s="487"/>
      <c r="Z79" s="487"/>
      <c r="AA79" s="1877"/>
      <c r="AB79" s="1877"/>
      <c r="AC79" s="487"/>
      <c r="AD79" s="1883"/>
      <c r="AE79" s="1883"/>
      <c r="AF79" s="1883"/>
      <c r="AG79" s="1883"/>
      <c r="AH79" s="474"/>
      <c r="AI79" s="474"/>
    </row>
    <row r="80" spans="1:35">
      <c r="A80" s="1875"/>
      <c r="B80" s="615"/>
      <c r="C80" s="615"/>
      <c r="D80" s="591"/>
      <c r="E80" s="591"/>
      <c r="F80" s="591"/>
      <c r="G80" s="591"/>
      <c r="H80" s="591"/>
      <c r="I80" s="591"/>
      <c r="J80" s="591"/>
      <c r="K80" s="1841"/>
      <c r="L80" s="1841"/>
      <c r="M80" s="1841"/>
      <c r="N80" s="1841"/>
      <c r="O80" s="1841"/>
      <c r="P80" s="1841"/>
      <c r="Q80" s="1841"/>
      <c r="R80" s="1841"/>
      <c r="S80" s="1841"/>
      <c r="T80" s="1841"/>
      <c r="U80" s="1841"/>
      <c r="V80" s="1841"/>
      <c r="W80" s="1842"/>
      <c r="X80" s="487"/>
      <c r="Y80" s="487"/>
      <c r="Z80" s="487"/>
      <c r="AA80" s="1884" t="s">
        <v>1034</v>
      </c>
      <c r="AB80" s="1877"/>
      <c r="AC80" s="1865"/>
      <c r="AD80" s="1865"/>
      <c r="AE80" s="1885"/>
      <c r="AF80" s="1865"/>
      <c r="AG80" s="1886">
        <f>AG78*10^6</f>
        <v>-12739767.066336015</v>
      </c>
      <c r="AH80" s="474"/>
      <c r="AI80" s="474"/>
    </row>
    <row r="81" spans="1:35">
      <c r="A81" s="1887"/>
      <c r="B81" s="1888"/>
      <c r="C81" s="1888"/>
      <c r="D81" s="1889"/>
      <c r="E81" s="1889"/>
      <c r="F81" s="1889"/>
      <c r="G81" s="1889"/>
      <c r="H81" s="1889"/>
      <c r="I81" s="1889"/>
      <c r="J81" s="1889"/>
      <c r="K81" s="1890"/>
      <c r="L81" s="1890"/>
      <c r="M81" s="1890"/>
      <c r="N81" s="1890"/>
      <c r="O81" s="1890"/>
      <c r="P81" s="1890"/>
      <c r="Q81" s="1890"/>
      <c r="R81" s="1890"/>
      <c r="S81" s="1890"/>
      <c r="T81" s="1890"/>
      <c r="U81" s="1890"/>
      <c r="V81" s="1890"/>
      <c r="W81" s="1891"/>
      <c r="X81" s="474"/>
      <c r="Y81" s="474"/>
      <c r="Z81" s="474"/>
      <c r="AA81" s="474"/>
      <c r="AB81" s="474"/>
      <c r="AC81" s="474"/>
      <c r="AD81" s="474"/>
      <c r="AE81" s="474"/>
      <c r="AF81" s="474"/>
      <c r="AG81" s="474"/>
      <c r="AH81" s="474"/>
      <c r="AI81" s="474"/>
    </row>
    <row r="82" spans="1:35">
      <c r="A82" s="1887"/>
      <c r="B82" s="1888"/>
      <c r="C82" s="1888"/>
      <c r="D82" s="1889"/>
      <c r="E82" s="1889"/>
      <c r="F82" s="1889"/>
      <c r="G82" s="1889"/>
      <c r="H82" s="1889"/>
      <c r="I82" s="1889"/>
      <c r="J82" s="1889"/>
      <c r="K82" s="1890"/>
      <c r="L82" s="1890"/>
      <c r="M82" s="1890"/>
      <c r="N82" s="1890"/>
      <c r="O82" s="1890"/>
      <c r="P82" s="1890"/>
      <c r="Q82" s="1890"/>
      <c r="R82" s="1890"/>
      <c r="S82" s="1890"/>
      <c r="T82" s="1890"/>
      <c r="U82" s="1890"/>
      <c r="V82" s="1890"/>
      <c r="W82" s="1891"/>
      <c r="X82" s="474"/>
      <c r="Y82" s="474"/>
      <c r="Z82" s="474"/>
      <c r="AA82" s="474"/>
      <c r="AB82" s="474"/>
      <c r="AC82" s="474"/>
      <c r="AD82" s="474"/>
      <c r="AE82" s="474"/>
      <c r="AF82" s="474"/>
      <c r="AG82" s="474"/>
      <c r="AH82" s="474"/>
      <c r="AI82" s="474"/>
    </row>
    <row r="83" spans="1:35">
      <c r="A83" s="1887"/>
      <c r="B83" s="1888"/>
      <c r="C83" s="1888"/>
      <c r="D83" s="1889"/>
      <c r="E83" s="1889"/>
      <c r="F83" s="1889"/>
      <c r="G83" s="1889"/>
      <c r="H83" s="1889"/>
      <c r="I83" s="1889"/>
      <c r="J83" s="1889"/>
      <c r="K83" s="1890"/>
      <c r="L83" s="1890"/>
      <c r="M83" s="1890"/>
      <c r="N83" s="1890"/>
      <c r="O83" s="1890"/>
      <c r="P83" s="1890"/>
      <c r="Q83" s="1890"/>
      <c r="R83" s="1890"/>
      <c r="S83" s="1890"/>
      <c r="T83" s="1890"/>
      <c r="U83" s="1890"/>
      <c r="V83" s="1890"/>
      <c r="W83" s="1891"/>
      <c r="X83" s="474"/>
      <c r="Y83" s="474"/>
      <c r="Z83" s="474"/>
      <c r="AA83" s="474"/>
      <c r="AB83" s="474"/>
      <c r="AC83" s="474"/>
      <c r="AD83" s="474"/>
      <c r="AE83" s="474"/>
      <c r="AF83" s="474"/>
      <c r="AG83" s="474"/>
      <c r="AH83" s="474"/>
      <c r="AI83" s="474"/>
    </row>
    <row r="84" spans="1:35">
      <c r="A84" s="1887"/>
      <c r="B84" s="1888"/>
      <c r="C84" s="1888"/>
      <c r="D84" s="1889"/>
      <c r="E84" s="1889"/>
      <c r="F84" s="1889"/>
      <c r="G84" s="1889"/>
      <c r="H84" s="1889"/>
      <c r="I84" s="1889"/>
      <c r="J84" s="1889"/>
      <c r="K84" s="1890"/>
      <c r="L84" s="1890"/>
      <c r="M84" s="1890"/>
      <c r="N84" s="1890"/>
      <c r="O84" s="1890"/>
      <c r="P84" s="1890"/>
      <c r="Q84" s="1890"/>
      <c r="R84" s="1890"/>
      <c r="S84" s="1890"/>
      <c r="T84" s="1890"/>
      <c r="U84" s="1890"/>
      <c r="V84" s="1890"/>
      <c r="W84" s="1891"/>
      <c r="X84" s="474"/>
      <c r="Y84" s="474"/>
      <c r="Z84" s="474"/>
      <c r="AA84" s="474"/>
      <c r="AB84" s="474"/>
      <c r="AC84" s="474"/>
      <c r="AD84" s="474"/>
      <c r="AE84" s="474"/>
      <c r="AF84" s="474"/>
      <c r="AG84" s="474"/>
      <c r="AH84" s="474"/>
      <c r="AI84" s="474"/>
    </row>
    <row r="85" spans="1:35">
      <c r="A85" s="1887"/>
      <c r="B85" s="1888"/>
      <c r="C85" s="1888"/>
      <c r="D85" s="1889"/>
      <c r="E85" s="1889"/>
      <c r="F85" s="1889"/>
      <c r="G85" s="1889"/>
      <c r="H85" s="1889"/>
      <c r="I85" s="1889"/>
      <c r="J85" s="1889"/>
      <c r="K85" s="1890"/>
      <c r="L85" s="1890"/>
      <c r="M85" s="1890"/>
      <c r="N85" s="1890"/>
      <c r="O85" s="1890"/>
      <c r="P85" s="1890"/>
      <c r="Q85" s="1890"/>
      <c r="R85" s="1890"/>
      <c r="S85" s="1890"/>
      <c r="T85" s="1890"/>
      <c r="U85" s="1890"/>
      <c r="V85" s="1890"/>
      <c r="W85" s="1891"/>
      <c r="X85" s="474"/>
      <c r="Y85" s="474"/>
      <c r="Z85" s="474"/>
      <c r="AA85" s="474"/>
      <c r="AB85" s="474"/>
      <c r="AC85" s="474"/>
      <c r="AD85" s="474"/>
      <c r="AE85" s="474"/>
      <c r="AF85" s="474"/>
      <c r="AG85" s="474"/>
      <c r="AH85" s="474"/>
      <c r="AI85" s="474"/>
    </row>
    <row r="86" spans="1:35">
      <c r="A86" s="1892"/>
      <c r="B86" s="1893"/>
      <c r="C86" s="1893"/>
      <c r="D86" s="1894"/>
      <c r="E86" s="1894"/>
      <c r="F86" s="1894"/>
      <c r="G86" s="1894"/>
      <c r="H86" s="1894"/>
      <c r="I86" s="1894"/>
      <c r="J86" s="1894"/>
      <c r="K86" s="1890"/>
      <c r="L86" s="1890"/>
      <c r="M86" s="1890"/>
      <c r="N86" s="1890"/>
      <c r="O86" s="1890"/>
      <c r="P86" s="1890"/>
      <c r="Q86" s="1890"/>
      <c r="R86" s="1890"/>
      <c r="S86" s="1890"/>
      <c r="T86" s="1890"/>
      <c r="U86" s="1890"/>
      <c r="V86" s="1890"/>
      <c r="W86" s="1891"/>
      <c r="X86" s="474"/>
      <c r="Y86" s="474"/>
      <c r="Z86" s="474"/>
      <c r="AA86" s="474"/>
      <c r="AB86" s="474"/>
      <c r="AC86" s="474"/>
      <c r="AD86" s="474"/>
      <c r="AE86" s="474"/>
      <c r="AF86" s="474"/>
      <c r="AG86" s="474"/>
      <c r="AH86" s="474"/>
      <c r="AI86" s="474"/>
    </row>
    <row r="87" spans="1:35">
      <c r="A87" s="1892"/>
      <c r="B87" s="1893"/>
      <c r="C87" s="1893"/>
      <c r="D87" s="1894"/>
      <c r="E87" s="1894"/>
      <c r="F87" s="1894"/>
      <c r="G87" s="1894"/>
      <c r="H87" s="1894"/>
      <c r="I87" s="1894"/>
      <c r="J87" s="1894"/>
      <c r="K87" s="1890"/>
      <c r="L87" s="1890"/>
      <c r="M87" s="1890"/>
      <c r="N87" s="1890"/>
      <c r="O87" s="1890"/>
      <c r="P87" s="1890"/>
      <c r="Q87" s="1890"/>
      <c r="R87" s="1890"/>
      <c r="S87" s="1890"/>
      <c r="T87" s="1890"/>
      <c r="U87" s="1890"/>
      <c r="V87" s="1890"/>
      <c r="W87" s="1891"/>
      <c r="X87" s="474"/>
      <c r="Y87" s="474"/>
      <c r="Z87" s="474"/>
      <c r="AA87" s="474"/>
      <c r="AB87" s="474"/>
      <c r="AC87" s="474"/>
      <c r="AD87" s="474"/>
      <c r="AE87" s="474"/>
      <c r="AF87" s="474"/>
      <c r="AG87" s="474"/>
      <c r="AH87" s="474"/>
      <c r="AI87" s="474"/>
    </row>
    <row r="88" spans="1:35">
      <c r="A88" s="1892"/>
      <c r="B88" s="1893"/>
      <c r="C88" s="1893"/>
      <c r="D88" s="1894"/>
      <c r="E88" s="1894"/>
      <c r="F88" s="1894"/>
      <c r="G88" s="1894"/>
      <c r="H88" s="1894"/>
      <c r="I88" s="1894"/>
      <c r="J88" s="1894"/>
      <c r="K88" s="1890"/>
      <c r="L88" s="1890"/>
      <c r="M88" s="1890"/>
      <c r="N88" s="1890"/>
      <c r="O88" s="1890"/>
      <c r="P88" s="1890"/>
      <c r="Q88" s="1890"/>
      <c r="R88" s="1890"/>
      <c r="S88" s="1890"/>
      <c r="T88" s="1890"/>
      <c r="U88" s="1890"/>
      <c r="V88" s="1890"/>
      <c r="W88" s="1891"/>
      <c r="X88" s="474"/>
      <c r="Y88" s="474"/>
      <c r="Z88" s="474"/>
      <c r="AA88" s="474"/>
      <c r="AB88" s="474"/>
      <c r="AC88" s="474"/>
      <c r="AD88" s="474"/>
      <c r="AE88" s="474"/>
      <c r="AF88" s="474"/>
      <c r="AG88" s="474"/>
      <c r="AH88" s="474"/>
      <c r="AI88" s="474"/>
    </row>
    <row r="89" spans="1:35">
      <c r="A89" s="1892"/>
      <c r="B89" s="1893"/>
      <c r="C89" s="1893"/>
      <c r="D89" s="1894"/>
      <c r="E89" s="1894"/>
      <c r="F89" s="1894"/>
      <c r="G89" s="1894"/>
      <c r="H89" s="1894"/>
      <c r="I89" s="1894"/>
      <c r="J89" s="1894"/>
      <c r="K89" s="1890"/>
      <c r="L89" s="1890"/>
      <c r="M89" s="1890"/>
      <c r="N89" s="1890"/>
      <c r="O89" s="1890"/>
      <c r="P89" s="1890"/>
      <c r="Q89" s="1890"/>
      <c r="R89" s="1890"/>
      <c r="S89" s="1890"/>
      <c r="T89" s="1890"/>
      <c r="U89" s="1890"/>
      <c r="V89" s="1890"/>
      <c r="W89" s="1891"/>
      <c r="X89" s="474"/>
      <c r="Y89" s="474"/>
      <c r="Z89" s="474"/>
      <c r="AA89" s="474"/>
      <c r="AB89" s="474"/>
      <c r="AC89" s="474"/>
      <c r="AD89" s="474"/>
      <c r="AE89" s="474"/>
      <c r="AF89" s="474"/>
      <c r="AG89" s="474"/>
      <c r="AH89" s="474"/>
      <c r="AI89" s="474"/>
    </row>
    <row r="90" spans="1:35">
      <c r="A90" s="1892"/>
      <c r="B90" s="1893"/>
      <c r="C90" s="1893"/>
      <c r="D90" s="1894"/>
      <c r="E90" s="1894"/>
      <c r="F90" s="1894"/>
      <c r="G90" s="1894"/>
      <c r="H90" s="1894"/>
      <c r="I90" s="1894"/>
      <c r="J90" s="1894"/>
      <c r="K90" s="1890"/>
      <c r="L90" s="1890"/>
      <c r="M90" s="1890"/>
      <c r="N90" s="1890"/>
      <c r="O90" s="1890"/>
      <c r="P90" s="1890"/>
      <c r="Q90" s="1890"/>
      <c r="R90" s="1890"/>
      <c r="S90" s="1890"/>
      <c r="T90" s="1890"/>
      <c r="U90" s="1890"/>
      <c r="V90" s="1890"/>
      <c r="W90" s="1891"/>
      <c r="X90" s="474"/>
      <c r="Y90" s="474"/>
      <c r="Z90" s="474"/>
      <c r="AA90" s="474"/>
      <c r="AB90" s="474"/>
      <c r="AC90" s="474"/>
      <c r="AD90" s="474"/>
      <c r="AE90" s="474"/>
      <c r="AF90" s="474"/>
      <c r="AG90" s="474"/>
      <c r="AH90" s="474"/>
      <c r="AI90" s="474"/>
    </row>
    <row r="91" spans="1:35">
      <c r="A91" s="1892"/>
      <c r="B91" s="1893"/>
      <c r="C91" s="1893"/>
      <c r="D91" s="1894"/>
      <c r="E91" s="1894"/>
      <c r="F91" s="1894"/>
      <c r="G91" s="1894"/>
      <c r="H91" s="1894"/>
      <c r="I91" s="1894"/>
      <c r="J91" s="1894"/>
      <c r="K91" s="1890"/>
      <c r="L91" s="1890"/>
      <c r="M91" s="1890"/>
      <c r="N91" s="1890"/>
      <c r="O91" s="1890"/>
      <c r="P91" s="1890"/>
      <c r="Q91" s="1890"/>
      <c r="R91" s="1890"/>
      <c r="S91" s="1890"/>
      <c r="T91" s="1890"/>
      <c r="U91" s="1890"/>
      <c r="V91" s="1890"/>
      <c r="W91" s="1891"/>
      <c r="X91" s="474"/>
      <c r="Y91" s="474"/>
      <c r="Z91" s="474"/>
      <c r="AA91" s="474"/>
      <c r="AB91" s="474"/>
      <c r="AC91" s="474"/>
      <c r="AD91" s="474"/>
      <c r="AE91" s="474"/>
      <c r="AF91" s="474"/>
      <c r="AG91" s="474"/>
      <c r="AH91" s="474"/>
      <c r="AI91" s="474"/>
    </row>
    <row r="92" spans="1:35">
      <c r="A92" s="1892"/>
      <c r="B92" s="1893"/>
      <c r="C92" s="1893"/>
      <c r="D92" s="1894"/>
      <c r="E92" s="1894"/>
      <c r="F92" s="1894"/>
      <c r="G92" s="1894"/>
      <c r="H92" s="1894"/>
      <c r="I92" s="1894"/>
      <c r="J92" s="1894"/>
      <c r="K92" s="1890"/>
      <c r="L92" s="1890"/>
      <c r="M92" s="1890"/>
      <c r="N92" s="1890"/>
      <c r="O92" s="1890"/>
      <c r="P92" s="1890"/>
      <c r="Q92" s="1890"/>
      <c r="R92" s="1890"/>
      <c r="S92" s="1890"/>
      <c r="T92" s="1890"/>
      <c r="U92" s="1890"/>
      <c r="V92" s="1890"/>
      <c r="W92" s="1891"/>
      <c r="X92" s="474"/>
      <c r="Y92" s="474"/>
      <c r="Z92" s="474"/>
      <c r="AA92" s="474"/>
      <c r="AB92" s="474"/>
      <c r="AC92" s="474"/>
      <c r="AD92" s="474"/>
      <c r="AE92" s="474"/>
      <c r="AF92" s="474"/>
      <c r="AG92" s="474"/>
      <c r="AH92" s="474"/>
      <c r="AI92" s="474"/>
    </row>
    <row r="93" spans="1:35">
      <c r="A93" s="1892"/>
      <c r="B93" s="1893"/>
      <c r="C93" s="1893"/>
      <c r="D93" s="1894"/>
      <c r="E93" s="1894"/>
      <c r="F93" s="1894"/>
      <c r="G93" s="1894"/>
      <c r="H93" s="1894"/>
      <c r="I93" s="1894"/>
      <c r="J93" s="1894"/>
      <c r="K93" s="1890"/>
      <c r="L93" s="1890"/>
      <c r="M93" s="1890"/>
      <c r="N93" s="1890"/>
      <c r="O93" s="1890"/>
      <c r="P93" s="1890"/>
      <c r="Q93" s="1890"/>
      <c r="R93" s="1890"/>
      <c r="S93" s="1890"/>
      <c r="T93" s="1890"/>
      <c r="U93" s="1890"/>
      <c r="V93" s="1890"/>
      <c r="W93" s="1891"/>
      <c r="X93" s="474"/>
      <c r="Y93" s="474"/>
      <c r="Z93" s="474"/>
      <c r="AA93" s="474"/>
      <c r="AB93" s="474"/>
      <c r="AC93" s="474"/>
      <c r="AD93" s="474"/>
      <c r="AE93" s="474"/>
      <c r="AF93" s="474"/>
      <c r="AG93" s="474"/>
      <c r="AH93" s="474"/>
      <c r="AI93" s="474"/>
    </row>
    <row r="94" spans="1:35">
      <c r="A94" s="1892"/>
      <c r="B94" s="1893"/>
      <c r="C94" s="1893"/>
      <c r="D94" s="1894"/>
      <c r="E94" s="1894"/>
      <c r="F94" s="1894"/>
      <c r="G94" s="1894"/>
      <c r="H94" s="1894"/>
      <c r="I94" s="1894"/>
      <c r="J94" s="1894"/>
      <c r="K94" s="1890"/>
      <c r="L94" s="1890"/>
      <c r="M94" s="1890"/>
      <c r="N94" s="1890"/>
      <c r="O94" s="1890"/>
      <c r="P94" s="1890"/>
      <c r="Q94" s="1890"/>
      <c r="R94" s="1890"/>
      <c r="S94" s="1890"/>
      <c r="T94" s="1890"/>
      <c r="U94" s="1890"/>
      <c r="V94" s="1890"/>
      <c r="W94" s="1891"/>
      <c r="X94" s="474"/>
      <c r="Y94" s="474"/>
      <c r="Z94" s="474"/>
      <c r="AA94" s="474"/>
      <c r="AB94" s="474"/>
      <c r="AC94" s="474"/>
      <c r="AD94" s="474"/>
      <c r="AE94" s="474"/>
      <c r="AF94" s="474"/>
      <c r="AG94" s="474"/>
      <c r="AH94" s="474"/>
      <c r="AI94" s="474"/>
    </row>
    <row r="95" spans="1:35">
      <c r="A95" s="1892"/>
      <c r="B95" s="1893"/>
      <c r="C95" s="1893"/>
      <c r="D95" s="1894"/>
      <c r="E95" s="1894"/>
      <c r="F95" s="1894"/>
      <c r="G95" s="1894"/>
      <c r="H95" s="1894"/>
      <c r="I95" s="1894"/>
      <c r="J95" s="1894"/>
      <c r="K95" s="1890"/>
      <c r="L95" s="1890"/>
      <c r="M95" s="1890"/>
      <c r="N95" s="1890"/>
      <c r="O95" s="1890"/>
      <c r="P95" s="1890"/>
      <c r="Q95" s="1890"/>
      <c r="R95" s="1890"/>
      <c r="S95" s="1890"/>
      <c r="T95" s="1890"/>
      <c r="U95" s="1890"/>
      <c r="V95" s="1890"/>
      <c r="W95" s="1891"/>
      <c r="X95" s="474"/>
      <c r="Y95" s="474"/>
      <c r="Z95" s="474"/>
      <c r="AA95" s="474"/>
      <c r="AB95" s="474"/>
      <c r="AC95" s="474"/>
      <c r="AD95" s="474"/>
      <c r="AE95" s="474"/>
      <c r="AF95" s="474"/>
      <c r="AG95" s="474"/>
      <c r="AH95" s="474"/>
      <c r="AI95" s="474"/>
    </row>
    <row r="96" spans="1:35">
      <c r="A96" s="1892"/>
      <c r="B96" s="1893"/>
      <c r="C96" s="1893"/>
      <c r="D96" s="1894"/>
      <c r="E96" s="1894"/>
      <c r="F96" s="1894"/>
      <c r="G96" s="1894"/>
      <c r="H96" s="1894"/>
      <c r="I96" s="1894"/>
      <c r="J96" s="1894"/>
      <c r="K96" s="1890"/>
      <c r="L96" s="1890"/>
      <c r="M96" s="1890"/>
      <c r="N96" s="1890"/>
      <c r="O96" s="1890"/>
      <c r="P96" s="1890"/>
      <c r="Q96" s="1890"/>
      <c r="R96" s="1890"/>
      <c r="S96" s="1890"/>
      <c r="T96" s="1890"/>
      <c r="U96" s="1890"/>
      <c r="V96" s="1890"/>
      <c r="W96" s="1891"/>
      <c r="X96" s="474"/>
      <c r="Y96" s="474"/>
      <c r="Z96" s="474"/>
      <c r="AA96" s="474"/>
      <c r="AB96" s="474"/>
      <c r="AC96" s="474"/>
      <c r="AD96" s="474"/>
      <c r="AE96" s="474"/>
      <c r="AF96" s="474"/>
      <c r="AG96" s="474"/>
      <c r="AH96" s="474"/>
      <c r="AI96" s="474"/>
    </row>
    <row r="97" spans="1:35">
      <c r="A97" s="1892"/>
      <c r="B97" s="1893"/>
      <c r="C97" s="1893"/>
      <c r="D97" s="1894"/>
      <c r="E97" s="1894"/>
      <c r="F97" s="1894"/>
      <c r="G97" s="1894"/>
      <c r="H97" s="1894"/>
      <c r="I97" s="1894"/>
      <c r="J97" s="1894"/>
      <c r="K97" s="1890"/>
      <c r="L97" s="1890"/>
      <c r="M97" s="1890"/>
      <c r="N97" s="1890"/>
      <c r="O97" s="1890"/>
      <c r="P97" s="1890"/>
      <c r="Q97" s="1890"/>
      <c r="R97" s="1890"/>
      <c r="S97" s="1890"/>
      <c r="T97" s="1890"/>
      <c r="U97" s="1890"/>
      <c r="V97" s="1890"/>
      <c r="W97" s="1891"/>
      <c r="X97" s="474"/>
      <c r="Y97" s="474"/>
      <c r="Z97" s="474"/>
      <c r="AA97" s="474"/>
      <c r="AB97" s="474"/>
      <c r="AC97" s="474"/>
      <c r="AD97" s="474"/>
      <c r="AE97" s="474"/>
      <c r="AF97" s="474"/>
      <c r="AG97" s="474"/>
      <c r="AH97" s="474"/>
      <c r="AI97" s="474"/>
    </row>
    <row r="98" spans="1:35">
      <c r="A98" s="1892"/>
      <c r="B98" s="1893"/>
      <c r="C98" s="1893"/>
      <c r="D98" s="1894"/>
      <c r="E98" s="1894"/>
      <c r="F98" s="1894"/>
      <c r="G98" s="1894"/>
      <c r="H98" s="1894"/>
      <c r="I98" s="1894"/>
      <c r="J98" s="1894"/>
      <c r="K98" s="1890"/>
      <c r="L98" s="1890"/>
      <c r="M98" s="1890"/>
      <c r="N98" s="1890"/>
      <c r="O98" s="1890"/>
      <c r="P98" s="1890"/>
      <c r="Q98" s="1890"/>
      <c r="R98" s="1890"/>
      <c r="S98" s="1890"/>
      <c r="T98" s="1890"/>
      <c r="U98" s="1890"/>
      <c r="V98" s="1890"/>
      <c r="W98" s="1891"/>
      <c r="X98" s="474"/>
      <c r="Y98" s="474"/>
      <c r="Z98" s="474"/>
      <c r="AA98" s="474"/>
      <c r="AB98" s="474"/>
      <c r="AC98" s="474"/>
      <c r="AD98" s="474"/>
      <c r="AE98" s="474"/>
      <c r="AF98" s="474"/>
      <c r="AG98" s="474"/>
      <c r="AH98" s="474"/>
      <c r="AI98" s="474"/>
    </row>
    <row r="99" spans="1:35">
      <c r="A99" s="1892"/>
      <c r="B99" s="1893"/>
      <c r="C99" s="1893"/>
      <c r="D99" s="1894"/>
      <c r="E99" s="1894"/>
      <c r="F99" s="1894"/>
      <c r="G99" s="1894"/>
      <c r="H99" s="1894"/>
      <c r="I99" s="1894"/>
      <c r="J99" s="1894"/>
      <c r="K99" s="1890"/>
      <c r="L99" s="1890"/>
      <c r="M99" s="1890"/>
      <c r="N99" s="1890"/>
      <c r="O99" s="1890"/>
      <c r="P99" s="1890"/>
      <c r="Q99" s="1890"/>
      <c r="R99" s="1890"/>
      <c r="S99" s="1890"/>
      <c r="T99" s="1890"/>
      <c r="U99" s="1890"/>
      <c r="V99" s="1890"/>
      <c r="W99" s="1891"/>
      <c r="X99" s="474"/>
      <c r="Y99" s="474"/>
      <c r="Z99" s="474"/>
      <c r="AA99" s="474"/>
      <c r="AB99" s="474"/>
      <c r="AC99" s="474"/>
      <c r="AD99" s="474"/>
      <c r="AE99" s="474"/>
      <c r="AF99" s="474"/>
      <c r="AG99" s="474"/>
      <c r="AH99" s="474"/>
      <c r="AI99" s="474"/>
    </row>
    <row r="100" spans="1:35">
      <c r="A100" s="1892"/>
      <c r="B100" s="1893"/>
      <c r="C100" s="1893"/>
      <c r="D100" s="1894"/>
      <c r="E100" s="1894"/>
      <c r="F100" s="1894"/>
      <c r="G100" s="1894"/>
      <c r="H100" s="1894"/>
      <c r="I100" s="1894"/>
      <c r="J100" s="1894"/>
      <c r="K100" s="1890"/>
      <c r="L100" s="1890"/>
      <c r="M100" s="1890"/>
      <c r="N100" s="1890"/>
      <c r="O100" s="1890"/>
      <c r="P100" s="1890"/>
      <c r="Q100" s="1890"/>
      <c r="R100" s="1890"/>
      <c r="S100" s="1890"/>
      <c r="T100" s="1890"/>
      <c r="U100" s="1890"/>
      <c r="V100" s="1890"/>
      <c r="W100" s="1891"/>
      <c r="X100" s="474"/>
      <c r="Y100" s="474"/>
      <c r="Z100" s="474"/>
      <c r="AA100" s="474"/>
      <c r="AB100" s="474"/>
      <c r="AC100" s="474"/>
      <c r="AD100" s="474"/>
      <c r="AE100" s="474"/>
      <c r="AF100" s="474"/>
      <c r="AG100" s="474"/>
      <c r="AH100" s="474"/>
      <c r="AI100" s="474"/>
    </row>
    <row r="101" spans="1:35">
      <c r="A101" s="1892"/>
      <c r="B101" s="1893"/>
      <c r="C101" s="1893"/>
      <c r="D101" s="1894"/>
      <c r="E101" s="1894"/>
      <c r="F101" s="1894"/>
      <c r="G101" s="1894"/>
      <c r="H101" s="1894"/>
      <c r="I101" s="1894"/>
      <c r="J101" s="1894"/>
      <c r="K101" s="1890"/>
      <c r="L101" s="1890"/>
      <c r="M101" s="1890"/>
      <c r="N101" s="1890"/>
      <c r="O101" s="1890"/>
      <c r="P101" s="1890"/>
      <c r="Q101" s="1890"/>
      <c r="R101" s="1890"/>
      <c r="S101" s="1890"/>
      <c r="T101" s="1890"/>
      <c r="U101" s="1890"/>
      <c r="V101" s="1890"/>
      <c r="W101" s="1891"/>
      <c r="X101" s="474"/>
      <c r="Y101" s="474"/>
      <c r="Z101" s="474"/>
      <c r="AA101" s="474"/>
      <c r="AB101" s="474"/>
      <c r="AC101" s="474"/>
      <c r="AD101" s="474"/>
      <c r="AE101" s="474"/>
      <c r="AF101" s="474"/>
      <c r="AG101" s="474"/>
      <c r="AH101" s="474"/>
      <c r="AI101" s="474"/>
    </row>
    <row r="102" spans="1:35">
      <c r="A102" s="1892"/>
      <c r="B102" s="1893"/>
      <c r="C102" s="1893"/>
      <c r="D102" s="1894"/>
      <c r="E102" s="1894"/>
      <c r="F102" s="1894"/>
      <c r="G102" s="1894"/>
      <c r="H102" s="1894"/>
      <c r="I102" s="1894"/>
      <c r="J102" s="1894"/>
      <c r="K102" s="1890"/>
      <c r="L102" s="1890"/>
      <c r="M102" s="1890"/>
      <c r="N102" s="1890"/>
      <c r="O102" s="1890"/>
      <c r="P102" s="1890"/>
      <c r="Q102" s="1890"/>
      <c r="R102" s="1890"/>
      <c r="S102" s="1890"/>
      <c r="T102" s="1890"/>
      <c r="U102" s="1890"/>
      <c r="V102" s="1890"/>
      <c r="W102" s="1891"/>
      <c r="X102" s="474"/>
      <c r="Y102" s="474"/>
      <c r="Z102" s="474"/>
      <c r="AA102" s="474"/>
      <c r="AB102" s="474"/>
      <c r="AC102" s="474"/>
      <c r="AD102" s="474"/>
      <c r="AE102" s="474"/>
      <c r="AF102" s="474"/>
      <c r="AG102" s="474"/>
      <c r="AH102" s="474"/>
      <c r="AI102" s="474"/>
    </row>
    <row r="103" spans="1:35">
      <c r="A103" s="1892"/>
      <c r="B103" s="1893"/>
      <c r="C103" s="1893"/>
      <c r="D103" s="1894"/>
      <c r="E103" s="1894"/>
      <c r="F103" s="1894"/>
      <c r="G103" s="1894"/>
      <c r="H103" s="1894"/>
      <c r="I103" s="1894"/>
      <c r="J103" s="1894"/>
      <c r="K103" s="1890"/>
      <c r="L103" s="1890"/>
      <c r="M103" s="1890"/>
      <c r="N103" s="1890"/>
      <c r="O103" s="1890"/>
      <c r="P103" s="1890"/>
      <c r="Q103" s="1890"/>
      <c r="R103" s="1890"/>
      <c r="S103" s="1890"/>
      <c r="T103" s="1890"/>
      <c r="U103" s="1890"/>
      <c r="V103" s="1890"/>
      <c r="W103" s="1891"/>
      <c r="X103" s="474"/>
      <c r="Y103" s="474"/>
      <c r="Z103" s="474"/>
      <c r="AA103" s="474"/>
      <c r="AB103" s="474"/>
      <c r="AC103" s="474"/>
      <c r="AD103" s="474"/>
      <c r="AE103" s="474"/>
      <c r="AF103" s="474"/>
      <c r="AG103" s="474"/>
      <c r="AH103" s="474"/>
      <c r="AI103" s="474"/>
    </row>
    <row r="104" spans="1:35">
      <c r="A104" s="1892"/>
      <c r="B104" s="1893"/>
      <c r="C104" s="1893"/>
      <c r="D104" s="1894"/>
      <c r="E104" s="1894"/>
      <c r="F104" s="1894"/>
      <c r="G104" s="1894"/>
      <c r="H104" s="1894"/>
      <c r="I104" s="1894"/>
      <c r="J104" s="1894"/>
      <c r="K104" s="1890"/>
      <c r="L104" s="1890"/>
      <c r="M104" s="1890"/>
      <c r="N104" s="1890"/>
      <c r="O104" s="1890"/>
      <c r="P104" s="1890"/>
      <c r="Q104" s="1890"/>
      <c r="R104" s="1890"/>
      <c r="S104" s="1890"/>
      <c r="T104" s="1890"/>
      <c r="U104" s="1890"/>
      <c r="V104" s="1890"/>
      <c r="W104" s="1891"/>
      <c r="X104" s="474"/>
      <c r="Y104" s="474"/>
      <c r="Z104" s="474"/>
      <c r="AA104" s="474"/>
      <c r="AB104" s="474"/>
      <c r="AC104" s="474"/>
      <c r="AD104" s="474"/>
      <c r="AE104" s="474"/>
      <c r="AF104" s="474"/>
      <c r="AG104" s="474"/>
      <c r="AH104" s="474"/>
      <c r="AI104" s="474"/>
    </row>
    <row r="105" spans="1:35">
      <c r="A105" s="1892"/>
      <c r="B105" s="1893"/>
      <c r="C105" s="1893"/>
      <c r="D105" s="1894"/>
      <c r="E105" s="1894"/>
      <c r="F105" s="1894"/>
      <c r="G105" s="1894"/>
      <c r="H105" s="1894"/>
      <c r="I105" s="1894"/>
      <c r="J105" s="1894"/>
      <c r="K105" s="1890"/>
      <c r="L105" s="1890"/>
      <c r="M105" s="1890"/>
      <c r="N105" s="1890"/>
      <c r="O105" s="1890"/>
      <c r="P105" s="1890"/>
      <c r="Q105" s="1890"/>
      <c r="R105" s="1890"/>
      <c r="S105" s="1890"/>
      <c r="T105" s="1890"/>
      <c r="U105" s="1890"/>
      <c r="V105" s="1890"/>
      <c r="W105" s="1891"/>
      <c r="X105" s="474"/>
      <c r="Y105" s="474"/>
      <c r="Z105" s="474"/>
      <c r="AA105" s="474"/>
      <c r="AB105" s="474"/>
      <c r="AC105" s="474"/>
      <c r="AD105" s="474"/>
      <c r="AE105" s="474"/>
      <c r="AF105" s="474"/>
      <c r="AG105" s="474"/>
      <c r="AH105" s="474"/>
      <c r="AI105" s="474"/>
    </row>
    <row r="106" spans="1:35">
      <c r="A106" s="1892"/>
      <c r="B106" s="1893"/>
      <c r="C106" s="1893"/>
      <c r="D106" s="1894"/>
      <c r="E106" s="1894"/>
      <c r="F106" s="1894"/>
      <c r="G106" s="1894"/>
      <c r="H106" s="1894"/>
      <c r="I106" s="1894"/>
      <c r="J106" s="1894"/>
      <c r="K106" s="1890"/>
      <c r="L106" s="1890"/>
      <c r="M106" s="1890"/>
      <c r="N106" s="1890"/>
      <c r="O106" s="1890"/>
      <c r="P106" s="1890"/>
      <c r="Q106" s="1890"/>
      <c r="R106" s="1890"/>
      <c r="S106" s="1890"/>
      <c r="T106" s="1890"/>
      <c r="U106" s="1890"/>
      <c r="V106" s="1890"/>
      <c r="W106" s="1891"/>
      <c r="X106" s="474"/>
      <c r="Y106" s="474"/>
      <c r="Z106" s="474"/>
      <c r="AA106" s="474"/>
      <c r="AB106" s="474"/>
      <c r="AC106" s="474"/>
      <c r="AD106" s="474"/>
      <c r="AE106" s="474"/>
      <c r="AF106" s="474"/>
      <c r="AG106" s="474"/>
      <c r="AH106" s="474"/>
      <c r="AI106" s="474"/>
    </row>
    <row r="107" spans="1:35">
      <c r="A107" s="1892"/>
      <c r="B107" s="1893"/>
      <c r="C107" s="1893"/>
      <c r="D107" s="1894"/>
      <c r="E107" s="1894"/>
      <c r="F107" s="1894"/>
      <c r="G107" s="1894"/>
      <c r="H107" s="1894"/>
      <c r="I107" s="1894"/>
      <c r="J107" s="1894"/>
      <c r="K107" s="1890"/>
      <c r="L107" s="1890"/>
      <c r="M107" s="1890"/>
      <c r="N107" s="1890"/>
      <c r="O107" s="1890"/>
      <c r="P107" s="1890"/>
      <c r="Q107" s="1890"/>
      <c r="R107" s="1890"/>
      <c r="S107" s="1890"/>
      <c r="T107" s="1890"/>
      <c r="U107" s="1890"/>
      <c r="V107" s="1890"/>
      <c r="W107" s="1891"/>
      <c r="X107" s="474"/>
      <c r="Y107" s="474"/>
      <c r="Z107" s="474"/>
      <c r="AA107" s="474"/>
      <c r="AB107" s="474"/>
      <c r="AC107" s="474"/>
      <c r="AD107" s="474"/>
      <c r="AE107" s="474"/>
      <c r="AF107" s="474"/>
      <c r="AG107" s="474"/>
      <c r="AH107" s="474"/>
      <c r="AI107" s="474"/>
    </row>
    <row r="108" spans="1:35">
      <c r="A108" s="1892"/>
      <c r="B108" s="1893"/>
      <c r="C108" s="1893"/>
      <c r="D108" s="1894"/>
      <c r="E108" s="1894"/>
      <c r="F108" s="1894"/>
      <c r="G108" s="1894"/>
      <c r="H108" s="1894"/>
      <c r="I108" s="1894"/>
      <c r="J108" s="1894"/>
      <c r="K108" s="1890"/>
      <c r="L108" s="1890"/>
      <c r="M108" s="1890"/>
      <c r="N108" s="1890"/>
      <c r="O108" s="1890"/>
      <c r="P108" s="1890"/>
      <c r="Q108" s="1890"/>
      <c r="R108" s="1890"/>
      <c r="S108" s="1890"/>
      <c r="T108" s="1890"/>
      <c r="U108" s="1890"/>
      <c r="V108" s="1890"/>
      <c r="W108" s="1891"/>
      <c r="X108" s="474"/>
      <c r="Y108" s="474"/>
      <c r="Z108" s="474"/>
      <c r="AA108" s="474"/>
      <c r="AB108" s="474"/>
      <c r="AC108" s="474"/>
      <c r="AD108" s="474"/>
      <c r="AE108" s="474"/>
      <c r="AF108" s="474"/>
      <c r="AG108" s="474"/>
      <c r="AH108" s="474"/>
      <c r="AI108" s="474"/>
    </row>
    <row r="109" spans="1:35">
      <c r="A109" s="1892"/>
      <c r="B109" s="1893"/>
      <c r="C109" s="1893"/>
      <c r="D109" s="1894"/>
      <c r="E109" s="1894"/>
      <c r="F109" s="1894"/>
      <c r="G109" s="1894"/>
      <c r="H109" s="1894"/>
      <c r="I109" s="1894"/>
      <c r="J109" s="1894"/>
      <c r="K109" s="1890"/>
      <c r="L109" s="1890"/>
      <c r="M109" s="1890"/>
      <c r="N109" s="1890"/>
      <c r="O109" s="1890"/>
      <c r="P109" s="1890"/>
      <c r="Q109" s="1890"/>
      <c r="R109" s="1890"/>
      <c r="S109" s="1890"/>
      <c r="T109" s="1890"/>
      <c r="U109" s="1890"/>
      <c r="V109" s="1890"/>
      <c r="W109" s="1891"/>
      <c r="X109" s="474"/>
      <c r="Y109" s="474"/>
      <c r="Z109" s="474"/>
      <c r="AA109" s="474"/>
      <c r="AB109" s="474"/>
      <c r="AC109" s="474"/>
      <c r="AD109" s="474"/>
      <c r="AE109" s="474"/>
      <c r="AF109" s="474"/>
      <c r="AG109" s="474"/>
      <c r="AH109" s="474"/>
      <c r="AI109" s="474"/>
    </row>
    <row r="110" spans="1:35">
      <c r="A110" s="1892"/>
      <c r="B110" s="1893"/>
      <c r="C110" s="1893"/>
      <c r="D110" s="1894"/>
      <c r="E110" s="1894"/>
      <c r="F110" s="1894"/>
      <c r="G110" s="1894"/>
      <c r="H110" s="1894"/>
      <c r="I110" s="1894"/>
      <c r="J110" s="1894"/>
      <c r="K110" s="1890"/>
      <c r="L110" s="1890"/>
      <c r="M110" s="1890"/>
      <c r="N110" s="1890"/>
      <c r="O110" s="1890"/>
      <c r="P110" s="1890"/>
      <c r="Q110" s="1890"/>
      <c r="R110" s="1890"/>
      <c r="S110" s="1890"/>
      <c r="T110" s="1890"/>
      <c r="U110" s="1890"/>
      <c r="V110" s="1890"/>
      <c r="W110" s="1891"/>
      <c r="X110" s="474"/>
      <c r="Y110" s="474"/>
      <c r="Z110" s="474"/>
      <c r="AA110" s="474"/>
      <c r="AB110" s="474"/>
      <c r="AC110" s="474"/>
      <c r="AD110" s="474"/>
      <c r="AE110" s="474"/>
      <c r="AF110" s="474"/>
      <c r="AG110" s="474"/>
      <c r="AH110" s="474"/>
      <c r="AI110" s="474"/>
    </row>
    <row r="111" spans="1:35">
      <c r="A111" s="1892"/>
      <c r="B111" s="1893"/>
      <c r="C111" s="1893"/>
      <c r="D111" s="1894"/>
      <c r="E111" s="1894"/>
      <c r="F111" s="1894"/>
      <c r="G111" s="1894"/>
      <c r="H111" s="1894"/>
      <c r="I111" s="1894"/>
      <c r="J111" s="1894"/>
      <c r="K111" s="1890"/>
      <c r="L111" s="1890"/>
      <c r="M111" s="1890"/>
      <c r="N111" s="1890"/>
      <c r="O111" s="1890"/>
      <c r="P111" s="1890"/>
      <c r="Q111" s="1890"/>
      <c r="R111" s="1890"/>
      <c r="S111" s="1890"/>
      <c r="T111" s="1890"/>
      <c r="U111" s="1890"/>
      <c r="V111" s="1890"/>
      <c r="W111" s="1891"/>
      <c r="X111" s="474"/>
      <c r="Y111" s="474"/>
      <c r="Z111" s="474"/>
      <c r="AA111" s="474"/>
      <c r="AB111" s="474"/>
      <c r="AC111" s="474"/>
      <c r="AD111" s="474"/>
      <c r="AE111" s="474"/>
      <c r="AF111" s="474"/>
      <c r="AG111" s="474"/>
      <c r="AH111" s="474"/>
      <c r="AI111" s="474"/>
    </row>
    <row r="112" spans="1:35">
      <c r="A112" s="1892"/>
      <c r="B112" s="1893"/>
      <c r="C112" s="1893"/>
      <c r="D112" s="1894"/>
      <c r="E112" s="1894"/>
      <c r="F112" s="1894"/>
      <c r="G112" s="1894"/>
      <c r="H112" s="1894"/>
      <c r="I112" s="1894"/>
      <c r="J112" s="1894"/>
      <c r="K112" s="1890"/>
      <c r="L112" s="1890"/>
      <c r="M112" s="1890"/>
      <c r="N112" s="1890"/>
      <c r="O112" s="1890"/>
      <c r="P112" s="1890"/>
      <c r="Q112" s="1890"/>
      <c r="R112" s="1890"/>
      <c r="S112" s="1890"/>
      <c r="T112" s="1890"/>
      <c r="U112" s="1890"/>
      <c r="V112" s="1890"/>
      <c r="W112" s="1891"/>
      <c r="X112" s="474"/>
      <c r="Y112" s="474"/>
      <c r="Z112" s="474"/>
      <c r="AA112" s="474"/>
      <c r="AB112" s="474"/>
      <c r="AC112" s="474"/>
      <c r="AD112" s="474"/>
      <c r="AE112" s="474"/>
      <c r="AF112" s="474"/>
      <c r="AG112" s="474"/>
      <c r="AH112" s="474"/>
      <c r="AI112" s="474"/>
    </row>
    <row r="113" spans="1:35">
      <c r="A113" s="1892"/>
      <c r="B113" s="1893"/>
      <c r="C113" s="1893"/>
      <c r="D113" s="1894"/>
      <c r="E113" s="1894"/>
      <c r="F113" s="1894"/>
      <c r="G113" s="1894"/>
      <c r="H113" s="1894"/>
      <c r="I113" s="1894"/>
      <c r="J113" s="1894"/>
      <c r="K113" s="1890"/>
      <c r="L113" s="1890"/>
      <c r="M113" s="1890"/>
      <c r="N113" s="1890"/>
      <c r="O113" s="1890"/>
      <c r="P113" s="1890"/>
      <c r="Q113" s="1890"/>
      <c r="R113" s="1890"/>
      <c r="S113" s="1890"/>
      <c r="T113" s="1890"/>
      <c r="U113" s="1890"/>
      <c r="V113" s="1890"/>
      <c r="W113" s="1891"/>
      <c r="X113" s="474"/>
      <c r="Y113" s="474"/>
      <c r="Z113" s="474"/>
      <c r="AA113" s="474"/>
      <c r="AB113" s="474"/>
      <c r="AC113" s="474"/>
      <c r="AD113" s="474"/>
      <c r="AE113" s="474"/>
      <c r="AF113" s="474"/>
      <c r="AG113" s="474"/>
      <c r="AH113" s="474"/>
      <c r="AI113" s="474"/>
    </row>
    <row r="114" spans="1:35">
      <c r="A114" s="1892"/>
      <c r="B114" s="1893"/>
      <c r="C114" s="1893"/>
      <c r="D114" s="1894"/>
      <c r="E114" s="1894"/>
      <c r="F114" s="1894"/>
      <c r="G114" s="1894"/>
      <c r="H114" s="1894"/>
      <c r="I114" s="1894"/>
      <c r="J114" s="1894"/>
      <c r="K114" s="1890"/>
      <c r="L114" s="1890"/>
      <c r="M114" s="1890"/>
      <c r="N114" s="1890"/>
      <c r="O114" s="1890"/>
      <c r="P114" s="1890"/>
      <c r="Q114" s="1890"/>
      <c r="R114" s="1890"/>
      <c r="S114" s="1890"/>
      <c r="T114" s="1890"/>
      <c r="U114" s="1890"/>
      <c r="V114" s="1890"/>
      <c r="W114" s="1891"/>
      <c r="X114" s="474"/>
      <c r="Y114" s="474"/>
      <c r="Z114" s="474"/>
      <c r="AA114" s="474"/>
      <c r="AB114" s="474"/>
      <c r="AC114" s="474"/>
      <c r="AD114" s="474"/>
      <c r="AE114" s="474"/>
      <c r="AF114" s="474"/>
      <c r="AG114" s="474"/>
      <c r="AH114" s="474"/>
      <c r="AI114" s="474"/>
    </row>
  </sheetData>
  <mergeCells count="1">
    <mergeCell ref="H6:I6"/>
  </mergeCells>
  <pageMargins left="0.7" right="0.7" top="0.75" bottom="0.75" header="0.3" footer="0.3"/>
  <pageSetup scale="38"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6"/>
  <sheetViews>
    <sheetView topLeftCell="A31" workbookViewId="0">
      <selection activeCell="N33" sqref="N33"/>
    </sheetView>
  </sheetViews>
  <sheetFormatPr defaultRowHeight="15"/>
  <cols>
    <col min="1" max="1" width="4" customWidth="1"/>
    <col min="2" max="2" width="13.28515625" customWidth="1"/>
    <col min="3" max="3" width="44.42578125" customWidth="1"/>
    <col min="4" max="4" width="25.140625" customWidth="1"/>
    <col min="6" max="6" width="50.7109375" customWidth="1"/>
  </cols>
  <sheetData>
    <row r="1" spans="1:6" ht="15.75">
      <c r="A1" s="584" t="s">
        <v>2</v>
      </c>
      <c r="B1" s="1463"/>
      <c r="C1" s="1463"/>
      <c r="D1" s="1463"/>
      <c r="E1" s="1463"/>
      <c r="F1" s="474"/>
    </row>
    <row r="2" spans="1:6" ht="15.75">
      <c r="A2" s="584" t="s">
        <v>1587</v>
      </c>
      <c r="B2" s="1463"/>
      <c r="C2" s="1463"/>
      <c r="D2" s="1463"/>
      <c r="E2" s="1463"/>
      <c r="F2" s="474"/>
    </row>
    <row r="3" spans="1:6">
      <c r="A3" s="474"/>
      <c r="B3" s="474"/>
      <c r="C3" s="474"/>
      <c r="D3" s="474"/>
      <c r="E3" s="474"/>
      <c r="F3" s="474"/>
    </row>
    <row r="4" spans="1:6">
      <c r="A4" s="474"/>
      <c r="B4" s="474"/>
      <c r="C4" s="474"/>
      <c r="D4" s="474"/>
      <c r="E4" s="474"/>
      <c r="F4" s="474"/>
    </row>
    <row r="5" spans="1:6">
      <c r="A5" s="474"/>
      <c r="B5" s="1858" t="s">
        <v>1588</v>
      </c>
      <c r="C5" s="586" t="s">
        <v>288</v>
      </c>
      <c r="D5" s="1895" t="s">
        <v>2014</v>
      </c>
      <c r="E5" s="1821"/>
      <c r="F5" s="474"/>
    </row>
    <row r="6" spans="1:6">
      <c r="A6" s="474"/>
      <c r="B6" s="1896" t="s">
        <v>1925</v>
      </c>
      <c r="C6" s="1897" t="s">
        <v>1926</v>
      </c>
      <c r="D6" s="1898">
        <v>-2.52</v>
      </c>
      <c r="E6" s="474"/>
      <c r="F6" s="474"/>
    </row>
    <row r="7" spans="1:6">
      <c r="A7" s="474"/>
      <c r="B7" s="1896" t="s">
        <v>1927</v>
      </c>
      <c r="C7" s="1897" t="s">
        <v>1928</v>
      </c>
      <c r="D7" s="1898">
        <v>75.98</v>
      </c>
      <c r="E7" s="474"/>
      <c r="F7" s="474"/>
    </row>
    <row r="8" spans="1:6">
      <c r="A8" s="474"/>
      <c r="B8" s="1896" t="s">
        <v>1929</v>
      </c>
      <c r="C8" s="1897" t="s">
        <v>1930</v>
      </c>
      <c r="D8" s="1898">
        <v>337769.52</v>
      </c>
      <c r="E8" s="474"/>
      <c r="F8" s="474"/>
    </row>
    <row r="9" spans="1:6">
      <c r="A9" s="474"/>
      <c r="B9" s="1896" t="s">
        <v>1931</v>
      </c>
      <c r="C9" s="1897" t="s">
        <v>1932</v>
      </c>
      <c r="D9" s="1898">
        <v>-40744.769999999997</v>
      </c>
      <c r="E9" s="474"/>
      <c r="F9" s="474"/>
    </row>
    <row r="10" spans="1:6">
      <c r="A10" s="474"/>
      <c r="B10" s="1896" t="s">
        <v>1933</v>
      </c>
      <c r="C10" s="1897" t="s">
        <v>1934</v>
      </c>
      <c r="D10" s="1898">
        <v>865.2</v>
      </c>
      <c r="E10" s="474"/>
      <c r="F10" s="474"/>
    </row>
    <row r="11" spans="1:6">
      <c r="A11" s="474"/>
      <c r="B11" s="1896" t="s">
        <v>1935</v>
      </c>
      <c r="C11" s="1897" t="s">
        <v>1936</v>
      </c>
      <c r="D11" s="1898">
        <v>1727.16</v>
      </c>
      <c r="E11" s="474"/>
      <c r="F11" s="474"/>
    </row>
    <row r="12" spans="1:6">
      <c r="A12" s="474"/>
      <c r="B12" s="1896" t="s">
        <v>1937</v>
      </c>
      <c r="C12" s="1897" t="s">
        <v>1938</v>
      </c>
      <c r="D12" s="1898">
        <v>20980.799999999999</v>
      </c>
      <c r="E12" s="474"/>
      <c r="F12" s="474"/>
    </row>
    <row r="13" spans="1:6">
      <c r="A13" s="474"/>
      <c r="B13" s="1896" t="s">
        <v>1939</v>
      </c>
      <c r="C13" s="1897" t="s">
        <v>1940</v>
      </c>
      <c r="D13" s="1898">
        <v>17314.32</v>
      </c>
      <c r="E13" s="474"/>
      <c r="F13" s="474"/>
    </row>
    <row r="14" spans="1:6">
      <c r="A14" s="474"/>
      <c r="B14" s="1896" t="s">
        <v>1941</v>
      </c>
      <c r="C14" s="1897" t="s">
        <v>1942</v>
      </c>
      <c r="D14" s="1898">
        <v>2573.52</v>
      </c>
      <c r="E14" s="474"/>
      <c r="F14" s="474"/>
    </row>
    <row r="15" spans="1:6">
      <c r="A15" s="474"/>
      <c r="B15" s="1896" t="s">
        <v>1943</v>
      </c>
      <c r="C15" s="1897" t="s">
        <v>1944</v>
      </c>
      <c r="D15" s="1898">
        <v>3562.56</v>
      </c>
      <c r="E15" s="474"/>
      <c r="F15" s="474"/>
    </row>
    <row r="16" spans="1:6">
      <c r="A16" s="474"/>
      <c r="B16" s="1896" t="s">
        <v>1945</v>
      </c>
      <c r="C16" s="1897" t="s">
        <v>1946</v>
      </c>
      <c r="D16" s="1898">
        <v>1346.64</v>
      </c>
      <c r="E16" s="474"/>
      <c r="F16" s="474"/>
    </row>
    <row r="17" spans="1:6">
      <c r="A17" s="474"/>
      <c r="B17" s="1896" t="s">
        <v>1947</v>
      </c>
      <c r="C17" s="1897" t="s">
        <v>1948</v>
      </c>
      <c r="D17" s="1898">
        <v>3430.56</v>
      </c>
      <c r="E17" s="474"/>
      <c r="F17" s="474"/>
    </row>
    <row r="18" spans="1:6">
      <c r="A18" s="474"/>
      <c r="B18" s="1896" t="s">
        <v>1949</v>
      </c>
      <c r="C18" s="1897" t="s">
        <v>1950</v>
      </c>
      <c r="D18" s="1898">
        <v>76749.16</v>
      </c>
      <c r="E18" s="474"/>
      <c r="F18" s="474"/>
    </row>
    <row r="19" spans="1:6">
      <c r="A19" s="474"/>
      <c r="B19" s="1896" t="s">
        <v>1951</v>
      </c>
      <c r="C19" s="1897" t="s">
        <v>1938</v>
      </c>
      <c r="D19" s="1898">
        <v>35288.36</v>
      </c>
      <c r="E19" s="474"/>
      <c r="F19" s="474"/>
    </row>
    <row r="20" spans="1:6">
      <c r="A20" s="474"/>
      <c r="B20" s="1896" t="s">
        <v>1952</v>
      </c>
      <c r="C20" s="1897" t="s">
        <v>1953</v>
      </c>
      <c r="D20" s="1898">
        <v>4406.76</v>
      </c>
      <c r="E20" s="474"/>
      <c r="F20" s="474"/>
    </row>
    <row r="21" spans="1:6">
      <c r="A21" s="474"/>
      <c r="B21" s="1896" t="s">
        <v>1954</v>
      </c>
      <c r="C21" s="1897" t="s">
        <v>1955</v>
      </c>
      <c r="D21" s="1898">
        <v>1885.92</v>
      </c>
      <c r="E21" s="474"/>
      <c r="F21" s="474"/>
    </row>
    <row r="22" spans="1:6">
      <c r="A22" s="474"/>
      <c r="B22" s="1896" t="s">
        <v>1956</v>
      </c>
      <c r="C22" s="1897" t="s">
        <v>1957</v>
      </c>
      <c r="D22" s="1898">
        <v>6355.26</v>
      </c>
      <c r="E22" s="474"/>
      <c r="F22" s="474"/>
    </row>
    <row r="23" spans="1:6">
      <c r="A23" s="474"/>
      <c r="B23" s="1896" t="s">
        <v>1958</v>
      </c>
      <c r="C23" s="1897" t="s">
        <v>1959</v>
      </c>
      <c r="D23" s="1898">
        <v>1134.3699999999999</v>
      </c>
      <c r="E23" s="474"/>
      <c r="F23" s="474"/>
    </row>
    <row r="24" spans="1:6">
      <c r="A24" s="474"/>
      <c r="B24" s="1896" t="s">
        <v>1960</v>
      </c>
      <c r="C24" s="1897" t="s">
        <v>1961</v>
      </c>
      <c r="D24" s="1898">
        <v>794.81</v>
      </c>
      <c r="E24" s="474"/>
      <c r="F24" s="474"/>
    </row>
    <row r="25" spans="1:6">
      <c r="A25" s="474"/>
      <c r="B25" s="1896" t="s">
        <v>1962</v>
      </c>
      <c r="C25" s="1897" t="s">
        <v>1938</v>
      </c>
      <c r="D25" s="1898">
        <v>42035.37</v>
      </c>
      <c r="E25" s="474"/>
      <c r="F25" s="474"/>
    </row>
    <row r="26" spans="1:6">
      <c r="A26" s="474"/>
      <c r="B26" s="1896" t="s">
        <v>1963</v>
      </c>
      <c r="C26" s="1897" t="s">
        <v>1964</v>
      </c>
      <c r="D26" s="1898">
        <v>24958.03</v>
      </c>
      <c r="E26" s="474"/>
      <c r="F26" s="474"/>
    </row>
    <row r="27" spans="1:6">
      <c r="A27" s="474"/>
      <c r="B27" s="1896" t="s">
        <v>1965</v>
      </c>
      <c r="C27" s="1897" t="s">
        <v>1966</v>
      </c>
      <c r="D27" s="1898">
        <v>1242.96</v>
      </c>
      <c r="E27" s="474"/>
      <c r="F27" s="474"/>
    </row>
    <row r="28" spans="1:6">
      <c r="A28" s="474"/>
      <c r="B28" s="1896" t="s">
        <v>1967</v>
      </c>
      <c r="C28" s="1897" t="s">
        <v>1968</v>
      </c>
      <c r="D28" s="1898">
        <v>7644.92</v>
      </c>
      <c r="E28" s="474"/>
      <c r="F28" s="474"/>
    </row>
    <row r="29" spans="1:6">
      <c r="A29" s="474"/>
      <c r="B29" s="1896" t="s">
        <v>1969</v>
      </c>
      <c r="C29" s="1897" t="s">
        <v>1970</v>
      </c>
      <c r="D29" s="1898">
        <v>38852.370000000003</v>
      </c>
      <c r="E29" s="474"/>
      <c r="F29" s="474"/>
    </row>
    <row r="30" spans="1:6">
      <c r="A30" s="474"/>
      <c r="B30" s="1896" t="s">
        <v>1971</v>
      </c>
      <c r="C30" s="1897" t="s">
        <v>1972</v>
      </c>
      <c r="D30" s="1898">
        <v>12644.78</v>
      </c>
      <c r="E30" s="474"/>
      <c r="F30" s="474"/>
    </row>
    <row r="31" spans="1:6">
      <c r="A31" s="474"/>
      <c r="B31" s="1896" t="s">
        <v>1973</v>
      </c>
      <c r="C31" s="1897" t="s">
        <v>1961</v>
      </c>
      <c r="D31" s="1898">
        <v>3805.51</v>
      </c>
      <c r="E31" s="474"/>
      <c r="F31" s="474"/>
    </row>
    <row r="32" spans="1:6">
      <c r="A32" s="474"/>
      <c r="B32" s="1896" t="s">
        <v>1974</v>
      </c>
      <c r="C32" s="1897" t="s">
        <v>1975</v>
      </c>
      <c r="D32" s="1898">
        <v>6753.48</v>
      </c>
      <c r="E32" s="474"/>
      <c r="F32" s="474"/>
    </row>
    <row r="33" spans="1:6">
      <c r="A33" s="474"/>
      <c r="B33" s="1896" t="s">
        <v>1976</v>
      </c>
      <c r="C33" s="1897" t="s">
        <v>1977</v>
      </c>
      <c r="D33" s="1898">
        <v>2126.4</v>
      </c>
      <c r="E33" s="474"/>
      <c r="F33" s="474"/>
    </row>
    <row r="34" spans="1:6">
      <c r="A34" s="474"/>
      <c r="B34" s="1896" t="s">
        <v>1978</v>
      </c>
      <c r="C34" s="1897" t="s">
        <v>1979</v>
      </c>
      <c r="D34" s="1898">
        <v>5943.96</v>
      </c>
      <c r="E34" s="474"/>
      <c r="F34" s="474"/>
    </row>
    <row r="35" spans="1:6">
      <c r="A35" s="474"/>
      <c r="B35" s="1896" t="s">
        <v>1980</v>
      </c>
      <c r="C35" s="1897" t="s">
        <v>1981</v>
      </c>
      <c r="D35" s="1898">
        <v>282336.36</v>
      </c>
      <c r="E35" s="474"/>
      <c r="F35" s="474"/>
    </row>
    <row r="36" spans="1:6">
      <c r="A36" s="474"/>
      <c r="B36" s="1896" t="s">
        <v>1982</v>
      </c>
      <c r="C36" s="1897" t="s">
        <v>1983</v>
      </c>
      <c r="D36" s="1898">
        <v>150945.35999999999</v>
      </c>
      <c r="E36" s="474"/>
      <c r="F36" s="474"/>
    </row>
    <row r="37" spans="1:6">
      <c r="A37" s="474"/>
      <c r="B37" s="1896" t="s">
        <v>1984</v>
      </c>
      <c r="C37" s="1897" t="s">
        <v>1985</v>
      </c>
      <c r="D37" s="1898">
        <v>22458.48</v>
      </c>
      <c r="E37" s="474"/>
      <c r="F37" s="474"/>
    </row>
    <row r="38" spans="1:6">
      <c r="A38" s="474"/>
      <c r="B38" s="1896" t="s">
        <v>1986</v>
      </c>
      <c r="C38" s="1897" t="s">
        <v>1987</v>
      </c>
      <c r="D38" s="1898">
        <v>14807.52</v>
      </c>
      <c r="E38" s="474"/>
      <c r="F38" s="474"/>
    </row>
    <row r="39" spans="1:6">
      <c r="A39" s="474"/>
      <c r="B39" s="1896" t="s">
        <v>1988</v>
      </c>
      <c r="C39" s="1897" t="s">
        <v>1989</v>
      </c>
      <c r="D39" s="1898">
        <v>9405.24</v>
      </c>
      <c r="E39" s="474"/>
      <c r="F39" s="474"/>
    </row>
    <row r="40" spans="1:6">
      <c r="A40" s="474"/>
      <c r="B40" s="1896" t="s">
        <v>1990</v>
      </c>
      <c r="C40" s="1897" t="s">
        <v>1991</v>
      </c>
      <c r="D40" s="1898">
        <v>4822.83</v>
      </c>
      <c r="E40" s="474"/>
      <c r="F40" s="474"/>
    </row>
    <row r="41" spans="1:6">
      <c r="A41" s="474"/>
      <c r="B41" s="1896" t="s">
        <v>1992</v>
      </c>
      <c r="C41" s="1897" t="s">
        <v>1993</v>
      </c>
      <c r="D41" s="1898">
        <v>941.4</v>
      </c>
      <c r="E41" s="474"/>
      <c r="F41" s="474"/>
    </row>
    <row r="42" spans="1:6">
      <c r="A42" s="474"/>
      <c r="B42" s="1896" t="s">
        <v>1994</v>
      </c>
      <c r="C42" s="1897" t="s">
        <v>1995</v>
      </c>
      <c r="D42" s="1898">
        <v>2784.84</v>
      </c>
      <c r="E42" s="474"/>
      <c r="F42" s="474"/>
    </row>
    <row r="43" spans="1:6">
      <c r="A43" s="474"/>
      <c r="B43" s="1896" t="s">
        <v>1996</v>
      </c>
      <c r="C43" s="1897" t="s">
        <v>1997</v>
      </c>
      <c r="D43" s="1898">
        <v>4077.36</v>
      </c>
      <c r="E43" s="474"/>
      <c r="F43" s="474"/>
    </row>
    <row r="44" spans="1:6">
      <c r="A44" s="474"/>
      <c r="B44" s="1896" t="s">
        <v>1998</v>
      </c>
      <c r="C44" s="1897" t="s">
        <v>1999</v>
      </c>
      <c r="D44" s="1898">
        <v>8608.7999999999993</v>
      </c>
      <c r="E44" s="474"/>
      <c r="F44" s="474"/>
    </row>
    <row r="45" spans="1:6">
      <c r="A45" s="474"/>
      <c r="B45" s="1896" t="s">
        <v>2000</v>
      </c>
      <c r="C45" s="1897" t="s">
        <v>2001</v>
      </c>
      <c r="D45" s="1898">
        <v>25931.88</v>
      </c>
      <c r="E45" s="474"/>
      <c r="F45" s="474"/>
    </row>
    <row r="46" spans="1:6">
      <c r="A46" s="474"/>
      <c r="B46" s="1896" t="s">
        <v>2002</v>
      </c>
      <c r="C46" s="1897" t="s">
        <v>2003</v>
      </c>
      <c r="D46" s="1898">
        <v>108</v>
      </c>
      <c r="E46" s="474"/>
      <c r="F46" s="474"/>
    </row>
    <row r="47" spans="1:6">
      <c r="A47" s="474"/>
      <c r="B47" s="1896" t="s">
        <v>2004</v>
      </c>
      <c r="C47" s="1897" t="s">
        <v>2005</v>
      </c>
      <c r="D47" s="1898">
        <v>3124.08</v>
      </c>
      <c r="E47" s="474"/>
      <c r="F47" s="474"/>
    </row>
    <row r="48" spans="1:6">
      <c r="A48" s="474"/>
      <c r="B48" s="1896" t="s">
        <v>2006</v>
      </c>
      <c r="C48" s="1897" t="s">
        <v>2007</v>
      </c>
      <c r="D48" s="1898">
        <v>13939.92</v>
      </c>
      <c r="E48" s="474"/>
      <c r="F48" s="474"/>
    </row>
    <row r="49" spans="1:6">
      <c r="A49" s="474"/>
      <c r="B49" s="1896" t="s">
        <v>2008</v>
      </c>
      <c r="C49" s="1897" t="s">
        <v>2009</v>
      </c>
      <c r="D49" s="1898">
        <v>366.72</v>
      </c>
      <c r="E49" s="474"/>
      <c r="F49" s="474"/>
    </row>
    <row r="50" spans="1:6">
      <c r="A50" s="474"/>
      <c r="B50" s="1896" t="s">
        <v>2010</v>
      </c>
      <c r="C50" s="1897" t="s">
        <v>2011</v>
      </c>
      <c r="D50" s="1898">
        <v>140398.04</v>
      </c>
      <c r="E50" s="474"/>
      <c r="F50" s="474"/>
    </row>
    <row r="51" spans="1:6">
      <c r="A51" s="474"/>
      <c r="B51" s="1896" t="s">
        <v>2012</v>
      </c>
      <c r="C51" s="1897" t="s">
        <v>2013</v>
      </c>
      <c r="D51" s="1898">
        <v>78.19</v>
      </c>
      <c r="E51" s="474"/>
      <c r="F51" s="474"/>
    </row>
    <row r="52" spans="1:6">
      <c r="A52" s="474"/>
      <c r="B52" s="1896"/>
      <c r="C52" s="1897"/>
      <c r="D52" s="1898"/>
      <c r="E52" s="474"/>
      <c r="F52" s="474"/>
    </row>
    <row r="53" spans="1:6" ht="15.75" thickBot="1">
      <c r="A53" s="474"/>
      <c r="B53" s="1899"/>
      <c r="C53" s="1710" t="s">
        <v>1589</v>
      </c>
      <c r="D53" s="1900">
        <f>SUM(D6:D52)</f>
        <v>1306656.4099999999</v>
      </c>
      <c r="E53" s="474"/>
      <c r="F53" s="474"/>
    </row>
    <row r="54" spans="1:6" ht="15.75" thickTop="1">
      <c r="A54" s="474"/>
      <c r="B54" s="643"/>
      <c r="C54" s="643"/>
      <c r="D54" s="474"/>
      <c r="E54" s="474"/>
      <c r="F54" s="474"/>
    </row>
    <row r="55" spans="1:6">
      <c r="A55" s="474"/>
      <c r="B55" s="2096" t="s">
        <v>1590</v>
      </c>
      <c r="C55" s="1901" t="s">
        <v>2015</v>
      </c>
      <c r="D55" s="1901"/>
      <c r="E55" s="474"/>
      <c r="F55" s="474"/>
    </row>
    <row r="56" spans="1:6">
      <c r="A56" s="474"/>
      <c r="B56" s="2096"/>
      <c r="C56" s="1901" t="s">
        <v>1860</v>
      </c>
      <c r="D56" s="1901"/>
      <c r="E56" s="474"/>
      <c r="F56" s="474"/>
    </row>
    <row r="57" spans="1:6">
      <c r="A57" s="474"/>
      <c r="B57" s="2096"/>
      <c r="C57" s="1901" t="s">
        <v>1591</v>
      </c>
      <c r="D57" s="1901"/>
      <c r="E57" s="474"/>
      <c r="F57" s="474"/>
    </row>
    <row r="58" spans="1:6">
      <c r="A58" s="474"/>
      <c r="C58" s="1901" t="s">
        <v>1592</v>
      </c>
      <c r="D58" s="1901"/>
      <c r="E58" s="474"/>
      <c r="F58" s="474"/>
    </row>
    <row r="59" spans="1:6">
      <c r="A59" s="474"/>
      <c r="C59" s="1901" t="s">
        <v>1593</v>
      </c>
      <c r="D59" s="1901"/>
      <c r="E59" s="474"/>
      <c r="F59" s="474"/>
    </row>
    <row r="60" spans="1:6">
      <c r="A60" s="474"/>
      <c r="C60" s="1901" t="s">
        <v>1594</v>
      </c>
      <c r="D60" s="1901"/>
      <c r="E60" s="474"/>
      <c r="F60" s="474"/>
    </row>
    <row r="61" spans="1:6">
      <c r="A61" s="474"/>
      <c r="C61" s="1901" t="s">
        <v>2016</v>
      </c>
      <c r="D61" s="1901"/>
      <c r="E61" s="474"/>
      <c r="F61" s="474"/>
    </row>
    <row r="62" spans="1:6">
      <c r="A62" s="474"/>
      <c r="C62" s="1901" t="s">
        <v>2017</v>
      </c>
      <c r="D62" s="1901"/>
      <c r="E62" s="474"/>
      <c r="F62" s="474"/>
    </row>
    <row r="63" spans="1:6">
      <c r="A63" s="474"/>
      <c r="C63" s="1901" t="s">
        <v>1595</v>
      </c>
      <c r="D63" s="1901"/>
      <c r="E63" s="474"/>
      <c r="F63" s="474"/>
    </row>
    <row r="64" spans="1:6">
      <c r="A64" s="474"/>
      <c r="E64" s="474"/>
      <c r="F64" s="474"/>
    </row>
    <row r="65" spans="1:6" ht="15" customHeight="1">
      <c r="A65" s="474"/>
      <c r="C65" s="2487" t="s">
        <v>1861</v>
      </c>
      <c r="E65" s="474"/>
      <c r="F65" s="474"/>
    </row>
    <row r="66" spans="1:6">
      <c r="A66" s="474"/>
      <c r="C66" s="2487"/>
      <c r="E66" s="474"/>
      <c r="F66" s="474"/>
    </row>
    <row r="67" spans="1:6">
      <c r="A67" s="474"/>
      <c r="C67" s="2487"/>
      <c r="E67" s="474"/>
      <c r="F67" s="474"/>
    </row>
    <row r="68" spans="1:6">
      <c r="A68" s="474"/>
      <c r="C68" s="2487"/>
      <c r="E68" s="474"/>
      <c r="F68" s="474"/>
    </row>
    <row r="69" spans="1:6">
      <c r="A69" s="474"/>
      <c r="B69" s="474"/>
      <c r="C69" s="474"/>
      <c r="D69" s="474"/>
      <c r="E69" s="474"/>
      <c r="F69" s="474"/>
    </row>
    <row r="70" spans="1:6">
      <c r="A70" s="474"/>
      <c r="B70" s="474"/>
      <c r="C70" s="474"/>
      <c r="D70" s="474"/>
      <c r="E70" s="474"/>
      <c r="F70" s="474"/>
    </row>
    <row r="71" spans="1:6">
      <c r="A71" s="474"/>
      <c r="B71" s="474"/>
      <c r="C71" s="474"/>
      <c r="D71" s="474"/>
      <c r="E71" s="474"/>
      <c r="F71" s="474"/>
    </row>
    <row r="72" spans="1:6">
      <c r="A72" s="474"/>
      <c r="B72" s="474"/>
      <c r="C72" s="474"/>
      <c r="D72" s="474"/>
      <c r="E72" s="474"/>
      <c r="F72" s="474"/>
    </row>
    <row r="73" spans="1:6">
      <c r="A73" s="474"/>
      <c r="B73" s="474"/>
      <c r="C73" s="474"/>
      <c r="D73" s="474"/>
      <c r="E73" s="474"/>
      <c r="F73" s="474"/>
    </row>
    <row r="74" spans="1:6">
      <c r="A74" s="474"/>
      <c r="B74" s="474"/>
      <c r="C74" s="474"/>
      <c r="D74" s="474"/>
      <c r="E74" s="474"/>
      <c r="F74" s="474"/>
    </row>
    <row r="75" spans="1:6">
      <c r="A75" s="474"/>
      <c r="B75" s="474"/>
      <c r="C75" s="474"/>
      <c r="D75" s="474"/>
      <c r="E75" s="474"/>
      <c r="F75" s="474"/>
    </row>
    <row r="76" spans="1:6">
      <c r="A76" s="474"/>
      <c r="B76" s="474"/>
      <c r="C76" s="474"/>
      <c r="D76" s="474"/>
      <c r="E76" s="474"/>
      <c r="F76" s="474"/>
    </row>
    <row r="77" spans="1:6">
      <c r="A77" s="474"/>
      <c r="B77" s="474"/>
      <c r="C77" s="474"/>
      <c r="D77" s="474"/>
      <c r="E77" s="474"/>
      <c r="F77" s="474"/>
    </row>
    <row r="78" spans="1:6">
      <c r="A78" s="474"/>
      <c r="B78" s="474"/>
      <c r="C78" s="474"/>
      <c r="D78" s="474"/>
      <c r="E78" s="474"/>
      <c r="F78" s="474"/>
    </row>
    <row r="79" spans="1:6">
      <c r="A79" s="474"/>
      <c r="B79" s="474"/>
      <c r="C79" s="474"/>
      <c r="D79" s="474"/>
      <c r="E79" s="474"/>
      <c r="F79" s="474"/>
    </row>
    <row r="80" spans="1:6">
      <c r="A80" s="474"/>
      <c r="B80" s="474"/>
      <c r="C80" s="474"/>
      <c r="D80" s="474"/>
      <c r="E80" s="474"/>
      <c r="F80" s="474"/>
    </row>
    <row r="81" spans="1:6">
      <c r="A81" s="474"/>
      <c r="B81" s="474"/>
      <c r="C81" s="474"/>
      <c r="D81" s="474"/>
      <c r="E81" s="474"/>
      <c r="F81" s="474"/>
    </row>
    <row r="82" spans="1:6">
      <c r="A82" s="474"/>
      <c r="B82" s="474"/>
      <c r="C82" s="474"/>
      <c r="D82" s="474"/>
      <c r="E82" s="474"/>
      <c r="F82" s="474"/>
    </row>
    <row r="83" spans="1:6">
      <c r="A83" s="474"/>
      <c r="B83" s="474"/>
      <c r="C83" s="474"/>
      <c r="D83" s="474"/>
      <c r="E83" s="474"/>
      <c r="F83" s="474"/>
    </row>
    <row r="84" spans="1:6">
      <c r="A84" s="474"/>
      <c r="B84" s="474"/>
      <c r="C84" s="474"/>
      <c r="D84" s="474"/>
      <c r="E84" s="474"/>
      <c r="F84" s="474"/>
    </row>
    <row r="85" spans="1:6">
      <c r="A85" s="474"/>
      <c r="B85" s="474"/>
      <c r="C85" s="474"/>
      <c r="D85" s="474"/>
      <c r="E85" s="474"/>
      <c r="F85" s="474"/>
    </row>
    <row r="86" spans="1:6">
      <c r="A86" s="474"/>
      <c r="B86" s="474"/>
      <c r="C86" s="474"/>
      <c r="D86" s="474"/>
      <c r="E86" s="474"/>
      <c r="F86" s="474"/>
    </row>
  </sheetData>
  <mergeCells count="1">
    <mergeCell ref="C65:C68"/>
  </mergeCells>
  <pageMargins left="0.7" right="0.7" top="0.75" bottom="0.75" header="0.3" footer="0.3"/>
  <pageSetup scale="68"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395C7"/>
  </sheetPr>
  <dimension ref="A1:N70"/>
  <sheetViews>
    <sheetView topLeftCell="A19" workbookViewId="0">
      <selection activeCell="G37" sqref="E37:G37"/>
    </sheetView>
  </sheetViews>
  <sheetFormatPr defaultRowHeight="15"/>
  <cols>
    <col min="1" max="1" width="4.140625" customWidth="1"/>
    <col min="2" max="2" width="11.28515625" customWidth="1"/>
    <col min="3" max="3" width="19.28515625" customWidth="1"/>
    <col min="4" max="4" width="16.28515625" customWidth="1"/>
    <col min="5" max="5" width="19.140625" customWidth="1"/>
    <col min="6" max="6" width="18.5703125" customWidth="1"/>
    <col min="7" max="7" width="15.28515625" customWidth="1"/>
    <col min="8" max="8" width="13.28515625" customWidth="1"/>
    <col min="9" max="9" width="15.7109375" customWidth="1"/>
    <col min="10" max="10" width="17.140625" customWidth="1"/>
    <col min="11" max="11" width="14.140625" customWidth="1"/>
    <col min="12" max="12" width="16.140625" customWidth="1"/>
  </cols>
  <sheetData>
    <row r="1" spans="1:14">
      <c r="A1" s="1902"/>
      <c r="B1" s="1903" t="s">
        <v>2634</v>
      </c>
      <c r="C1" s="1902"/>
      <c r="D1" s="1902"/>
      <c r="E1" s="1902"/>
      <c r="F1" s="1902"/>
      <c r="G1" s="1902"/>
      <c r="H1" s="1902"/>
      <c r="I1" s="1902"/>
      <c r="J1" s="1902"/>
      <c r="K1" s="1902"/>
      <c r="L1" s="1902"/>
      <c r="M1" s="1902"/>
      <c r="N1" s="1902"/>
    </row>
    <row r="2" spans="1:14">
      <c r="A2" s="1902"/>
      <c r="B2" s="1902"/>
      <c r="C2" s="1902"/>
      <c r="D2" s="1902"/>
      <c r="E2" s="1902"/>
      <c r="F2" s="1902"/>
      <c r="G2" s="1902"/>
      <c r="H2" s="1902"/>
      <c r="I2" s="1902"/>
      <c r="J2" s="1902"/>
      <c r="K2" s="1902"/>
      <c r="L2" s="1902"/>
      <c r="M2" s="1902"/>
      <c r="N2" s="1902"/>
    </row>
    <row r="3" spans="1:14">
      <c r="A3" s="1902"/>
      <c r="B3" s="1902"/>
      <c r="C3" s="1902"/>
      <c r="D3" s="1904"/>
      <c r="E3" s="1902"/>
      <c r="F3" s="1902"/>
      <c r="G3" s="1902"/>
      <c r="H3" s="1902"/>
      <c r="I3" s="1902"/>
      <c r="J3" s="1902"/>
      <c r="K3" s="1902"/>
      <c r="L3" s="1902"/>
      <c r="M3" s="1902"/>
      <c r="N3" s="1902"/>
    </row>
    <row r="4" spans="1:14">
      <c r="A4" s="1902"/>
      <c r="B4" s="1905" t="s">
        <v>1596</v>
      </c>
      <c r="C4" s="1906"/>
      <c r="D4" s="1902"/>
      <c r="E4" s="1902"/>
      <c r="F4" s="1902"/>
      <c r="G4" s="1902"/>
      <c r="H4" s="1902"/>
      <c r="I4" s="1902"/>
      <c r="J4" s="1902"/>
      <c r="K4" s="1902"/>
      <c r="L4" s="1902"/>
      <c r="M4" s="1902"/>
      <c r="N4" s="1902"/>
    </row>
    <row r="5" spans="1:14">
      <c r="A5" s="1902"/>
      <c r="B5" s="1907">
        <v>43861</v>
      </c>
      <c r="C5" s="1908">
        <v>20015314.559999999</v>
      </c>
      <c r="D5" s="1902"/>
      <c r="E5" s="1902"/>
      <c r="F5" s="1902"/>
      <c r="G5" s="1902"/>
      <c r="H5" s="1902"/>
      <c r="I5" s="1902"/>
      <c r="J5" s="1902"/>
      <c r="K5" s="1902"/>
      <c r="L5" s="1902"/>
      <c r="M5" s="1902"/>
      <c r="N5" s="1902"/>
    </row>
    <row r="6" spans="1:14">
      <c r="A6" s="1902"/>
      <c r="B6" s="1907">
        <v>43889</v>
      </c>
      <c r="C6" s="1909">
        <v>10407512.100000001</v>
      </c>
      <c r="D6" s="1902"/>
      <c r="E6" s="1902"/>
      <c r="F6" s="1902"/>
      <c r="G6" s="1902"/>
      <c r="H6" s="1902"/>
      <c r="I6" s="1902"/>
      <c r="J6" s="1902"/>
      <c r="K6" s="1902"/>
      <c r="L6" s="1902"/>
      <c r="M6" s="1902"/>
      <c r="N6" s="1902"/>
    </row>
    <row r="7" spans="1:14" ht="23.25">
      <c r="A7" s="1902"/>
      <c r="B7" s="1907">
        <v>43917</v>
      </c>
      <c r="C7" s="1909">
        <v>3531551.9300000006</v>
      </c>
      <c r="D7" s="1902"/>
      <c r="E7" s="1910"/>
      <c r="F7" s="1902"/>
      <c r="G7" s="1902"/>
      <c r="H7" s="1902"/>
      <c r="I7" s="1902"/>
      <c r="J7" s="1902"/>
      <c r="K7" s="1902"/>
      <c r="L7" s="1902"/>
      <c r="M7" s="1902"/>
      <c r="N7" s="1902"/>
    </row>
    <row r="8" spans="1:14">
      <c r="A8" s="1902"/>
      <c r="B8" s="1907">
        <v>43945</v>
      </c>
      <c r="C8" s="1909">
        <v>6692941.337583174</v>
      </c>
      <c r="D8" s="1902"/>
      <c r="E8" s="1902"/>
      <c r="F8" s="1902"/>
      <c r="G8" s="1902"/>
      <c r="H8" s="1902"/>
      <c r="I8" s="1902"/>
      <c r="J8" s="1902"/>
      <c r="K8" s="1902"/>
      <c r="L8" s="1902"/>
      <c r="M8" s="1902"/>
      <c r="N8" s="1902"/>
    </row>
    <row r="9" spans="1:14">
      <c r="A9" s="1902"/>
      <c r="B9" s="1907">
        <v>43973</v>
      </c>
      <c r="C9" s="1909">
        <v>73187912.093055248</v>
      </c>
      <c r="D9" s="1902"/>
      <c r="E9" s="1902"/>
      <c r="F9" s="1902"/>
      <c r="G9" s="1902"/>
      <c r="H9" s="1902"/>
      <c r="I9" s="1902"/>
      <c r="J9" s="1902"/>
      <c r="K9" s="1902"/>
      <c r="L9" s="1902"/>
      <c r="M9" s="1902"/>
      <c r="N9" s="1902"/>
    </row>
    <row r="10" spans="1:14">
      <c r="A10" s="1902"/>
      <c r="B10" s="1907">
        <v>44001</v>
      </c>
      <c r="C10" s="1909">
        <v>63232568.345185511</v>
      </c>
      <c r="D10" s="1902"/>
      <c r="E10" s="1902"/>
      <c r="F10" s="1902"/>
      <c r="G10" s="1902"/>
      <c r="H10" s="1902"/>
      <c r="I10" s="1902"/>
      <c r="J10" s="1902"/>
      <c r="K10" s="1902"/>
      <c r="L10" s="1902"/>
      <c r="M10" s="1902"/>
      <c r="N10" s="1902"/>
    </row>
    <row r="11" spans="1:14">
      <c r="A11" s="1902"/>
      <c r="B11" s="1907">
        <v>44029</v>
      </c>
      <c r="C11" s="1909">
        <v>73239991.770260662</v>
      </c>
      <c r="D11" s="1902"/>
      <c r="E11" s="1902"/>
      <c r="F11" s="1902"/>
      <c r="G11" s="1902"/>
      <c r="H11" s="1902"/>
      <c r="I11" s="1902"/>
      <c r="J11" s="1902"/>
      <c r="K11" s="1902"/>
      <c r="L11" s="1902"/>
      <c r="M11" s="1902"/>
      <c r="N11" s="1902"/>
    </row>
    <row r="12" spans="1:14">
      <c r="A12" s="1902"/>
      <c r="B12" s="1907">
        <v>44057</v>
      </c>
      <c r="C12" s="1909">
        <v>48179214.361586817</v>
      </c>
      <c r="D12" s="1902"/>
      <c r="E12" s="1902"/>
      <c r="F12" s="1902"/>
      <c r="G12" s="1902"/>
      <c r="H12" s="1902"/>
      <c r="I12" s="1902"/>
      <c r="J12" s="1902"/>
      <c r="K12" s="1902"/>
      <c r="L12" s="1902"/>
      <c r="M12" s="1902"/>
      <c r="N12" s="1902"/>
    </row>
    <row r="13" spans="1:14">
      <c r="A13" s="1902"/>
      <c r="B13" s="1907">
        <v>44085</v>
      </c>
      <c r="C13" s="1909">
        <v>44896856.317292668</v>
      </c>
      <c r="D13" s="1902"/>
      <c r="E13" s="1902"/>
      <c r="F13" s="1902"/>
      <c r="G13" s="1902"/>
      <c r="H13" s="1902"/>
      <c r="I13" s="1902"/>
      <c r="J13" s="1902"/>
      <c r="K13" s="1902"/>
      <c r="L13" s="1902"/>
      <c r="M13" s="1902"/>
      <c r="N13" s="1902"/>
    </row>
    <row r="14" spans="1:14">
      <c r="A14" s="1902"/>
      <c r="B14" s="1907">
        <v>44113</v>
      </c>
      <c r="C14" s="1909">
        <v>701015553.15188289</v>
      </c>
      <c r="D14" s="1902"/>
      <c r="E14" s="1902"/>
      <c r="F14" s="1902"/>
      <c r="G14" s="1902"/>
      <c r="H14" s="1902"/>
      <c r="I14" s="1902"/>
      <c r="J14" s="1902"/>
      <c r="K14" s="1902"/>
      <c r="L14" s="1902"/>
      <c r="M14" s="1902"/>
      <c r="N14" s="1902"/>
    </row>
    <row r="15" spans="1:14">
      <c r="A15" s="1902"/>
      <c r="B15" s="1907">
        <v>44141</v>
      </c>
      <c r="C15" s="1909">
        <v>26983057.771216922</v>
      </c>
      <c r="D15" s="1902"/>
      <c r="E15" s="1902"/>
      <c r="F15" s="1902"/>
      <c r="G15" s="1902"/>
      <c r="H15" s="1902"/>
      <c r="I15" s="1902"/>
      <c r="J15" s="1902"/>
      <c r="K15" s="1902"/>
      <c r="L15" s="1902"/>
      <c r="M15" s="1902"/>
      <c r="N15" s="1902"/>
    </row>
    <row r="16" spans="1:14">
      <c r="A16" s="1902"/>
      <c r="B16" s="1907">
        <v>44169</v>
      </c>
      <c r="C16" s="1911">
        <v>46030098.744330011</v>
      </c>
      <c r="D16" s="1902"/>
      <c r="E16" s="1902"/>
      <c r="F16" s="1902"/>
      <c r="G16" s="1902"/>
      <c r="H16" s="1902"/>
      <c r="I16" s="1902"/>
      <c r="J16" s="1902"/>
      <c r="K16" s="1902"/>
      <c r="L16" s="1902"/>
      <c r="M16" s="1902"/>
      <c r="N16" s="1902"/>
    </row>
    <row r="17" spans="1:14">
      <c r="A17" s="1902"/>
      <c r="B17" s="1902"/>
      <c r="C17" s="1902"/>
      <c r="D17" s="1902"/>
      <c r="E17" s="1902"/>
      <c r="F17" s="1902"/>
      <c r="G17" s="1902"/>
      <c r="H17" s="1902"/>
      <c r="I17" s="1902"/>
      <c r="J17" s="1902"/>
      <c r="K17" s="1902"/>
      <c r="L17" s="1902"/>
      <c r="M17" s="1902"/>
      <c r="N17" s="1902"/>
    </row>
    <row r="18" spans="1:14">
      <c r="A18" s="1902"/>
      <c r="B18" s="1902"/>
      <c r="C18" s="1902"/>
      <c r="D18" s="1902"/>
      <c r="E18" s="1902"/>
      <c r="F18" s="1902"/>
      <c r="G18" s="1902"/>
      <c r="H18" s="1902"/>
      <c r="I18" s="1902"/>
      <c r="J18" s="1902"/>
      <c r="K18" s="1902"/>
      <c r="L18" s="1902"/>
      <c r="M18" s="1902"/>
      <c r="N18" s="1902"/>
    </row>
    <row r="19" spans="1:14">
      <c r="A19" s="1183"/>
      <c r="B19" s="1912" t="s">
        <v>2635</v>
      </c>
      <c r="C19" s="1913"/>
      <c r="D19" s="1914"/>
      <c r="E19" s="1915"/>
      <c r="F19" s="1915"/>
      <c r="G19" s="1915"/>
      <c r="H19" s="1915"/>
      <c r="I19" s="1915"/>
      <c r="J19" s="1915"/>
      <c r="K19" s="1915"/>
      <c r="L19" s="1915"/>
      <c r="M19" s="1902"/>
      <c r="N19" s="1902"/>
    </row>
    <row r="20" spans="1:14">
      <c r="A20" s="1186"/>
      <c r="B20" s="1916"/>
      <c r="C20" s="1917" t="s">
        <v>343</v>
      </c>
      <c r="D20" s="1917" t="s">
        <v>344</v>
      </c>
      <c r="E20" s="1917" t="s">
        <v>345</v>
      </c>
      <c r="F20" s="1917" t="s">
        <v>346</v>
      </c>
      <c r="G20" s="1917" t="s">
        <v>347</v>
      </c>
      <c r="H20" s="1917" t="s">
        <v>348</v>
      </c>
      <c r="I20" s="1917" t="s">
        <v>1190</v>
      </c>
      <c r="J20" s="1917" t="s">
        <v>1191</v>
      </c>
      <c r="K20" s="1917" t="s">
        <v>1192</v>
      </c>
      <c r="L20" s="1917" t="s">
        <v>1193</v>
      </c>
      <c r="M20" s="1902"/>
      <c r="N20" s="1902"/>
    </row>
    <row r="21" spans="1:14">
      <c r="A21" s="1186"/>
      <c r="B21" s="1916"/>
      <c r="C21" s="1918" t="s">
        <v>1203</v>
      </c>
      <c r="D21" s="1918" t="s">
        <v>1203</v>
      </c>
      <c r="E21" s="1918" t="s">
        <v>1203</v>
      </c>
      <c r="F21" s="1918" t="s">
        <v>1203</v>
      </c>
      <c r="G21" s="1918" t="s">
        <v>1203</v>
      </c>
      <c r="H21" s="1918" t="s">
        <v>1203</v>
      </c>
      <c r="I21" s="1918" t="s">
        <v>1203</v>
      </c>
      <c r="J21" s="1918" t="s">
        <v>1203</v>
      </c>
      <c r="K21" s="1918" t="s">
        <v>1203</v>
      </c>
      <c r="L21" s="1918" t="s">
        <v>1203</v>
      </c>
      <c r="M21" s="1902"/>
      <c r="N21" s="1902"/>
    </row>
    <row r="22" spans="1:14">
      <c r="A22" s="1186"/>
      <c r="B22" s="1915"/>
      <c r="C22" s="1919" t="s">
        <v>1205</v>
      </c>
      <c r="D22" s="1919"/>
      <c r="E22" s="1919" t="s">
        <v>1206</v>
      </c>
      <c r="F22" s="1919" t="s">
        <v>1206</v>
      </c>
      <c r="G22" s="1919" t="s">
        <v>1206</v>
      </c>
      <c r="H22" s="1919" t="s">
        <v>1206</v>
      </c>
      <c r="I22" s="1919" t="s">
        <v>1206</v>
      </c>
      <c r="J22" s="1919" t="s">
        <v>1206</v>
      </c>
      <c r="K22" s="1919" t="s">
        <v>1206</v>
      </c>
      <c r="L22" s="1919" t="s">
        <v>1206</v>
      </c>
      <c r="M22" s="1902"/>
      <c r="N22" s="1902"/>
    </row>
    <row r="23" spans="1:14">
      <c r="A23" s="1186"/>
      <c r="B23" s="1915"/>
      <c r="C23" s="2203" t="s">
        <v>1215</v>
      </c>
      <c r="D23" s="2204"/>
      <c r="E23" s="2204" t="s">
        <v>237</v>
      </c>
      <c r="F23" s="2204" t="s">
        <v>239</v>
      </c>
      <c r="G23" s="2204" t="s">
        <v>240</v>
      </c>
      <c r="H23" s="2204" t="s">
        <v>242</v>
      </c>
      <c r="I23" s="2204" t="s">
        <v>244</v>
      </c>
      <c r="J23" s="2204" t="s">
        <v>246</v>
      </c>
      <c r="K23" s="2204" t="s">
        <v>251</v>
      </c>
      <c r="L23" s="2205" t="s">
        <v>1597</v>
      </c>
      <c r="M23" s="1902"/>
      <c r="N23" s="1902"/>
    </row>
    <row r="24" spans="1:14" hidden="1">
      <c r="A24" s="1186"/>
      <c r="B24" s="1920"/>
      <c r="C24" s="1921"/>
      <c r="D24" s="1922"/>
      <c r="E24" s="1922"/>
      <c r="F24" s="1922"/>
      <c r="G24" s="1922"/>
      <c r="H24" s="1922"/>
      <c r="I24" s="1922"/>
      <c r="J24" s="1922"/>
      <c r="K24" s="1922"/>
      <c r="L24" s="1923"/>
      <c r="M24" s="1902"/>
      <c r="N24" s="1902"/>
    </row>
    <row r="25" spans="1:14">
      <c r="A25" s="1186"/>
      <c r="B25" s="1907">
        <f t="shared" ref="B25:B36" si="0">B5</f>
        <v>43861</v>
      </c>
      <c r="C25" s="1924">
        <f>C5-L25</f>
        <v>1283151.9100000001</v>
      </c>
      <c r="D25" s="1925">
        <v>0</v>
      </c>
      <c r="E25" s="1925">
        <v>5968179.9699999997</v>
      </c>
      <c r="F25" s="1925">
        <v>0</v>
      </c>
      <c r="G25" s="1925">
        <v>12763982.68</v>
      </c>
      <c r="H25" s="1925">
        <v>0</v>
      </c>
      <c r="I25" s="1925">
        <v>0</v>
      </c>
      <c r="J25" s="1925">
        <v>0</v>
      </c>
      <c r="K25" s="1925">
        <v>0</v>
      </c>
      <c r="L25" s="1923">
        <f t="shared" ref="L25:L36" si="1">SUM(D25:K25)</f>
        <v>18732162.649999999</v>
      </c>
      <c r="M25" s="1902"/>
      <c r="N25" s="1902"/>
    </row>
    <row r="26" spans="1:14">
      <c r="A26" s="1186"/>
      <c r="B26" s="1907">
        <f t="shared" si="0"/>
        <v>43889</v>
      </c>
      <c r="C26" s="1924">
        <f t="shared" ref="C26:C36" si="2">C6-L26</f>
        <v>10240673.180000002</v>
      </c>
      <c r="D26" s="1925">
        <v>0</v>
      </c>
      <c r="E26" s="1925">
        <v>44877.209999999963</v>
      </c>
      <c r="F26" s="1925">
        <v>0</v>
      </c>
      <c r="G26" s="1925">
        <v>121961.71000000068</v>
      </c>
      <c r="H26" s="1925">
        <v>0</v>
      </c>
      <c r="I26" s="1925">
        <v>0</v>
      </c>
      <c r="J26" s="1925">
        <v>0</v>
      </c>
      <c r="K26" s="1925">
        <v>0</v>
      </c>
      <c r="L26" s="1923">
        <f t="shared" si="1"/>
        <v>166838.92000000062</v>
      </c>
      <c r="M26" s="1902"/>
      <c r="N26" s="1902"/>
    </row>
    <row r="27" spans="1:14">
      <c r="A27" s="1186"/>
      <c r="B27" s="1907">
        <f t="shared" si="0"/>
        <v>43917</v>
      </c>
      <c r="C27" s="1924">
        <f t="shared" si="2"/>
        <v>3203086.4999999995</v>
      </c>
      <c r="D27" s="1925">
        <v>0</v>
      </c>
      <c r="E27" s="1925">
        <v>-82366.419999999925</v>
      </c>
      <c r="F27" s="1925">
        <v>0</v>
      </c>
      <c r="G27" s="1925">
        <v>410831.85000000102</v>
      </c>
      <c r="H27" s="1925">
        <v>0</v>
      </c>
      <c r="I27" s="1925">
        <v>0</v>
      </c>
      <c r="J27" s="1925">
        <v>0</v>
      </c>
      <c r="K27" s="1925">
        <v>0</v>
      </c>
      <c r="L27" s="1923">
        <f t="shared" si="1"/>
        <v>328465.4300000011</v>
      </c>
      <c r="M27" s="1902"/>
      <c r="N27" s="1902"/>
    </row>
    <row r="28" spans="1:14">
      <c r="A28" s="1186"/>
      <c r="B28" s="1907">
        <f t="shared" si="0"/>
        <v>43945</v>
      </c>
      <c r="C28" s="1924">
        <f t="shared" si="2"/>
        <v>5586933.1907035187</v>
      </c>
      <c r="D28" s="1925">
        <v>0</v>
      </c>
      <c r="E28" s="1925">
        <v>338121</v>
      </c>
      <c r="F28" s="1925">
        <v>0</v>
      </c>
      <c r="G28" s="1925">
        <v>767887.14687965531</v>
      </c>
      <c r="H28" s="1925">
        <v>0</v>
      </c>
      <c r="I28" s="1925">
        <v>0</v>
      </c>
      <c r="J28" s="1925">
        <v>0</v>
      </c>
      <c r="K28" s="1925">
        <v>0</v>
      </c>
      <c r="L28" s="1923">
        <f t="shared" si="1"/>
        <v>1106008.1468796553</v>
      </c>
      <c r="M28" s="1902"/>
      <c r="N28" s="1902"/>
    </row>
    <row r="29" spans="1:14">
      <c r="A29" s="1186"/>
      <c r="B29" s="1907">
        <f t="shared" si="0"/>
        <v>43973</v>
      </c>
      <c r="C29" s="1924">
        <f t="shared" si="2"/>
        <v>72455430.403833359</v>
      </c>
      <c r="D29" s="1925">
        <v>0</v>
      </c>
      <c r="E29" s="1925">
        <v>0</v>
      </c>
      <c r="F29" s="1925">
        <v>0</v>
      </c>
      <c r="G29" s="1925">
        <v>732481.68922188366</v>
      </c>
      <c r="H29" s="1925">
        <v>0</v>
      </c>
      <c r="I29" s="1925">
        <v>0</v>
      </c>
      <c r="J29" s="1925">
        <v>0</v>
      </c>
      <c r="K29" s="1925">
        <v>0</v>
      </c>
      <c r="L29" s="1923">
        <f t="shared" si="1"/>
        <v>732481.68922188366</v>
      </c>
      <c r="M29" s="1902"/>
      <c r="N29" s="1902"/>
    </row>
    <row r="30" spans="1:14">
      <c r="A30" s="1186"/>
      <c r="B30" s="1907">
        <f t="shared" si="0"/>
        <v>44001</v>
      </c>
      <c r="C30" s="1924">
        <f t="shared" si="2"/>
        <v>28281596.808622256</v>
      </c>
      <c r="D30" s="1925">
        <v>0</v>
      </c>
      <c r="E30" s="1925">
        <v>0</v>
      </c>
      <c r="F30" s="1925">
        <v>0</v>
      </c>
      <c r="G30" s="1925">
        <v>34950971.536563255</v>
      </c>
      <c r="H30" s="1925">
        <v>0</v>
      </c>
      <c r="I30" s="1925">
        <v>0</v>
      </c>
      <c r="J30" s="1925">
        <v>0</v>
      </c>
      <c r="K30" s="1925">
        <v>0</v>
      </c>
      <c r="L30" s="1923">
        <f t="shared" si="1"/>
        <v>34950971.536563255</v>
      </c>
      <c r="M30" s="1902"/>
      <c r="N30" s="1902"/>
    </row>
    <row r="31" spans="1:14">
      <c r="A31" s="1186"/>
      <c r="B31" s="1907">
        <f t="shared" si="0"/>
        <v>44029</v>
      </c>
      <c r="C31" s="1924">
        <f t="shared" si="2"/>
        <v>68833732.143463761</v>
      </c>
      <c r="D31" s="1925">
        <v>0</v>
      </c>
      <c r="E31" s="1925">
        <v>0</v>
      </c>
      <c r="F31" s="1925">
        <v>0</v>
      </c>
      <c r="G31" s="1925">
        <v>4406259.6267969022</v>
      </c>
      <c r="H31" s="1925">
        <v>0</v>
      </c>
      <c r="I31" s="1925">
        <v>0</v>
      </c>
      <c r="J31" s="1925">
        <v>0</v>
      </c>
      <c r="K31" s="1925">
        <v>0</v>
      </c>
      <c r="L31" s="1923">
        <f t="shared" si="1"/>
        <v>4406259.6267969022</v>
      </c>
      <c r="M31" s="1902"/>
      <c r="N31" s="1902"/>
    </row>
    <row r="32" spans="1:14">
      <c r="A32" s="1186"/>
      <c r="B32" s="1907">
        <f t="shared" si="0"/>
        <v>44057</v>
      </c>
      <c r="C32" s="1924">
        <f t="shared" si="2"/>
        <v>17815171.851490621</v>
      </c>
      <c r="D32" s="1925">
        <v>0</v>
      </c>
      <c r="E32" s="1925">
        <v>0</v>
      </c>
      <c r="F32" s="1925">
        <v>0</v>
      </c>
      <c r="G32" s="1925">
        <v>30364042.510096196</v>
      </c>
      <c r="H32" s="1925">
        <v>0</v>
      </c>
      <c r="I32" s="1925">
        <v>0</v>
      </c>
      <c r="J32" s="1925">
        <v>0</v>
      </c>
      <c r="K32" s="1925">
        <v>0</v>
      </c>
      <c r="L32" s="1923">
        <f t="shared" si="1"/>
        <v>30364042.510096196</v>
      </c>
      <c r="M32" s="1902"/>
      <c r="N32" s="1902"/>
    </row>
    <row r="33" spans="1:14">
      <c r="A33" s="1186"/>
      <c r="B33" s="1907">
        <f t="shared" si="0"/>
        <v>44085</v>
      </c>
      <c r="C33" s="1924">
        <f t="shared" si="2"/>
        <v>41235386.94049862</v>
      </c>
      <c r="D33" s="1925">
        <v>0</v>
      </c>
      <c r="E33" s="1925">
        <v>0</v>
      </c>
      <c r="F33" s="1925">
        <v>0</v>
      </c>
      <c r="G33" s="1925">
        <v>3661469.3767940472</v>
      </c>
      <c r="H33" s="1925">
        <v>0</v>
      </c>
      <c r="I33" s="1925">
        <v>0</v>
      </c>
      <c r="J33" s="1925">
        <v>0</v>
      </c>
      <c r="K33" s="1925">
        <v>0</v>
      </c>
      <c r="L33" s="1923">
        <f t="shared" si="1"/>
        <v>3661469.3767940472</v>
      </c>
      <c r="M33" s="1902"/>
      <c r="N33" s="1902"/>
    </row>
    <row r="34" spans="1:14">
      <c r="A34" s="1186"/>
      <c r="B34" s="1907">
        <f t="shared" si="0"/>
        <v>44113</v>
      </c>
      <c r="C34" s="1924">
        <f t="shared" si="2"/>
        <v>40243965.209221005</v>
      </c>
      <c r="D34" s="1925">
        <v>0</v>
      </c>
      <c r="E34" s="1925">
        <v>0</v>
      </c>
      <c r="F34" s="1925">
        <v>0</v>
      </c>
      <c r="G34" s="1925">
        <v>660771587.94266188</v>
      </c>
      <c r="H34" s="1925">
        <v>0</v>
      </c>
      <c r="I34" s="1925">
        <v>0</v>
      </c>
      <c r="J34" s="1925">
        <v>0</v>
      </c>
      <c r="K34" s="1925">
        <v>0</v>
      </c>
      <c r="L34" s="1923">
        <f t="shared" si="1"/>
        <v>660771587.94266188</v>
      </c>
      <c r="M34" s="1902"/>
      <c r="N34" s="1902"/>
    </row>
    <row r="35" spans="1:14">
      <c r="A35" s="1186"/>
      <c r="B35" s="1907">
        <f t="shared" si="0"/>
        <v>44141</v>
      </c>
      <c r="C35" s="1924">
        <f t="shared" si="2"/>
        <v>23785315.688101918</v>
      </c>
      <c r="D35" s="1925">
        <v>0</v>
      </c>
      <c r="E35" s="1925">
        <v>0</v>
      </c>
      <c r="F35" s="1925">
        <v>0</v>
      </c>
      <c r="G35" s="1925">
        <v>3197742.083115004</v>
      </c>
      <c r="H35" s="1925">
        <v>0</v>
      </c>
      <c r="I35" s="1925">
        <v>0</v>
      </c>
      <c r="J35" s="1925">
        <v>0</v>
      </c>
      <c r="K35" s="1925">
        <v>0</v>
      </c>
      <c r="L35" s="1923">
        <f t="shared" si="1"/>
        <v>3197742.083115004</v>
      </c>
      <c r="M35" s="1902"/>
      <c r="N35" s="1902"/>
    </row>
    <row r="36" spans="1:14">
      <c r="A36" s="1186"/>
      <c r="B36" s="1907">
        <f t="shared" si="0"/>
        <v>44169</v>
      </c>
      <c r="C36" s="1926">
        <f t="shared" si="2"/>
        <v>42378265.214809515</v>
      </c>
      <c r="D36" s="1925">
        <v>0</v>
      </c>
      <c r="E36" s="1925">
        <v>0</v>
      </c>
      <c r="F36" s="1925">
        <v>0</v>
      </c>
      <c r="G36" s="1925">
        <v>3651833.5295205</v>
      </c>
      <c r="H36" s="1925">
        <v>0</v>
      </c>
      <c r="I36" s="1925">
        <v>0</v>
      </c>
      <c r="J36" s="1925">
        <v>0</v>
      </c>
      <c r="K36" s="1925">
        <v>0</v>
      </c>
      <c r="L36" s="1927">
        <f t="shared" si="1"/>
        <v>3651833.5295205</v>
      </c>
      <c r="M36" s="1902"/>
      <c r="N36" s="1902"/>
    </row>
    <row r="37" spans="1:14">
      <c r="A37" s="1183"/>
      <c r="B37" s="1915" t="s">
        <v>115</v>
      </c>
      <c r="C37" s="1928">
        <f>SUM(C24:C36)</f>
        <v>355342709.04074454</v>
      </c>
      <c r="D37" s="2283">
        <f t="shared" ref="D37:K37" si="3">SUM(D24:D36)</f>
        <v>0</v>
      </c>
      <c r="E37" s="2283">
        <f>SUM(E24:E36)</f>
        <v>6268811.7599999998</v>
      </c>
      <c r="F37" s="2283">
        <f>SUM(F24:F36)</f>
        <v>0</v>
      </c>
      <c r="G37" s="2283">
        <f t="shared" si="3"/>
        <v>755801051.68164933</v>
      </c>
      <c r="H37" s="2283">
        <f t="shared" si="3"/>
        <v>0</v>
      </c>
      <c r="I37" s="2283">
        <f t="shared" si="3"/>
        <v>0</v>
      </c>
      <c r="J37" s="2283">
        <f t="shared" si="3"/>
        <v>0</v>
      </c>
      <c r="K37" s="2283">
        <f t="shared" si="3"/>
        <v>0</v>
      </c>
      <c r="L37" s="1928">
        <f>SUM(L24:L36)</f>
        <v>762069863.44164932</v>
      </c>
      <c r="M37" s="1902"/>
      <c r="N37" s="1902"/>
    </row>
    <row r="38" spans="1:14">
      <c r="A38" s="1902"/>
      <c r="B38" s="1902"/>
      <c r="C38" s="1902"/>
      <c r="D38" s="1902"/>
      <c r="E38" s="1902"/>
      <c r="F38" s="1902"/>
      <c r="G38" s="1902"/>
      <c r="H38" s="1902"/>
      <c r="I38" s="1902"/>
      <c r="J38" s="1902"/>
      <c r="K38" s="1902"/>
      <c r="L38" s="1902"/>
      <c r="M38" s="1902"/>
      <c r="N38" s="1902"/>
    </row>
    <row r="39" spans="1:14">
      <c r="A39" s="1902"/>
      <c r="B39" s="1902"/>
      <c r="C39" s="1902"/>
      <c r="D39" s="1902"/>
      <c r="E39" s="1902"/>
      <c r="F39" s="1902"/>
      <c r="G39" s="1902"/>
      <c r="H39" s="1902"/>
      <c r="I39" s="1902"/>
      <c r="J39" s="1902"/>
      <c r="K39" s="1902"/>
      <c r="L39" s="1902"/>
      <c r="M39" s="1902"/>
      <c r="N39" s="1902"/>
    </row>
    <row r="40" spans="1:14">
      <c r="A40" s="1902"/>
      <c r="B40" s="1902"/>
      <c r="C40" s="1902"/>
      <c r="D40" s="1902"/>
      <c r="E40" s="1902"/>
      <c r="F40" s="1902"/>
      <c r="G40" s="1902"/>
      <c r="H40" s="1902"/>
      <c r="I40" s="1902"/>
      <c r="J40" s="1902"/>
      <c r="K40" s="1902"/>
      <c r="L40" s="1902"/>
      <c r="M40" s="1902"/>
      <c r="N40" s="1902"/>
    </row>
    <row r="41" spans="1:14">
      <c r="A41" s="1902"/>
      <c r="B41" s="1902"/>
      <c r="C41" s="1902"/>
      <c r="D41" s="1902"/>
      <c r="E41" s="1902"/>
      <c r="F41" s="1902"/>
      <c r="G41" s="1902"/>
      <c r="H41" s="1902"/>
      <c r="I41" s="1902"/>
      <c r="J41" s="1902"/>
      <c r="K41" s="1902"/>
      <c r="L41" s="1902"/>
      <c r="M41" s="1902"/>
      <c r="N41" s="1902"/>
    </row>
    <row r="42" spans="1:14">
      <c r="A42" s="1902"/>
      <c r="B42" s="1902"/>
      <c r="C42" s="1902"/>
      <c r="D42" s="1902"/>
      <c r="E42" s="1902"/>
      <c r="F42" s="1902"/>
      <c r="G42" s="1902"/>
      <c r="H42" s="1902"/>
      <c r="I42" s="1902"/>
      <c r="J42" s="1902"/>
      <c r="K42" s="1902"/>
      <c r="L42" s="1902"/>
      <c r="M42" s="1902"/>
      <c r="N42" s="1902"/>
    </row>
    <row r="43" spans="1:14">
      <c r="A43" s="1902"/>
      <c r="B43" s="1902"/>
      <c r="C43" s="1902"/>
      <c r="D43" s="1902"/>
      <c r="E43" s="1902"/>
      <c r="F43" s="1902"/>
      <c r="G43" s="1902"/>
      <c r="H43" s="1902"/>
      <c r="I43" s="1902"/>
      <c r="J43" s="1902"/>
      <c r="K43" s="1902"/>
      <c r="L43" s="1902"/>
      <c r="M43" s="1902"/>
      <c r="N43" s="1902"/>
    </row>
    <row r="44" spans="1:14">
      <c r="A44" s="1902"/>
      <c r="B44" s="1902"/>
      <c r="C44" s="1902"/>
      <c r="D44" s="1902"/>
      <c r="E44" s="1902"/>
      <c r="F44" s="1902"/>
      <c r="G44" s="1902"/>
      <c r="H44" s="1902"/>
      <c r="I44" s="1902"/>
      <c r="J44" s="1902"/>
      <c r="K44" s="1902"/>
      <c r="L44" s="1902"/>
      <c r="M44" s="1902"/>
      <c r="N44" s="1902"/>
    </row>
    <row r="45" spans="1:14">
      <c r="A45" s="1902"/>
      <c r="B45" s="1902"/>
      <c r="C45" s="1902"/>
      <c r="D45" s="1902"/>
      <c r="E45" s="1902"/>
      <c r="F45" s="1902"/>
      <c r="G45" s="1902"/>
      <c r="H45" s="1902"/>
      <c r="I45" s="1902"/>
      <c r="J45" s="1902"/>
      <c r="K45" s="1902"/>
      <c r="L45" s="1902"/>
      <c r="M45" s="1902"/>
      <c r="N45" s="1902"/>
    </row>
    <row r="46" spans="1:14">
      <c r="A46" s="1902"/>
      <c r="B46" s="1902"/>
      <c r="C46" s="1902"/>
      <c r="D46" s="1902"/>
      <c r="E46" s="1902"/>
      <c r="F46" s="1902"/>
      <c r="G46" s="1902"/>
      <c r="H46" s="1902"/>
      <c r="I46" s="1902"/>
      <c r="J46" s="1902"/>
      <c r="K46" s="1902"/>
      <c r="L46" s="1902"/>
      <c r="M46" s="1902"/>
      <c r="N46" s="1902"/>
    </row>
    <row r="47" spans="1:14">
      <c r="A47" s="1902"/>
      <c r="B47" s="1902"/>
      <c r="C47" s="1902"/>
      <c r="D47" s="1902"/>
      <c r="E47" s="1902"/>
      <c r="F47" s="1902"/>
      <c r="G47" s="1902"/>
      <c r="H47" s="1902"/>
      <c r="I47" s="1902"/>
      <c r="J47" s="1902"/>
      <c r="K47" s="1902"/>
      <c r="L47" s="1902"/>
      <c r="M47" s="1902"/>
      <c r="N47" s="1902"/>
    </row>
    <row r="48" spans="1:14">
      <c r="A48" s="1902"/>
      <c r="B48" s="1902"/>
      <c r="C48" s="1902"/>
      <c r="D48" s="1902"/>
      <c r="E48" s="1902"/>
      <c r="F48" s="1902"/>
      <c r="G48" s="1902"/>
      <c r="H48" s="1902"/>
      <c r="I48" s="1902"/>
      <c r="J48" s="1902"/>
      <c r="K48" s="1902"/>
      <c r="L48" s="1902"/>
      <c r="M48" s="1902"/>
      <c r="N48" s="1902"/>
    </row>
    <row r="49" spans="1:14">
      <c r="A49" s="1902"/>
      <c r="B49" s="1902"/>
      <c r="C49" s="1902"/>
      <c r="D49" s="1902"/>
      <c r="E49" s="1902"/>
      <c r="F49" s="1902"/>
      <c r="G49" s="1902"/>
      <c r="H49" s="1902"/>
      <c r="I49" s="1902"/>
      <c r="J49" s="1902"/>
      <c r="K49" s="1902"/>
      <c r="L49" s="1902"/>
      <c r="M49" s="1902"/>
      <c r="N49" s="1902"/>
    </row>
    <row r="50" spans="1:14">
      <c r="A50" s="1902"/>
      <c r="B50" s="1902"/>
      <c r="C50" s="1902"/>
      <c r="D50" s="1902"/>
      <c r="E50" s="1902"/>
      <c r="F50" s="1902"/>
      <c r="G50" s="1902"/>
      <c r="H50" s="1902"/>
      <c r="I50" s="1902"/>
      <c r="J50" s="1902"/>
      <c r="K50" s="1902"/>
      <c r="L50" s="1902"/>
      <c r="M50" s="1902"/>
      <c r="N50" s="1902"/>
    </row>
    <row r="51" spans="1:14">
      <c r="A51" s="1902"/>
      <c r="B51" s="1902"/>
      <c r="C51" s="1902"/>
      <c r="D51" s="1902"/>
      <c r="E51" s="1902"/>
      <c r="F51" s="1902"/>
      <c r="G51" s="1902"/>
      <c r="H51" s="1902"/>
      <c r="I51" s="1902"/>
      <c r="J51" s="1902"/>
      <c r="K51" s="1902"/>
      <c r="L51" s="1902"/>
      <c r="M51" s="1902"/>
      <c r="N51" s="1902"/>
    </row>
    <row r="52" spans="1:14">
      <c r="A52" s="1902"/>
      <c r="B52" s="1902"/>
      <c r="C52" s="1902"/>
      <c r="D52" s="1902"/>
      <c r="E52" s="1902"/>
      <c r="F52" s="1902"/>
      <c r="G52" s="1902"/>
      <c r="H52" s="1902"/>
      <c r="I52" s="1902"/>
      <c r="J52" s="1902"/>
      <c r="K52" s="1902"/>
      <c r="L52" s="1902"/>
      <c r="M52" s="1902"/>
      <c r="N52" s="1902"/>
    </row>
    <row r="53" spans="1:14">
      <c r="A53" s="1902"/>
      <c r="B53" s="1902"/>
      <c r="C53" s="1902"/>
      <c r="D53" s="1902"/>
      <c r="E53" s="1902"/>
      <c r="F53" s="1902"/>
      <c r="G53" s="1902"/>
      <c r="H53" s="1902"/>
      <c r="I53" s="1902"/>
      <c r="J53" s="1902"/>
      <c r="K53" s="1902"/>
      <c r="L53" s="1902"/>
      <c r="M53" s="1902"/>
      <c r="N53" s="1902"/>
    </row>
    <row r="54" spans="1:14">
      <c r="A54" s="1902"/>
      <c r="B54" s="1902"/>
      <c r="C54" s="1902"/>
      <c r="D54" s="1902"/>
      <c r="E54" s="1902"/>
      <c r="F54" s="1902"/>
      <c r="G54" s="1902"/>
      <c r="H54" s="1902"/>
      <c r="I54" s="1902"/>
      <c r="J54" s="1902"/>
      <c r="K54" s="1902"/>
      <c r="L54" s="1902"/>
      <c r="M54" s="1902"/>
      <c r="N54" s="1902"/>
    </row>
    <row r="55" spans="1:14">
      <c r="A55" s="1902"/>
      <c r="B55" s="1902"/>
      <c r="C55" s="1902"/>
      <c r="D55" s="1902"/>
      <c r="E55" s="1902"/>
      <c r="F55" s="1902"/>
      <c r="G55" s="1902"/>
      <c r="H55" s="1902"/>
      <c r="I55" s="1902"/>
      <c r="J55" s="1902"/>
      <c r="K55" s="1902"/>
      <c r="L55" s="1902"/>
      <c r="M55" s="1902"/>
      <c r="N55" s="1902"/>
    </row>
    <row r="56" spans="1:14">
      <c r="A56" s="1902"/>
      <c r="B56" s="1902"/>
      <c r="C56" s="1902"/>
      <c r="D56" s="1902"/>
      <c r="E56" s="1902"/>
      <c r="F56" s="1902"/>
      <c r="G56" s="1902"/>
      <c r="H56" s="1902"/>
      <c r="I56" s="1902"/>
      <c r="J56" s="1902"/>
      <c r="K56" s="1902"/>
      <c r="L56" s="1902"/>
      <c r="M56" s="1902"/>
      <c r="N56" s="1902"/>
    </row>
    <row r="57" spans="1:14">
      <c r="A57" s="1902"/>
      <c r="B57" s="1902"/>
      <c r="C57" s="1902"/>
      <c r="D57" s="1902"/>
      <c r="E57" s="1902"/>
      <c r="F57" s="1902"/>
      <c r="G57" s="1902"/>
      <c r="H57" s="1902"/>
      <c r="I57" s="1902"/>
      <c r="J57" s="1902"/>
      <c r="K57" s="1902"/>
      <c r="L57" s="1902"/>
      <c r="M57" s="1902"/>
      <c r="N57" s="1902"/>
    </row>
    <row r="58" spans="1:14">
      <c r="A58" s="1902"/>
      <c r="B58" s="1902"/>
      <c r="C58" s="1902"/>
      <c r="D58" s="1902"/>
      <c r="E58" s="1902"/>
      <c r="F58" s="1902"/>
      <c r="G58" s="1902"/>
      <c r="H58" s="1902"/>
      <c r="I58" s="1902"/>
      <c r="J58" s="1902"/>
      <c r="K58" s="1902"/>
      <c r="L58" s="1902"/>
      <c r="M58" s="1902"/>
      <c r="N58" s="1902"/>
    </row>
    <row r="59" spans="1:14">
      <c r="A59" s="1902"/>
      <c r="B59" s="1902"/>
      <c r="C59" s="1902"/>
      <c r="D59" s="1902"/>
      <c r="E59" s="1902"/>
      <c r="F59" s="1902"/>
      <c r="G59" s="1902"/>
      <c r="H59" s="1902"/>
      <c r="I59" s="1902"/>
      <c r="J59" s="1902"/>
      <c r="K59" s="1902"/>
      <c r="L59" s="1902"/>
      <c r="M59" s="1902"/>
      <c r="N59" s="1902"/>
    </row>
    <row r="60" spans="1:14">
      <c r="A60" s="1902"/>
      <c r="B60" s="1902"/>
      <c r="C60" s="1902"/>
      <c r="D60" s="1902"/>
      <c r="E60" s="1902"/>
      <c r="F60" s="1902"/>
      <c r="G60" s="1902"/>
      <c r="H60" s="1902"/>
      <c r="I60" s="1902"/>
      <c r="J60" s="1902"/>
      <c r="K60" s="1902"/>
      <c r="L60" s="1902"/>
      <c r="M60" s="1902"/>
      <c r="N60" s="1902"/>
    </row>
    <row r="61" spans="1:14">
      <c r="A61" s="1902"/>
      <c r="B61" s="1902"/>
      <c r="C61" s="1902"/>
      <c r="D61" s="1902"/>
      <c r="E61" s="1902"/>
      <c r="F61" s="1902"/>
      <c r="G61" s="1902"/>
      <c r="H61" s="1902"/>
      <c r="I61" s="1902"/>
      <c r="J61" s="1902"/>
      <c r="K61" s="1902"/>
      <c r="L61" s="1902"/>
      <c r="M61" s="1902"/>
      <c r="N61" s="1902"/>
    </row>
    <row r="62" spans="1:14">
      <c r="A62" s="1902"/>
      <c r="B62" s="1902"/>
      <c r="C62" s="1902"/>
      <c r="D62" s="1902"/>
      <c r="E62" s="1902"/>
      <c r="F62" s="1902"/>
      <c r="G62" s="1902"/>
      <c r="H62" s="1902"/>
      <c r="I62" s="1902"/>
      <c r="J62" s="1902"/>
      <c r="K62" s="1902"/>
      <c r="L62" s="1902"/>
      <c r="M62" s="1902"/>
      <c r="N62" s="1902"/>
    </row>
    <row r="63" spans="1:14">
      <c r="A63" s="1902"/>
      <c r="B63" s="1902"/>
      <c r="C63" s="1902"/>
      <c r="D63" s="1902"/>
      <c r="E63" s="1902"/>
      <c r="F63" s="1902"/>
      <c r="G63" s="1902"/>
      <c r="H63" s="1902"/>
      <c r="I63" s="1902"/>
      <c r="J63" s="1902"/>
      <c r="K63" s="1902"/>
      <c r="L63" s="1902"/>
      <c r="M63" s="1902"/>
      <c r="N63" s="1902"/>
    </row>
    <row r="64" spans="1:14">
      <c r="A64" s="1902"/>
      <c r="B64" s="1902"/>
      <c r="C64" s="1902"/>
      <c r="D64" s="1902"/>
      <c r="E64" s="1902"/>
      <c r="F64" s="1902"/>
      <c r="G64" s="1902"/>
      <c r="H64" s="1902"/>
      <c r="I64" s="1902"/>
      <c r="J64" s="1902"/>
      <c r="K64" s="1902"/>
      <c r="L64" s="1902"/>
      <c r="M64" s="1902"/>
      <c r="N64" s="1902"/>
    </row>
    <row r="65" spans="1:14">
      <c r="A65" s="1902"/>
      <c r="B65" s="1902"/>
      <c r="C65" s="1902"/>
      <c r="D65" s="1902"/>
      <c r="E65" s="1902"/>
      <c r="F65" s="1902"/>
      <c r="G65" s="1902"/>
      <c r="H65" s="1902"/>
      <c r="I65" s="1902"/>
      <c r="J65" s="1902"/>
      <c r="K65" s="1902"/>
      <c r="L65" s="1902"/>
      <c r="M65" s="1902"/>
      <c r="N65" s="1902"/>
    </row>
    <row r="66" spans="1:14">
      <c r="A66" s="1902"/>
      <c r="B66" s="1902"/>
      <c r="C66" s="1902"/>
      <c r="D66" s="1902"/>
      <c r="E66" s="1902"/>
      <c r="F66" s="1902"/>
      <c r="G66" s="1902"/>
      <c r="H66" s="1902"/>
      <c r="I66" s="1902"/>
      <c r="J66" s="1902"/>
      <c r="K66" s="1902"/>
      <c r="L66" s="1902"/>
      <c r="M66" s="1902"/>
      <c r="N66" s="1902"/>
    </row>
    <row r="67" spans="1:14">
      <c r="A67" s="1902"/>
      <c r="B67" s="1902"/>
      <c r="C67" s="1902"/>
      <c r="D67" s="1902"/>
      <c r="E67" s="1902"/>
      <c r="F67" s="1902"/>
      <c r="G67" s="1902"/>
      <c r="H67" s="1902"/>
      <c r="I67" s="1902"/>
      <c r="J67" s="1902"/>
      <c r="K67" s="1902"/>
      <c r="L67" s="1902"/>
      <c r="M67" s="1902"/>
      <c r="N67" s="1902"/>
    </row>
    <row r="68" spans="1:14">
      <c r="A68" s="1902"/>
      <c r="B68" s="1902"/>
      <c r="C68" s="1902"/>
      <c r="D68" s="1902"/>
      <c r="E68" s="1902"/>
      <c r="F68" s="1902"/>
      <c r="G68" s="1902"/>
      <c r="H68" s="1902"/>
      <c r="I68" s="1902"/>
      <c r="J68" s="1902"/>
      <c r="K68" s="1902"/>
      <c r="L68" s="1902"/>
      <c r="M68" s="1902"/>
      <c r="N68" s="1902"/>
    </row>
    <row r="69" spans="1:14">
      <c r="A69" s="1902"/>
      <c r="B69" s="1902"/>
      <c r="C69" s="1902"/>
      <c r="D69" s="1902"/>
      <c r="E69" s="1902"/>
      <c r="F69" s="1902"/>
      <c r="G69" s="1902"/>
      <c r="H69" s="1902"/>
      <c r="I69" s="1902"/>
      <c r="J69" s="1902"/>
      <c r="K69" s="1902"/>
      <c r="L69" s="1902"/>
      <c r="M69" s="1902"/>
      <c r="N69" s="1902"/>
    </row>
    <row r="70" spans="1:14">
      <c r="A70" s="1902"/>
      <c r="B70" s="1902"/>
      <c r="C70" s="1902"/>
      <c r="D70" s="1902"/>
      <c r="E70" s="1902"/>
      <c r="F70" s="1902"/>
      <c r="G70" s="1902"/>
      <c r="H70" s="1902"/>
      <c r="I70" s="1902"/>
      <c r="J70" s="1902"/>
      <c r="K70" s="1902"/>
      <c r="L70" s="1902"/>
      <c r="M70" s="1902"/>
      <c r="N70" s="1902"/>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395C7"/>
  </sheetPr>
  <dimension ref="A1:N155"/>
  <sheetViews>
    <sheetView topLeftCell="A16" workbookViewId="0">
      <selection activeCell="N33" sqref="N33"/>
    </sheetView>
  </sheetViews>
  <sheetFormatPr defaultRowHeight="15"/>
  <cols>
    <col min="1" max="1" width="7.5703125" customWidth="1"/>
    <col min="2" max="2" width="6" customWidth="1"/>
    <col min="3" max="7" width="18.140625" customWidth="1"/>
    <col min="8" max="8" width="2" customWidth="1"/>
    <col min="9" max="9" width="19.140625" customWidth="1"/>
    <col min="10" max="13" width="18.7109375" customWidth="1"/>
  </cols>
  <sheetData>
    <row r="1" spans="1:14">
      <c r="A1" s="1929" t="s">
        <v>1598</v>
      </c>
      <c r="B1" s="1930"/>
      <c r="C1" s="1930"/>
      <c r="D1" s="1930"/>
      <c r="E1" s="1930"/>
      <c r="F1" s="1930"/>
      <c r="G1" s="1930"/>
      <c r="H1" s="1931"/>
      <c r="I1" s="1932"/>
      <c r="J1" s="1932"/>
      <c r="K1" s="1932"/>
      <c r="L1" s="1932"/>
      <c r="M1" s="1932"/>
      <c r="N1" s="1933"/>
    </row>
    <row r="2" spans="1:14">
      <c r="A2" s="1934" t="s">
        <v>1922</v>
      </c>
      <c r="B2" s="1930"/>
      <c r="C2" s="1930"/>
      <c r="D2" s="1930"/>
      <c r="E2" s="1930"/>
      <c r="F2" s="1930"/>
      <c r="G2" s="1930"/>
      <c r="H2" s="1931"/>
      <c r="I2" s="1932"/>
      <c r="J2" s="1932"/>
      <c r="K2" s="1932"/>
      <c r="L2" s="1932"/>
      <c r="M2" s="1932"/>
      <c r="N2" s="1933"/>
    </row>
    <row r="3" spans="1:14">
      <c r="A3" s="1930"/>
      <c r="B3" s="1930"/>
      <c r="C3" s="1930"/>
      <c r="D3" s="1930"/>
      <c r="E3" s="1930"/>
      <c r="F3" s="1930"/>
      <c r="G3" s="1930"/>
      <c r="H3" s="1931"/>
      <c r="I3" s="1932"/>
      <c r="J3" s="1932"/>
      <c r="K3" s="1932"/>
      <c r="L3" s="1932"/>
      <c r="M3" s="1932"/>
      <c r="N3" s="1933"/>
    </row>
    <row r="4" spans="1:14">
      <c r="A4" s="1935" t="s">
        <v>1599</v>
      </c>
      <c r="B4" s="1930"/>
      <c r="C4" s="1930"/>
      <c r="D4" s="1930"/>
      <c r="E4" s="1930"/>
      <c r="F4" s="1930"/>
      <c r="G4" s="1930"/>
      <c r="H4" s="1931"/>
      <c r="I4" s="1932"/>
      <c r="J4" s="1932"/>
      <c r="K4" s="1932"/>
      <c r="L4" s="1932"/>
      <c r="M4" s="1932"/>
      <c r="N4" s="1933"/>
    </row>
    <row r="5" spans="1:14">
      <c r="A5" s="1936" t="s">
        <v>1600</v>
      </c>
      <c r="B5" s="1937"/>
      <c r="C5" s="1931"/>
      <c r="D5" s="1931"/>
      <c r="E5" s="1931"/>
      <c r="F5" s="1931"/>
      <c r="G5" s="1931"/>
      <c r="H5" s="1931"/>
      <c r="I5" s="1932"/>
      <c r="J5" s="1938"/>
      <c r="K5" s="1932"/>
      <c r="L5" s="1932"/>
      <c r="M5" s="1932"/>
      <c r="N5" s="1933"/>
    </row>
    <row r="6" spans="1:14">
      <c r="A6" s="1936" t="s">
        <v>1601</v>
      </c>
      <c r="B6" s="1937"/>
      <c r="C6" s="1931"/>
      <c r="D6" s="1931"/>
      <c r="E6" s="1931"/>
      <c r="F6" s="1931"/>
      <c r="G6" s="1931"/>
      <c r="H6" s="1931"/>
      <c r="I6" s="1932"/>
      <c r="J6" s="1938"/>
      <c r="K6" s="1932"/>
      <c r="L6" s="1932"/>
      <c r="M6" s="1932"/>
      <c r="N6" s="1933"/>
    </row>
    <row r="7" spans="1:14">
      <c r="A7" s="1930"/>
      <c r="B7" s="1930"/>
      <c r="C7" s="1930"/>
      <c r="D7" s="1930"/>
      <c r="E7" s="1930"/>
      <c r="F7" s="1930"/>
      <c r="G7" s="1930"/>
      <c r="H7" s="1931"/>
      <c r="I7" s="1932"/>
      <c r="J7" s="1939" t="s">
        <v>1602</v>
      </c>
      <c r="K7" s="1932"/>
      <c r="L7" s="1932"/>
      <c r="M7" s="1932"/>
      <c r="N7" s="1933"/>
    </row>
    <row r="8" spans="1:14">
      <c r="A8" s="1930"/>
      <c r="B8" s="1930"/>
      <c r="C8" s="1930"/>
      <c r="D8" s="1930"/>
      <c r="E8" s="1930"/>
      <c r="F8" s="1930"/>
      <c r="G8" s="1930"/>
      <c r="H8" s="1931"/>
      <c r="I8" s="1932"/>
      <c r="J8" s="1940">
        <f>1/58/12</f>
        <v>1.4367816091954023E-3</v>
      </c>
      <c r="K8" s="1941"/>
      <c r="L8" s="1941"/>
      <c r="M8" s="1941"/>
      <c r="N8" s="1933"/>
    </row>
    <row r="9" spans="1:14" ht="43.5">
      <c r="A9" s="1942" t="s">
        <v>1017</v>
      </c>
      <c r="B9" s="1942" t="s">
        <v>1603</v>
      </c>
      <c r="C9" s="1943" t="s">
        <v>1604</v>
      </c>
      <c r="D9" s="1944" t="s">
        <v>1605</v>
      </c>
      <c r="E9" s="1944" t="s">
        <v>40</v>
      </c>
      <c r="F9" s="1945" t="s">
        <v>1606</v>
      </c>
      <c r="G9" s="1945" t="s">
        <v>1607</v>
      </c>
      <c r="H9" s="1946"/>
      <c r="I9" s="1947" t="s">
        <v>1608</v>
      </c>
      <c r="J9" s="1948" t="s">
        <v>1609</v>
      </c>
      <c r="K9" s="1948" t="s">
        <v>1610</v>
      </c>
      <c r="L9" s="1948" t="s">
        <v>1611</v>
      </c>
      <c r="M9" s="1949" t="s">
        <v>1612</v>
      </c>
      <c r="N9" s="1933"/>
    </row>
    <row r="10" spans="1:14">
      <c r="A10" s="1950">
        <v>2008</v>
      </c>
      <c r="B10" s="1951">
        <v>12</v>
      </c>
      <c r="C10" s="1952"/>
      <c r="D10" s="1944"/>
      <c r="E10" s="1944"/>
      <c r="F10" s="1944"/>
      <c r="G10" s="1944"/>
      <c r="H10" s="1952"/>
      <c r="I10" s="1953"/>
      <c r="J10" s="1954"/>
      <c r="K10" s="1954"/>
      <c r="L10" s="1954"/>
      <c r="M10" s="1954"/>
      <c r="N10" s="1933"/>
    </row>
    <row r="11" spans="1:14">
      <c r="A11" s="1950">
        <v>2009</v>
      </c>
      <c r="B11" s="1951">
        <v>1</v>
      </c>
      <c r="C11" s="1955">
        <v>5595.33</v>
      </c>
      <c r="D11" s="1956"/>
      <c r="E11" s="1956">
        <v>196.67</v>
      </c>
      <c r="F11" s="1956"/>
      <c r="G11" s="1957">
        <v>5792</v>
      </c>
      <c r="H11" s="1958"/>
      <c r="I11" s="1959">
        <f>SUM(C$11:C11)</f>
        <v>5595.33</v>
      </c>
      <c r="J11" s="1959"/>
      <c r="K11" s="1959"/>
      <c r="L11" s="1959"/>
      <c r="M11" s="1959"/>
      <c r="N11" s="1933"/>
    </row>
    <row r="12" spans="1:14">
      <c r="A12" s="1951"/>
      <c r="B12" s="1951">
        <v>2</v>
      </c>
      <c r="C12" s="1955"/>
      <c r="D12" s="1956"/>
      <c r="E12" s="1956">
        <v>29.170000000000016</v>
      </c>
      <c r="F12" s="1956"/>
      <c r="G12" s="1957">
        <v>29.170000000000016</v>
      </c>
      <c r="H12" s="1958"/>
      <c r="I12" s="1959">
        <f>SUM(C$11:C12)</f>
        <v>5595.33</v>
      </c>
      <c r="J12" s="1959"/>
      <c r="K12" s="1959"/>
      <c r="L12" s="1959"/>
      <c r="M12" s="1959"/>
      <c r="N12" s="1933"/>
    </row>
    <row r="13" spans="1:14">
      <c r="A13" s="1951"/>
      <c r="B13" s="1951">
        <v>3</v>
      </c>
      <c r="C13" s="1955">
        <v>-5595.33</v>
      </c>
      <c r="D13" s="1956">
        <v>5595.33</v>
      </c>
      <c r="E13" s="1956">
        <v>11.87</v>
      </c>
      <c r="F13" s="1956"/>
      <c r="G13" s="1957">
        <v>11.87</v>
      </c>
      <c r="H13" s="1958"/>
      <c r="I13" s="1959">
        <f>SUM(C$11:C13)</f>
        <v>0</v>
      </c>
      <c r="J13" s="1959"/>
      <c r="K13" s="1959"/>
      <c r="L13" s="1959"/>
      <c r="M13" s="1959"/>
      <c r="N13" s="1933"/>
    </row>
    <row r="14" spans="1:14">
      <c r="A14" s="1951"/>
      <c r="B14" s="1951">
        <v>4</v>
      </c>
      <c r="C14" s="1955"/>
      <c r="D14" s="1956"/>
      <c r="E14" s="1956">
        <v>2.14</v>
      </c>
      <c r="F14" s="1956"/>
      <c r="G14" s="1957">
        <v>2.14</v>
      </c>
      <c r="H14" s="1958"/>
      <c r="I14" s="1959">
        <f>SUM(C$11:C14)</f>
        <v>0</v>
      </c>
      <c r="J14" s="1959"/>
      <c r="K14" s="1959"/>
      <c r="L14" s="1959"/>
      <c r="M14" s="1959"/>
      <c r="N14" s="1933"/>
    </row>
    <row r="15" spans="1:14">
      <c r="A15" s="1951"/>
      <c r="B15" s="1951">
        <v>5</v>
      </c>
      <c r="C15" s="1955"/>
      <c r="D15" s="1956"/>
      <c r="E15" s="1956">
        <v>0.1</v>
      </c>
      <c r="F15" s="1956"/>
      <c r="G15" s="1957">
        <v>0.1</v>
      </c>
      <c r="H15" s="1958"/>
      <c r="I15" s="1959">
        <f>SUM(C$11:C15)</f>
        <v>0</v>
      </c>
      <c r="J15" s="1959"/>
      <c r="K15" s="1959"/>
      <c r="L15" s="1959"/>
      <c r="M15" s="1959"/>
      <c r="N15" s="1933"/>
    </row>
    <row r="16" spans="1:14">
      <c r="A16" s="1951"/>
      <c r="B16" s="1951">
        <v>6</v>
      </c>
      <c r="C16" s="1955"/>
      <c r="D16" s="1956"/>
      <c r="E16" s="1956">
        <v>0.1</v>
      </c>
      <c r="F16" s="1956"/>
      <c r="G16" s="1957">
        <v>0.1</v>
      </c>
      <c r="H16" s="1958"/>
      <c r="I16" s="1959">
        <f>SUM(C$11:C16)</f>
        <v>0</v>
      </c>
      <c r="J16" s="1959"/>
      <c r="K16" s="1959"/>
      <c r="L16" s="1959"/>
      <c r="M16" s="1959"/>
      <c r="N16" s="1933"/>
    </row>
    <row r="17" spans="1:14">
      <c r="A17" s="1951"/>
      <c r="B17" s="1951">
        <v>7</v>
      </c>
      <c r="C17" s="1955"/>
      <c r="D17" s="1956"/>
      <c r="E17" s="1956">
        <v>291535.07</v>
      </c>
      <c r="F17" s="1956"/>
      <c r="G17" s="1957">
        <v>291535.07</v>
      </c>
      <c r="H17" s="1958"/>
      <c r="I17" s="1959">
        <f>SUM(C$11:C17)</f>
        <v>0</v>
      </c>
      <c r="J17" s="1959"/>
      <c r="K17" s="1959"/>
      <c r="L17" s="1959"/>
      <c r="M17" s="1959"/>
      <c r="N17" s="1933"/>
    </row>
    <row r="18" spans="1:14">
      <c r="A18" s="1951"/>
      <c r="B18" s="1951">
        <v>8</v>
      </c>
      <c r="C18" s="1955"/>
      <c r="D18" s="1956">
        <v>22386.29</v>
      </c>
      <c r="E18" s="1956">
        <v>834.29000000000008</v>
      </c>
      <c r="F18" s="1956"/>
      <c r="G18" s="1957">
        <v>23220.58</v>
      </c>
      <c r="H18" s="1958"/>
      <c r="I18" s="1959">
        <f>SUM(C$11:C18)</f>
        <v>0</v>
      </c>
      <c r="J18" s="1959"/>
      <c r="K18" s="1959"/>
      <c r="L18" s="1959"/>
      <c r="M18" s="1959"/>
      <c r="N18" s="1933"/>
    </row>
    <row r="19" spans="1:14">
      <c r="A19" s="1951"/>
      <c r="B19" s="1951">
        <v>9</v>
      </c>
      <c r="C19" s="1955"/>
      <c r="D19" s="1956">
        <v>3940</v>
      </c>
      <c r="E19" s="1956">
        <v>2218516.3000000003</v>
      </c>
      <c r="F19" s="1956"/>
      <c r="G19" s="1957">
        <v>2222456.3000000003</v>
      </c>
      <c r="H19" s="1958"/>
      <c r="I19" s="1959">
        <f>SUM(C$11:C19)</f>
        <v>0</v>
      </c>
      <c r="J19" s="1959"/>
      <c r="K19" s="1959"/>
      <c r="L19" s="1959"/>
      <c r="M19" s="1959"/>
      <c r="N19" s="1933"/>
    </row>
    <row r="20" spans="1:14">
      <c r="A20" s="1951"/>
      <c r="B20" s="1951">
        <v>10</v>
      </c>
      <c r="C20" s="1955"/>
      <c r="D20" s="1956">
        <v>0</v>
      </c>
      <c r="E20" s="1956">
        <v>14137.84</v>
      </c>
      <c r="F20" s="1956"/>
      <c r="G20" s="1957">
        <v>14137.84</v>
      </c>
      <c r="H20" s="1958"/>
      <c r="I20" s="1959">
        <f>SUM(C$11:C20)</f>
        <v>0</v>
      </c>
      <c r="J20" s="1959"/>
      <c r="K20" s="1959"/>
      <c r="L20" s="1959"/>
      <c r="M20" s="1959"/>
      <c r="N20" s="1933"/>
    </row>
    <row r="21" spans="1:14">
      <c r="A21" s="1951"/>
      <c r="B21" s="1951">
        <v>11</v>
      </c>
      <c r="C21" s="1955"/>
      <c r="D21" s="1956"/>
      <c r="E21" s="1956">
        <v>713565.12</v>
      </c>
      <c r="F21" s="1956"/>
      <c r="G21" s="1957">
        <v>713565.12</v>
      </c>
      <c r="H21" s="1958"/>
      <c r="I21" s="1959">
        <f>SUM(C$11:C21)</f>
        <v>0</v>
      </c>
      <c r="J21" s="1959"/>
      <c r="K21" s="1959"/>
      <c r="L21" s="1959"/>
      <c r="M21" s="1959"/>
      <c r="N21" s="1933"/>
    </row>
    <row r="22" spans="1:14">
      <c r="A22" s="1951"/>
      <c r="B22" s="1951">
        <v>12</v>
      </c>
      <c r="C22" s="1955">
        <v>49329088.560000002</v>
      </c>
      <c r="D22" s="1956">
        <v>90.72</v>
      </c>
      <c r="E22" s="1956">
        <v>915261.9</v>
      </c>
      <c r="F22" s="1956"/>
      <c r="G22" s="1957">
        <v>50244441.18</v>
      </c>
      <c r="H22" s="1958"/>
      <c r="I22" s="1960">
        <f>SUM(C$11:C22)</f>
        <v>49329088.560000002</v>
      </c>
      <c r="J22" s="1961">
        <f>+C22*J$8*0.5+J$8*I21</f>
        <v>35437.56362068966</v>
      </c>
      <c r="K22" s="1961">
        <f>J22+K21</f>
        <v>35437.56362068966</v>
      </c>
      <c r="L22" s="1959">
        <f t="shared" ref="L22:L85" si="0">+I22-K22</f>
        <v>49293650.996379316</v>
      </c>
      <c r="M22" s="1961">
        <f>SUM(L10:L22)/13</f>
        <v>3791819.3074137936</v>
      </c>
      <c r="N22" s="1933"/>
    </row>
    <row r="23" spans="1:14">
      <c r="A23" s="1950">
        <v>2010</v>
      </c>
      <c r="B23" s="1951">
        <v>1</v>
      </c>
      <c r="C23" s="1956"/>
      <c r="D23" s="1956"/>
      <c r="E23" s="1956">
        <v>-2660.5800000000008</v>
      </c>
      <c r="F23" s="1956"/>
      <c r="G23" s="1957">
        <v>-2660.5800000000008</v>
      </c>
      <c r="H23" s="1958"/>
      <c r="I23" s="1959">
        <f>SUM(C$11:C23)</f>
        <v>49329088.560000002</v>
      </c>
      <c r="J23" s="1961">
        <f t="shared" ref="J23:J86" si="1">+C23*J$8*0.5+J$8*I22</f>
        <v>70875.127241379319</v>
      </c>
      <c r="K23" s="1961">
        <f>J23+K22</f>
        <v>106312.69086206898</v>
      </c>
      <c r="L23" s="1959">
        <f t="shared" si="0"/>
        <v>49222775.869137935</v>
      </c>
      <c r="M23" s="1959"/>
      <c r="N23" s="1933"/>
    </row>
    <row r="24" spans="1:14">
      <c r="A24" s="1951"/>
      <c r="B24" s="1951">
        <v>2</v>
      </c>
      <c r="C24" s="1956"/>
      <c r="D24" s="1956"/>
      <c r="E24" s="1956">
        <v>56707.81</v>
      </c>
      <c r="F24" s="1956"/>
      <c r="G24" s="1957">
        <v>56707.81</v>
      </c>
      <c r="H24" s="1958"/>
      <c r="I24" s="1959">
        <f>SUM(C$11:C24)</f>
        <v>49329088.560000002</v>
      </c>
      <c r="J24" s="1961">
        <f t="shared" si="1"/>
        <v>70875.127241379319</v>
      </c>
      <c r="K24" s="1961">
        <f t="shared" ref="K24:K87" si="2">J24+K23</f>
        <v>177187.81810344831</v>
      </c>
      <c r="L24" s="1959">
        <f t="shared" si="0"/>
        <v>49151900.741896555</v>
      </c>
      <c r="M24" s="1959"/>
      <c r="N24" s="1933"/>
    </row>
    <row r="25" spans="1:14">
      <c r="A25" s="1951"/>
      <c r="B25" s="1951">
        <v>3</v>
      </c>
      <c r="C25" s="1956">
        <v>186516475.59000003</v>
      </c>
      <c r="D25" s="1956">
        <v>4593.3</v>
      </c>
      <c r="E25" s="1956">
        <v>1540415.9000000001</v>
      </c>
      <c r="F25" s="1956"/>
      <c r="G25" s="1957">
        <v>188061484.79000005</v>
      </c>
      <c r="H25" s="1958"/>
      <c r="I25" s="1959">
        <f>SUM(C$11:C25)</f>
        <v>235845564.15000004</v>
      </c>
      <c r="J25" s="1961">
        <f t="shared" si="1"/>
        <v>204866.84821120693</v>
      </c>
      <c r="K25" s="1961">
        <f t="shared" si="2"/>
        <v>382054.66631465522</v>
      </c>
      <c r="L25" s="1959">
        <f t="shared" si="0"/>
        <v>235463509.48368537</v>
      </c>
      <c r="M25" s="1959"/>
      <c r="N25" s="1933"/>
    </row>
    <row r="26" spans="1:14">
      <c r="A26" s="1951"/>
      <c r="B26" s="1951">
        <v>4</v>
      </c>
      <c r="C26" s="1956">
        <v>10877334.39999998</v>
      </c>
      <c r="D26" s="1956">
        <v>4.9999999999727152E-2</v>
      </c>
      <c r="E26" s="1956">
        <v>101389.12</v>
      </c>
      <c r="F26" s="1956"/>
      <c r="G26" s="1957">
        <v>10978723.56999998</v>
      </c>
      <c r="H26" s="1958"/>
      <c r="I26" s="1959">
        <f>SUM(C$11:C26)</f>
        <v>246722898.55000001</v>
      </c>
      <c r="J26" s="1961">
        <f t="shared" si="1"/>
        <v>346672.74619252875</v>
      </c>
      <c r="K26" s="1961">
        <f t="shared" si="2"/>
        <v>728727.41250718397</v>
      </c>
      <c r="L26" s="1959">
        <f t="shared" si="0"/>
        <v>245994171.13749284</v>
      </c>
      <c r="M26" s="1959"/>
      <c r="N26" s="1933"/>
    </row>
    <row r="27" spans="1:14">
      <c r="A27" s="1951"/>
      <c r="B27" s="1951">
        <v>5</v>
      </c>
      <c r="C27" s="1956">
        <v>-353166.11999999569</v>
      </c>
      <c r="D27" s="1956"/>
      <c r="E27" s="1956">
        <v>45114.470000000008</v>
      </c>
      <c r="F27" s="1956"/>
      <c r="G27" s="1957">
        <v>-308051.64999999566</v>
      </c>
      <c r="H27" s="1958"/>
      <c r="I27" s="1959">
        <f>SUM(C$11:C27)</f>
        <v>246369732.43000001</v>
      </c>
      <c r="J27" s="1961">
        <f t="shared" si="1"/>
        <v>354233.21191091952</v>
      </c>
      <c r="K27" s="1961">
        <f t="shared" si="2"/>
        <v>1082960.6244181036</v>
      </c>
      <c r="L27" s="1959">
        <f t="shared" si="0"/>
        <v>245286771.8055819</v>
      </c>
      <c r="M27" s="1959"/>
      <c r="N27" s="1933"/>
    </row>
    <row r="28" spans="1:14">
      <c r="A28" s="1951"/>
      <c r="B28" s="1951">
        <v>6</v>
      </c>
      <c r="C28" s="1956">
        <v>798120.67999998387</v>
      </c>
      <c r="D28" s="1956">
        <v>-12163.470000000001</v>
      </c>
      <c r="E28" s="1956">
        <v>82042.029999999984</v>
      </c>
      <c r="F28" s="1956"/>
      <c r="G28" s="1957">
        <v>867999.23999998393</v>
      </c>
      <c r="H28" s="1958"/>
      <c r="I28" s="1959">
        <f>SUM(C$11:C28)</f>
        <v>247167853.10999998</v>
      </c>
      <c r="J28" s="1961">
        <f t="shared" si="1"/>
        <v>354552.86317528738</v>
      </c>
      <c r="K28" s="1961">
        <f t="shared" si="2"/>
        <v>1437513.487593391</v>
      </c>
      <c r="L28" s="1959">
        <f t="shared" si="0"/>
        <v>245730339.6224066</v>
      </c>
      <c r="M28" s="1959"/>
      <c r="N28" s="1933"/>
    </row>
    <row r="29" spans="1:14">
      <c r="A29" s="1951"/>
      <c r="B29" s="1951">
        <v>7</v>
      </c>
      <c r="C29" s="1956">
        <v>1116636.3700000001</v>
      </c>
      <c r="D29" s="1956">
        <v>1294.0999999999999</v>
      </c>
      <c r="E29" s="1956">
        <v>21234.670000000024</v>
      </c>
      <c r="F29" s="1956"/>
      <c r="G29" s="1957">
        <v>1139165.1400000001</v>
      </c>
      <c r="H29" s="1958"/>
      <c r="I29" s="1959">
        <f>SUM(C$11:C29)</f>
        <v>248284489.47999999</v>
      </c>
      <c r="J29" s="1961">
        <f t="shared" si="1"/>
        <v>355928.40703304595</v>
      </c>
      <c r="K29" s="1961">
        <f t="shared" si="2"/>
        <v>1793441.894626437</v>
      </c>
      <c r="L29" s="1959">
        <f t="shared" si="0"/>
        <v>246491047.58537355</v>
      </c>
      <c r="M29" s="1959"/>
      <c r="N29" s="1933"/>
    </row>
    <row r="30" spans="1:14">
      <c r="A30" s="1951"/>
      <c r="B30" s="1951">
        <v>8</v>
      </c>
      <c r="C30" s="1956">
        <v>392805.13</v>
      </c>
      <c r="D30" s="1956">
        <v>-38.079999999999927</v>
      </c>
      <c r="E30" s="1956">
        <v>32124.50999999998</v>
      </c>
      <c r="F30" s="1956"/>
      <c r="G30" s="1957">
        <v>424891.55999999994</v>
      </c>
      <c r="H30" s="1958"/>
      <c r="I30" s="1959">
        <f>SUM(C$11:C30)</f>
        <v>248677294.60999998</v>
      </c>
      <c r="J30" s="1961">
        <f t="shared" si="1"/>
        <v>357012.77592672413</v>
      </c>
      <c r="K30" s="1961">
        <f t="shared" si="2"/>
        <v>2150454.6705531613</v>
      </c>
      <c r="L30" s="1959">
        <f t="shared" si="0"/>
        <v>246526839.93944684</v>
      </c>
      <c r="M30" s="1959"/>
      <c r="N30" s="1933"/>
    </row>
    <row r="31" spans="1:14">
      <c r="A31" s="1951"/>
      <c r="B31" s="1951">
        <v>9</v>
      </c>
      <c r="C31" s="1956">
        <v>-81061.900000000038</v>
      </c>
      <c r="D31" s="1956">
        <v>-2506.2800000000002</v>
      </c>
      <c r="E31" s="1956">
        <v>-61825.96</v>
      </c>
      <c r="F31" s="1956"/>
      <c r="G31" s="1957">
        <v>-145394.14000000004</v>
      </c>
      <c r="H31" s="1958"/>
      <c r="I31" s="1959">
        <f>SUM(C$11:C31)</f>
        <v>248596232.70999998</v>
      </c>
      <c r="J31" s="1961">
        <f t="shared" si="1"/>
        <v>357236.72939655167</v>
      </c>
      <c r="K31" s="1961">
        <f t="shared" si="2"/>
        <v>2507691.3999497131</v>
      </c>
      <c r="L31" s="1959">
        <f t="shared" si="0"/>
        <v>246088541.31005028</v>
      </c>
      <c r="M31" s="1959"/>
      <c r="N31" s="1933"/>
    </row>
    <row r="32" spans="1:14">
      <c r="A32" s="1951"/>
      <c r="B32" s="1951">
        <v>10</v>
      </c>
      <c r="C32" s="1956">
        <v>87873223.509999976</v>
      </c>
      <c r="D32" s="1956">
        <v>36378.14</v>
      </c>
      <c r="E32" s="1956">
        <v>8623922.4899999984</v>
      </c>
      <c r="F32" s="1956">
        <v>364553.74</v>
      </c>
      <c r="G32" s="1957">
        <v>96898077.879999965</v>
      </c>
      <c r="H32" s="1958"/>
      <c r="I32" s="1959">
        <f>SUM(C$11:C32)</f>
        <v>336469456.21999997</v>
      </c>
      <c r="J32" s="1961">
        <f t="shared" si="1"/>
        <v>420305.81101293094</v>
      </c>
      <c r="K32" s="1961">
        <f t="shared" si="2"/>
        <v>2927997.2109626438</v>
      </c>
      <c r="L32" s="1959">
        <f t="shared" si="0"/>
        <v>333541459.00903732</v>
      </c>
      <c r="M32" s="1959"/>
      <c r="N32" s="1933"/>
    </row>
    <row r="33" spans="1:14">
      <c r="A33" s="1951"/>
      <c r="B33" s="1951">
        <v>11</v>
      </c>
      <c r="C33" s="1956">
        <v>434391075.3300001</v>
      </c>
      <c r="D33" s="1956">
        <v>-4161.4500000000007</v>
      </c>
      <c r="E33" s="1956">
        <v>-1457462.9400000004</v>
      </c>
      <c r="F33" s="1956">
        <v>2700529.23</v>
      </c>
      <c r="G33" s="1957">
        <v>435629980.17000014</v>
      </c>
      <c r="H33" s="1958"/>
      <c r="I33" s="1959">
        <f>SUM(C$11:C33)</f>
        <v>770860531.55000007</v>
      </c>
      <c r="J33" s="1961">
        <f t="shared" si="1"/>
        <v>795495.68086925289</v>
      </c>
      <c r="K33" s="1961">
        <f t="shared" si="2"/>
        <v>3723492.8918318967</v>
      </c>
      <c r="L33" s="1959">
        <f t="shared" si="0"/>
        <v>767137038.6581682</v>
      </c>
      <c r="M33" s="1959"/>
      <c r="N33" s="1933"/>
    </row>
    <row r="34" spans="1:14">
      <c r="A34" s="1951"/>
      <c r="B34" s="1951">
        <v>12</v>
      </c>
      <c r="C34" s="1956">
        <v>7978725.1199999703</v>
      </c>
      <c r="D34" s="1956">
        <v>4034.919999999991</v>
      </c>
      <c r="E34" s="1956">
        <v>943607.23</v>
      </c>
      <c r="F34" s="1956">
        <v>970519.44000000006</v>
      </c>
      <c r="G34" s="1957">
        <v>9896886.7099999748</v>
      </c>
      <c r="H34" s="1958"/>
      <c r="I34" s="1960">
        <f>SUM(C$11:C34)</f>
        <v>778839256.67000008</v>
      </c>
      <c r="J34" s="1961">
        <f t="shared" si="1"/>
        <v>1113290.077744253</v>
      </c>
      <c r="K34" s="1961">
        <f t="shared" si="2"/>
        <v>4836782.9695761502</v>
      </c>
      <c r="L34" s="1959">
        <f t="shared" si="0"/>
        <v>774002473.70042396</v>
      </c>
      <c r="M34" s="1961">
        <f>SUM(L22:L34)/13</f>
        <v>287225424.6045447</v>
      </c>
      <c r="N34" s="1933"/>
    </row>
    <row r="35" spans="1:14">
      <c r="A35" s="1950">
        <v>2011</v>
      </c>
      <c r="B35" s="1951">
        <v>1</v>
      </c>
      <c r="C35" s="1956">
        <v>1570431.4800000181</v>
      </c>
      <c r="D35" s="1956">
        <v>150</v>
      </c>
      <c r="E35" s="1956">
        <v>81574.509999999995</v>
      </c>
      <c r="F35" s="1956">
        <v>21651.35</v>
      </c>
      <c r="G35" s="1957">
        <v>1673807.3400000182</v>
      </c>
      <c r="H35" s="1958"/>
      <c r="I35" s="1959">
        <f>SUM(C$11:C35)</f>
        <v>780409688.1500001</v>
      </c>
      <c r="J35" s="1961">
        <f t="shared" si="1"/>
        <v>1120150.1040373563</v>
      </c>
      <c r="K35" s="1961">
        <f t="shared" si="2"/>
        <v>5956933.0736135067</v>
      </c>
      <c r="L35" s="1959">
        <f t="shared" si="0"/>
        <v>774452755.07638657</v>
      </c>
      <c r="M35" s="1959"/>
      <c r="N35" s="1933"/>
    </row>
    <row r="36" spans="1:14">
      <c r="A36" s="1951"/>
      <c r="B36" s="1951">
        <v>2</v>
      </c>
      <c r="C36" s="1956">
        <v>14494419.71000002</v>
      </c>
      <c r="D36" s="1956">
        <v>203.29000000000002</v>
      </c>
      <c r="E36" s="1956">
        <v>32193.41</v>
      </c>
      <c r="F36" s="1956">
        <v>1865956.72</v>
      </c>
      <c r="G36" s="1957">
        <v>16392773.130000019</v>
      </c>
      <c r="H36" s="1958"/>
      <c r="I36" s="1959">
        <f>SUM(C$11:C36)</f>
        <v>794904107.86000013</v>
      </c>
      <c r="J36" s="1961">
        <f t="shared" si="1"/>
        <v>1131690.945409483</v>
      </c>
      <c r="K36" s="1961">
        <f t="shared" si="2"/>
        <v>7088624.01902299</v>
      </c>
      <c r="L36" s="1959">
        <f t="shared" si="0"/>
        <v>787815483.84097719</v>
      </c>
      <c r="M36" s="1959"/>
      <c r="N36" s="1933"/>
    </row>
    <row r="37" spans="1:14">
      <c r="A37" s="1951"/>
      <c r="B37" s="1951">
        <v>3</v>
      </c>
      <c r="C37" s="1956">
        <v>-1319835.47</v>
      </c>
      <c r="D37" s="1956"/>
      <c r="E37" s="1956">
        <v>50543.16</v>
      </c>
      <c r="F37" s="1956">
        <v>62917.19999999999</v>
      </c>
      <c r="G37" s="1957">
        <v>-1206375.1100000001</v>
      </c>
      <c r="H37" s="1958"/>
      <c r="I37" s="1959">
        <f>SUM(C$11:C37)</f>
        <v>793584272.3900001</v>
      </c>
      <c r="J37" s="1961">
        <f t="shared" si="1"/>
        <v>1141155.4455818967</v>
      </c>
      <c r="K37" s="1961">
        <f t="shared" si="2"/>
        <v>8229779.4646048862</v>
      </c>
      <c r="L37" s="1959">
        <f t="shared" si="0"/>
        <v>785354492.92539525</v>
      </c>
      <c r="M37" s="1959"/>
      <c r="N37" s="1933"/>
    </row>
    <row r="38" spans="1:14">
      <c r="A38" s="1951"/>
      <c r="B38" s="1951">
        <v>4</v>
      </c>
      <c r="C38" s="1956">
        <v>818994.6799999997</v>
      </c>
      <c r="D38" s="1956">
        <v>-1945.55</v>
      </c>
      <c r="E38" s="1956">
        <v>7431.9300000000012</v>
      </c>
      <c r="F38" s="1956">
        <v>-16373.909999999994</v>
      </c>
      <c r="G38" s="1957">
        <v>808107.14999999967</v>
      </c>
      <c r="H38" s="1958"/>
      <c r="I38" s="1959">
        <f>SUM(C$11:C38)</f>
        <v>794403267.07000005</v>
      </c>
      <c r="J38" s="1961">
        <f t="shared" si="1"/>
        <v>1140795.6461637933</v>
      </c>
      <c r="K38" s="1961">
        <f t="shared" si="2"/>
        <v>9370575.1107686795</v>
      </c>
      <c r="L38" s="1959">
        <f t="shared" si="0"/>
        <v>785032691.95923138</v>
      </c>
      <c r="M38" s="1959"/>
      <c r="N38" s="1933"/>
    </row>
    <row r="39" spans="1:14">
      <c r="A39" s="1951"/>
      <c r="B39" s="1951">
        <v>5</v>
      </c>
      <c r="C39" s="1956">
        <v>-674048.58999999892</v>
      </c>
      <c r="D39" s="1956"/>
      <c r="E39" s="1956">
        <v>16323.12</v>
      </c>
      <c r="F39" s="1956">
        <v>62500.57</v>
      </c>
      <c r="G39" s="1957">
        <v>-595224.89999999898</v>
      </c>
      <c r="H39" s="1958"/>
      <c r="I39" s="1959">
        <f>SUM(C$11:C39)</f>
        <v>793729218.48000002</v>
      </c>
      <c r="J39" s="1961">
        <f t="shared" si="1"/>
        <v>1140899.7741020115</v>
      </c>
      <c r="K39" s="1961">
        <f t="shared" si="2"/>
        <v>10511474.884870691</v>
      </c>
      <c r="L39" s="1959">
        <f t="shared" si="0"/>
        <v>783217743.59512937</v>
      </c>
      <c r="M39" s="1959"/>
      <c r="N39" s="1933"/>
    </row>
    <row r="40" spans="1:14">
      <c r="A40" s="1951"/>
      <c r="B40" s="1951">
        <v>6</v>
      </c>
      <c r="C40" s="1956">
        <v>6013549.9000000004</v>
      </c>
      <c r="D40" s="1956"/>
      <c r="E40" s="1956">
        <v>27267.920000000002</v>
      </c>
      <c r="F40" s="1956">
        <v>4503.0700000000006</v>
      </c>
      <c r="G40" s="1957">
        <v>6045320.8900000006</v>
      </c>
      <c r="H40" s="1958"/>
      <c r="I40" s="1959">
        <f>SUM(C$11:C40)</f>
        <v>799742768.38</v>
      </c>
      <c r="J40" s="1961">
        <f t="shared" si="1"/>
        <v>1144735.6227442529</v>
      </c>
      <c r="K40" s="1961">
        <f t="shared" si="2"/>
        <v>11656210.507614944</v>
      </c>
      <c r="L40" s="1959">
        <f t="shared" si="0"/>
        <v>788086557.87238503</v>
      </c>
      <c r="M40" s="1959"/>
      <c r="N40" s="1933"/>
    </row>
    <row r="41" spans="1:14">
      <c r="A41" s="1951"/>
      <c r="B41" s="1951">
        <v>7</v>
      </c>
      <c r="C41" s="1956">
        <v>225620.78999999992</v>
      </c>
      <c r="D41" s="1956"/>
      <c r="E41" s="1956">
        <v>12962.32</v>
      </c>
      <c r="F41" s="1956">
        <v>-11911.15</v>
      </c>
      <c r="G41" s="1957">
        <v>226671.95999999993</v>
      </c>
      <c r="H41" s="1958"/>
      <c r="I41" s="1959">
        <f>SUM(C$11:C41)</f>
        <v>799968389.16999996</v>
      </c>
      <c r="J41" s="1961">
        <f t="shared" si="1"/>
        <v>1149217.7855962645</v>
      </c>
      <c r="K41" s="1961">
        <f t="shared" si="2"/>
        <v>12805428.293211209</v>
      </c>
      <c r="L41" s="1959">
        <f t="shared" si="0"/>
        <v>787162960.87678874</v>
      </c>
      <c r="M41" s="1959"/>
      <c r="N41" s="1933"/>
    </row>
    <row r="42" spans="1:14">
      <c r="A42" s="1951"/>
      <c r="B42" s="1951">
        <v>8</v>
      </c>
      <c r="C42" s="1956">
        <v>292520.68000000005</v>
      </c>
      <c r="D42" s="1956"/>
      <c r="E42" s="1956">
        <v>-146659.68</v>
      </c>
      <c r="F42" s="1956">
        <v>-419.81999999999982</v>
      </c>
      <c r="G42" s="1957">
        <v>145441.18000000005</v>
      </c>
      <c r="H42" s="1958"/>
      <c r="I42" s="1959">
        <f>SUM(C$11:C42)</f>
        <v>800260909.8499999</v>
      </c>
      <c r="J42" s="1961">
        <f t="shared" si="1"/>
        <v>1149590.0136637932</v>
      </c>
      <c r="K42" s="1961">
        <f t="shared" si="2"/>
        <v>13955018.306875002</v>
      </c>
      <c r="L42" s="1959">
        <f t="shared" si="0"/>
        <v>786305891.54312491</v>
      </c>
      <c r="M42" s="1959"/>
      <c r="N42" s="1933"/>
    </row>
    <row r="43" spans="1:14">
      <c r="A43" s="1951"/>
      <c r="B43" s="1951">
        <v>9</v>
      </c>
      <c r="C43" s="1956">
        <v>2253449.2999999998</v>
      </c>
      <c r="D43" s="1956"/>
      <c r="E43" s="1956">
        <v>1664.07</v>
      </c>
      <c r="F43" s="1956">
        <v>13507.07</v>
      </c>
      <c r="G43" s="1957">
        <v>2268620.4399999995</v>
      </c>
      <c r="H43" s="1958"/>
      <c r="I43" s="1959">
        <f>SUM(C$11:C43)</f>
        <v>802514359.14999986</v>
      </c>
      <c r="J43" s="1961">
        <f t="shared" si="1"/>
        <v>1151419.0150862066</v>
      </c>
      <c r="K43" s="1961">
        <f t="shared" si="2"/>
        <v>15106437.321961209</v>
      </c>
      <c r="L43" s="1959">
        <f t="shared" si="0"/>
        <v>787407921.82803869</v>
      </c>
      <c r="M43" s="1959"/>
      <c r="N43" s="1933"/>
    </row>
    <row r="44" spans="1:14">
      <c r="A44" s="1951"/>
      <c r="B44" s="1951">
        <v>10</v>
      </c>
      <c r="C44" s="1956">
        <v>-169597.82000000009</v>
      </c>
      <c r="D44" s="1956"/>
      <c r="E44" s="1956">
        <v>114065.09</v>
      </c>
      <c r="F44" s="1956">
        <v>90745.720000000088</v>
      </c>
      <c r="G44" s="1957">
        <v>35212.989999999991</v>
      </c>
      <c r="H44" s="1958"/>
      <c r="I44" s="1959">
        <f>SUM(C$11:C44)</f>
        <v>802344761.3299998</v>
      </c>
      <c r="J44" s="1961">
        <f t="shared" si="1"/>
        <v>1152916.034827586</v>
      </c>
      <c r="K44" s="1961">
        <f t="shared" si="2"/>
        <v>16259353.356788795</v>
      </c>
      <c r="L44" s="1959">
        <f t="shared" si="0"/>
        <v>786085407.97321105</v>
      </c>
      <c r="M44" s="1959"/>
      <c r="N44" s="1933"/>
    </row>
    <row r="45" spans="1:14">
      <c r="A45" s="1951"/>
      <c r="B45" s="1951">
        <v>11</v>
      </c>
      <c r="C45" s="1956">
        <v>-125784.32000000015</v>
      </c>
      <c r="D45" s="1956"/>
      <c r="E45" s="1956">
        <v>86833.01</v>
      </c>
      <c r="F45" s="1956">
        <v>-1201.9299999999989</v>
      </c>
      <c r="G45" s="1957">
        <v>-40153.240000000158</v>
      </c>
      <c r="H45" s="1958"/>
      <c r="I45" s="1959">
        <f>SUM(C$11:C45)</f>
        <v>802218977.00999975</v>
      </c>
      <c r="J45" s="1961">
        <f t="shared" si="1"/>
        <v>1152703.8350143675</v>
      </c>
      <c r="K45" s="1961">
        <f t="shared" si="2"/>
        <v>17412057.191803165</v>
      </c>
      <c r="L45" s="1959">
        <f t="shared" si="0"/>
        <v>784806919.81819654</v>
      </c>
      <c r="M45" s="1959"/>
      <c r="N45" s="1933"/>
    </row>
    <row r="46" spans="1:14">
      <c r="A46" s="1951"/>
      <c r="B46" s="1951">
        <v>12</v>
      </c>
      <c r="C46" s="1956">
        <v>91950.220000000016</v>
      </c>
      <c r="D46" s="1956">
        <v>87946.400000000009</v>
      </c>
      <c r="E46" s="1956">
        <v>-2114.7600000000002</v>
      </c>
      <c r="F46" s="1956">
        <v>-15583.36</v>
      </c>
      <c r="G46" s="1957">
        <v>162198.5</v>
      </c>
      <c r="H46" s="1958"/>
      <c r="I46" s="1960">
        <f>SUM(C$11:C46)</f>
        <v>802310927.22999978</v>
      </c>
      <c r="J46" s="1961">
        <f t="shared" si="1"/>
        <v>1152679.5289080455</v>
      </c>
      <c r="K46" s="1961">
        <f t="shared" si="2"/>
        <v>18564736.720711209</v>
      </c>
      <c r="L46" s="1959">
        <f t="shared" si="0"/>
        <v>783746190.50928855</v>
      </c>
      <c r="M46" s="1962">
        <f>SUM(L34:L46)/13</f>
        <v>784113653.19373691</v>
      </c>
      <c r="N46" s="1933"/>
    </row>
    <row r="47" spans="1:14">
      <c r="A47" s="1950">
        <v>2012</v>
      </c>
      <c r="B47" s="1951">
        <v>1</v>
      </c>
      <c r="C47" s="1957">
        <v>36175.22000000003</v>
      </c>
      <c r="D47" s="1957">
        <v>5450.7599999999948</v>
      </c>
      <c r="E47" s="1957">
        <v>18068</v>
      </c>
      <c r="F47" s="1957"/>
      <c r="G47" s="1957">
        <v>59693.980000000025</v>
      </c>
      <c r="H47" s="1958"/>
      <c r="I47" s="1959">
        <f>SUM(C$11:C47)</f>
        <v>802347102.44999981</v>
      </c>
      <c r="J47" s="1961">
        <f t="shared" si="1"/>
        <v>1152771.5730459767</v>
      </c>
      <c r="K47" s="1961">
        <f t="shared" si="2"/>
        <v>19717508.293757185</v>
      </c>
      <c r="L47" s="1959">
        <f t="shared" si="0"/>
        <v>782629594.15624261</v>
      </c>
      <c r="M47" s="1959"/>
      <c r="N47" s="1933"/>
    </row>
    <row r="48" spans="1:14">
      <c r="A48" s="1951"/>
      <c r="B48" s="1951">
        <v>2</v>
      </c>
      <c r="C48" s="1957">
        <v>72991.140000000101</v>
      </c>
      <c r="D48" s="1957">
        <v>-3198.7500000000005</v>
      </c>
      <c r="E48" s="1957">
        <v>9638.2299999999977</v>
      </c>
      <c r="F48" s="1957">
        <v>7334.5300000000007</v>
      </c>
      <c r="G48" s="1957">
        <v>86765.150000000096</v>
      </c>
      <c r="H48" s="1958"/>
      <c r="I48" s="1959">
        <f>SUM(C$11:C48)</f>
        <v>802420093.58999979</v>
      </c>
      <c r="J48" s="1961">
        <f t="shared" si="1"/>
        <v>1152849.9971551721</v>
      </c>
      <c r="K48" s="1961">
        <f t="shared" si="2"/>
        <v>20870358.290912356</v>
      </c>
      <c r="L48" s="1959">
        <f t="shared" si="0"/>
        <v>781549735.29908741</v>
      </c>
      <c r="M48" s="1959"/>
      <c r="N48" s="1933"/>
    </row>
    <row r="49" spans="1:14">
      <c r="A49" s="1951"/>
      <c r="B49" s="1951">
        <v>3</v>
      </c>
      <c r="C49" s="1957">
        <v>990797.12000000011</v>
      </c>
      <c r="D49" s="1957">
        <v>-3043.53</v>
      </c>
      <c r="E49" s="1957"/>
      <c r="F49" s="1957"/>
      <c r="G49" s="1957">
        <v>987753.59000000008</v>
      </c>
      <c r="H49" s="1958"/>
      <c r="I49" s="1959">
        <f>SUM(C$11:C49)</f>
        <v>803410890.7099998</v>
      </c>
      <c r="J49" s="1961">
        <f t="shared" si="1"/>
        <v>1153614.212859195</v>
      </c>
      <c r="K49" s="1961">
        <f t="shared" si="2"/>
        <v>22023972.503771551</v>
      </c>
      <c r="L49" s="1959">
        <f t="shared" si="0"/>
        <v>781386918.20622826</v>
      </c>
      <c r="M49" s="1959"/>
      <c r="N49" s="1933"/>
    </row>
    <row r="50" spans="1:14">
      <c r="A50" s="1951"/>
      <c r="B50" s="1951">
        <v>4</v>
      </c>
      <c r="C50" s="1957">
        <v>970877.82</v>
      </c>
      <c r="D50" s="1957"/>
      <c r="E50" s="1957"/>
      <c r="F50" s="1957"/>
      <c r="G50" s="1957">
        <v>970877.82</v>
      </c>
      <c r="H50" s="1958"/>
      <c r="I50" s="1959">
        <f>SUM(C$11:C50)</f>
        <v>804381768.52999985</v>
      </c>
      <c r="J50" s="1961">
        <f t="shared" si="1"/>
        <v>1155023.4620977009</v>
      </c>
      <c r="K50" s="1961">
        <f t="shared" si="2"/>
        <v>23178995.965869252</v>
      </c>
      <c r="L50" s="1959">
        <f t="shared" si="0"/>
        <v>781202772.56413054</v>
      </c>
      <c r="M50" s="1959"/>
      <c r="N50" s="1933"/>
    </row>
    <row r="51" spans="1:14">
      <c r="A51" s="1951"/>
      <c r="B51" s="1951">
        <v>5</v>
      </c>
      <c r="C51" s="1957">
        <v>-384812.7</v>
      </c>
      <c r="D51" s="1957">
        <v>-89.579999999999472</v>
      </c>
      <c r="E51" s="1957"/>
      <c r="F51" s="1957"/>
      <c r="G51" s="1957">
        <v>-384902.28</v>
      </c>
      <c r="H51" s="1958"/>
      <c r="I51" s="1959">
        <f>SUM(C$11:C51)</f>
        <v>803996955.8299998</v>
      </c>
      <c r="J51" s="1961">
        <f t="shared" si="1"/>
        <v>1155444.4858908043</v>
      </c>
      <c r="K51" s="1961">
        <f t="shared" si="2"/>
        <v>24334440.451760057</v>
      </c>
      <c r="L51" s="1959">
        <f t="shared" si="0"/>
        <v>779662515.37823975</v>
      </c>
      <c r="M51" s="1959"/>
      <c r="N51" s="1933"/>
    </row>
    <row r="52" spans="1:14">
      <c r="A52" s="1951"/>
      <c r="B52" s="1951">
        <v>6</v>
      </c>
      <c r="C52" s="1957">
        <v>3221591.9999999991</v>
      </c>
      <c r="D52" s="1957"/>
      <c r="E52" s="1957">
        <v>6011.32</v>
      </c>
      <c r="F52" s="1957"/>
      <c r="G52" s="1957">
        <v>3227603.3199999989</v>
      </c>
      <c r="H52" s="1958"/>
      <c r="I52" s="1959">
        <f>SUM(C$11:C52)</f>
        <v>807218547.8299998</v>
      </c>
      <c r="J52" s="1961">
        <f t="shared" si="1"/>
        <v>1157482.4020545974</v>
      </c>
      <c r="K52" s="1961">
        <f t="shared" si="2"/>
        <v>25491922.853814654</v>
      </c>
      <c r="L52" s="1959">
        <f t="shared" si="0"/>
        <v>781726624.9761852</v>
      </c>
      <c r="M52" s="1959"/>
      <c r="N52" s="1933"/>
    </row>
    <row r="53" spans="1:14">
      <c r="A53" s="1951"/>
      <c r="B53" s="1951">
        <v>7</v>
      </c>
      <c r="C53" s="1957">
        <v>35015.020000000004</v>
      </c>
      <c r="D53" s="1957">
        <v>69653.289999999994</v>
      </c>
      <c r="E53" s="1957"/>
      <c r="F53" s="1957"/>
      <c r="G53" s="1957">
        <v>104668.31</v>
      </c>
      <c r="H53" s="1958"/>
      <c r="I53" s="1959">
        <f>SUM(C$11:C53)</f>
        <v>807253562.84999979</v>
      </c>
      <c r="J53" s="1961">
        <f t="shared" si="1"/>
        <v>1159821.9185919538</v>
      </c>
      <c r="K53" s="1961">
        <f t="shared" si="2"/>
        <v>26651744.772406608</v>
      </c>
      <c r="L53" s="1959">
        <f t="shared" si="0"/>
        <v>780601818.07759321</v>
      </c>
      <c r="M53" s="1959"/>
      <c r="N53" s="1933"/>
    </row>
    <row r="54" spans="1:14">
      <c r="A54" s="1951"/>
      <c r="B54" s="1951">
        <v>8</v>
      </c>
      <c r="C54" s="1957">
        <v>267305.88</v>
      </c>
      <c r="D54" s="1957">
        <v>-1446.0600000000002</v>
      </c>
      <c r="E54" s="1957">
        <v>65066.259999999995</v>
      </c>
      <c r="F54" s="1957"/>
      <c r="G54" s="1957">
        <v>330926.08000000002</v>
      </c>
      <c r="H54" s="1958"/>
      <c r="I54" s="1959">
        <f>SUM(C$11:C54)</f>
        <v>807520868.72999978</v>
      </c>
      <c r="J54" s="1961">
        <f t="shared" si="1"/>
        <v>1160039.1031465514</v>
      </c>
      <c r="K54" s="1961">
        <f t="shared" si="2"/>
        <v>27811783.875553161</v>
      </c>
      <c r="L54" s="1959">
        <f t="shared" si="0"/>
        <v>779709084.85444665</v>
      </c>
      <c r="M54" s="1959"/>
      <c r="N54" s="1933"/>
    </row>
    <row r="55" spans="1:14">
      <c r="A55" s="1951"/>
      <c r="B55" s="1951">
        <v>9</v>
      </c>
      <c r="C55" s="1957">
        <v>126156.16000000002</v>
      </c>
      <c r="D55" s="1957"/>
      <c r="E55" s="1957"/>
      <c r="F55" s="1957"/>
      <c r="G55" s="1957">
        <v>126156.16000000002</v>
      </c>
      <c r="H55" s="1958"/>
      <c r="I55" s="1959">
        <f>SUM(C$11:C55)</f>
        <v>807647024.88999975</v>
      </c>
      <c r="J55" s="1961">
        <f t="shared" si="1"/>
        <v>1160321.7626580456</v>
      </c>
      <c r="K55" s="1961">
        <f t="shared" si="2"/>
        <v>28972105.638211206</v>
      </c>
      <c r="L55" s="1959">
        <f t="shared" si="0"/>
        <v>778674919.2517885</v>
      </c>
      <c r="M55" s="1959"/>
      <c r="N55" s="1933"/>
    </row>
    <row r="56" spans="1:14">
      <c r="A56" s="1951"/>
      <c r="B56" s="1951">
        <v>10</v>
      </c>
      <c r="C56" s="1957">
        <v>376118.1999999999</v>
      </c>
      <c r="D56" s="1957"/>
      <c r="E56" s="1957"/>
      <c r="F56" s="1957"/>
      <c r="G56" s="1957">
        <v>376118.1999999999</v>
      </c>
      <c r="H56" s="1958"/>
      <c r="I56" s="1959">
        <f>SUM(C$11:C56)</f>
        <v>808023143.08999979</v>
      </c>
      <c r="J56" s="1961">
        <f t="shared" si="1"/>
        <v>1160682.5919396547</v>
      </c>
      <c r="K56" s="1961">
        <f t="shared" si="2"/>
        <v>30132788.23015086</v>
      </c>
      <c r="L56" s="1959">
        <f t="shared" si="0"/>
        <v>777890354.85984898</v>
      </c>
      <c r="M56" s="1959"/>
      <c r="N56" s="1933"/>
    </row>
    <row r="57" spans="1:14">
      <c r="A57" s="1951"/>
      <c r="B57" s="1951">
        <v>11</v>
      </c>
      <c r="C57" s="1957">
        <v>23435318.120000001</v>
      </c>
      <c r="D57" s="1957"/>
      <c r="E57" s="1957">
        <v>13477.84</v>
      </c>
      <c r="F57" s="1957">
        <v>1393.22</v>
      </c>
      <c r="G57" s="1957">
        <v>23450189.18</v>
      </c>
      <c r="H57" s="1958"/>
      <c r="I57" s="1959">
        <f>SUM(C$11:C57)</f>
        <v>831458461.2099998</v>
      </c>
      <c r="J57" s="1961">
        <f t="shared" si="1"/>
        <v>1177788.5088362065</v>
      </c>
      <c r="K57" s="1961">
        <f t="shared" si="2"/>
        <v>31310576.738987066</v>
      </c>
      <c r="L57" s="1959">
        <f t="shared" si="0"/>
        <v>800147884.47101271</v>
      </c>
      <c r="M57" s="1959"/>
      <c r="N57" s="1933"/>
    </row>
    <row r="58" spans="1:14">
      <c r="A58" s="1951"/>
      <c r="B58" s="1951">
        <v>12</v>
      </c>
      <c r="C58" s="1957">
        <v>28383674.890000004</v>
      </c>
      <c r="D58" s="1957">
        <v>3196.4700000000003</v>
      </c>
      <c r="E58" s="1957">
        <v>18110.599999999999</v>
      </c>
      <c r="F58" s="1957"/>
      <c r="G58" s="1957">
        <v>28404981.960000005</v>
      </c>
      <c r="H58" s="1958"/>
      <c r="I58" s="1960">
        <f>SUM(C$11:C58)</f>
        <v>859842136.09999979</v>
      </c>
      <c r="J58" s="1961">
        <f t="shared" si="1"/>
        <v>1215014.7969181032</v>
      </c>
      <c r="K58" s="1961">
        <f t="shared" si="2"/>
        <v>32525591.535905167</v>
      </c>
      <c r="L58" s="1959">
        <f t="shared" si="0"/>
        <v>827316544.56409466</v>
      </c>
      <c r="M58" s="1962">
        <f>SUM(L46:L58)/13</f>
        <v>785864996.70524514</v>
      </c>
      <c r="N58" s="1933"/>
    </row>
    <row r="59" spans="1:14">
      <c r="A59" s="1951">
        <v>2013</v>
      </c>
      <c r="B59" s="1951">
        <v>1</v>
      </c>
      <c r="C59" s="1963">
        <v>-59287.020000000513</v>
      </c>
      <c r="D59" s="1963"/>
      <c r="E59" s="1963">
        <v>-66494.39</v>
      </c>
      <c r="F59" s="1963"/>
      <c r="G59" s="1963">
        <v>-125781.41000000051</v>
      </c>
      <c r="H59" s="1958"/>
      <c r="I59" s="1959">
        <f>SUM(C$11:C59)</f>
        <v>859782849.0799998</v>
      </c>
      <c r="J59" s="1961">
        <f t="shared" si="1"/>
        <v>1235362.7767097696</v>
      </c>
      <c r="K59" s="1961">
        <f t="shared" si="2"/>
        <v>33760954.31261494</v>
      </c>
      <c r="L59" s="1959">
        <f t="shared" si="0"/>
        <v>826021894.76738489</v>
      </c>
      <c r="M59" s="1961"/>
      <c r="N59" s="1933"/>
    </row>
    <row r="60" spans="1:14">
      <c r="A60" s="1951"/>
      <c r="B60" s="1951">
        <v>2</v>
      </c>
      <c r="C60" s="1963">
        <v>185502.72999999992</v>
      </c>
      <c r="D60" s="1963"/>
      <c r="E60" s="1963">
        <v>3043.3399999999983</v>
      </c>
      <c r="F60" s="1963"/>
      <c r="G60" s="1963">
        <v>188546.06999999992</v>
      </c>
      <c r="H60" s="1958"/>
      <c r="I60" s="1959">
        <f>SUM(C$11:C60)</f>
        <v>859968351.80999982</v>
      </c>
      <c r="J60" s="1961">
        <f t="shared" si="1"/>
        <v>1235453.4489152296</v>
      </c>
      <c r="K60" s="1961">
        <f t="shared" si="2"/>
        <v>34996407.761530168</v>
      </c>
      <c r="L60" s="1959">
        <f t="shared" si="0"/>
        <v>824971944.04846966</v>
      </c>
      <c r="M60" s="1961"/>
      <c r="N60" s="1933"/>
    </row>
    <row r="61" spans="1:14">
      <c r="A61" s="1951"/>
      <c r="B61" s="1951">
        <v>3</v>
      </c>
      <c r="C61" s="1963">
        <v>2339450.0599999996</v>
      </c>
      <c r="D61" s="1963"/>
      <c r="E61" s="1963">
        <v>94425.87</v>
      </c>
      <c r="F61" s="1963"/>
      <c r="G61" s="1963">
        <v>2433875.9299999997</v>
      </c>
      <c r="H61" s="1958"/>
      <c r="I61" s="1959">
        <f>SUM(C$11:C61)</f>
        <v>862307801.86999977</v>
      </c>
      <c r="J61" s="1961">
        <f t="shared" si="1"/>
        <v>1237267.351781609</v>
      </c>
      <c r="K61" s="1961">
        <f t="shared" si="2"/>
        <v>36233675.113311775</v>
      </c>
      <c r="L61" s="1959">
        <f t="shared" si="0"/>
        <v>826074126.756688</v>
      </c>
      <c r="M61" s="1961"/>
      <c r="N61" s="1933"/>
    </row>
    <row r="62" spans="1:14">
      <c r="A62" s="1951"/>
      <c r="B62" s="1951">
        <v>4</v>
      </c>
      <c r="C62" s="1963">
        <v>61120.800000000032</v>
      </c>
      <c r="D62" s="1963"/>
      <c r="E62" s="1963">
        <v>11340.34</v>
      </c>
      <c r="F62" s="1963"/>
      <c r="G62" s="1963">
        <v>72461.140000000029</v>
      </c>
      <c r="H62" s="1958"/>
      <c r="I62" s="1959">
        <f>SUM(C$11:C62)</f>
        <v>862368922.66999972</v>
      </c>
      <c r="J62" s="1961">
        <f t="shared" si="1"/>
        <v>1238991.899813218</v>
      </c>
      <c r="K62" s="1961">
        <f t="shared" si="2"/>
        <v>37472667.013124995</v>
      </c>
      <c r="L62" s="1959">
        <f t="shared" si="0"/>
        <v>824896255.65687478</v>
      </c>
      <c r="M62" s="1961"/>
      <c r="N62" s="1933"/>
    </row>
    <row r="63" spans="1:14">
      <c r="A63" s="1951"/>
      <c r="B63" s="1951">
        <v>5</v>
      </c>
      <c r="C63" s="1963">
        <v>347498048.94999999</v>
      </c>
      <c r="D63" s="1963"/>
      <c r="E63" s="1963">
        <v>43707.21</v>
      </c>
      <c r="F63" s="1963"/>
      <c r="G63" s="1963">
        <v>347541756.15999997</v>
      </c>
      <c r="H63" s="1958"/>
      <c r="I63" s="1959">
        <f>SUM(C$11:C63)</f>
        <v>1209866971.6199996</v>
      </c>
      <c r="J63" s="1961">
        <f t="shared" si="1"/>
        <v>1488675.2114152294</v>
      </c>
      <c r="K63" s="1961">
        <f t="shared" si="2"/>
        <v>38961342.224540226</v>
      </c>
      <c r="L63" s="1959">
        <f t="shared" si="0"/>
        <v>1170905629.3954594</v>
      </c>
      <c r="M63" s="1961"/>
      <c r="N63" s="1933"/>
    </row>
    <row r="64" spans="1:14">
      <c r="A64" s="1951"/>
      <c r="B64" s="1951">
        <v>6</v>
      </c>
      <c r="C64" s="1963">
        <v>6595151.2699999893</v>
      </c>
      <c r="D64" s="1963"/>
      <c r="E64" s="1963">
        <v>-21113.75</v>
      </c>
      <c r="F64" s="1963"/>
      <c r="G64" s="1963">
        <v>6574037.5199999893</v>
      </c>
      <c r="H64" s="1958"/>
      <c r="I64" s="1959">
        <f>SUM(C$11:C64)</f>
        <v>1216462122.8899996</v>
      </c>
      <c r="J64" s="1961">
        <f t="shared" si="1"/>
        <v>1743052.51042385</v>
      </c>
      <c r="K64" s="1961">
        <f t="shared" si="2"/>
        <v>40704394.734964073</v>
      </c>
      <c r="L64" s="1959">
        <f t="shared" si="0"/>
        <v>1175757728.1550355</v>
      </c>
      <c r="M64" s="1961"/>
      <c r="N64" s="1933"/>
    </row>
    <row r="65" spans="1:14">
      <c r="A65" s="1951"/>
      <c r="B65" s="1951">
        <v>7</v>
      </c>
      <c r="C65" s="1963">
        <v>786452.25999999652</v>
      </c>
      <c r="D65" s="1963"/>
      <c r="E65" s="1963">
        <v>41107.699999999997</v>
      </c>
      <c r="F65" s="1963"/>
      <c r="G65" s="1963">
        <v>827559.95999999647</v>
      </c>
      <c r="H65" s="1958"/>
      <c r="I65" s="1959">
        <f>SUM(C$11:C65)</f>
        <v>1217248575.1499996</v>
      </c>
      <c r="J65" s="1961">
        <f t="shared" si="1"/>
        <v>1748355.3865229881</v>
      </c>
      <c r="K65" s="1961">
        <f t="shared" si="2"/>
        <v>42452750.121487059</v>
      </c>
      <c r="L65" s="1959">
        <f t="shared" si="0"/>
        <v>1174795825.0285125</v>
      </c>
      <c r="M65" s="1961"/>
      <c r="N65" s="1933"/>
    </row>
    <row r="66" spans="1:14">
      <c r="A66" s="1951"/>
      <c r="B66" s="1951">
        <v>8</v>
      </c>
      <c r="C66" s="1963">
        <v>557256.60999999475</v>
      </c>
      <c r="D66" s="1963"/>
      <c r="E66" s="1963">
        <v>2423.2399999999998</v>
      </c>
      <c r="F66" s="1963"/>
      <c r="G66" s="1963">
        <v>559679.84999999474</v>
      </c>
      <c r="H66" s="1958"/>
      <c r="I66" s="1959">
        <f>SUM(C$11:C66)</f>
        <v>1217805831.7599995</v>
      </c>
      <c r="J66" s="1961">
        <f t="shared" si="1"/>
        <v>1749320.6946192523</v>
      </c>
      <c r="K66" s="1961">
        <f t="shared" si="2"/>
        <v>44202070.816106312</v>
      </c>
      <c r="L66" s="1959">
        <f t="shared" si="0"/>
        <v>1173603760.9438932</v>
      </c>
      <c r="M66" s="1961"/>
      <c r="N66" s="1933"/>
    </row>
    <row r="67" spans="1:14">
      <c r="A67" s="1951"/>
      <c r="B67" s="1951">
        <v>9</v>
      </c>
      <c r="C67" s="1963">
        <v>479725.25999998843</v>
      </c>
      <c r="D67" s="1963"/>
      <c r="E67" s="1963">
        <v>9768.93</v>
      </c>
      <c r="F67" s="1963"/>
      <c r="G67" s="1963">
        <v>489494.18999998842</v>
      </c>
      <c r="H67" s="1958"/>
      <c r="I67" s="1959">
        <f>SUM(C$11:C67)</f>
        <v>1218285557.0199995</v>
      </c>
      <c r="J67" s="1961">
        <f t="shared" si="1"/>
        <v>1750065.6528591947</v>
      </c>
      <c r="K67" s="1961">
        <f t="shared" si="2"/>
        <v>45952136.468965508</v>
      </c>
      <c r="L67" s="1959">
        <f t="shared" si="0"/>
        <v>1172333420.551034</v>
      </c>
      <c r="M67" s="1961"/>
      <c r="N67" s="1933"/>
    </row>
    <row r="68" spans="1:14">
      <c r="A68" s="1951"/>
      <c r="B68" s="1951">
        <v>10</v>
      </c>
      <c r="C68" s="1963">
        <v>338600.24999999983</v>
      </c>
      <c r="D68" s="1963"/>
      <c r="E68" s="1963">
        <v>102339.83</v>
      </c>
      <c r="F68" s="1963"/>
      <c r="G68" s="1963">
        <v>440940.07999999984</v>
      </c>
      <c r="H68" s="1958"/>
      <c r="I68" s="1959">
        <f>SUM(C$11:C68)</f>
        <v>1218624157.2699995</v>
      </c>
      <c r="J68" s="1961">
        <f t="shared" si="1"/>
        <v>1750653.5303807463</v>
      </c>
      <c r="K68" s="1961">
        <f t="shared" si="2"/>
        <v>47702789.999346256</v>
      </c>
      <c r="L68" s="1959">
        <f t="shared" si="0"/>
        <v>1170921367.2706532</v>
      </c>
      <c r="M68" s="1961"/>
      <c r="N68" s="1933"/>
    </row>
    <row r="69" spans="1:14">
      <c r="A69" s="1951"/>
      <c r="B69" s="1951">
        <v>11</v>
      </c>
      <c r="C69" s="1963">
        <v>754740.09999999974</v>
      </c>
      <c r="D69" s="1963"/>
      <c r="E69" s="1963">
        <v>88.22</v>
      </c>
      <c r="F69" s="1963"/>
      <c r="G69" s="1963">
        <v>754828.31999999972</v>
      </c>
      <c r="H69" s="1958"/>
      <c r="I69" s="1959">
        <f>SUM(C$11:C69)</f>
        <v>1219378897.3699994</v>
      </c>
      <c r="J69" s="1961">
        <f t="shared" si="1"/>
        <v>1751438.976034482</v>
      </c>
      <c r="K69" s="1961">
        <f t="shared" si="2"/>
        <v>49454228.975380741</v>
      </c>
      <c r="L69" s="1959">
        <f t="shared" si="0"/>
        <v>1169924668.3946187</v>
      </c>
      <c r="M69" s="1961"/>
      <c r="N69" s="1933"/>
    </row>
    <row r="70" spans="1:14">
      <c r="A70" s="1951"/>
      <c r="B70" s="1951">
        <v>12</v>
      </c>
      <c r="C70" s="1963">
        <v>3132231.4299999997</v>
      </c>
      <c r="D70" s="1963"/>
      <c r="E70" s="1963">
        <v>503.53000000000003</v>
      </c>
      <c r="F70" s="1963"/>
      <c r="G70" s="1963">
        <v>3132734.9599999995</v>
      </c>
      <c r="H70" s="1958"/>
      <c r="I70" s="1960">
        <f>SUM(C$11:C70)</f>
        <v>1222511128.7999995</v>
      </c>
      <c r="J70" s="1961">
        <f t="shared" si="1"/>
        <v>1754231.340639367</v>
      </c>
      <c r="K70" s="1961">
        <f t="shared" si="2"/>
        <v>51208460.316020109</v>
      </c>
      <c r="L70" s="1959">
        <f t="shared" si="0"/>
        <v>1171302668.4839795</v>
      </c>
      <c r="M70" s="1962">
        <f>SUM(L58:L70)/13</f>
        <v>1039140448.7705153</v>
      </c>
      <c r="N70" s="1933"/>
    </row>
    <row r="71" spans="1:14">
      <c r="A71" s="1964">
        <v>2014</v>
      </c>
      <c r="B71" s="1965">
        <v>1</v>
      </c>
      <c r="C71" s="1963">
        <v>639665.49999999965</v>
      </c>
      <c r="D71" s="1963">
        <v>182774.96000000002</v>
      </c>
      <c r="E71" s="1963">
        <v>767.07</v>
      </c>
      <c r="F71" s="1963"/>
      <c r="G71" s="1963">
        <v>823207.52999999968</v>
      </c>
      <c r="H71" s="1966"/>
      <c r="I71" s="1967">
        <f>SUM(C$11:C71)</f>
        <v>1223150794.2999995</v>
      </c>
      <c r="J71" s="1968">
        <f t="shared" si="1"/>
        <v>1756941.0367097694</v>
      </c>
      <c r="K71" s="1968">
        <f t="shared" si="2"/>
        <v>52965401.352729879</v>
      </c>
      <c r="L71" s="1969">
        <f t="shared" si="0"/>
        <v>1170185392.9472697</v>
      </c>
      <c r="M71" s="1968"/>
      <c r="N71" s="1970"/>
    </row>
    <row r="72" spans="1:14">
      <c r="A72" s="1964"/>
      <c r="B72" s="1965">
        <v>2</v>
      </c>
      <c r="C72" s="1963">
        <v>92456.37</v>
      </c>
      <c r="D72" s="1963"/>
      <c r="E72" s="1963">
        <v>40.46</v>
      </c>
      <c r="F72" s="1963"/>
      <c r="G72" s="1963">
        <v>92496.83</v>
      </c>
      <c r="H72" s="1966"/>
      <c r="I72" s="1967">
        <f>SUM(C$11:C72)</f>
        <v>1223243250.6699994</v>
      </c>
      <c r="J72" s="1968">
        <f t="shared" si="1"/>
        <v>1757466.9863290223</v>
      </c>
      <c r="K72" s="1968">
        <f t="shared" si="2"/>
        <v>54722868.339058898</v>
      </c>
      <c r="L72" s="1969">
        <f t="shared" si="0"/>
        <v>1168520382.3309405</v>
      </c>
      <c r="M72" s="1968"/>
      <c r="N72" s="1970"/>
    </row>
    <row r="73" spans="1:14">
      <c r="A73" s="1964"/>
      <c r="B73" s="1965">
        <v>3</v>
      </c>
      <c r="C73" s="1963">
        <v>257303.03000000009</v>
      </c>
      <c r="D73" s="1963"/>
      <c r="E73" s="1963">
        <v>128.33000000000001</v>
      </c>
      <c r="F73" s="1963"/>
      <c r="G73" s="1963">
        <v>257431.36000000007</v>
      </c>
      <c r="H73" s="1966"/>
      <c r="I73" s="1967">
        <f>SUM(C$11:C73)</f>
        <v>1223500553.6999993</v>
      </c>
      <c r="J73" s="1968">
        <f t="shared" si="1"/>
        <v>1757718.2502658037</v>
      </c>
      <c r="K73" s="1968">
        <f t="shared" si="2"/>
        <v>56480586.589324705</v>
      </c>
      <c r="L73" s="1969">
        <f t="shared" si="0"/>
        <v>1167019967.1106746</v>
      </c>
      <c r="M73" s="1968"/>
      <c r="N73" s="1970"/>
    </row>
    <row r="74" spans="1:14">
      <c r="A74" s="1964"/>
      <c r="B74" s="1965">
        <v>4</v>
      </c>
      <c r="C74" s="1963">
        <v>2947367.6799999992</v>
      </c>
      <c r="D74" s="1963"/>
      <c r="E74" s="1963">
        <v>440.53999999999996</v>
      </c>
      <c r="F74" s="1963"/>
      <c r="G74" s="1963">
        <v>2947808.2199999993</v>
      </c>
      <c r="H74" s="1966"/>
      <c r="I74" s="1967">
        <f>SUM(C$11:C74)</f>
        <v>1226447921.3799994</v>
      </c>
      <c r="J74" s="1968">
        <f t="shared" si="1"/>
        <v>1760020.4562356311</v>
      </c>
      <c r="K74" s="1968">
        <f t="shared" si="2"/>
        <v>58240607.045560338</v>
      </c>
      <c r="L74" s="1969">
        <f t="shared" si="0"/>
        <v>1168207314.334439</v>
      </c>
      <c r="M74" s="1968"/>
      <c r="N74" s="1970"/>
    </row>
    <row r="75" spans="1:14">
      <c r="A75" s="1964"/>
      <c r="B75" s="1965">
        <v>5</v>
      </c>
      <c r="C75" s="1963">
        <v>122035.54000000002</v>
      </c>
      <c r="D75" s="1963"/>
      <c r="E75" s="1963">
        <v>42.37</v>
      </c>
      <c r="F75" s="1963"/>
      <c r="G75" s="1963">
        <v>122077.91000000002</v>
      </c>
      <c r="H75" s="1966"/>
      <c r="I75" s="1967">
        <f>SUM(C$11:C75)</f>
        <v>1226569956.9199994</v>
      </c>
      <c r="J75" s="1968">
        <f t="shared" si="1"/>
        <v>1762225.487284482</v>
      </c>
      <c r="K75" s="1968">
        <f t="shared" si="2"/>
        <v>60002832.532844819</v>
      </c>
      <c r="L75" s="1969">
        <f t="shared" si="0"/>
        <v>1166567124.3871546</v>
      </c>
      <c r="M75" s="1968"/>
      <c r="N75" s="1970"/>
    </row>
    <row r="76" spans="1:14">
      <c r="A76" s="1964"/>
      <c r="B76" s="1965">
        <v>6</v>
      </c>
      <c r="C76" s="1963">
        <v>284853.58000000007</v>
      </c>
      <c r="D76" s="1963">
        <v>576.34</v>
      </c>
      <c r="E76" s="1963">
        <v>5.53</v>
      </c>
      <c r="F76" s="1963"/>
      <c r="G76" s="1963">
        <v>285435.45000000007</v>
      </c>
      <c r="H76" s="1966"/>
      <c r="I76" s="1967">
        <f>SUM(C$11:C76)</f>
        <v>1226854810.4999993</v>
      </c>
      <c r="J76" s="1968">
        <f t="shared" si="1"/>
        <v>1762517.7926867807</v>
      </c>
      <c r="K76" s="1968">
        <f t="shared" si="2"/>
        <v>61765350.325531602</v>
      </c>
      <c r="L76" s="1969">
        <f t="shared" si="0"/>
        <v>1165089460.1744676</v>
      </c>
      <c r="M76" s="1968"/>
      <c r="N76" s="1970"/>
    </row>
    <row r="77" spans="1:14">
      <c r="A77" s="1964"/>
      <c r="B77" s="1965">
        <v>7</v>
      </c>
      <c r="C77" s="1963">
        <v>92267.080000000016</v>
      </c>
      <c r="D77" s="1963"/>
      <c r="E77" s="1963">
        <v>147.02000000000001</v>
      </c>
      <c r="F77" s="1963"/>
      <c r="G77" s="1963">
        <v>92414.10000000002</v>
      </c>
      <c r="H77" s="1966"/>
      <c r="I77" s="1967">
        <f>SUM(C$11:C77)</f>
        <v>1226947077.5799992</v>
      </c>
      <c r="J77" s="1968">
        <f t="shared" si="1"/>
        <v>1762788.7127011484</v>
      </c>
      <c r="K77" s="1968">
        <f t="shared" si="2"/>
        <v>63528139.038232751</v>
      </c>
      <c r="L77" s="1969">
        <f t="shared" si="0"/>
        <v>1163418938.5417664</v>
      </c>
      <c r="M77" s="1968"/>
      <c r="N77" s="1970"/>
    </row>
    <row r="78" spans="1:14">
      <c r="A78" s="1964"/>
      <c r="B78" s="1965">
        <v>8</v>
      </c>
      <c r="C78" s="1963">
        <v>18638.840000000004</v>
      </c>
      <c r="D78" s="1963"/>
      <c r="E78" s="1963">
        <v>21.47</v>
      </c>
      <c r="F78" s="1963"/>
      <c r="G78" s="1963">
        <v>18660.310000000005</v>
      </c>
      <c r="H78" s="1966"/>
      <c r="I78" s="1967">
        <f>SUM(C$11:C78)</f>
        <v>1226965716.4199991</v>
      </c>
      <c r="J78" s="1968">
        <f t="shared" si="1"/>
        <v>1762868.3864942517</v>
      </c>
      <c r="K78" s="1968">
        <f t="shared" si="2"/>
        <v>65291007.424727</v>
      </c>
      <c r="L78" s="1969">
        <f t="shared" si="0"/>
        <v>1161674708.9952722</v>
      </c>
      <c r="M78" s="1968"/>
      <c r="N78" s="1970"/>
    </row>
    <row r="79" spans="1:14">
      <c r="A79" s="1964"/>
      <c r="B79" s="1965">
        <v>9</v>
      </c>
      <c r="C79" s="1963">
        <v>-115736.94000000003</v>
      </c>
      <c r="D79" s="1963"/>
      <c r="E79" s="1963">
        <v>553.99</v>
      </c>
      <c r="F79" s="1963"/>
      <c r="G79" s="1963">
        <v>-115182.95000000003</v>
      </c>
      <c r="H79" s="1966"/>
      <c r="I79" s="1967">
        <f>SUM(C$11:C79)</f>
        <v>1226849979.4799991</v>
      </c>
      <c r="J79" s="1968">
        <f t="shared" si="1"/>
        <v>1762798.6321120679</v>
      </c>
      <c r="K79" s="1968">
        <f t="shared" si="2"/>
        <v>67053806.056839071</v>
      </c>
      <c r="L79" s="1969">
        <f t="shared" si="0"/>
        <v>1159796173.4231601</v>
      </c>
      <c r="M79" s="1968"/>
      <c r="N79" s="1970"/>
    </row>
    <row r="80" spans="1:14">
      <c r="A80" s="1964"/>
      <c r="B80" s="1965">
        <v>10</v>
      </c>
      <c r="C80" s="1963">
        <v>423269.07999999996</v>
      </c>
      <c r="D80" s="1963"/>
      <c r="E80" s="1963">
        <v>6.15</v>
      </c>
      <c r="F80" s="1963"/>
      <c r="G80" s="1963">
        <v>423275.23</v>
      </c>
      <c r="H80" s="1966"/>
      <c r="I80" s="1967">
        <f>SUM(C$11:C80)</f>
        <v>1227273248.559999</v>
      </c>
      <c r="J80" s="1968">
        <f t="shared" si="1"/>
        <v>1763019.5603735617</v>
      </c>
      <c r="K80" s="1968">
        <f t="shared" si="2"/>
        <v>68816825.617212638</v>
      </c>
      <c r="L80" s="1969">
        <f t="shared" si="0"/>
        <v>1158456422.9427865</v>
      </c>
      <c r="M80" s="1968"/>
      <c r="N80" s="1970"/>
    </row>
    <row r="81" spans="1:14">
      <c r="A81" s="1964"/>
      <c r="B81" s="1965">
        <v>11</v>
      </c>
      <c r="C81" s="1963">
        <v>282683.90000000002</v>
      </c>
      <c r="D81" s="1963">
        <v>1813531.28</v>
      </c>
      <c r="E81" s="1963">
        <v>21.26</v>
      </c>
      <c r="F81" s="1963"/>
      <c r="G81" s="1963">
        <v>2096236.44</v>
      </c>
      <c r="H81" s="1966"/>
      <c r="I81" s="1967">
        <f>SUM(C$11:C81)</f>
        <v>1227555932.4599991</v>
      </c>
      <c r="J81" s="1968">
        <f t="shared" si="1"/>
        <v>1763526.7105028722</v>
      </c>
      <c r="K81" s="1968">
        <f t="shared" si="2"/>
        <v>70580352.327715516</v>
      </c>
      <c r="L81" s="1969">
        <f t="shared" si="0"/>
        <v>1156975580.1322837</v>
      </c>
      <c r="M81" s="1968"/>
      <c r="N81" s="1970"/>
    </row>
    <row r="82" spans="1:14">
      <c r="A82" s="1964"/>
      <c r="B82" s="1965">
        <v>12</v>
      </c>
      <c r="C82" s="1963">
        <v>288801.48</v>
      </c>
      <c r="D82" s="1963">
        <v>4331.97</v>
      </c>
      <c r="E82" s="1963">
        <v>76811.7</v>
      </c>
      <c r="F82" s="1963"/>
      <c r="G82" s="1963">
        <v>369945.14999999997</v>
      </c>
      <c r="H82" s="1966"/>
      <c r="I82" s="1971">
        <f>SUM(C$11:C82)</f>
        <v>1227844733.9399991</v>
      </c>
      <c r="J82" s="1968">
        <f t="shared" si="1"/>
        <v>1763937.2603448264</v>
      </c>
      <c r="K82" s="1968">
        <f t="shared" si="2"/>
        <v>72344289.588060349</v>
      </c>
      <c r="L82" s="1969">
        <f t="shared" si="0"/>
        <v>1155500444.3519387</v>
      </c>
      <c r="M82" s="1972">
        <f>SUM(L70:L82)/13</f>
        <v>1164054967.550472</v>
      </c>
      <c r="N82" s="1970"/>
    </row>
    <row r="83" spans="1:14">
      <c r="A83" s="1973">
        <v>2015</v>
      </c>
      <c r="B83" s="1951">
        <v>1</v>
      </c>
      <c r="C83" s="1963">
        <v>101592.22999999995</v>
      </c>
      <c r="D83" s="1963">
        <v>190842.5</v>
      </c>
      <c r="E83" s="1963">
        <v>2374.87</v>
      </c>
      <c r="F83" s="1963"/>
      <c r="G83" s="1963">
        <v>294809.59999999998</v>
      </c>
      <c r="H83" s="1974"/>
      <c r="I83" s="1967">
        <f>SUM(C$11:C83)</f>
        <v>1227946326.1699991</v>
      </c>
      <c r="J83" s="1968">
        <f t="shared" si="1"/>
        <v>1764217.7155962631</v>
      </c>
      <c r="K83" s="1968">
        <f t="shared" si="2"/>
        <v>74108507.303656608</v>
      </c>
      <c r="L83" s="1969">
        <f t="shared" si="0"/>
        <v>1153837818.8663425</v>
      </c>
      <c r="M83" s="1962"/>
      <c r="N83" s="1933"/>
    </row>
    <row r="84" spans="1:14">
      <c r="A84" s="1973"/>
      <c r="B84" s="1951">
        <v>2</v>
      </c>
      <c r="C84" s="1963">
        <v>262042.13999999998</v>
      </c>
      <c r="D84" s="1963">
        <v>28559.41</v>
      </c>
      <c r="E84" s="1963">
        <v>29091.260000000002</v>
      </c>
      <c r="F84" s="1963">
        <v>8182.88</v>
      </c>
      <c r="G84" s="1963">
        <v>327875.69</v>
      </c>
      <c r="H84" s="1974"/>
      <c r="I84" s="1967">
        <f>SUM(C$11:C84)</f>
        <v>1228208368.3099992</v>
      </c>
      <c r="J84" s="1968">
        <f t="shared" si="1"/>
        <v>1764478.9471839068</v>
      </c>
      <c r="K84" s="1968">
        <f t="shared" si="2"/>
        <v>75872986.250840515</v>
      </c>
      <c r="L84" s="1969">
        <f t="shared" si="0"/>
        <v>1152335382.0591588</v>
      </c>
      <c r="M84" s="1962"/>
      <c r="N84" s="1933"/>
    </row>
    <row r="85" spans="1:14">
      <c r="A85" s="1973"/>
      <c r="B85" s="1951">
        <v>3</v>
      </c>
      <c r="C85" s="1963">
        <v>56095.71</v>
      </c>
      <c r="D85" s="1963">
        <v>31274.29</v>
      </c>
      <c r="E85" s="1963">
        <v>4.24</v>
      </c>
      <c r="F85" s="1963"/>
      <c r="G85" s="1963">
        <v>87374.24</v>
      </c>
      <c r="H85" s="1974"/>
      <c r="I85" s="1967">
        <f>SUM(C$11:C85)</f>
        <v>1228264464.0199993</v>
      </c>
      <c r="J85" s="1968">
        <f t="shared" si="1"/>
        <v>1764707.4944899415</v>
      </c>
      <c r="K85" s="1968">
        <f t="shared" si="2"/>
        <v>77637693.745330453</v>
      </c>
      <c r="L85" s="1969">
        <f t="shared" si="0"/>
        <v>1150626770.2746687</v>
      </c>
      <c r="M85" s="1962"/>
      <c r="N85" s="1933"/>
    </row>
    <row r="86" spans="1:14">
      <c r="A86" s="1973"/>
      <c r="B86" s="1951">
        <v>4</v>
      </c>
      <c r="C86" s="1963">
        <v>32366</v>
      </c>
      <c r="D86" s="1963">
        <v>5086.76</v>
      </c>
      <c r="E86" s="1963">
        <v>-3.28</v>
      </c>
      <c r="F86" s="1963"/>
      <c r="G86" s="1963">
        <v>37449.480000000003</v>
      </c>
      <c r="H86" s="1974"/>
      <c r="I86" s="1967">
        <f>SUM(C$11:C86)</f>
        <v>1228296830.0199993</v>
      </c>
      <c r="J86" s="1968">
        <f t="shared" si="1"/>
        <v>1764771.0445689645</v>
      </c>
      <c r="K86" s="1968">
        <f t="shared" si="2"/>
        <v>79402464.789899424</v>
      </c>
      <c r="L86" s="1969">
        <f t="shared" ref="L86:L94" si="3">+I86-K86</f>
        <v>1148894365.2300999</v>
      </c>
      <c r="M86" s="1962"/>
      <c r="N86" s="1933"/>
    </row>
    <row r="87" spans="1:14">
      <c r="A87" s="1973"/>
      <c r="B87" s="1951">
        <v>5</v>
      </c>
      <c r="C87" s="1963">
        <v>331467191.00999999</v>
      </c>
      <c r="D87" s="1963">
        <v>5086.18</v>
      </c>
      <c r="E87" s="1963">
        <v>2201719.71</v>
      </c>
      <c r="F87" s="1963"/>
      <c r="G87" s="1963">
        <v>333673996.89999998</v>
      </c>
      <c r="H87" s="1974"/>
      <c r="I87" s="1967">
        <f>SUM(C$11:C87)</f>
        <v>1559764021.0299993</v>
      </c>
      <c r="J87" s="1968">
        <f t="shared" ref="J87:J94" si="4">+C87*J$8*0.5+J$8*I86</f>
        <v>2002917.2780531598</v>
      </c>
      <c r="K87" s="1968">
        <f t="shared" si="2"/>
        <v>81405382.067952588</v>
      </c>
      <c r="L87" s="1969">
        <f t="shared" si="3"/>
        <v>1478358638.9620466</v>
      </c>
      <c r="M87" s="1962"/>
      <c r="N87" s="1933"/>
    </row>
    <row r="88" spans="1:14">
      <c r="A88" s="1973"/>
      <c r="B88" s="1951">
        <v>6</v>
      </c>
      <c r="C88" s="1963">
        <v>1376123.2599999998</v>
      </c>
      <c r="D88" s="1963">
        <v>-30044.81</v>
      </c>
      <c r="E88" s="1963">
        <v>52642.070000000007</v>
      </c>
      <c r="F88" s="1963"/>
      <c r="G88" s="1963">
        <v>1398720.5199999998</v>
      </c>
      <c r="H88" s="1974"/>
      <c r="I88" s="1967">
        <f>SUM(C$11:C88)</f>
        <v>1561140144.2899992</v>
      </c>
      <c r="J88" s="1968">
        <f t="shared" si="4"/>
        <v>2242028.8543965509</v>
      </c>
      <c r="K88" s="1968">
        <f t="shared" ref="K88:K94" si="5">J88+K87</f>
        <v>83647410.92234914</v>
      </c>
      <c r="L88" s="1969">
        <f t="shared" si="3"/>
        <v>1477492733.36765</v>
      </c>
      <c r="M88" s="1962"/>
      <c r="N88" s="1933"/>
    </row>
    <row r="89" spans="1:14">
      <c r="A89" s="1973"/>
      <c r="B89" s="1951">
        <v>7</v>
      </c>
      <c r="C89" s="1963">
        <v>879772.95000000007</v>
      </c>
      <c r="D89" s="1963">
        <v>5086.76</v>
      </c>
      <c r="E89" s="1963">
        <v>11627.740000000002</v>
      </c>
      <c r="F89" s="1963"/>
      <c r="G89" s="1963">
        <v>896487.45000000007</v>
      </c>
      <c r="H89" s="1974"/>
      <c r="I89" s="1967">
        <f>SUM(C$11:C89)</f>
        <v>1562019917.2399993</v>
      </c>
      <c r="J89" s="1968">
        <f t="shared" si="4"/>
        <v>2243649.4694899414</v>
      </c>
      <c r="K89" s="1968">
        <f t="shared" si="5"/>
        <v>85891060.391839087</v>
      </c>
      <c r="L89" s="1969">
        <f t="shared" si="3"/>
        <v>1476128856.8481603</v>
      </c>
      <c r="M89" s="1962"/>
      <c r="N89" s="1933"/>
    </row>
    <row r="90" spans="1:14">
      <c r="A90" s="1973"/>
      <c r="B90" s="1951">
        <v>8</v>
      </c>
      <c r="C90" s="1963">
        <v>823008.70000000007</v>
      </c>
      <c r="D90" s="1963">
        <v>-1.33</v>
      </c>
      <c r="E90" s="1963">
        <v>10505.689999999999</v>
      </c>
      <c r="F90" s="1963"/>
      <c r="G90" s="1963">
        <v>833513.06</v>
      </c>
      <c r="H90" s="1974"/>
      <c r="I90" s="1967">
        <f>SUM(C$11:C90)</f>
        <v>1562842925.9399993</v>
      </c>
      <c r="J90" s="1968">
        <f t="shared" si="4"/>
        <v>2244872.7321695392</v>
      </c>
      <c r="K90" s="1968">
        <f t="shared" si="5"/>
        <v>88135933.124008626</v>
      </c>
      <c r="L90" s="1969">
        <f t="shared" si="3"/>
        <v>1474706992.8159907</v>
      </c>
      <c r="M90" s="1962"/>
      <c r="N90" s="1933"/>
    </row>
    <row r="91" spans="1:14">
      <c r="A91" s="1973"/>
      <c r="B91" s="1951">
        <v>9</v>
      </c>
      <c r="C91" s="1963">
        <v>789098.23999996425</v>
      </c>
      <c r="D91" s="1963"/>
      <c r="E91" s="1963">
        <v>61992.14</v>
      </c>
      <c r="F91" s="1963"/>
      <c r="G91" s="1963">
        <v>851090.37999996427</v>
      </c>
      <c r="H91" s="1974"/>
      <c r="I91" s="1967">
        <f>SUM(C$11:C91)</f>
        <v>1563632024.1799994</v>
      </c>
      <c r="J91" s="1968">
        <f>+C91*J$8*0.5+J$8*I90</f>
        <v>2246030.8549712636</v>
      </c>
      <c r="K91" s="1968">
        <f t="shared" si="5"/>
        <v>90381963.978979886</v>
      </c>
      <c r="L91" s="1969">
        <f t="shared" si="3"/>
        <v>1473250060.2010195</v>
      </c>
      <c r="M91" s="1962"/>
      <c r="N91" s="1933"/>
    </row>
    <row r="92" spans="1:14">
      <c r="A92" s="1973"/>
      <c r="B92" s="1951">
        <v>10</v>
      </c>
      <c r="C92" s="1963">
        <v>757496.57999999984</v>
      </c>
      <c r="D92" s="1963">
        <v>0.46</v>
      </c>
      <c r="E92" s="1963">
        <v>-855.06999999999994</v>
      </c>
      <c r="F92" s="1963"/>
      <c r="G92" s="1963">
        <v>756641.96999999986</v>
      </c>
      <c r="H92" s="1974"/>
      <c r="I92" s="1967">
        <f>SUM(C$11:C92)</f>
        <v>1564389520.7599993</v>
      </c>
      <c r="J92" s="1968">
        <f t="shared" si="4"/>
        <v>2247141.9144683899</v>
      </c>
      <c r="K92" s="1968">
        <f t="shared" si="5"/>
        <v>92629105.893448278</v>
      </c>
      <c r="L92" s="1969">
        <f t="shared" si="3"/>
        <v>1471760414.8665509</v>
      </c>
      <c r="M92" s="1962"/>
      <c r="N92" s="1933"/>
    </row>
    <row r="93" spans="1:14">
      <c r="A93" s="1973"/>
      <c r="B93" s="1951">
        <v>11</v>
      </c>
      <c r="C93" s="1963">
        <v>159196.459999999</v>
      </c>
      <c r="D93" s="1963"/>
      <c r="E93" s="1963">
        <v>33407.71</v>
      </c>
      <c r="F93" s="1963"/>
      <c r="G93" s="1963">
        <v>192604.16999999899</v>
      </c>
      <c r="H93" s="1974"/>
      <c r="I93" s="1967">
        <f>SUM(C$11:C93)</f>
        <v>1564548717.2199993</v>
      </c>
      <c r="J93" s="1968">
        <f t="shared" si="4"/>
        <v>2247800.4583189646</v>
      </c>
      <c r="K93" s="1968">
        <f t="shared" si="5"/>
        <v>94876906.351767242</v>
      </c>
      <c r="L93" s="1969">
        <f t="shared" si="3"/>
        <v>1469671810.868232</v>
      </c>
      <c r="M93" s="1962"/>
      <c r="N93" s="1933"/>
    </row>
    <row r="94" spans="1:14">
      <c r="A94" s="1973"/>
      <c r="B94" s="1951">
        <v>12</v>
      </c>
      <c r="C94" s="1963">
        <v>2183127.1100000003</v>
      </c>
      <c r="D94" s="1963"/>
      <c r="E94" s="1963">
        <v>522.9</v>
      </c>
      <c r="F94" s="1963"/>
      <c r="G94" s="1963">
        <v>2183650.0100000002</v>
      </c>
      <c r="H94" s="1974"/>
      <c r="I94" s="1971">
        <f>SUM(C$11:C94)</f>
        <v>1566731844.3299992</v>
      </c>
      <c r="J94" s="1968">
        <f t="shared" si="4"/>
        <v>2249483.1620330452</v>
      </c>
      <c r="K94" s="1968">
        <f t="shared" si="5"/>
        <v>97126389.513800293</v>
      </c>
      <c r="L94" s="1969">
        <f t="shared" si="3"/>
        <v>1469605454.8161988</v>
      </c>
      <c r="M94" s="1972">
        <f>SUM(L82:L94)/13</f>
        <v>1350166903.3483121</v>
      </c>
      <c r="N94" s="1933"/>
    </row>
    <row r="95" spans="1:14">
      <c r="A95" s="1973">
        <v>2016</v>
      </c>
      <c r="B95" s="1951">
        <v>1</v>
      </c>
      <c r="C95" s="1963">
        <v>-1183636.0400000003</v>
      </c>
      <c r="D95" s="1963">
        <v>0</v>
      </c>
      <c r="E95" s="1963">
        <v>1308397.97</v>
      </c>
      <c r="F95" s="1963">
        <v>0</v>
      </c>
      <c r="G95" s="1963">
        <v>124761.9299999997</v>
      </c>
      <c r="H95" s="1974"/>
      <c r="I95" s="1975">
        <f>SUM(C$11:C95)</f>
        <v>1565548208.2899992</v>
      </c>
      <c r="J95" s="1961">
        <f>+C95*J$8*0.5+J$8*I94</f>
        <v>2250201.1872270103</v>
      </c>
      <c r="K95" s="1961">
        <f>J95+K94</f>
        <v>99376590.701027304</v>
      </c>
      <c r="L95" s="1959">
        <f>+I95-K95</f>
        <v>1466171617.5889719</v>
      </c>
      <c r="M95" s="1974"/>
      <c r="N95" s="1933"/>
    </row>
    <row r="96" spans="1:14">
      <c r="A96" s="1974"/>
      <c r="B96" s="1951">
        <v>2</v>
      </c>
      <c r="C96" s="1963">
        <v>970859.33000000007</v>
      </c>
      <c r="D96" s="1963">
        <v>0</v>
      </c>
      <c r="E96" s="1963">
        <v>-827973.83</v>
      </c>
      <c r="F96" s="1963">
        <v>0</v>
      </c>
      <c r="G96" s="1963">
        <v>142885.50000000012</v>
      </c>
      <c r="H96" s="1974"/>
      <c r="I96" s="1975">
        <f>SUM(C$11:C96)</f>
        <v>1566519067.6199992</v>
      </c>
      <c r="J96" s="1961">
        <f t="shared" ref="J96:J106" si="6">+C96*J$8*0.5+J$8*I95</f>
        <v>2250048.3303951137</v>
      </c>
      <c r="K96" s="1961">
        <f t="shared" ref="K96:K106" si="7">J96+K95</f>
        <v>101626639.03142242</v>
      </c>
      <c r="L96" s="1959">
        <f t="shared" ref="L96:L106" si="8">+I96-K96</f>
        <v>1464892428.5885768</v>
      </c>
      <c r="M96" s="1974"/>
      <c r="N96" s="1933"/>
    </row>
    <row r="97" spans="1:14">
      <c r="A97" s="1974"/>
      <c r="B97" s="1951">
        <v>3</v>
      </c>
      <c r="C97" s="1963">
        <v>10349995.800000001</v>
      </c>
      <c r="D97" s="1963">
        <v>0</v>
      </c>
      <c r="E97" s="1963">
        <v>5258.78</v>
      </c>
      <c r="F97" s="1963">
        <v>0</v>
      </c>
      <c r="G97" s="1963">
        <v>10355254.58</v>
      </c>
      <c r="H97" s="1974"/>
      <c r="I97" s="1975">
        <f>SUM(C$11:C97)</f>
        <v>1576869063.4199991</v>
      </c>
      <c r="J97" s="1961">
        <f t="shared" si="6"/>
        <v>2258181.1286206883</v>
      </c>
      <c r="K97" s="1961">
        <f t="shared" si="7"/>
        <v>103884820.16004311</v>
      </c>
      <c r="L97" s="1959">
        <f t="shared" si="8"/>
        <v>1472984243.2599561</v>
      </c>
      <c r="M97" s="1974"/>
      <c r="N97" s="1933"/>
    </row>
    <row r="98" spans="1:14">
      <c r="A98" s="1974"/>
      <c r="B98" s="1951">
        <v>4</v>
      </c>
      <c r="C98" s="1963">
        <v>-1132812.6899999995</v>
      </c>
      <c r="D98" s="1963">
        <v>0</v>
      </c>
      <c r="E98" s="1963">
        <v>683.17000000000007</v>
      </c>
      <c r="F98" s="1963">
        <v>0</v>
      </c>
      <c r="G98" s="1963">
        <v>-1132129.5199999996</v>
      </c>
      <c r="H98" s="1974"/>
      <c r="I98" s="1975">
        <f>SUM(C$11:C98)</f>
        <v>1575736250.7299991</v>
      </c>
      <c r="J98" s="1961">
        <f t="shared" si="6"/>
        <v>2264802.6682112054</v>
      </c>
      <c r="K98" s="1961">
        <f t="shared" si="7"/>
        <v>106149622.82825431</v>
      </c>
      <c r="L98" s="1959">
        <f t="shared" si="8"/>
        <v>1469586627.9017448</v>
      </c>
      <c r="M98" s="1974"/>
      <c r="N98" s="1933"/>
    </row>
    <row r="99" spans="1:14">
      <c r="A99" s="1974"/>
      <c r="B99" s="1951">
        <v>5</v>
      </c>
      <c r="C99" s="1963">
        <v>-66570.559999999998</v>
      </c>
      <c r="D99" s="1963">
        <v>0</v>
      </c>
      <c r="E99" s="1963">
        <v>18691.89</v>
      </c>
      <c r="F99" s="1963">
        <v>0</v>
      </c>
      <c r="G99" s="1963">
        <v>-47878.67</v>
      </c>
      <c r="H99" s="1974"/>
      <c r="I99" s="1975">
        <f>SUM(C$11:C99)</f>
        <v>1575669680.1699991</v>
      </c>
      <c r="J99" s="1961">
        <f t="shared" si="6"/>
        <v>2263941.0423132167</v>
      </c>
      <c r="K99" s="1961">
        <f t="shared" si="7"/>
        <v>108413563.87056753</v>
      </c>
      <c r="L99" s="1959">
        <f t="shared" si="8"/>
        <v>1467256116.2994316</v>
      </c>
      <c r="M99" s="1974"/>
      <c r="N99" s="1933"/>
    </row>
    <row r="100" spans="1:14">
      <c r="A100" s="1974"/>
      <c r="B100" s="1951">
        <v>6</v>
      </c>
      <c r="C100" s="1963">
        <v>223262.02999999997</v>
      </c>
      <c r="D100" s="1963">
        <v>0</v>
      </c>
      <c r="E100" s="1963">
        <v>791.75</v>
      </c>
      <c r="F100" s="1963">
        <v>0</v>
      </c>
      <c r="G100" s="1963">
        <v>224053.77999999997</v>
      </c>
      <c r="H100" s="1974"/>
      <c r="I100" s="1975">
        <f>SUM(C$11:C100)</f>
        <v>1575892942.1999991</v>
      </c>
      <c r="J100" s="1961">
        <f t="shared" si="6"/>
        <v>2264053.6080244239</v>
      </c>
      <c r="K100" s="1961">
        <f t="shared" si="7"/>
        <v>110677617.47859195</v>
      </c>
      <c r="L100" s="1959">
        <f t="shared" si="8"/>
        <v>1465215324.7214072</v>
      </c>
      <c r="M100" s="1974"/>
      <c r="N100" s="1933"/>
    </row>
    <row r="101" spans="1:14">
      <c r="A101" s="1974"/>
      <c r="B101" s="1951">
        <v>7</v>
      </c>
      <c r="C101" s="1963">
        <v>44732.240000000005</v>
      </c>
      <c r="D101" s="1963">
        <v>0</v>
      </c>
      <c r="E101" s="1963">
        <v>331.99</v>
      </c>
      <c r="F101" s="1963">
        <v>0</v>
      </c>
      <c r="G101" s="1963">
        <v>45064.23</v>
      </c>
      <c r="H101" s="1974"/>
      <c r="I101" s="1975">
        <f>SUM(C$11:C101)</f>
        <v>1575937674.4399991</v>
      </c>
      <c r="J101" s="1961">
        <f t="shared" si="6"/>
        <v>2264246.1326436768</v>
      </c>
      <c r="K101" s="1961">
        <f t="shared" si="7"/>
        <v>112941863.61123562</v>
      </c>
      <c r="L101" s="1959">
        <f t="shared" si="8"/>
        <v>1462995810.8287635</v>
      </c>
      <c r="M101" s="1974"/>
      <c r="N101" s="1933"/>
    </row>
    <row r="102" spans="1:14">
      <c r="A102" s="1974"/>
      <c r="B102" s="1951">
        <v>8</v>
      </c>
      <c r="C102" s="1963">
        <v>-18202.430000000029</v>
      </c>
      <c r="D102" s="1963">
        <v>0</v>
      </c>
      <c r="E102" s="1963">
        <v>939.08</v>
      </c>
      <c r="F102" s="1963">
        <v>0</v>
      </c>
      <c r="G102" s="1963">
        <v>-17263.350000000028</v>
      </c>
      <c r="H102" s="1974"/>
      <c r="I102" s="1975">
        <f>SUM(C$11:C102)</f>
        <v>1575919472.009999</v>
      </c>
      <c r="J102" s="1961">
        <f t="shared" si="6"/>
        <v>2264265.1914152284</v>
      </c>
      <c r="K102" s="1961">
        <f t="shared" si="7"/>
        <v>115206128.80265085</v>
      </c>
      <c r="L102" s="1959">
        <f t="shared" si="8"/>
        <v>1460713343.2073481</v>
      </c>
      <c r="M102" s="1974"/>
      <c r="N102" s="1933"/>
    </row>
    <row r="103" spans="1:14">
      <c r="A103" s="1974"/>
      <c r="B103" s="1951">
        <v>9</v>
      </c>
      <c r="C103" s="1963">
        <v>40725.879999999997</v>
      </c>
      <c r="D103" s="1963">
        <v>0</v>
      </c>
      <c r="E103" s="1963">
        <v>1203.52</v>
      </c>
      <c r="F103" s="1963">
        <v>0</v>
      </c>
      <c r="G103" s="1963">
        <v>41929.4</v>
      </c>
      <c r="H103" s="1974"/>
      <c r="I103" s="1975">
        <f>SUM(C$11:C103)</f>
        <v>1575960197.8899992</v>
      </c>
      <c r="J103" s="1961">
        <f t="shared" si="6"/>
        <v>2264281.3720545964</v>
      </c>
      <c r="K103" s="1961">
        <f t="shared" si="7"/>
        <v>117470410.17470545</v>
      </c>
      <c r="L103" s="1959">
        <f t="shared" si="8"/>
        <v>1458489787.7152936</v>
      </c>
      <c r="M103" s="1974"/>
      <c r="N103" s="1933"/>
    </row>
    <row r="104" spans="1:14">
      <c r="A104" s="1974"/>
      <c r="B104" s="1951">
        <v>10</v>
      </c>
      <c r="C104" s="1963">
        <v>-37384.25999999998</v>
      </c>
      <c r="D104" s="1963">
        <v>0</v>
      </c>
      <c r="E104" s="1963">
        <v>89.85</v>
      </c>
      <c r="F104" s="1963">
        <v>0</v>
      </c>
      <c r="G104" s="1963">
        <v>-37294.409999999982</v>
      </c>
      <c r="H104" s="1974"/>
      <c r="I104" s="1975">
        <f>SUM(C$11:C104)</f>
        <v>1575922813.6299992</v>
      </c>
      <c r="J104" s="1961">
        <f t="shared" si="6"/>
        <v>2264283.772643677</v>
      </c>
      <c r="K104" s="1961">
        <f t="shared" si="7"/>
        <v>119734693.94734912</v>
      </c>
      <c r="L104" s="1959">
        <f t="shared" si="8"/>
        <v>1456188119.6826501</v>
      </c>
      <c r="M104" s="1974"/>
      <c r="N104" s="1933"/>
    </row>
    <row r="105" spans="1:14">
      <c r="A105" s="1974"/>
      <c r="B105" s="1951">
        <v>11</v>
      </c>
      <c r="C105" s="1963">
        <v>30780.99</v>
      </c>
      <c r="D105" s="1963">
        <v>0</v>
      </c>
      <c r="E105" s="1963">
        <v>291.12</v>
      </c>
      <c r="F105" s="1963">
        <v>0</v>
      </c>
      <c r="G105" s="1963">
        <v>31072.10999999999</v>
      </c>
      <c r="H105" s="1974"/>
      <c r="I105" s="1975">
        <f>SUM(C$11:C105)</f>
        <v>1575953594.6199992</v>
      </c>
      <c r="J105" s="1961">
        <f t="shared" si="6"/>
        <v>2264279.0289152288</v>
      </c>
      <c r="K105" s="1961">
        <f t="shared" si="7"/>
        <v>121998972.97626434</v>
      </c>
      <c r="L105" s="1959">
        <f t="shared" si="8"/>
        <v>1453954621.6437349</v>
      </c>
      <c r="M105" s="1974"/>
      <c r="N105" s="1933"/>
    </row>
    <row r="106" spans="1:14">
      <c r="A106" s="1974"/>
      <c r="B106" s="1951">
        <v>12</v>
      </c>
      <c r="C106" s="1963">
        <v>24419.43</v>
      </c>
      <c r="D106" s="1963">
        <v>0</v>
      </c>
      <c r="E106" s="1963">
        <v>168.73999999999998</v>
      </c>
      <c r="F106" s="1963">
        <v>0</v>
      </c>
      <c r="G106" s="1963">
        <v>24588.17</v>
      </c>
      <c r="H106" s="1974"/>
      <c r="I106" s="1976">
        <f>SUM(C$11:C106)</f>
        <v>1575978014.0499992</v>
      </c>
      <c r="J106" s="1961">
        <f t="shared" si="6"/>
        <v>2264318.6843893668</v>
      </c>
      <c r="K106" s="1961">
        <f t="shared" si="7"/>
        <v>124263291.66065371</v>
      </c>
      <c r="L106" s="1959">
        <f t="shared" si="8"/>
        <v>1451714722.3893456</v>
      </c>
      <c r="M106" s="1962">
        <f>SUM(L94:L106)/13</f>
        <v>1463059093.741802</v>
      </c>
      <c r="N106" s="1933"/>
    </row>
    <row r="107" spans="1:14">
      <c r="A107" s="1973">
        <v>2017</v>
      </c>
      <c r="B107" s="1951">
        <v>1</v>
      </c>
      <c r="C107" s="1963">
        <v>3502.08</v>
      </c>
      <c r="D107" s="1963">
        <v>0</v>
      </c>
      <c r="E107" s="1963">
        <v>64.259999999999991</v>
      </c>
      <c r="F107" s="1963">
        <v>0</v>
      </c>
      <c r="G107" s="1963">
        <v>3566.34</v>
      </c>
      <c r="H107" s="1974"/>
      <c r="I107" s="1975">
        <f>SUM(C$11:C107)</f>
        <v>1575981516.1299992</v>
      </c>
      <c r="J107" s="1961">
        <f>+C107*J$8*0.5+J$8*I106</f>
        <v>2264338.7429454015</v>
      </c>
      <c r="K107" s="1961">
        <f>J107+K106</f>
        <v>126527630.40359911</v>
      </c>
      <c r="L107" s="1959">
        <f>+I107-K107</f>
        <v>1449453885.7264001</v>
      </c>
      <c r="M107" s="1974"/>
      <c r="N107" s="1933"/>
    </row>
    <row r="108" spans="1:14">
      <c r="A108" s="1974"/>
      <c r="B108" s="1951">
        <v>2</v>
      </c>
      <c r="C108" s="1963">
        <v>15540.720000000001</v>
      </c>
      <c r="D108" s="1963">
        <v>0</v>
      </c>
      <c r="E108" s="1963">
        <v>411.22</v>
      </c>
      <c r="F108" s="1963">
        <v>0</v>
      </c>
      <c r="G108" s="1963">
        <v>15951.94</v>
      </c>
      <c r="H108" s="1974"/>
      <c r="I108" s="1975">
        <f>SUM(C$11:C108)</f>
        <v>1575997056.8499992</v>
      </c>
      <c r="J108" s="1961">
        <f t="shared" ref="J108:J118" si="9">+C108*J$8*0.5+J$8*I107</f>
        <v>2264352.4231178151</v>
      </c>
      <c r="K108" s="1961">
        <f t="shared" ref="K108:K118" si="10">J108+K107</f>
        <v>128791982.82671693</v>
      </c>
      <c r="L108" s="1959">
        <f t="shared" ref="L108:L118" si="11">+I108-K108</f>
        <v>1447205074.0232823</v>
      </c>
      <c r="M108" s="1974"/>
      <c r="N108" s="1933"/>
    </row>
    <row r="109" spans="1:14">
      <c r="A109" s="1974"/>
      <c r="B109" s="1951">
        <v>3</v>
      </c>
      <c r="C109" s="1963">
        <v>6783.6200000000008</v>
      </c>
      <c r="D109" s="1963">
        <v>0</v>
      </c>
      <c r="E109" s="1963">
        <v>516.38</v>
      </c>
      <c r="F109" s="1963">
        <v>0</v>
      </c>
      <c r="G109" s="1963">
        <v>7300.0000000000009</v>
      </c>
      <c r="H109" s="1974"/>
      <c r="I109" s="1975">
        <f>SUM(C$11:C109)</f>
        <v>1576003840.4699991</v>
      </c>
      <c r="J109" s="1961">
        <f t="shared" si="9"/>
        <v>2264368.4607183896</v>
      </c>
      <c r="K109" s="1961">
        <f t="shared" si="10"/>
        <v>131056351.28743532</v>
      </c>
      <c r="L109" s="1959">
        <f t="shared" si="11"/>
        <v>1444947489.1825638</v>
      </c>
      <c r="M109" s="1974"/>
      <c r="N109" s="1933"/>
    </row>
    <row r="110" spans="1:14">
      <c r="A110" s="1974"/>
      <c r="B110" s="1951">
        <v>4</v>
      </c>
      <c r="C110" s="1963">
        <v>6293.1500000000015</v>
      </c>
      <c r="D110" s="1963">
        <v>0</v>
      </c>
      <c r="E110" s="1963">
        <v>280.15999999999997</v>
      </c>
      <c r="F110" s="1963">
        <v>0</v>
      </c>
      <c r="G110" s="1963">
        <v>6573.3100000000013</v>
      </c>
      <c r="H110" s="1974"/>
      <c r="I110" s="1975">
        <f>SUM(C$11:C110)</f>
        <v>1576010133.6199992</v>
      </c>
      <c r="J110" s="1961">
        <f t="shared" si="9"/>
        <v>2264377.8549497114</v>
      </c>
      <c r="K110" s="1961">
        <f t="shared" si="10"/>
        <v>133320729.14238504</v>
      </c>
      <c r="L110" s="1959">
        <f t="shared" si="11"/>
        <v>1442689404.4776142</v>
      </c>
      <c r="M110" s="1974"/>
      <c r="N110" s="1933"/>
    </row>
    <row r="111" spans="1:14">
      <c r="A111" s="1974"/>
      <c r="B111" s="1951">
        <v>5</v>
      </c>
      <c r="C111" s="1963">
        <v>191.73999999999995</v>
      </c>
      <c r="D111" s="1963">
        <v>0</v>
      </c>
      <c r="E111" s="1963">
        <v>138.81</v>
      </c>
      <c r="F111" s="1963">
        <v>0</v>
      </c>
      <c r="G111" s="1963">
        <v>330.54999999999995</v>
      </c>
      <c r="H111" s="1974"/>
      <c r="I111" s="1975">
        <f>SUM(C$11:C111)</f>
        <v>1576010325.3599992</v>
      </c>
      <c r="J111" s="1961">
        <f t="shared" si="9"/>
        <v>2264382.5136350566</v>
      </c>
      <c r="K111" s="1961">
        <f t="shared" si="10"/>
        <v>135585111.6560201</v>
      </c>
      <c r="L111" s="1959">
        <f t="shared" si="11"/>
        <v>1440425213.703979</v>
      </c>
      <c r="M111" s="1974"/>
      <c r="N111" s="1933"/>
    </row>
    <row r="112" spans="1:14">
      <c r="A112" s="1974"/>
      <c r="B112" s="1951">
        <v>6</v>
      </c>
      <c r="C112" s="1963">
        <v>3386921.3299999991</v>
      </c>
      <c r="D112" s="1963">
        <v>0</v>
      </c>
      <c r="E112" s="1963">
        <v>-957.81</v>
      </c>
      <c r="F112" s="1963">
        <v>-295.44</v>
      </c>
      <c r="G112" s="1963">
        <v>3385668.0799999991</v>
      </c>
      <c r="H112" s="1974"/>
      <c r="I112" s="1975">
        <f>SUM(C$11:C112)</f>
        <v>1579397246.6899991</v>
      </c>
      <c r="J112" s="1961">
        <f t="shared" si="9"/>
        <v>2266815.7845186768</v>
      </c>
      <c r="K112" s="1961">
        <f t="shared" si="10"/>
        <v>137851927.44053879</v>
      </c>
      <c r="L112" s="1959">
        <f t="shared" si="11"/>
        <v>1441545319.2494602</v>
      </c>
      <c r="M112" s="1974"/>
      <c r="N112" s="1933"/>
    </row>
    <row r="113" spans="1:14">
      <c r="A113" s="1974"/>
      <c r="B113" s="1951">
        <v>7</v>
      </c>
      <c r="C113" s="1963">
        <v>30851.050000000007</v>
      </c>
      <c r="D113" s="1963">
        <v>0</v>
      </c>
      <c r="E113" s="1963">
        <v>21.260000000000009</v>
      </c>
      <c r="F113" s="1963">
        <v>-11.22</v>
      </c>
      <c r="G113" s="1963">
        <v>30861.090000000004</v>
      </c>
      <c r="H113" s="1974"/>
      <c r="I113" s="1975">
        <f>SUM(C$11:C113)</f>
        <v>1579428097.7399991</v>
      </c>
      <c r="J113" s="1961">
        <f t="shared" si="9"/>
        <v>2269271.0807686765</v>
      </c>
      <c r="K113" s="1961">
        <f t="shared" si="10"/>
        <v>140121198.52130747</v>
      </c>
      <c r="L113" s="1959">
        <f t="shared" si="11"/>
        <v>1439306899.2186916</v>
      </c>
      <c r="M113" s="1974"/>
      <c r="N113" s="1933"/>
    </row>
    <row r="114" spans="1:14">
      <c r="A114" s="1974"/>
      <c r="B114" s="1951">
        <v>8</v>
      </c>
      <c r="C114" s="1963">
        <v>25248.27</v>
      </c>
      <c r="D114" s="1963">
        <v>0</v>
      </c>
      <c r="E114" s="1963">
        <v>79.81</v>
      </c>
      <c r="F114" s="1963">
        <v>0</v>
      </c>
      <c r="G114" s="1963">
        <v>25328.080000000002</v>
      </c>
      <c r="H114" s="1974"/>
      <c r="I114" s="1975">
        <f>SUM(C$11:C114)</f>
        <v>1579453346.009999</v>
      </c>
      <c r="J114" s="1961">
        <f t="shared" si="9"/>
        <v>2269311.382004309</v>
      </c>
      <c r="K114" s="1961">
        <f t="shared" si="10"/>
        <v>142390509.90331179</v>
      </c>
      <c r="L114" s="1959">
        <f t="shared" si="11"/>
        <v>1437062836.1066873</v>
      </c>
      <c r="M114" s="1974"/>
      <c r="N114" s="1933"/>
    </row>
    <row r="115" spans="1:14">
      <c r="A115" s="1974"/>
      <c r="B115" s="1951">
        <v>9</v>
      </c>
      <c r="C115" s="1963">
        <v>1400.13</v>
      </c>
      <c r="D115" s="1963">
        <v>0</v>
      </c>
      <c r="E115" s="1963">
        <v>59.620000000000005</v>
      </c>
      <c r="F115" s="1963">
        <v>0</v>
      </c>
      <c r="G115" s="1963">
        <v>1459.75</v>
      </c>
      <c r="H115" s="1974"/>
      <c r="I115" s="1975">
        <f>SUM(C$11:C115)</f>
        <v>1579454746.1399992</v>
      </c>
      <c r="J115" s="1961">
        <f t="shared" si="9"/>
        <v>2269330.5259698262</v>
      </c>
      <c r="K115" s="1961">
        <f t="shared" si="10"/>
        <v>144659840.42928162</v>
      </c>
      <c r="L115" s="1959">
        <f>+I115-K115</f>
        <v>1434794905.7107174</v>
      </c>
      <c r="M115" s="1974"/>
      <c r="N115" s="1933"/>
    </row>
    <row r="116" spans="1:14">
      <c r="A116" s="1974"/>
      <c r="B116" s="1951">
        <v>10</v>
      </c>
      <c r="C116" s="1963">
        <v>13168.619999999999</v>
      </c>
      <c r="D116" s="1963">
        <v>0</v>
      </c>
      <c r="E116" s="1963">
        <v>66.319999999999993</v>
      </c>
      <c r="F116" s="1963">
        <v>0</v>
      </c>
      <c r="G116" s="1963">
        <v>13234.939999999999</v>
      </c>
      <c r="H116" s="1974"/>
      <c r="I116" s="1975">
        <f>SUM(C$11:C116)</f>
        <v>1579467914.759999</v>
      </c>
      <c r="J116" s="1961">
        <f t="shared" si="9"/>
        <v>2269340.9920258611</v>
      </c>
      <c r="K116" s="1961">
        <f t="shared" si="10"/>
        <v>146929181.42130747</v>
      </c>
      <c r="L116" s="1959">
        <f t="shared" si="11"/>
        <v>1432538733.3386915</v>
      </c>
      <c r="M116" s="1974"/>
      <c r="N116" s="1933"/>
    </row>
    <row r="117" spans="1:14">
      <c r="A117" s="1974"/>
      <c r="B117" s="1951">
        <v>11</v>
      </c>
      <c r="C117" s="1963">
        <v>-167968.38</v>
      </c>
      <c r="D117" s="1963">
        <v>0</v>
      </c>
      <c r="E117" s="1963">
        <v>80.710000000000008</v>
      </c>
      <c r="F117" s="1963">
        <v>0</v>
      </c>
      <c r="G117" s="1963">
        <v>-167887.67</v>
      </c>
      <c r="H117" s="1974"/>
      <c r="I117" s="1975">
        <f>SUM(C$11:C117)</f>
        <v>1579299946.3799989</v>
      </c>
      <c r="J117" s="1961">
        <f t="shared" si="9"/>
        <v>2269229.7853017226</v>
      </c>
      <c r="K117" s="1961">
        <f t="shared" si="10"/>
        <v>149198411.20660919</v>
      </c>
      <c r="L117" s="1959">
        <f t="shared" si="11"/>
        <v>1430101535.1733897</v>
      </c>
      <c r="M117" s="1974"/>
      <c r="N117" s="1933"/>
    </row>
    <row r="118" spans="1:14">
      <c r="A118" s="1974"/>
      <c r="B118" s="1951">
        <v>12</v>
      </c>
      <c r="C118" s="1963">
        <v>-874152.39999999991</v>
      </c>
      <c r="D118" s="1963">
        <v>0</v>
      </c>
      <c r="E118" s="1963">
        <v>0</v>
      </c>
      <c r="F118" s="1963">
        <v>0</v>
      </c>
      <c r="G118" s="1963">
        <v>-874152.39999999991</v>
      </c>
      <c r="H118" s="1974"/>
      <c r="I118" s="1976">
        <f>SUM(C$11:C118)</f>
        <v>1578425793.9799988</v>
      </c>
      <c r="J118" s="1961">
        <f t="shared" si="9"/>
        <v>2268481.1353160902</v>
      </c>
      <c r="K118" s="1961">
        <f t="shared" si="10"/>
        <v>151466892.34192529</v>
      </c>
      <c r="L118" s="1959">
        <f t="shared" si="11"/>
        <v>1426958901.6380734</v>
      </c>
      <c r="M118" s="1962">
        <f>SUM(L106:L118)/13</f>
        <v>1439903455.379915</v>
      </c>
      <c r="N118" s="1933"/>
    </row>
    <row r="119" spans="1:14">
      <c r="A119" s="1973">
        <v>2018</v>
      </c>
      <c r="B119" s="1951">
        <v>1</v>
      </c>
      <c r="C119" s="1963">
        <v>1523.79</v>
      </c>
      <c r="D119" s="1963">
        <v>0</v>
      </c>
      <c r="E119" s="1963">
        <v>68.699999999999989</v>
      </c>
      <c r="F119" s="1963">
        <v>0</v>
      </c>
      <c r="G119" s="1963">
        <v>1592.49</v>
      </c>
      <c r="H119" s="1974"/>
      <c r="I119" s="1975">
        <f>SUM(C$11:C119)</f>
        <v>1578427317.7699988</v>
      </c>
      <c r="J119" s="1961">
        <f>+C119*J$8*0.5+J$8*I118</f>
        <v>2267854.2469468373</v>
      </c>
      <c r="K119" s="1961">
        <f>J119+K118</f>
        <v>153734746.58887213</v>
      </c>
      <c r="L119" s="1959">
        <f>+I119-K119</f>
        <v>1424692571.1811266</v>
      </c>
      <c r="M119" s="1974"/>
      <c r="N119" s="1933"/>
    </row>
    <row r="120" spans="1:14">
      <c r="A120" s="1974"/>
      <c r="B120" s="1951">
        <v>2</v>
      </c>
      <c r="C120" s="1963">
        <v>1104.2699999999998</v>
      </c>
      <c r="D120" s="1963">
        <v>0</v>
      </c>
      <c r="E120" s="1963">
        <v>38.160000000000004</v>
      </c>
      <c r="F120" s="1963">
        <v>0</v>
      </c>
      <c r="G120" s="1963">
        <v>1142.4299999999998</v>
      </c>
      <c r="H120" s="1974"/>
      <c r="I120" s="1975">
        <f>SUM(C$11:C120)</f>
        <v>1578428422.0399988</v>
      </c>
      <c r="J120" s="1961">
        <f t="shared" ref="J120:J130" si="12">+C120*J$8*0.5+J$8*I119</f>
        <v>2267856.1349209752</v>
      </c>
      <c r="K120" s="1961">
        <f t="shared" ref="K120:K130" si="13">J120+K119</f>
        <v>156002602.72379312</v>
      </c>
      <c r="L120" s="1959">
        <f t="shared" ref="L120:L130" si="14">+I120-K120</f>
        <v>1422425819.3162057</v>
      </c>
      <c r="M120" s="1974"/>
      <c r="N120" s="1933"/>
    </row>
    <row r="121" spans="1:14">
      <c r="A121" s="1974"/>
      <c r="B121" s="1951">
        <v>3</v>
      </c>
      <c r="C121" s="1963">
        <v>227.16</v>
      </c>
      <c r="D121" s="1963">
        <v>0</v>
      </c>
      <c r="E121" s="1963">
        <v>30.53</v>
      </c>
      <c r="F121" s="1963">
        <v>0</v>
      </c>
      <c r="G121" s="1963">
        <v>257.69</v>
      </c>
      <c r="H121" s="1974"/>
      <c r="I121" s="1975">
        <f>SUM(C$11:C121)</f>
        <v>1578428649.1999989</v>
      </c>
      <c r="J121" s="1961">
        <f t="shared" si="12"/>
        <v>2267857.0914080441</v>
      </c>
      <c r="K121" s="1961">
        <f t="shared" si="13"/>
        <v>158270459.81520116</v>
      </c>
      <c r="L121" s="1959">
        <f t="shared" si="14"/>
        <v>1420158189.3847976</v>
      </c>
      <c r="M121" s="1974"/>
      <c r="N121" s="1933"/>
    </row>
    <row r="122" spans="1:14">
      <c r="A122" s="1974"/>
      <c r="B122" s="1951">
        <v>4</v>
      </c>
      <c r="C122" s="1963">
        <v>662.51999999995337</v>
      </c>
      <c r="D122" s="1963">
        <v>0</v>
      </c>
      <c r="E122" s="1963">
        <v>30.53</v>
      </c>
      <c r="F122" s="1963">
        <v>0</v>
      </c>
      <c r="G122" s="1963">
        <v>693.04999999995334</v>
      </c>
      <c r="H122" s="1974"/>
      <c r="I122" s="1975">
        <f>SUM(C$11:C122)</f>
        <v>1578429311.7199988</v>
      </c>
      <c r="J122" s="1961">
        <f t="shared" si="12"/>
        <v>2267857.7305459753</v>
      </c>
      <c r="K122" s="1961">
        <f t="shared" si="13"/>
        <v>160538317.54574713</v>
      </c>
      <c r="L122" s="1959">
        <f t="shared" si="14"/>
        <v>1417890994.1742518</v>
      </c>
      <c r="M122" s="1974"/>
      <c r="N122" s="1933"/>
    </row>
    <row r="123" spans="1:14">
      <c r="A123" s="1974"/>
      <c r="B123" s="1951">
        <v>5</v>
      </c>
      <c r="C123" s="1963">
        <v>-172.57</v>
      </c>
      <c r="D123" s="1963">
        <v>0</v>
      </c>
      <c r="E123" s="1963">
        <v>-99.25</v>
      </c>
      <c r="F123" s="1963">
        <v>0</v>
      </c>
      <c r="G123" s="1963">
        <v>-271.82</v>
      </c>
      <c r="H123" s="1974"/>
      <c r="I123" s="1975">
        <f>SUM(C$11:C123)</f>
        <v>1578429139.1499989</v>
      </c>
      <c r="J123" s="1961">
        <f t="shared" si="12"/>
        <v>2267858.0825215499</v>
      </c>
      <c r="K123" s="1961">
        <f t="shared" si="13"/>
        <v>162806175.62826869</v>
      </c>
      <c r="L123" s="1959">
        <f t="shared" si="14"/>
        <v>1415622963.5217302</v>
      </c>
      <c r="M123" s="1974"/>
      <c r="N123" s="1933"/>
    </row>
    <row r="124" spans="1:14">
      <c r="A124" s="1974"/>
      <c r="B124" s="1951">
        <v>6</v>
      </c>
      <c r="C124" s="1963">
        <v>336.31</v>
      </c>
      <c r="D124" s="1963">
        <v>0</v>
      </c>
      <c r="E124" s="1963">
        <v>0</v>
      </c>
      <c r="F124" s="1963">
        <v>0</v>
      </c>
      <c r="G124" s="1963">
        <v>336.31</v>
      </c>
      <c r="H124" s="1974"/>
      <c r="I124" s="1975">
        <f>SUM(C$11:C124)</f>
        <v>1578429475.4599988</v>
      </c>
      <c r="J124" s="1961">
        <f t="shared" si="12"/>
        <v>2267858.2001508605</v>
      </c>
      <c r="K124" s="1961">
        <f t="shared" si="13"/>
        <v>165074033.82841954</v>
      </c>
      <c r="L124" s="1959">
        <f t="shared" si="14"/>
        <v>1413355441.6315794</v>
      </c>
      <c r="M124" s="1974"/>
      <c r="N124" s="1933"/>
    </row>
    <row r="125" spans="1:14">
      <c r="A125" s="1974"/>
      <c r="B125" s="1951">
        <v>7</v>
      </c>
      <c r="C125" s="1963">
        <v>0</v>
      </c>
      <c r="D125" s="1963">
        <v>0</v>
      </c>
      <c r="E125" s="1963">
        <v>0</v>
      </c>
      <c r="F125" s="1963">
        <v>4096227.83</v>
      </c>
      <c r="G125" s="1963">
        <v>4096227.83</v>
      </c>
      <c r="H125" s="1974"/>
      <c r="I125" s="1975">
        <f>SUM(C$11:C125)</f>
        <v>1578429475.4599988</v>
      </c>
      <c r="J125" s="1961">
        <f t="shared" si="12"/>
        <v>2267858.441752872</v>
      </c>
      <c r="K125" s="1961">
        <f t="shared" si="13"/>
        <v>167341892.27017242</v>
      </c>
      <c r="L125" s="1959">
        <f t="shared" si="14"/>
        <v>1411087583.1898265</v>
      </c>
      <c r="M125" s="1974"/>
      <c r="N125" s="1933"/>
    </row>
    <row r="126" spans="1:14">
      <c r="A126" s="1974"/>
      <c r="B126" s="1951">
        <v>8</v>
      </c>
      <c r="C126" s="1963">
        <v>261.07</v>
      </c>
      <c r="D126" s="1963">
        <v>0</v>
      </c>
      <c r="E126" s="1963">
        <v>0</v>
      </c>
      <c r="F126" s="1963">
        <v>4247.4399999999996</v>
      </c>
      <c r="G126" s="1963">
        <v>4508.5099999999993</v>
      </c>
      <c r="H126" s="1974"/>
      <c r="I126" s="1975">
        <f>SUM(C$11:C126)</f>
        <v>1578429736.5299988</v>
      </c>
      <c r="J126" s="1961">
        <f t="shared" si="12"/>
        <v>2267858.6293031592</v>
      </c>
      <c r="K126" s="1961">
        <f t="shared" si="13"/>
        <v>169609750.89947557</v>
      </c>
      <c r="L126" s="1959">
        <f t="shared" si="14"/>
        <v>1408819985.6305232</v>
      </c>
      <c r="M126" s="1974"/>
      <c r="N126" s="1933"/>
    </row>
    <row r="127" spans="1:14">
      <c r="A127" s="1974"/>
      <c r="B127" s="1951">
        <v>9</v>
      </c>
      <c r="C127" s="1963">
        <v>0</v>
      </c>
      <c r="D127" s="1963">
        <v>0</v>
      </c>
      <c r="E127" s="1963">
        <v>0</v>
      </c>
      <c r="F127" s="1963">
        <v>4859.25</v>
      </c>
      <c r="G127" s="1963">
        <v>4859.25</v>
      </c>
      <c r="H127" s="1974"/>
      <c r="I127" s="1975">
        <f>SUM(C$11:C127)</f>
        <v>1578429736.5299988</v>
      </c>
      <c r="J127" s="1961">
        <f t="shared" si="12"/>
        <v>2267858.8168534464</v>
      </c>
      <c r="K127" s="1961">
        <f t="shared" si="13"/>
        <v>171877609.71632901</v>
      </c>
      <c r="L127" s="1959">
        <f t="shared" si="14"/>
        <v>1406552126.8136697</v>
      </c>
      <c r="M127" s="1974"/>
      <c r="N127" s="1933"/>
    </row>
    <row r="128" spans="1:14">
      <c r="A128" s="1974"/>
      <c r="B128" s="1951">
        <v>10</v>
      </c>
      <c r="C128" s="1963">
        <v>18693.79</v>
      </c>
      <c r="D128" s="1963">
        <v>0</v>
      </c>
      <c r="E128" s="1963">
        <v>0</v>
      </c>
      <c r="F128" s="1963">
        <v>56558.64</v>
      </c>
      <c r="G128" s="1963">
        <v>75252.429999999993</v>
      </c>
      <c r="H128" s="1974"/>
      <c r="I128" s="1975">
        <f>SUM(C$11:C128)</f>
        <v>1578448430.3199987</v>
      </c>
      <c r="J128" s="1961">
        <f t="shared" si="12"/>
        <v>2267872.2463002857</v>
      </c>
      <c r="K128" s="1961">
        <f t="shared" si="13"/>
        <v>174145481.96262929</v>
      </c>
      <c r="L128" s="1959">
        <f t="shared" si="14"/>
        <v>1404302948.3573694</v>
      </c>
      <c r="M128" s="1974"/>
      <c r="N128" s="1933"/>
    </row>
    <row r="129" spans="1:14">
      <c r="A129" s="1974"/>
      <c r="B129" s="1951">
        <v>11</v>
      </c>
      <c r="C129" s="1963">
        <v>249.67000000000002</v>
      </c>
      <c r="D129" s="1963">
        <v>0</v>
      </c>
      <c r="E129" s="1963">
        <v>0</v>
      </c>
      <c r="F129" s="1963">
        <v>14568.11</v>
      </c>
      <c r="G129" s="1963">
        <v>14817.78</v>
      </c>
      <c r="H129" s="1974"/>
      <c r="I129" s="1975">
        <f>SUM(C$11:C129)</f>
        <v>1578448679.9899988</v>
      </c>
      <c r="J129" s="1961">
        <f t="shared" si="12"/>
        <v>2267885.8551077568</v>
      </c>
      <c r="K129" s="1961">
        <f t="shared" si="13"/>
        <v>176413367.81773704</v>
      </c>
      <c r="L129" s="1959">
        <f t="shared" si="14"/>
        <v>1402035312.1722617</v>
      </c>
      <c r="M129" s="1974"/>
      <c r="N129" s="1933"/>
    </row>
    <row r="130" spans="1:14">
      <c r="A130" s="1974"/>
      <c r="B130" s="1951">
        <v>12</v>
      </c>
      <c r="C130" s="1963">
        <v>12608.060000000001</v>
      </c>
      <c r="D130" s="1963">
        <v>0</v>
      </c>
      <c r="E130" s="1963">
        <v>0</v>
      </c>
      <c r="F130" s="1963">
        <v>2604.6999999999998</v>
      </c>
      <c r="G130" s="1963">
        <v>15212.760000000002</v>
      </c>
      <c r="H130" s="1974"/>
      <c r="I130" s="1976">
        <f>SUM(C$11:C130)</f>
        <v>1578461288.0499988</v>
      </c>
      <c r="J130" s="1961">
        <f t="shared" si="12"/>
        <v>2267895.0919827567</v>
      </c>
      <c r="K130" s="1961">
        <f t="shared" si="13"/>
        <v>178681262.90971979</v>
      </c>
      <c r="L130" s="1959">
        <f t="shared" si="14"/>
        <v>1399780025.1402791</v>
      </c>
      <c r="M130" s="1962">
        <f>SUM(L118:L130)/13</f>
        <v>1413360220.1655149</v>
      </c>
      <c r="N130" s="1933"/>
    </row>
    <row r="131" spans="1:14">
      <c r="A131" s="1973">
        <v>2019</v>
      </c>
      <c r="B131" s="1951">
        <v>1</v>
      </c>
      <c r="C131" s="1977">
        <v>3672.4400000000005</v>
      </c>
      <c r="D131" s="1977">
        <v>0</v>
      </c>
      <c r="E131" s="1977">
        <v>0</v>
      </c>
      <c r="F131" s="1977">
        <v>1926.6999999999994</v>
      </c>
      <c r="G131" s="1977">
        <v>5599.1399999999994</v>
      </c>
      <c r="H131" s="1974"/>
      <c r="I131" s="1975">
        <f>SUM(C$11:C131)</f>
        <v>1578464960.4899988</v>
      </c>
      <c r="J131" s="1961">
        <f>+C131*J$8*0.5+J$8*I130</f>
        <v>2267906.7877442511</v>
      </c>
      <c r="K131" s="1961">
        <f>J131+K130</f>
        <v>180949169.69746405</v>
      </c>
      <c r="L131" s="1959">
        <f>+I131-K131</f>
        <v>1397515790.7925348</v>
      </c>
      <c r="M131" s="1974"/>
      <c r="N131" s="1933"/>
    </row>
    <row r="132" spans="1:14">
      <c r="A132" s="1974"/>
      <c r="B132" s="1951">
        <v>2</v>
      </c>
      <c r="C132" s="1977">
        <v>0</v>
      </c>
      <c r="D132" s="1977">
        <v>0</v>
      </c>
      <c r="E132" s="1977">
        <v>0</v>
      </c>
      <c r="F132" s="1977">
        <v>2371.9499999999994</v>
      </c>
      <c r="G132" s="1977">
        <v>2371.9499999999994</v>
      </c>
      <c r="H132" s="1974"/>
      <c r="I132" s="1975">
        <f>SUM(C$11:C132)</f>
        <v>1578464960.4899988</v>
      </c>
      <c r="J132" s="1961">
        <f t="shared" ref="J132:J142" si="15">+C132*J$8*0.5+J$8*I131</f>
        <v>2267909.4259913778</v>
      </c>
      <c r="K132" s="1961">
        <f t="shared" ref="K132:K142" si="16">J132+K131</f>
        <v>183217079.12345544</v>
      </c>
      <c r="L132" s="1959">
        <f t="shared" ref="L132:L142" si="17">+I132-K132</f>
        <v>1395247881.3665433</v>
      </c>
      <c r="M132" s="1974"/>
      <c r="N132" s="1933"/>
    </row>
    <row r="133" spans="1:14">
      <c r="A133" s="1974"/>
      <c r="B133" s="1951">
        <v>3</v>
      </c>
      <c r="C133" s="1977">
        <v>5406.42</v>
      </c>
      <c r="D133" s="1977">
        <v>0</v>
      </c>
      <c r="E133" s="1977">
        <v>0</v>
      </c>
      <c r="F133" s="1977">
        <v>-65.160000000000537</v>
      </c>
      <c r="G133" s="1977">
        <v>5341.2599999999993</v>
      </c>
      <c r="H133" s="1974"/>
      <c r="I133" s="1975">
        <f>SUM(C$11:C133)</f>
        <v>1578470366.9099989</v>
      </c>
      <c r="J133" s="1961">
        <f t="shared" si="15"/>
        <v>2267913.3099137917</v>
      </c>
      <c r="K133" s="1961">
        <f t="shared" si="16"/>
        <v>185484992.43336922</v>
      </c>
      <c r="L133" s="1959">
        <f t="shared" si="17"/>
        <v>1392985374.4766297</v>
      </c>
      <c r="M133" s="1974"/>
      <c r="N133" s="1933"/>
    </row>
    <row r="134" spans="1:14">
      <c r="A134" s="1974"/>
      <c r="B134" s="1951">
        <v>4</v>
      </c>
      <c r="C134" s="1977">
        <v>0</v>
      </c>
      <c r="D134" s="1977">
        <v>0</v>
      </c>
      <c r="E134" s="1977">
        <v>0</v>
      </c>
      <c r="F134" s="1977">
        <v>1720.85</v>
      </c>
      <c r="G134" s="1977">
        <v>1720.85</v>
      </c>
      <c r="H134" s="1974"/>
      <c r="I134" s="1975">
        <f>SUM(C$11:C134)</f>
        <v>1578470366.9099989</v>
      </c>
      <c r="J134" s="1961">
        <f t="shared" si="15"/>
        <v>2267917.1938362052</v>
      </c>
      <c r="K134" s="1961">
        <f t="shared" si="16"/>
        <v>187752909.62720543</v>
      </c>
      <c r="L134" s="1959">
        <f t="shared" si="17"/>
        <v>1390717457.2827935</v>
      </c>
      <c r="M134" s="1974"/>
      <c r="N134" s="1933"/>
    </row>
    <row r="135" spans="1:14">
      <c r="A135" s="1974"/>
      <c r="B135" s="1951">
        <v>5</v>
      </c>
      <c r="C135" s="1977">
        <v>0</v>
      </c>
      <c r="D135" s="1977">
        <v>0</v>
      </c>
      <c r="E135" s="1977">
        <v>0</v>
      </c>
      <c r="F135" s="1977">
        <v>1851.6</v>
      </c>
      <c r="G135" s="1977">
        <v>1851.6</v>
      </c>
      <c r="H135" s="1974"/>
      <c r="I135" s="1975">
        <f>SUM(C$11:C135)</f>
        <v>1578470366.9099989</v>
      </c>
      <c r="J135" s="1961">
        <f t="shared" si="15"/>
        <v>2267917.1938362052</v>
      </c>
      <c r="K135" s="1961">
        <f t="shared" si="16"/>
        <v>190020826.82104164</v>
      </c>
      <c r="L135" s="1959">
        <f t="shared" si="17"/>
        <v>1388449540.0889573</v>
      </c>
      <c r="M135" s="1974"/>
      <c r="N135" s="1933"/>
    </row>
    <row r="136" spans="1:14">
      <c r="A136" s="1974"/>
      <c r="B136" s="1951">
        <v>6</v>
      </c>
      <c r="C136" s="1977">
        <v>0</v>
      </c>
      <c r="D136" s="1977">
        <v>0</v>
      </c>
      <c r="E136" s="1977">
        <v>0</v>
      </c>
      <c r="F136" s="1977">
        <v>1679.37</v>
      </c>
      <c r="G136" s="1977">
        <v>1679.37</v>
      </c>
      <c r="H136" s="1974"/>
      <c r="I136" s="1975">
        <f>SUM(C$11:C136)</f>
        <v>1578470366.9099989</v>
      </c>
      <c r="J136" s="1961">
        <f t="shared" si="15"/>
        <v>2267917.1938362052</v>
      </c>
      <c r="K136" s="1961">
        <f t="shared" si="16"/>
        <v>192288744.01487786</v>
      </c>
      <c r="L136" s="1959">
        <f t="shared" si="17"/>
        <v>1386181622.8951211</v>
      </c>
      <c r="M136" s="1974"/>
      <c r="N136" s="1933"/>
    </row>
    <row r="137" spans="1:14">
      <c r="A137" s="1974"/>
      <c r="B137" s="1951">
        <v>7</v>
      </c>
      <c r="C137" s="1977">
        <v>2187</v>
      </c>
      <c r="D137" s="1977">
        <v>0</v>
      </c>
      <c r="E137" s="1977">
        <v>0</v>
      </c>
      <c r="F137" s="1977">
        <v>1323.2700000000004</v>
      </c>
      <c r="G137" s="1977">
        <v>3510.2700000000004</v>
      </c>
      <c r="H137" s="1974"/>
      <c r="I137" s="1975">
        <f>SUM(C$11:C137)</f>
        <v>1578472553.9099989</v>
      </c>
      <c r="J137" s="1961">
        <f t="shared" si="15"/>
        <v>2267918.7649568948</v>
      </c>
      <c r="K137" s="1961">
        <f t="shared" si="16"/>
        <v>194556662.77983475</v>
      </c>
      <c r="L137" s="1959">
        <f t="shared" si="17"/>
        <v>1383915891.1301641</v>
      </c>
      <c r="M137" s="1974"/>
      <c r="N137" s="1933"/>
    </row>
    <row r="138" spans="1:14">
      <c r="A138" s="1974"/>
      <c r="B138" s="1951">
        <v>8</v>
      </c>
      <c r="C138" s="1977">
        <v>9334.2199999999993</v>
      </c>
      <c r="D138" s="1977">
        <v>67297.84</v>
      </c>
      <c r="E138" s="1977">
        <v>0</v>
      </c>
      <c r="F138" s="1977">
        <v>3142.16</v>
      </c>
      <c r="G138" s="1977">
        <v>79774.22</v>
      </c>
      <c r="H138" s="1974"/>
      <c r="I138" s="1975">
        <f>SUM(C$11:C138)</f>
        <v>1578481888.1299989</v>
      </c>
      <c r="J138" s="1961">
        <f t="shared" si="15"/>
        <v>2267927.0416954006</v>
      </c>
      <c r="K138" s="1961">
        <f t="shared" si="16"/>
        <v>196824589.82153013</v>
      </c>
      <c r="L138" s="1959">
        <f t="shared" si="17"/>
        <v>1381657298.3084688</v>
      </c>
      <c r="M138" s="1974"/>
      <c r="N138" s="1933"/>
    </row>
    <row r="139" spans="1:14">
      <c r="A139" s="1974"/>
      <c r="B139" s="1951">
        <v>9</v>
      </c>
      <c r="C139" s="1977">
        <v>19463.02</v>
      </c>
      <c r="D139" s="1977">
        <v>13813.660000000003</v>
      </c>
      <c r="E139" s="1977">
        <v>0</v>
      </c>
      <c r="F139" s="1977">
        <v>1953.5600000000004</v>
      </c>
      <c r="G139" s="1977">
        <v>35230.240000000005</v>
      </c>
      <c r="H139" s="1974"/>
      <c r="I139" s="1975">
        <f>SUM(C$11:C139)</f>
        <v>1578501351.1499989</v>
      </c>
      <c r="J139" s="1961">
        <f t="shared" si="15"/>
        <v>2267947.7293678145</v>
      </c>
      <c r="K139" s="1961">
        <f t="shared" si="16"/>
        <v>199092537.55089796</v>
      </c>
      <c r="L139" s="1959">
        <f t="shared" si="17"/>
        <v>1379408813.5991011</v>
      </c>
      <c r="M139" s="1974"/>
      <c r="N139" s="1933"/>
    </row>
    <row r="140" spans="1:14">
      <c r="A140" s="1974"/>
      <c r="B140" s="1951">
        <v>10</v>
      </c>
      <c r="C140" s="1977">
        <v>21157.55</v>
      </c>
      <c r="D140" s="1977">
        <v>-3326.2399999999907</v>
      </c>
      <c r="E140" s="1977">
        <v>0</v>
      </c>
      <c r="F140" s="1977">
        <v>1894.62</v>
      </c>
      <c r="G140" s="1977">
        <v>19725.930000000008</v>
      </c>
      <c r="H140" s="1974"/>
      <c r="I140" s="1975">
        <f>SUM(C$11:C140)</f>
        <v>1578522508.6999989</v>
      </c>
      <c r="J140" s="1961">
        <f t="shared" si="15"/>
        <v>2267976.91081178</v>
      </c>
      <c r="K140" s="1961">
        <f t="shared" si="16"/>
        <v>201360514.46170974</v>
      </c>
      <c r="L140" s="1959">
        <f t="shared" si="17"/>
        <v>1377161994.2382891</v>
      </c>
      <c r="M140" s="1974"/>
      <c r="N140" s="1933"/>
    </row>
    <row r="141" spans="1:14">
      <c r="A141" s="1974"/>
      <c r="B141" s="1951">
        <v>11</v>
      </c>
      <c r="C141" s="1977">
        <v>17734</v>
      </c>
      <c r="D141" s="1977">
        <v>0</v>
      </c>
      <c r="E141" s="1977">
        <v>0</v>
      </c>
      <c r="F141" s="1977">
        <v>2594.3100000000009</v>
      </c>
      <c r="G141" s="1977">
        <v>20328.310000000001</v>
      </c>
      <c r="H141" s="1974"/>
      <c r="I141" s="1975">
        <f>SUM(C$11:C141)</f>
        <v>1578540242.6999989</v>
      </c>
      <c r="J141" s="1961">
        <f t="shared" si="15"/>
        <v>2268004.8501436766</v>
      </c>
      <c r="K141" s="1961">
        <f t="shared" si="16"/>
        <v>203628519.31185341</v>
      </c>
      <c r="L141" s="1959">
        <f t="shared" si="17"/>
        <v>1374911723.3881454</v>
      </c>
      <c r="M141" s="1974"/>
      <c r="N141" s="1933"/>
    </row>
    <row r="142" spans="1:14">
      <c r="A142" s="1974"/>
      <c r="B142" s="1951">
        <v>12</v>
      </c>
      <c r="C142" s="1977">
        <v>65785.42</v>
      </c>
      <c r="D142" s="1977">
        <v>635.6400000000001</v>
      </c>
      <c r="E142" s="1977">
        <v>3776.75</v>
      </c>
      <c r="F142" s="1977">
        <v>2091.5499999999988</v>
      </c>
      <c r="G142" s="1977">
        <v>72289.36</v>
      </c>
      <c r="H142" s="1974"/>
      <c r="I142" s="1976">
        <f>SUM(C$11:C142)</f>
        <v>1578606028.1199989</v>
      </c>
      <c r="J142" s="1961">
        <f t="shared" si="15"/>
        <v>2268064.8497270099</v>
      </c>
      <c r="K142" s="1961">
        <f t="shared" si="16"/>
        <v>205896584.16158041</v>
      </c>
      <c r="L142" s="1959">
        <f t="shared" si="17"/>
        <v>1372709443.9584186</v>
      </c>
      <c r="M142" s="1962">
        <f>SUM(L130:L142)/13</f>
        <v>1386203296.6665728</v>
      </c>
      <c r="N142" s="1933"/>
    </row>
    <row r="143" spans="1:14">
      <c r="A143" s="1973">
        <v>2020</v>
      </c>
      <c r="B143" s="1951">
        <v>1</v>
      </c>
      <c r="C143" s="1963"/>
      <c r="D143" s="1963"/>
      <c r="E143" s="1963"/>
      <c r="F143" s="1963"/>
      <c r="G143" s="1963"/>
      <c r="H143" s="1974"/>
      <c r="I143" s="1975">
        <f>SUM(C$11:C143)</f>
        <v>1578606028.1199989</v>
      </c>
      <c r="J143" s="1961">
        <f>+C143*J$8*0.5+J$8*I142</f>
        <v>2268112.1093678144</v>
      </c>
      <c r="K143" s="1961">
        <f>J143+K142</f>
        <v>208164696.27094823</v>
      </c>
      <c r="L143" s="1959">
        <f>+I143-K143</f>
        <v>1370441331.8490508</v>
      </c>
      <c r="M143" s="1974"/>
      <c r="N143" s="1933"/>
    </row>
    <row r="144" spans="1:14">
      <c r="A144" s="1974"/>
      <c r="B144" s="1951">
        <v>2</v>
      </c>
      <c r="C144" s="1963"/>
      <c r="D144" s="1963"/>
      <c r="E144" s="1963"/>
      <c r="F144" s="1963"/>
      <c r="G144" s="1963"/>
      <c r="H144" s="1974"/>
      <c r="I144" s="1975">
        <f>SUM(C$11:C144)</f>
        <v>1578606028.1199989</v>
      </c>
      <c r="J144" s="1961">
        <f t="shared" ref="J144:J154" si="18">+C144*J$8*0.5+J$8*I143</f>
        <v>2268112.1093678144</v>
      </c>
      <c r="K144" s="1961">
        <f t="shared" ref="K144:K154" si="19">J144+K143</f>
        <v>210432808.38031605</v>
      </c>
      <c r="L144" s="1959">
        <f t="shared" ref="L144:L154" si="20">+I144-K144</f>
        <v>1368173219.7396829</v>
      </c>
      <c r="M144" s="1974"/>
      <c r="N144" s="1933"/>
    </row>
    <row r="145" spans="1:14">
      <c r="A145" s="1974"/>
      <c r="B145" s="1951">
        <v>3</v>
      </c>
      <c r="C145" s="1963"/>
      <c r="D145" s="1963"/>
      <c r="E145" s="1963"/>
      <c r="F145" s="1963"/>
      <c r="G145" s="1963"/>
      <c r="H145" s="1974"/>
      <c r="I145" s="1975">
        <f>SUM(C$11:C145)</f>
        <v>1578606028.1199989</v>
      </c>
      <c r="J145" s="1961">
        <f t="shared" si="18"/>
        <v>2268112.1093678144</v>
      </c>
      <c r="K145" s="1961">
        <f t="shared" si="19"/>
        <v>212700920.48968387</v>
      </c>
      <c r="L145" s="1959">
        <f t="shared" si="20"/>
        <v>1365905107.6303151</v>
      </c>
      <c r="M145" s="1974"/>
      <c r="N145" s="1933"/>
    </row>
    <row r="146" spans="1:14">
      <c r="A146" s="1974"/>
      <c r="B146" s="1951">
        <v>4</v>
      </c>
      <c r="C146" s="1963"/>
      <c r="D146" s="1963"/>
      <c r="E146" s="1963"/>
      <c r="F146" s="1963"/>
      <c r="G146" s="1963"/>
      <c r="H146" s="1974"/>
      <c r="I146" s="1975">
        <f>SUM(C$11:C146)</f>
        <v>1578606028.1199989</v>
      </c>
      <c r="J146" s="1961">
        <f t="shared" si="18"/>
        <v>2268112.1093678144</v>
      </c>
      <c r="K146" s="1961">
        <f t="shared" si="19"/>
        <v>214969032.59905168</v>
      </c>
      <c r="L146" s="1959">
        <f t="shared" si="20"/>
        <v>1363636995.5209472</v>
      </c>
      <c r="M146" s="1974"/>
      <c r="N146" s="1933"/>
    </row>
    <row r="147" spans="1:14">
      <c r="A147" s="1974"/>
      <c r="B147" s="1951">
        <v>5</v>
      </c>
      <c r="C147" s="1963"/>
      <c r="D147" s="1963"/>
      <c r="E147" s="1963"/>
      <c r="F147" s="1963"/>
      <c r="G147" s="1963"/>
      <c r="H147" s="1974"/>
      <c r="I147" s="1975">
        <f>SUM(C$11:C147)</f>
        <v>1578606028.1199989</v>
      </c>
      <c r="J147" s="1961">
        <f t="shared" si="18"/>
        <v>2268112.1093678144</v>
      </c>
      <c r="K147" s="1961">
        <f t="shared" si="19"/>
        <v>217237144.7084195</v>
      </c>
      <c r="L147" s="1959">
        <f t="shared" si="20"/>
        <v>1361368883.4115794</v>
      </c>
      <c r="M147" s="1974"/>
      <c r="N147" s="1933"/>
    </row>
    <row r="148" spans="1:14">
      <c r="A148" s="1974"/>
      <c r="B148" s="1951">
        <v>6</v>
      </c>
      <c r="C148" s="1963"/>
      <c r="D148" s="1963"/>
      <c r="E148" s="1963"/>
      <c r="F148" s="1963"/>
      <c r="G148" s="1963"/>
      <c r="H148" s="1974"/>
      <c r="I148" s="1975">
        <f>SUM(C$11:C148)</f>
        <v>1578606028.1199989</v>
      </c>
      <c r="J148" s="1961">
        <f t="shared" si="18"/>
        <v>2268112.1093678144</v>
      </c>
      <c r="K148" s="1961">
        <f t="shared" si="19"/>
        <v>219505256.81778732</v>
      </c>
      <c r="L148" s="1959">
        <f t="shared" si="20"/>
        <v>1359100771.3022115</v>
      </c>
      <c r="M148" s="1974"/>
      <c r="N148" s="1933"/>
    </row>
    <row r="149" spans="1:14">
      <c r="A149" s="1974"/>
      <c r="B149" s="1951">
        <v>7</v>
      </c>
      <c r="C149" s="1963"/>
      <c r="D149" s="1963"/>
      <c r="E149" s="1963"/>
      <c r="F149" s="1963"/>
      <c r="G149" s="1963"/>
      <c r="H149" s="1974"/>
      <c r="I149" s="1975">
        <f>SUM(C$11:C149)</f>
        <v>1578606028.1199989</v>
      </c>
      <c r="J149" s="1961">
        <f t="shared" si="18"/>
        <v>2268112.1093678144</v>
      </c>
      <c r="K149" s="1961">
        <f t="shared" si="19"/>
        <v>221773368.92715514</v>
      </c>
      <c r="L149" s="1959">
        <f t="shared" si="20"/>
        <v>1356832659.1928439</v>
      </c>
      <c r="M149" s="1974"/>
      <c r="N149" s="1933"/>
    </row>
    <row r="150" spans="1:14">
      <c r="A150" s="1974"/>
      <c r="B150" s="1951">
        <v>8</v>
      </c>
      <c r="C150" s="1963"/>
      <c r="D150" s="1963"/>
      <c r="E150" s="1963"/>
      <c r="F150" s="1963"/>
      <c r="G150" s="1963"/>
      <c r="H150" s="1974"/>
      <c r="I150" s="1975">
        <f>SUM(C$11:C150)</f>
        <v>1578606028.1199989</v>
      </c>
      <c r="J150" s="1961">
        <f t="shared" si="18"/>
        <v>2268112.1093678144</v>
      </c>
      <c r="K150" s="1961">
        <f t="shared" si="19"/>
        <v>224041481.03652295</v>
      </c>
      <c r="L150" s="1959">
        <f t="shared" si="20"/>
        <v>1354564547.0834761</v>
      </c>
      <c r="M150" s="1974"/>
      <c r="N150" s="1933"/>
    </row>
    <row r="151" spans="1:14">
      <c r="A151" s="1974"/>
      <c r="B151" s="1951">
        <v>9</v>
      </c>
      <c r="C151" s="1963"/>
      <c r="D151" s="1963"/>
      <c r="E151" s="1963"/>
      <c r="F151" s="1963"/>
      <c r="G151" s="1963"/>
      <c r="H151" s="1974"/>
      <c r="I151" s="1975">
        <f>SUM(C$11:C151)</f>
        <v>1578606028.1199989</v>
      </c>
      <c r="J151" s="1961">
        <f t="shared" si="18"/>
        <v>2268112.1093678144</v>
      </c>
      <c r="K151" s="1961">
        <f t="shared" si="19"/>
        <v>226309593.14589077</v>
      </c>
      <c r="L151" s="1959">
        <f t="shared" si="20"/>
        <v>1352296434.9741082</v>
      </c>
      <c r="M151" s="1974"/>
      <c r="N151" s="1933"/>
    </row>
    <row r="152" spans="1:14">
      <c r="A152" s="1974"/>
      <c r="B152" s="1951">
        <v>10</v>
      </c>
      <c r="C152" s="1963"/>
      <c r="D152" s="1963"/>
      <c r="E152" s="1963"/>
      <c r="F152" s="1963"/>
      <c r="G152" s="1963"/>
      <c r="H152" s="1974"/>
      <c r="I152" s="1975">
        <f>SUM(C$11:C152)</f>
        <v>1578606028.1199989</v>
      </c>
      <c r="J152" s="1961">
        <f t="shared" si="18"/>
        <v>2268112.1093678144</v>
      </c>
      <c r="K152" s="1961">
        <f t="shared" si="19"/>
        <v>228577705.25525859</v>
      </c>
      <c r="L152" s="1959">
        <f t="shared" si="20"/>
        <v>1350028322.8647404</v>
      </c>
      <c r="M152" s="1974"/>
      <c r="N152" s="1933"/>
    </row>
    <row r="153" spans="1:14">
      <c r="A153" s="1974"/>
      <c r="B153" s="1951">
        <v>11</v>
      </c>
      <c r="C153" s="1963"/>
      <c r="D153" s="1963"/>
      <c r="E153" s="1963"/>
      <c r="F153" s="1963"/>
      <c r="G153" s="1963"/>
      <c r="H153" s="1974"/>
      <c r="I153" s="1975">
        <f>SUM(C$11:C153)</f>
        <v>1578606028.1199989</v>
      </c>
      <c r="J153" s="1961">
        <f t="shared" si="18"/>
        <v>2268112.1093678144</v>
      </c>
      <c r="K153" s="1961">
        <f t="shared" si="19"/>
        <v>230845817.36462641</v>
      </c>
      <c r="L153" s="1959">
        <f t="shared" si="20"/>
        <v>1347760210.7553725</v>
      </c>
      <c r="M153" s="1974"/>
      <c r="N153" s="1933"/>
    </row>
    <row r="154" spans="1:14">
      <c r="A154" s="1974"/>
      <c r="B154" s="1951">
        <v>12</v>
      </c>
      <c r="C154" s="1963"/>
      <c r="D154" s="1963"/>
      <c r="E154" s="1963"/>
      <c r="F154" s="1963"/>
      <c r="G154" s="1963"/>
      <c r="H154" s="1974"/>
      <c r="I154" s="1976">
        <f>SUM(C$11:C154)</f>
        <v>1578606028.1199989</v>
      </c>
      <c r="J154" s="1961">
        <f t="shared" si="18"/>
        <v>2268112.1093678144</v>
      </c>
      <c r="K154" s="1961">
        <f t="shared" si="19"/>
        <v>233113929.47399423</v>
      </c>
      <c r="L154" s="1959">
        <f t="shared" si="20"/>
        <v>1345492098.6460047</v>
      </c>
      <c r="M154" s="1962">
        <f>SUM(L142:L154)/13</f>
        <v>1359100771.3022118</v>
      </c>
      <c r="N154" s="1933"/>
    </row>
    <row r="155" spans="1:14">
      <c r="A155" s="1933"/>
      <c r="B155" s="1933"/>
      <c r="C155" s="1933"/>
      <c r="D155" s="1933"/>
      <c r="E155" s="1933"/>
      <c r="F155" s="1933"/>
      <c r="G155" s="1933"/>
      <c r="H155" s="1933"/>
      <c r="I155" s="1933"/>
      <c r="J155" s="1933"/>
      <c r="K155" s="1933"/>
      <c r="L155" s="1933"/>
      <c r="M155" s="1933"/>
      <c r="N155" s="1933"/>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6"/>
  <sheetViews>
    <sheetView workbookViewId="0">
      <selection activeCell="I26" sqref="I26"/>
    </sheetView>
  </sheetViews>
  <sheetFormatPr defaultRowHeight="15"/>
  <cols>
    <col min="1" max="1" width="6.5703125" customWidth="1"/>
    <col min="2" max="2" width="51" customWidth="1"/>
    <col min="3" max="3" width="2.7109375" customWidth="1"/>
    <col min="4" max="4" width="30.28515625" bestFit="1" customWidth="1"/>
    <col min="5" max="5" width="2.7109375" customWidth="1"/>
    <col min="6" max="6" width="15.7109375" customWidth="1"/>
  </cols>
  <sheetData>
    <row r="1" spans="1:6">
      <c r="A1" s="457"/>
      <c r="B1" s="458" t="s">
        <v>2</v>
      </c>
      <c r="C1" s="457"/>
      <c r="D1" s="457"/>
      <c r="E1" s="457"/>
      <c r="F1" s="457"/>
    </row>
    <row r="2" spans="1:6">
      <c r="A2" s="457"/>
      <c r="B2" s="458" t="s">
        <v>313</v>
      </c>
      <c r="C2" s="457"/>
      <c r="D2" s="457"/>
      <c r="E2" s="457"/>
      <c r="F2" s="457"/>
    </row>
    <row r="3" spans="1:6">
      <c r="A3" s="457"/>
      <c r="B3" s="458" t="s">
        <v>314</v>
      </c>
      <c r="C3" s="457"/>
      <c r="D3" s="457"/>
      <c r="E3" s="457"/>
      <c r="F3" s="457"/>
    </row>
    <row r="4" spans="1:6">
      <c r="A4" s="305"/>
      <c r="B4" s="305"/>
      <c r="C4" s="305"/>
      <c r="D4" s="305"/>
      <c r="E4" s="305"/>
      <c r="F4" s="305"/>
    </row>
    <row r="5" spans="1:6">
      <c r="A5" s="305"/>
      <c r="B5" s="305"/>
      <c r="C5" s="305"/>
      <c r="D5" s="305"/>
      <c r="E5" s="305"/>
      <c r="F5" s="305"/>
    </row>
    <row r="6" spans="1:6">
      <c r="A6" s="459" t="s">
        <v>315</v>
      </c>
      <c r="B6" s="459" t="s">
        <v>288</v>
      </c>
      <c r="C6" s="459"/>
      <c r="D6" s="459" t="s">
        <v>316</v>
      </c>
      <c r="E6" s="459"/>
      <c r="F6" s="459" t="s">
        <v>290</v>
      </c>
    </row>
    <row r="7" spans="1:6">
      <c r="A7" s="460"/>
      <c r="B7" s="460"/>
      <c r="C7" s="305"/>
      <c r="D7" s="305"/>
      <c r="E7" s="305"/>
      <c r="F7" s="305"/>
    </row>
    <row r="8" spans="1:6">
      <c r="A8" s="461">
        <v>1</v>
      </c>
      <c r="B8" s="460" t="s">
        <v>207</v>
      </c>
      <c r="C8" s="305"/>
      <c r="D8" s="305" t="str">
        <f>"Appendix A, Line "&amp;'Appendix A'!A264</f>
        <v>Appendix A, Line 151</v>
      </c>
      <c r="E8" s="305"/>
      <c r="F8" s="462">
        <f>'Appendix A'!H264</f>
        <v>507193122.36130977</v>
      </c>
    </row>
    <row r="9" spans="1:6">
      <c r="A9" s="461"/>
      <c r="B9" s="460"/>
      <c r="C9" s="305"/>
      <c r="D9" s="305"/>
      <c r="E9" s="305"/>
      <c r="F9" s="305"/>
    </row>
    <row r="10" spans="1:6">
      <c r="A10" s="461"/>
      <c r="B10" s="460" t="s">
        <v>317</v>
      </c>
      <c r="C10" s="305"/>
      <c r="D10" s="305"/>
      <c r="E10" s="305"/>
      <c r="F10" s="305"/>
    </row>
    <row r="11" spans="1:6">
      <c r="A11" s="461"/>
      <c r="B11" s="460"/>
      <c r="C11" s="305"/>
      <c r="D11" s="305"/>
      <c r="E11" s="305"/>
      <c r="F11" s="305"/>
    </row>
    <row r="12" spans="1:6">
      <c r="A12" s="461">
        <v>2</v>
      </c>
      <c r="B12" s="463" t="s">
        <v>318</v>
      </c>
      <c r="C12" s="305"/>
      <c r="D12" s="305" t="str">
        <f>"Attachment 3, Line "&amp;'Att 3 - Revenue Credits'!A12</f>
        <v>Attachment 3, Line 6</v>
      </c>
      <c r="E12" s="305"/>
      <c r="F12" s="462">
        <f>SUM('Att 3 - Revenue Credits'!E12)</f>
        <v>5441269.2461718293</v>
      </c>
    </row>
    <row r="13" spans="1:6">
      <c r="A13" s="461">
        <v>3</v>
      </c>
      <c r="B13" s="463" t="s">
        <v>319</v>
      </c>
      <c r="C13" s="305"/>
      <c r="D13" s="305" t="str">
        <f>"Attachment 3, Line "&amp;'Att 3 - Revenue Credits'!A20</f>
        <v>Attachment 3, Line 12</v>
      </c>
      <c r="E13" s="305"/>
      <c r="F13" s="462">
        <f>SUM('Att 3 - Revenue Credits'!E20)</f>
        <v>83941914.388509557</v>
      </c>
    </row>
    <row r="14" spans="1:6">
      <c r="A14" s="461">
        <v>4</v>
      </c>
      <c r="B14" s="464" t="s">
        <v>320</v>
      </c>
      <c r="C14" s="305"/>
      <c r="D14" s="465" t="str">
        <f>"Line "&amp;A12&amp;" + Line "&amp;A13</f>
        <v>Line 2 + Line 3</v>
      </c>
      <c r="E14" s="305"/>
      <c r="F14" s="466">
        <f>SUM(F12:F13)</f>
        <v>89383183.634681389</v>
      </c>
    </row>
    <row r="15" spans="1:6">
      <c r="A15" s="461"/>
      <c r="B15" s="460"/>
      <c r="C15" s="305"/>
      <c r="D15" s="305"/>
      <c r="E15" s="305"/>
      <c r="F15" s="305"/>
    </row>
    <row r="16" spans="1:6">
      <c r="A16" s="461"/>
      <c r="B16" s="460"/>
      <c r="C16" s="305"/>
      <c r="D16" s="305"/>
      <c r="E16" s="305"/>
      <c r="F16" s="305"/>
    </row>
    <row r="17" spans="1:6">
      <c r="A17" s="461">
        <v>5</v>
      </c>
      <c r="B17" s="460" t="s">
        <v>321</v>
      </c>
      <c r="C17" s="305"/>
      <c r="D17" s="305" t="s">
        <v>25</v>
      </c>
      <c r="E17" s="305"/>
      <c r="F17" s="462">
        <f>'Att 5 - Cost Support'!H286</f>
        <v>2410364.63</v>
      </c>
    </row>
    <row r="18" spans="1:6">
      <c r="A18" s="461"/>
      <c r="B18" s="460"/>
      <c r="C18" s="305"/>
      <c r="D18" s="305"/>
      <c r="E18" s="305"/>
      <c r="F18" s="305"/>
    </row>
    <row r="19" spans="1:6">
      <c r="A19" s="461">
        <v>6</v>
      </c>
      <c r="B19" s="460" t="s">
        <v>225</v>
      </c>
      <c r="C19" s="305"/>
      <c r="D19" s="305" t="s">
        <v>226</v>
      </c>
      <c r="E19" s="305"/>
      <c r="F19" s="462">
        <f>INDEX('Att 7 - Trans Enhance Charge'!$D$30:$T$71,MATCH(IF(Toggle=Projection,data_year+1,data_year)&amp;'Att 7 - Trans Enhance Charge'!$C$31,'Att 7 - Trans Enhance Charge'!$B$30:$B$69,0),MATCH('Att 7 - Trans Enhance Charge'!$T$29,'Att 7 - Trans Enhance Charge'!$D$29:$T$29,0))</f>
        <v>3623760.6623737514</v>
      </c>
    </row>
    <row r="20" spans="1:6">
      <c r="A20" s="461"/>
      <c r="B20" s="460"/>
      <c r="C20" s="305"/>
      <c r="D20" s="305"/>
      <c r="E20" s="305"/>
      <c r="F20" s="305"/>
    </row>
    <row r="21" spans="1:6">
      <c r="A21" s="461">
        <v>7</v>
      </c>
      <c r="B21" s="460" t="s">
        <v>322</v>
      </c>
      <c r="C21" s="305"/>
      <c r="D21" s="305" t="s">
        <v>323</v>
      </c>
      <c r="E21" s="305"/>
      <c r="F21" s="462">
        <f>F8-F14+F17+F19</f>
        <v>423844064.01900208</v>
      </c>
    </row>
    <row r="22" spans="1:6">
      <c r="A22" s="461"/>
      <c r="B22" s="460"/>
      <c r="C22" s="305"/>
      <c r="D22" s="305"/>
      <c r="E22" s="305"/>
      <c r="F22" s="305"/>
    </row>
    <row r="23" spans="1:6">
      <c r="A23" s="461">
        <v>8</v>
      </c>
      <c r="B23" s="460" t="s">
        <v>324</v>
      </c>
      <c r="C23" s="305"/>
      <c r="D23" s="305" t="str">
        <f>"Appendix A, Line "&amp;'Appendix A'!A293</f>
        <v>Appendix A, Line 170</v>
      </c>
      <c r="E23" s="305"/>
      <c r="F23" s="438">
        <f>'Appendix A'!H293</f>
        <v>13892.520166666667</v>
      </c>
    </row>
    <row r="24" spans="1:6">
      <c r="A24" s="461"/>
      <c r="B24" s="460"/>
      <c r="C24" s="305"/>
      <c r="D24" s="305"/>
      <c r="E24" s="305"/>
      <c r="F24" s="305"/>
    </row>
    <row r="25" spans="1:6">
      <c r="A25" s="461"/>
      <c r="B25" s="460"/>
      <c r="C25" s="305"/>
      <c r="D25" s="305"/>
      <c r="E25" s="305"/>
      <c r="F25" s="305"/>
    </row>
    <row r="26" spans="1:6">
      <c r="A26" s="461"/>
      <c r="B26" s="460" t="s">
        <v>325</v>
      </c>
      <c r="C26" s="305"/>
      <c r="D26" s="305"/>
      <c r="E26" s="305"/>
      <c r="F26" s="305"/>
    </row>
    <row r="27" spans="1:6">
      <c r="A27" s="461"/>
      <c r="B27" s="460"/>
      <c r="C27" s="305"/>
      <c r="D27" s="305"/>
      <c r="E27" s="305"/>
      <c r="F27" s="305"/>
    </row>
    <row r="28" spans="1:6">
      <c r="A28" s="461">
        <v>9</v>
      </c>
      <c r="B28" s="463" t="s">
        <v>326</v>
      </c>
      <c r="C28" s="305"/>
      <c r="D28" s="305" t="str">
        <f>"Line "&amp;A21&amp;" / Line "&amp;A23&amp;" / 1000"</f>
        <v>Line 7 / Line 8 / 1000</v>
      </c>
      <c r="E28" s="305"/>
      <c r="F28" s="467">
        <f>F21/F23/1000</f>
        <v>30.508796023630175</v>
      </c>
    </row>
    <row r="29" spans="1:6">
      <c r="A29" s="461"/>
      <c r="B29" s="463"/>
      <c r="C29" s="305"/>
      <c r="D29" s="305"/>
      <c r="E29" s="305"/>
      <c r="F29" s="468"/>
    </row>
    <row r="30" spans="1:6">
      <c r="A30" s="461">
        <v>10</v>
      </c>
      <c r="B30" s="463" t="s">
        <v>327</v>
      </c>
      <c r="C30" s="305"/>
      <c r="D30" s="305" t="str">
        <f>"Line "&amp;A28&amp;" / 12 months"</f>
        <v>Line 9 / 12 months</v>
      </c>
      <c r="E30" s="305"/>
      <c r="F30" s="467">
        <f>F28/12</f>
        <v>2.5423996686358481</v>
      </c>
    </row>
    <row r="31" spans="1:6">
      <c r="A31" s="461"/>
      <c r="B31" s="463"/>
      <c r="C31" s="305"/>
      <c r="D31" s="305"/>
      <c r="E31" s="305"/>
      <c r="F31" s="467"/>
    </row>
    <row r="32" spans="1:6">
      <c r="A32" s="461">
        <v>11</v>
      </c>
      <c r="B32" s="463" t="s">
        <v>328</v>
      </c>
      <c r="C32" s="305"/>
      <c r="D32" s="305" t="str">
        <f>"Line "&amp;A28&amp;" / 52 weeks"</f>
        <v>Line 9 / 52 weeks</v>
      </c>
      <c r="E32" s="305"/>
      <c r="F32" s="467">
        <f>F28/52</f>
        <v>0.58670761583904185</v>
      </c>
    </row>
    <row r="33" spans="1:6">
      <c r="A33" s="461"/>
      <c r="B33" s="460"/>
      <c r="C33" s="305"/>
      <c r="D33" s="305"/>
      <c r="E33" s="305"/>
      <c r="F33" s="467"/>
    </row>
    <row r="34" spans="1:6">
      <c r="A34" s="461"/>
      <c r="B34" s="460"/>
      <c r="C34" s="305"/>
      <c r="D34" s="305"/>
      <c r="E34" s="305"/>
      <c r="F34" s="467"/>
    </row>
    <row r="35" spans="1:6">
      <c r="A35" s="461"/>
      <c r="B35" s="460" t="s">
        <v>329</v>
      </c>
      <c r="C35" s="305"/>
      <c r="D35" s="305"/>
      <c r="E35" s="305"/>
      <c r="F35" s="467"/>
    </row>
    <row r="36" spans="1:6">
      <c r="A36" s="461"/>
      <c r="B36" s="460"/>
      <c r="C36" s="305"/>
      <c r="D36" s="305"/>
      <c r="E36" s="305"/>
      <c r="F36" s="467"/>
    </row>
    <row r="37" spans="1:6">
      <c r="A37" s="461">
        <v>12</v>
      </c>
      <c r="B37" s="463" t="s">
        <v>330</v>
      </c>
      <c r="C37" s="305"/>
      <c r="D37" s="305" t="str">
        <f>"Line "&amp;A32&amp;" / 5 days"</f>
        <v>Line 11 / 5 days</v>
      </c>
      <c r="E37" s="305"/>
      <c r="F37" s="467">
        <f>F32/5</f>
        <v>0.11734152316780837</v>
      </c>
    </row>
    <row r="38" spans="1:6">
      <c r="A38" s="461"/>
      <c r="B38" s="463"/>
      <c r="C38" s="305"/>
      <c r="D38" s="305"/>
      <c r="E38" s="305"/>
      <c r="F38" s="467"/>
    </row>
    <row r="39" spans="1:6">
      <c r="A39" s="461">
        <v>13</v>
      </c>
      <c r="B39" s="463" t="s">
        <v>331</v>
      </c>
      <c r="C39" s="305"/>
      <c r="D39" s="305" t="str">
        <f>"Line "&amp;A32&amp;" / 7 days"</f>
        <v>Line 11 / 7 days</v>
      </c>
      <c r="E39" s="305"/>
      <c r="F39" s="467">
        <f>F32/7</f>
        <v>8.3815373691291689E-2</v>
      </c>
    </row>
    <row r="40" spans="1:6">
      <c r="A40" s="461"/>
      <c r="B40" s="460"/>
      <c r="C40" s="305"/>
      <c r="D40" s="305"/>
      <c r="E40" s="305"/>
      <c r="F40" s="467"/>
    </row>
    <row r="41" spans="1:6">
      <c r="A41" s="461"/>
      <c r="B41" s="460"/>
      <c r="C41" s="305"/>
      <c r="D41" s="305"/>
      <c r="E41" s="469"/>
      <c r="F41" s="467"/>
    </row>
    <row r="42" spans="1:6">
      <c r="A42" s="461"/>
      <c r="B42" s="460" t="s">
        <v>332</v>
      </c>
      <c r="C42" s="305"/>
      <c r="D42" s="305"/>
      <c r="E42" s="305"/>
      <c r="F42" s="467"/>
    </row>
    <row r="43" spans="1:6">
      <c r="A43" s="461"/>
      <c r="B43" s="460"/>
      <c r="C43" s="305"/>
      <c r="D43" s="305"/>
      <c r="E43" s="305"/>
      <c r="F43" s="467"/>
    </row>
    <row r="44" spans="1:6">
      <c r="A44" s="461">
        <v>14</v>
      </c>
      <c r="B44" s="463" t="s">
        <v>333</v>
      </c>
      <c r="C44" s="305"/>
      <c r="D44" s="305" t="str">
        <f>"Line "&amp;A37&amp;" / 16 hours * 1000"</f>
        <v>Line 12 / 16 hours * 1000</v>
      </c>
      <c r="E44" s="305"/>
      <c r="F44" s="470">
        <f>(F37/16)*1000</f>
        <v>7.3338451979880226</v>
      </c>
    </row>
    <row r="45" spans="1:6">
      <c r="A45" s="461"/>
      <c r="B45" s="463"/>
      <c r="C45" s="305"/>
      <c r="D45" s="305"/>
      <c r="E45" s="305"/>
      <c r="F45" s="470"/>
    </row>
    <row r="46" spans="1:6">
      <c r="A46" s="461">
        <v>15</v>
      </c>
      <c r="B46" s="463" t="s">
        <v>334</v>
      </c>
      <c r="C46" s="305"/>
      <c r="D46" s="305" t="str">
        <f>"Line "&amp;A39&amp;" / 24 hours * 1000"</f>
        <v>Line 13 / 24 hours * 1000</v>
      </c>
      <c r="E46" s="305"/>
      <c r="F46" s="470">
        <f>F39/24*1000</f>
        <v>3.4923072371371537</v>
      </c>
    </row>
  </sheetData>
  <pageMargins left="0.7" right="0.7" top="0.75" bottom="0.75" header="0.3" footer="0.3"/>
  <pageSetup scale="82" orientation="portrait"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A395C7"/>
  </sheetPr>
  <dimension ref="A1:K142"/>
  <sheetViews>
    <sheetView topLeftCell="A68" workbookViewId="0">
      <selection activeCell="D87" sqref="D87"/>
    </sheetView>
  </sheetViews>
  <sheetFormatPr defaultRowHeight="15"/>
  <cols>
    <col min="1" max="1" width="7.5703125" customWidth="1"/>
    <col min="2" max="2" width="64.140625" customWidth="1"/>
    <col min="3" max="3" width="42.140625" customWidth="1"/>
    <col min="4" max="5" width="23.7109375" customWidth="1"/>
    <col min="6" max="6" width="21.140625" customWidth="1"/>
    <col min="7" max="7" width="57.5703125" customWidth="1"/>
    <col min="8" max="8" width="23.7109375" customWidth="1"/>
    <col min="9" max="9" width="52" bestFit="1" customWidth="1"/>
    <col min="10" max="10" width="57.42578125" bestFit="1" customWidth="1"/>
    <col min="11" max="11" width="22.7109375" customWidth="1"/>
  </cols>
  <sheetData>
    <row r="1" spans="1:11" ht="28.5" customHeight="1" thickBot="1">
      <c r="A1" s="2490" t="s">
        <v>1613</v>
      </c>
      <c r="B1" s="2491"/>
      <c r="C1" s="2491"/>
      <c r="D1" s="2491"/>
      <c r="E1" s="2491"/>
      <c r="F1" s="2491"/>
      <c r="G1" s="2491"/>
      <c r="H1" s="2491"/>
      <c r="I1" s="2491"/>
      <c r="J1" s="2492"/>
    </row>
    <row r="4" spans="1:11" ht="15.75" thickBot="1">
      <c r="A4" s="1978" t="s">
        <v>1614</v>
      </c>
    </row>
    <row r="5" spans="1:11" ht="27" thickBot="1">
      <c r="A5" s="1979" t="s">
        <v>315</v>
      </c>
      <c r="B5" s="1980" t="s">
        <v>1615</v>
      </c>
      <c r="C5" s="1980" t="s">
        <v>1616</v>
      </c>
      <c r="D5" s="1981"/>
      <c r="E5" s="1981" t="s">
        <v>1617</v>
      </c>
      <c r="F5" s="1981" t="s">
        <v>1015</v>
      </c>
      <c r="G5" s="1979" t="s">
        <v>1618</v>
      </c>
      <c r="H5" s="1981" t="s">
        <v>1619</v>
      </c>
      <c r="I5" s="1979" t="s">
        <v>1620</v>
      </c>
      <c r="J5" s="1981" t="s">
        <v>6</v>
      </c>
    </row>
    <row r="6" spans="1:11">
      <c r="A6" s="1982"/>
    </row>
    <row r="7" spans="1:11">
      <c r="A7" s="1983">
        <v>1</v>
      </c>
      <c r="B7" s="1984" t="s">
        <v>1621</v>
      </c>
      <c r="C7" s="2062" t="str">
        <f ca="1">OFFSET(INDIRECT(G7),0,-5)</f>
        <v>Debt Cost</v>
      </c>
      <c r="D7" s="2063"/>
      <c r="E7" s="1985">
        <v>9.8000000000000004E-2</v>
      </c>
      <c r="F7" s="1986" t="s">
        <v>1622</v>
      </c>
      <c r="G7" s="2067" t="s">
        <v>1623</v>
      </c>
      <c r="H7" s="2068" t="str">
        <f ca="1">"Line "&amp;OFFSET(INDIRECT(G7),0,-7)</f>
        <v>Line 120</v>
      </c>
      <c r="I7" s="2069" t="s">
        <v>360</v>
      </c>
      <c r="J7" s="2091" t="s">
        <v>1624</v>
      </c>
    </row>
    <row r="8" spans="1:11">
      <c r="A8" s="1983">
        <f>A7+1</f>
        <v>2</v>
      </c>
      <c r="B8" s="1984" t="s">
        <v>1625</v>
      </c>
      <c r="C8" s="2062" t="str">
        <f>'Att 7 - Trans Enhance Charge'!$C$23</f>
        <v>Increased ROE (basis points)</v>
      </c>
      <c r="D8" s="2064"/>
      <c r="E8" s="1987">
        <v>50</v>
      </c>
      <c r="F8" s="1986" t="s">
        <v>1622</v>
      </c>
      <c r="G8" s="2070" t="s">
        <v>1626</v>
      </c>
      <c r="H8" s="2071" t="str">
        <f>"Row "&amp;ROW('Att 7 - Trans Enhance Charge'!C23)</f>
        <v>Row 23</v>
      </c>
      <c r="I8" s="2069" t="s">
        <v>1627</v>
      </c>
      <c r="J8" s="2091" t="s">
        <v>1628</v>
      </c>
    </row>
    <row r="9" spans="1:11" ht="38.25">
      <c r="A9" s="1988">
        <f>A8+1</f>
        <v>3</v>
      </c>
      <c r="B9" s="1989" t="s">
        <v>990</v>
      </c>
      <c r="C9" s="2065" t="str">
        <f>'Att 3 - Revenue Credits'!B41</f>
        <v>Common pole location fixed annual revenue credit</v>
      </c>
      <c r="D9" s="2066"/>
      <c r="E9" s="1990">
        <f>12*46314</f>
        <v>555768</v>
      </c>
      <c r="F9" s="1991" t="s">
        <v>1622</v>
      </c>
      <c r="G9" s="2072" t="s">
        <v>1629</v>
      </c>
      <c r="H9" s="2073" t="str">
        <f>"Row "&amp;ROW('Att 3 - Revenue Credits'!E41)</f>
        <v>Row 41</v>
      </c>
      <c r="I9" s="2074" t="s">
        <v>1630</v>
      </c>
      <c r="J9" s="2092" t="s">
        <v>1631</v>
      </c>
      <c r="K9" s="1992"/>
    </row>
    <row r="10" spans="1:11">
      <c r="A10" s="1986">
        <v>4</v>
      </c>
      <c r="B10" s="1984" t="s">
        <v>1632</v>
      </c>
      <c r="C10" s="2062" t="str">
        <f ca="1">OFFSET(INDIRECT(G10),0,-5)</f>
        <v>Operation &amp; Maintenance Expense</v>
      </c>
      <c r="D10" s="2064"/>
      <c r="E10" s="1993">
        <v>0</v>
      </c>
      <c r="F10" s="1986" t="s">
        <v>1622</v>
      </c>
      <c r="G10" s="2075" t="s">
        <v>1633</v>
      </c>
      <c r="H10" s="2076" t="str">
        <f ca="1">"Line "&amp;OFFSET(INDIRECT(G10),0,-7)</f>
        <v>Line 47</v>
      </c>
      <c r="I10" s="2069" t="s">
        <v>360</v>
      </c>
      <c r="J10" s="2091" t="s">
        <v>1634</v>
      </c>
    </row>
    <row r="13" spans="1:11" ht="15.75" thickBot="1">
      <c r="A13" s="1994" t="s">
        <v>1635</v>
      </c>
    </row>
    <row r="14" spans="1:11" ht="27" thickBot="1">
      <c r="A14" s="1979" t="s">
        <v>315</v>
      </c>
      <c r="B14" s="1980" t="s">
        <v>1615</v>
      </c>
      <c r="C14" s="1980" t="s">
        <v>1616</v>
      </c>
      <c r="D14" s="1979" t="str">
        <f>data_year-1&amp;" year-end balance"</f>
        <v>2018 year-end balance</v>
      </c>
      <c r="E14" s="1979" t="str">
        <f>data_year&amp;" year-end balance"</f>
        <v>2019 year-end balance</v>
      </c>
      <c r="F14" s="1981" t="s">
        <v>1636</v>
      </c>
      <c r="G14" s="1979" t="s">
        <v>1618</v>
      </c>
      <c r="H14" s="1979" t="s">
        <v>1637</v>
      </c>
      <c r="I14" s="1979" t="s">
        <v>1638</v>
      </c>
      <c r="J14" s="1979" t="s">
        <v>6</v>
      </c>
    </row>
    <row r="15" spans="1:11" ht="15.75" thickBot="1">
      <c r="A15" s="1995">
        <v>0</v>
      </c>
      <c r="B15" s="1996" t="s">
        <v>1639</v>
      </c>
      <c r="C15" s="1997" t="s">
        <v>1640</v>
      </c>
      <c r="D15" s="1998" t="s">
        <v>1641</v>
      </c>
      <c r="E15" s="1998" t="s">
        <v>1642</v>
      </c>
      <c r="F15" s="1998" t="s">
        <v>1643</v>
      </c>
      <c r="G15" s="1998" t="s">
        <v>1644</v>
      </c>
      <c r="H15" s="1999" t="s">
        <v>1645</v>
      </c>
      <c r="I15" s="2000"/>
      <c r="J15" s="2001"/>
    </row>
    <row r="16" spans="1:11">
      <c r="A16" s="2002">
        <f>A15+1</f>
        <v>1</v>
      </c>
      <c r="B16" s="2003" t="str">
        <f>'Att 2 - Other Taxes'!$B$44</f>
        <v>Total Other Taxes</v>
      </c>
      <c r="C16" s="2004" t="str">
        <f>INDEX(FF1_INPUT,MATCH($F16,INDEX(FF1_INPUT,,6),0),MATCH(C$15,FF1_INPUT_columns,0))</f>
        <v>FERC 408.1  - Taxes Other than Income</v>
      </c>
      <c r="D16" s="2077">
        <f>INDEX(FF1_INPUT,MATCH($F16,INDEX(FF1_INPUT,,6),0),MATCH(data_year-1,FF1_INPUT_columns,0))</f>
        <v>201255354</v>
      </c>
      <c r="E16" s="2077">
        <f>INDEX(FF1_INPUT,MATCH($F16,INDEX(FF1_INPUT,,6),0),MATCH(data_year,FF1_INPUT_columns,0))</f>
        <v>199137026</v>
      </c>
      <c r="F16" s="2005" t="s">
        <v>899</v>
      </c>
      <c r="G16" s="2080" t="s">
        <v>1646</v>
      </c>
      <c r="H16" s="2081">
        <f ca="1">(INDIRECT(RIGHT(G16,LEN(G16)-1))-E16)</f>
        <v>0</v>
      </c>
      <c r="I16" s="2089" t="s">
        <v>1647</v>
      </c>
      <c r="J16" s="2090" t="s">
        <v>1648</v>
      </c>
    </row>
    <row r="17" spans="1:10">
      <c r="A17" s="2006">
        <f>A16+1</f>
        <v>2</v>
      </c>
      <c r="B17" s="2007" t="str">
        <f>'Att 5 - Cost Support'!C159</f>
        <v>Utility Investment Tax Credit Adj. - Net (411.4)</v>
      </c>
      <c r="C17" s="2004" t="str">
        <f>INDEX(FF1_INPUT,MATCH($F17,INDEX(FF1_INPUT,,6),0),MATCH(C$15,FF1_INPUT_columns,0))</f>
        <v>FERC 411.4 - Net ITC adjustment</v>
      </c>
      <c r="D17" s="2078">
        <f>INDEX(FF1_INPUT,MATCH($F17,INDEX(FF1_INPUT,,6),0),MATCH(data_year-1,FF1_INPUT_columns,0))</f>
        <v>-3152015</v>
      </c>
      <c r="E17" s="2078">
        <f>INDEX(FF1_INPUT,MATCH($F17,INDEX(FF1_INPUT,,6),0),MATCH(data_year,FF1_INPUT_columns,0))</f>
        <v>-2738724</v>
      </c>
      <c r="F17" s="2008" t="s">
        <v>1087</v>
      </c>
      <c r="G17" s="2082" t="s">
        <v>1649</v>
      </c>
      <c r="H17" s="2083">
        <f ca="1">(INDIRECT(RIGHT(G17,LEN(G17)-1))-E17)</f>
        <v>0</v>
      </c>
      <c r="I17" s="2069" t="s">
        <v>1650</v>
      </c>
      <c r="J17" s="2087"/>
    </row>
    <row r="18" spans="1:10">
      <c r="A18" s="2006">
        <f t="shared" ref="A18:A81" si="0">A17+1</f>
        <v>3</v>
      </c>
      <c r="B18" s="2007" t="str">
        <f>'Att 10 - Acc Amort of PIS'!D13</f>
        <v>Attachment 5 input: Total Accumulated Amortization</v>
      </c>
      <c r="C18" s="2004" t="str">
        <f>INDEX(FF1_INPUT,MATCH($F18,INDEX(FF1_INPUT,,6),0),MATCH(C$15,FF1_INPUT_columns,0))</f>
        <v xml:space="preserve"> Amort of Other Utility Plant</v>
      </c>
      <c r="D18" s="2078">
        <f>INDEX(FF1_INPUT,MATCH($F18,INDEX(FF1_INPUT,,6),0),MATCH(data_year-1,FF1_INPUT_columns,0))</f>
        <v>614571348</v>
      </c>
      <c r="E18" s="2078">
        <f>INDEX(FF1_INPUT,MATCH($F18,INDEX(FF1_INPUT,,6),0),MATCH(data_year,FF1_INPUT_columns,0))</f>
        <v>652942422</v>
      </c>
      <c r="F18" s="2008" t="s">
        <v>1065</v>
      </c>
      <c r="G18" s="2082" t="s">
        <v>1651</v>
      </c>
      <c r="H18" s="2083">
        <f ca="1">(INDIRECT(RIGHT(G18,LEN(G18)-1))--E18)</f>
        <v>0</v>
      </c>
      <c r="I18" s="2069" t="s">
        <v>1652</v>
      </c>
      <c r="J18" s="2087" t="s">
        <v>1653</v>
      </c>
    </row>
    <row r="19" spans="1:10">
      <c r="A19" s="2006">
        <f t="shared" si="0"/>
        <v>4</v>
      </c>
      <c r="B19" s="2009" t="s">
        <v>1654</v>
      </c>
      <c r="C19" s="2004" t="str">
        <f>INDEX(FF1_INPUT,MATCH($F19,INDEX(FF1_INPUT,,6),0),MATCH(C$15,FF1_INPUT_columns,0))</f>
        <v>Electric plant held for future use</v>
      </c>
      <c r="D19" s="2079">
        <f>INDEX(FF1_INPUT,MATCH($F19,INDEX(FF1_INPUT,,6),0),MATCH(data_year-1,FF1_INPUT_columns,0))</f>
        <v>26415220</v>
      </c>
      <c r="E19" s="2078">
        <f>INDEX(FF1_INPUT,MATCH($F19,INDEX(FF1_INPUT,,6),0),MATCH(data_year,FF1_INPUT_columns,0))</f>
        <v>25890060</v>
      </c>
      <c r="F19" s="2008" t="s">
        <v>1097</v>
      </c>
      <c r="G19" s="2082" t="s">
        <v>1655</v>
      </c>
      <c r="H19" s="2083">
        <f ca="1">(INDIRECT(RIGHT(G19,LEN(G19)-1))-E19)</f>
        <v>0.33999999985098839</v>
      </c>
      <c r="I19" s="2069" t="s">
        <v>1656</v>
      </c>
      <c r="J19" s="2087" t="s">
        <v>1657</v>
      </c>
    </row>
    <row r="20" spans="1:10">
      <c r="A20" s="2006">
        <f t="shared" si="0"/>
        <v>5</v>
      </c>
      <c r="B20" s="2010"/>
      <c r="C20" s="2004"/>
      <c r="D20" s="2011"/>
      <c r="E20" s="2012"/>
      <c r="F20" s="2013"/>
      <c r="G20" s="2014"/>
      <c r="H20" s="2015"/>
      <c r="I20" s="2016"/>
      <c r="J20" s="2017"/>
    </row>
    <row r="21" spans="1:10">
      <c r="A21" s="2006">
        <f t="shared" si="0"/>
        <v>6</v>
      </c>
      <c r="B21" s="2004" t="str">
        <f>'Att 5 - Cost Support'!$C$41</f>
        <v>Intangible Plant In Service</v>
      </c>
      <c r="C21" s="2004" t="str">
        <f t="shared" ref="C21:C31" si="1">INDEX(FF1_INPUT,MATCH($F21,INDEX(FF1_INPUT,,6),0),MATCH(C$15,FF1_INPUT_columns,0))</f>
        <v>FERC 303 - Misc intangible plant (BoY)</v>
      </c>
      <c r="D21" s="2079">
        <f t="shared" ref="D21:D31" si="2">INDEX(FF1_INPUT,MATCH($F21,INDEX(FF1_INPUT,,6),0),MATCH(data_year-1,FF1_INPUT_columns,0))</f>
        <v>936908128</v>
      </c>
      <c r="E21" s="2078">
        <f t="shared" ref="E21:E31" si="3">INDEX(FF1_INPUT,MATCH($F21,INDEX(FF1_INPUT,,6),0),MATCH(data_year,FF1_INPUT_columns,0))</f>
        <v>970432021</v>
      </c>
      <c r="F21" s="2008" t="s">
        <v>1041</v>
      </c>
      <c r="G21" s="2082" t="s">
        <v>1658</v>
      </c>
      <c r="H21" s="2083">
        <f ca="1">(INDIRECT(RIGHT(G21,LEN(G21)-1))-E21)</f>
        <v>-0.22000002861022949</v>
      </c>
      <c r="I21" s="2088" t="s">
        <v>1659</v>
      </c>
      <c r="J21" s="2087" t="s">
        <v>1660</v>
      </c>
    </row>
    <row r="22" spans="1:10">
      <c r="A22" s="2006">
        <f t="shared" si="0"/>
        <v>7</v>
      </c>
      <c r="B22" s="2004" t="str">
        <f>'Att 5 - Cost Support'!$C$41</f>
        <v>Intangible Plant In Service</v>
      </c>
      <c r="C22" s="2004" t="str">
        <f t="shared" si="1"/>
        <v>FERC 303 - Misc intangible plant (EoY)</v>
      </c>
      <c r="D22" s="2079">
        <f t="shared" si="2"/>
        <v>970432021</v>
      </c>
      <c r="E22" s="2078">
        <f t="shared" si="3"/>
        <v>1015882796</v>
      </c>
      <c r="F22" s="2008" t="s">
        <v>1042</v>
      </c>
      <c r="G22" s="2082" t="s">
        <v>1661</v>
      </c>
      <c r="H22" s="2083">
        <f ca="1">(INDIRECT(RIGHT(G22,LEN(G22)-1))-E22)</f>
        <v>0.16999995708465576</v>
      </c>
      <c r="I22" s="2088" t="s">
        <v>1659</v>
      </c>
      <c r="J22" s="2087" t="s">
        <v>1660</v>
      </c>
    </row>
    <row r="23" spans="1:10">
      <c r="A23" s="2006">
        <f t="shared" si="0"/>
        <v>8</v>
      </c>
      <c r="B23" s="2004" t="str">
        <f>'Att 5 - Cost Support'!$C$62</f>
        <v>Production Plant In Service</v>
      </c>
      <c r="C23" s="2004" t="str">
        <f t="shared" si="1"/>
        <v>Total production plant (BoY)</v>
      </c>
      <c r="D23" s="2079">
        <f t="shared" si="2"/>
        <v>12344232810</v>
      </c>
      <c r="E23" s="2078">
        <f t="shared" si="3"/>
        <v>12454178185</v>
      </c>
      <c r="F23" s="2008" t="s">
        <v>1049</v>
      </c>
      <c r="G23" s="2082" t="s">
        <v>1662</v>
      </c>
      <c r="H23" s="2083">
        <f t="shared" ref="H23:H30" ca="1" si="4">(INDIRECT(RIGHT(G23,LEN(G23)-1))-E23)</f>
        <v>0.54999923706054688</v>
      </c>
      <c r="I23" s="2088" t="s">
        <v>1659</v>
      </c>
      <c r="J23" s="2087" t="s">
        <v>1660</v>
      </c>
    </row>
    <row r="24" spans="1:10">
      <c r="A24" s="2006">
        <f t="shared" si="0"/>
        <v>9</v>
      </c>
      <c r="B24" s="2004" t="str">
        <f>'Att 5 - Cost Support'!$C$62</f>
        <v>Production Plant In Service</v>
      </c>
      <c r="C24" s="2004" t="str">
        <f t="shared" si="1"/>
        <v>Total production plant (EoY)</v>
      </c>
      <c r="D24" s="2079">
        <f t="shared" si="2"/>
        <v>12454178185</v>
      </c>
      <c r="E24" s="2078">
        <f t="shared" si="3"/>
        <v>12370876824</v>
      </c>
      <c r="F24" s="2008" t="s">
        <v>1050</v>
      </c>
      <c r="G24" s="2082" t="s">
        <v>1663</v>
      </c>
      <c r="H24" s="2083">
        <f t="shared" ca="1" si="4"/>
        <v>0.82999801635742188</v>
      </c>
      <c r="I24" s="2088" t="s">
        <v>1659</v>
      </c>
      <c r="J24" s="2087" t="s">
        <v>1660</v>
      </c>
    </row>
    <row r="25" spans="1:10">
      <c r="A25" s="2006">
        <f t="shared" si="0"/>
        <v>10</v>
      </c>
      <c r="B25" s="2004" t="str">
        <f>'Att 5 - Cost Support'!$C$20</f>
        <v>Transmission Plant In Service</v>
      </c>
      <c r="C25" s="2004" t="str">
        <f t="shared" si="1"/>
        <v>Total transmission plant (BoY)</v>
      </c>
      <c r="D25" s="2079">
        <f t="shared" si="2"/>
        <v>6222285657</v>
      </c>
      <c r="E25" s="2078">
        <f t="shared" si="3"/>
        <v>6353044980</v>
      </c>
      <c r="F25" s="2008" t="s">
        <v>1020</v>
      </c>
      <c r="G25" s="2082" t="s">
        <v>1664</v>
      </c>
      <c r="H25" s="2083">
        <f t="shared" ca="1" si="4"/>
        <v>0.37999820709228516</v>
      </c>
      <c r="I25" s="2088" t="s">
        <v>1659</v>
      </c>
      <c r="J25" s="2087" t="s">
        <v>1660</v>
      </c>
    </row>
    <row r="26" spans="1:10">
      <c r="A26" s="2006">
        <f t="shared" si="0"/>
        <v>11</v>
      </c>
      <c r="B26" s="2004" t="str">
        <f>'Att 5 - Cost Support'!$C$20</f>
        <v>Transmission Plant In Service</v>
      </c>
      <c r="C26" s="2004" t="str">
        <f t="shared" si="1"/>
        <v>Total transmission plant (EoY)</v>
      </c>
      <c r="D26" s="2079">
        <f t="shared" si="2"/>
        <v>6353044980</v>
      </c>
      <c r="E26" s="2078">
        <f t="shared" si="3"/>
        <v>6478620080</v>
      </c>
      <c r="F26" s="2008" t="s">
        <v>1033</v>
      </c>
      <c r="G26" s="2082" t="s">
        <v>1665</v>
      </c>
      <c r="H26" s="2083">
        <f t="shared" ca="1" si="4"/>
        <v>-0.43000030517578125</v>
      </c>
      <c r="I26" s="2088" t="s">
        <v>1659</v>
      </c>
      <c r="J26" s="2087" t="s">
        <v>1660</v>
      </c>
    </row>
    <row r="27" spans="1:10" ht="13.5" customHeight="1">
      <c r="A27" s="2006">
        <f t="shared" si="0"/>
        <v>12</v>
      </c>
      <c r="B27" s="2004" t="str">
        <f>'Att 5 - Cost Support'!$C$36</f>
        <v>Distribution Plant In Service</v>
      </c>
      <c r="C27" s="2004" t="str">
        <f t="shared" si="1"/>
        <v>Total distribution plant (BoY)</v>
      </c>
      <c r="D27" s="2079">
        <f t="shared" si="2"/>
        <v>6780558594</v>
      </c>
      <c r="E27" s="2078">
        <f t="shared" si="3"/>
        <v>7017942816</v>
      </c>
      <c r="F27" s="2008" t="s">
        <v>1036</v>
      </c>
      <c r="G27" s="2082" t="s">
        <v>1666</v>
      </c>
      <c r="H27" s="2083">
        <f t="shared" ca="1" si="4"/>
        <v>-0.220001220703125</v>
      </c>
      <c r="I27" s="2088" t="s">
        <v>1659</v>
      </c>
      <c r="J27" s="2087" t="s">
        <v>1660</v>
      </c>
    </row>
    <row r="28" spans="1:10">
      <c r="A28" s="2006">
        <f t="shared" si="0"/>
        <v>13</v>
      </c>
      <c r="B28" s="2004" t="str">
        <f>'Att 5 - Cost Support'!$C$36</f>
        <v>Distribution Plant In Service</v>
      </c>
      <c r="C28" s="2004" t="str">
        <f t="shared" si="1"/>
        <v>Total distribution plant (EoY)</v>
      </c>
      <c r="D28" s="2079">
        <f t="shared" si="2"/>
        <v>7017942816</v>
      </c>
      <c r="E28" s="2078">
        <f t="shared" si="3"/>
        <v>7295300652</v>
      </c>
      <c r="F28" s="2008" t="s">
        <v>1038</v>
      </c>
      <c r="G28" s="2082" t="s">
        <v>1667</v>
      </c>
      <c r="H28" s="2083">
        <f t="shared" ca="1" si="4"/>
        <v>0.44000148773193359</v>
      </c>
      <c r="I28" s="2088" t="s">
        <v>1659</v>
      </c>
      <c r="J28" s="2087" t="s">
        <v>1660</v>
      </c>
    </row>
    <row r="29" spans="1:10">
      <c r="A29" s="2006">
        <f t="shared" si="0"/>
        <v>14</v>
      </c>
      <c r="B29" s="2004" t="str">
        <f>'Att 5 - Cost Support'!$C$46</f>
        <v>General Plant In Service</v>
      </c>
      <c r="C29" s="2004" t="str">
        <f t="shared" si="1"/>
        <v>Total general plant (BoY)</v>
      </c>
      <c r="D29" s="2079">
        <f t="shared" si="2"/>
        <v>1228976231</v>
      </c>
      <c r="E29" s="2078">
        <f t="shared" si="3"/>
        <v>1274442961</v>
      </c>
      <c r="F29" s="2008" t="s">
        <v>1045</v>
      </c>
      <c r="G29" s="2082" t="s">
        <v>1668</v>
      </c>
      <c r="H29" s="2083">
        <f t="shared" ca="1" si="4"/>
        <v>0.22000002861022949</v>
      </c>
      <c r="I29" s="2088" t="s">
        <v>1659</v>
      </c>
      <c r="J29" s="2087" t="s">
        <v>1660</v>
      </c>
    </row>
    <row r="30" spans="1:10">
      <c r="A30" s="2006">
        <f t="shared" si="0"/>
        <v>15</v>
      </c>
      <c r="B30" s="2004" t="str">
        <f>'Att 5 - Cost Support'!$C$46</f>
        <v>General Plant In Service</v>
      </c>
      <c r="C30" s="2004" t="str">
        <f t="shared" si="1"/>
        <v>Total general plant (EoY)</v>
      </c>
      <c r="D30" s="2079">
        <f t="shared" si="2"/>
        <v>1274442961</v>
      </c>
      <c r="E30" s="2078">
        <f t="shared" si="3"/>
        <v>1287632918</v>
      </c>
      <c r="F30" s="2008" t="s">
        <v>1046</v>
      </c>
      <c r="G30" s="2082" t="s">
        <v>1669</v>
      </c>
      <c r="H30" s="2083">
        <f t="shared" ca="1" si="4"/>
        <v>-0.48000001907348633</v>
      </c>
      <c r="I30" s="2088" t="s">
        <v>1659</v>
      </c>
      <c r="J30" s="2087" t="s">
        <v>1660</v>
      </c>
    </row>
    <row r="31" spans="1:10">
      <c r="A31" s="2006">
        <f t="shared" si="0"/>
        <v>16</v>
      </c>
      <c r="B31" s="2004" t="str">
        <f>'Att 5 - Cost Support'!C68</f>
        <v>Total Plant In Service</v>
      </c>
      <c r="C31" s="2004" t="str">
        <f t="shared" si="1"/>
        <v>Total electric plant in service (EoY)</v>
      </c>
      <c r="D31" s="2079">
        <f t="shared" si="2"/>
        <v>28070040963</v>
      </c>
      <c r="E31" s="2078">
        <f t="shared" si="3"/>
        <v>28448313270</v>
      </c>
      <c r="F31" s="2008" t="s">
        <v>1670</v>
      </c>
      <c r="G31" s="2082" t="s">
        <v>1671</v>
      </c>
      <c r="H31" s="2083" t="str">
        <f ca="1">IF(Toggle=Projection,(INDIRECT(RIGHT(G31,LEN(G31)-1))-E31),"n/m")</f>
        <v>n/m</v>
      </c>
      <c r="I31" s="2088" t="s">
        <v>1659</v>
      </c>
      <c r="J31" s="2087" t="s">
        <v>1672</v>
      </c>
    </row>
    <row r="32" spans="1:10">
      <c r="A32" s="2006">
        <f t="shared" si="0"/>
        <v>17</v>
      </c>
      <c r="B32" s="2004"/>
      <c r="C32" s="2018"/>
      <c r="D32" s="2011"/>
      <c r="E32" s="2012"/>
      <c r="F32" s="2013"/>
      <c r="G32" s="2014"/>
      <c r="H32" s="2015"/>
      <c r="I32" s="2019"/>
      <c r="J32" s="2017"/>
    </row>
    <row r="33" spans="1:11">
      <c r="A33" s="2006">
        <f t="shared" si="0"/>
        <v>18</v>
      </c>
      <c r="B33" s="2004" t="s">
        <v>1673</v>
      </c>
      <c r="C33" s="2004" t="str">
        <f>INDEX(FF1_INPUT,MATCH($F33,INDEX(FF1_INPUT,,6),0),MATCH(C$15,FF1_INPUT_columns,0))</f>
        <v>Electric Plant Purchased</v>
      </c>
      <c r="D33" s="2079">
        <f>INDEX(FF1_INPUT,MATCH($F33,INDEX(FF1_INPUT,,6),0),MATCH(data_year-1,FF1_INPUT_columns,0))</f>
        <v>0</v>
      </c>
      <c r="E33" s="2078">
        <f>INDEX(FF1_INPUT,MATCH($F33,INDEX(FF1_INPUT,,6),0),MATCH(data_year,FF1_INPUT_columns,0))</f>
        <v>0</v>
      </c>
      <c r="F33" s="2008" t="s">
        <v>1674</v>
      </c>
      <c r="G33" s="2082" t="s">
        <v>1675</v>
      </c>
      <c r="H33" s="2493">
        <f>E33-E34-'Att 5 - Cost Support'!G65</f>
        <v>0</v>
      </c>
      <c r="I33" s="2088" t="s">
        <v>1659</v>
      </c>
      <c r="J33" s="2087" t="s">
        <v>1660</v>
      </c>
    </row>
    <row r="34" spans="1:11">
      <c r="A34" s="2006">
        <f t="shared" si="0"/>
        <v>19</v>
      </c>
      <c r="B34" s="2004" t="str">
        <f>'Att 5 - Cost Support'!$C$65</f>
        <v>Electric Plant Sold</v>
      </c>
      <c r="C34" s="2004" t="str">
        <f>INDEX(FF1_INPUT,MATCH($F34,INDEX(FF1_INPUT,,6),0),MATCH(C$15,FF1_INPUT_columns,0))</f>
        <v>Electric plant sold</v>
      </c>
      <c r="D34" s="2079">
        <f>INDEX(FF1_INPUT,MATCH($F34,INDEX(FF1_INPUT,,6),0),MATCH(data_year-1,FF1_INPUT_columns,0))</f>
        <v>0</v>
      </c>
      <c r="E34" s="2078">
        <f>INDEX(FF1_INPUT,MATCH($F34,INDEX(FF1_INPUT,,6),0),MATCH(data_year,FF1_INPUT_columns,0))</f>
        <v>0</v>
      </c>
      <c r="F34" s="2008" t="s">
        <v>1676</v>
      </c>
      <c r="G34" s="2082" t="s">
        <v>1677</v>
      </c>
      <c r="H34" s="2494"/>
      <c r="I34" s="2088" t="s">
        <v>1659</v>
      </c>
      <c r="J34" s="2087" t="s">
        <v>1660</v>
      </c>
    </row>
    <row r="35" spans="1:11">
      <c r="A35" s="2006">
        <f t="shared" si="0"/>
        <v>20</v>
      </c>
      <c r="B35" s="2004"/>
      <c r="C35" s="2018"/>
      <c r="D35" s="2011"/>
      <c r="E35" s="2012"/>
      <c r="F35" s="2013"/>
      <c r="G35" s="2014"/>
      <c r="H35" s="2015"/>
      <c r="I35" s="2016"/>
      <c r="J35" s="2017"/>
    </row>
    <row r="36" spans="1:11">
      <c r="A36" s="2006">
        <f t="shared" si="0"/>
        <v>21</v>
      </c>
      <c r="B36" s="2004" t="str">
        <f>'Att 5 - Cost Support'!C88</f>
        <v>Transmission Accumulated Depreciation</v>
      </c>
      <c r="C36" s="2004" t="str">
        <f>INDEX(FF1_INPUT,MATCH($F36,INDEX(FF1_INPUT,,6),0),MATCH(C$15,FF1_INPUT_columns,0))</f>
        <v>Accum Dep - Transmission</v>
      </c>
      <c r="D36" s="2079">
        <f>INDEX(FF1_INPUT,MATCH($F36,INDEX(FF1_INPUT,,6),0),MATCH(data_year-1,FF1_INPUT_columns,0))</f>
        <v>1768531625</v>
      </c>
      <c r="E36" s="2078">
        <f>INDEX(FF1_INPUT,MATCH($F36,INDEX(FF1_INPUT,,6),0),MATCH(data_year,FF1_INPUT_columns,0))</f>
        <v>1863152997</v>
      </c>
      <c r="F36" s="2008" t="s">
        <v>1058</v>
      </c>
      <c r="G36" s="2082" t="s">
        <v>1678</v>
      </c>
      <c r="H36" s="2083">
        <f ca="1">(INDIRECT(RIGHT(G36,LEN(G36)-1))-E36)</f>
        <v>0.51999998092651367</v>
      </c>
      <c r="I36" s="2088" t="s">
        <v>1659</v>
      </c>
      <c r="J36" s="2087" t="s">
        <v>1660</v>
      </c>
    </row>
    <row r="37" spans="1:11">
      <c r="A37" s="2006">
        <f t="shared" si="0"/>
        <v>22</v>
      </c>
      <c r="B37" s="2004" t="str">
        <f>'Att 5 - Cost Support'!C104</f>
        <v>Distribution Accumulated Depreciation</v>
      </c>
      <c r="C37" s="2004" t="str">
        <f>INDEX(FF1_INPUT,MATCH($F37,INDEX(FF1_INPUT,,6),0),MATCH(C$15,FF1_INPUT_columns,0))</f>
        <v>Accum Dep - Distribution</v>
      </c>
      <c r="D37" s="2079">
        <f>INDEX(FF1_INPUT,MATCH($F37,INDEX(FF1_INPUT,,6),0),MATCH(data_year-1,FF1_INPUT_columns,0))</f>
        <v>2847150664</v>
      </c>
      <c r="E37" s="2078">
        <f>INDEX(FF1_INPUT,MATCH($F37,INDEX(FF1_INPUT,,6),0),MATCH(data_year,FF1_INPUT_columns,0))</f>
        <v>2925945711</v>
      </c>
      <c r="F37" s="2008" t="s">
        <v>1061</v>
      </c>
      <c r="G37" s="2082" t="s">
        <v>1679</v>
      </c>
      <c r="H37" s="2083">
        <f ca="1">(INDIRECT(RIGHT(G37,LEN(G37)-1))-E37)</f>
        <v>-0.71999979019165039</v>
      </c>
      <c r="I37" s="2088" t="s">
        <v>1659</v>
      </c>
      <c r="J37" s="2087" t="s">
        <v>1660</v>
      </c>
    </row>
    <row r="38" spans="1:11">
      <c r="A38" s="2006">
        <f t="shared" si="0"/>
        <v>23</v>
      </c>
      <c r="B38" s="2004" t="str">
        <f>'Att 5 - Cost Support'!C109</f>
        <v>Accumulated Intangible Depreciation</v>
      </c>
      <c r="C38" s="2020" t="str">
        <f>INDEX(FF1_INPUT,MATCH($F38,INDEX(FF1_INPUT,,6),0),MATCH(C$15,FF1_INPUT_columns,0))</f>
        <v xml:space="preserve"> Amort of Other Utility Plant</v>
      </c>
      <c r="D38" s="2079">
        <f>INDEX(FF1_INPUT,MATCH($F38,INDEX(FF1_INPUT,,6),0),MATCH(data_year-1,FF1_INPUT_columns,0))</f>
        <v>614571348</v>
      </c>
      <c r="E38" s="2078">
        <f>INDEX(FF1_INPUT,MATCH($F38,INDEX(FF1_INPUT,,6),0),MATCH(data_year,FF1_INPUT_columns,0))</f>
        <v>652942422</v>
      </c>
      <c r="F38" s="2008" t="s">
        <v>1065</v>
      </c>
      <c r="G38" s="2082" t="s">
        <v>1680</v>
      </c>
      <c r="H38" s="2083">
        <f ca="1">(INDIRECT(RIGHT(G38,LEN(G38)-1))-E38)</f>
        <v>0.38999998569488525</v>
      </c>
      <c r="I38" s="2088" t="s">
        <v>1659</v>
      </c>
      <c r="J38" s="2087" t="s">
        <v>1660</v>
      </c>
    </row>
    <row r="39" spans="1:11">
      <c r="A39" s="2006">
        <f t="shared" si="0"/>
        <v>24</v>
      </c>
      <c r="B39" s="2004" t="str">
        <f>'Att 5 - Cost Support'!C114</f>
        <v>Accumulated General Depreciation</v>
      </c>
      <c r="C39" s="2004" t="str">
        <f>INDEX(FF1_INPUT,MATCH($F39,INDEX(FF1_INPUT,,6),0),MATCH(C$15,FF1_INPUT_columns,0))</f>
        <v>Accum Dep - General</v>
      </c>
      <c r="D39" s="2079">
        <f>INDEX(FF1_INPUT,MATCH($F39,INDEX(FF1_INPUT,,6),0),MATCH(data_year-1,FF1_INPUT_columns,0))</f>
        <v>482727327</v>
      </c>
      <c r="E39" s="2078">
        <f>INDEX(FF1_INPUT,MATCH($F39,INDEX(FF1_INPUT,,6),0),MATCH(data_year,FF1_INPUT_columns,0))</f>
        <v>493756072</v>
      </c>
      <c r="F39" s="2008" t="s">
        <v>1069</v>
      </c>
      <c r="G39" s="2082" t="s">
        <v>1681</v>
      </c>
      <c r="H39" s="2083">
        <f ca="1">(INDIRECT(RIGHT(G39,LEN(G39)-1))-E39)</f>
        <v>-0.57999998331069946</v>
      </c>
      <c r="I39" s="2088" t="s">
        <v>1659</v>
      </c>
      <c r="J39" s="2087" t="s">
        <v>1660</v>
      </c>
    </row>
    <row r="40" spans="1:11">
      <c r="A40" s="2006">
        <f t="shared" si="0"/>
        <v>25</v>
      </c>
      <c r="B40" s="2004"/>
      <c r="C40" s="2018"/>
      <c r="D40" s="2011"/>
      <c r="E40" s="2012"/>
      <c r="F40" s="2013"/>
      <c r="G40" s="2014"/>
      <c r="H40" s="2021"/>
      <c r="I40" s="2016"/>
      <c r="J40" s="2017"/>
      <c r="K40" s="21"/>
    </row>
    <row r="41" spans="1:11">
      <c r="A41" s="2006">
        <f t="shared" si="0"/>
        <v>26</v>
      </c>
      <c r="B41" s="2004"/>
      <c r="C41" s="2004" t="str">
        <f>INDEX(FF1_INPUT,MATCH($F41,INDEX(FF1_INPUT,,6),0),MATCH(C$15,FF1_INPUT_columns,0))</f>
        <v>Accum Dep - Steam production</v>
      </c>
      <c r="D41" s="2079">
        <f>INDEX(FF1_INPUT,MATCH($F41,INDEX(FF1_INPUT,,6),0),MATCH(data_year-1,FF1_INPUT_columns,0))</f>
        <v>3582683358</v>
      </c>
      <c r="E41" s="2078">
        <f>INDEX(FF1_INPUT,MATCH($F41,INDEX(FF1_INPUT,,6),0),MATCH(data_year,FF1_INPUT_columns,0))</f>
        <v>3749690656</v>
      </c>
      <c r="F41" s="2008" t="s">
        <v>1682</v>
      </c>
      <c r="G41" s="2014"/>
      <c r="H41" s="2021"/>
      <c r="I41" s="2016"/>
      <c r="J41" s="2087" t="s">
        <v>1683</v>
      </c>
    </row>
    <row r="42" spans="1:11">
      <c r="A42" s="2006">
        <f t="shared" si="0"/>
        <v>27</v>
      </c>
      <c r="B42" s="2004"/>
      <c r="C42" s="2004" t="str">
        <f>INDEX(FF1_INPUT,MATCH($F42,INDEX(FF1_INPUT,,6),0),MATCH(C$15,FF1_INPUT_columns,0))</f>
        <v>Accum Dep - Nuclear production</v>
      </c>
      <c r="D42" s="2079">
        <f>INDEX(FF1_INPUT,MATCH($F42,INDEX(FF1_INPUT,,6),0),MATCH(data_year-1,FF1_INPUT_columns,0))</f>
        <v>0</v>
      </c>
      <c r="E42" s="2078">
        <f>INDEX(FF1_INPUT,MATCH($F42,INDEX(FF1_INPUT,,6),0),MATCH(data_year,FF1_INPUT_columns,0))</f>
        <v>0</v>
      </c>
      <c r="F42" s="2008" t="s">
        <v>1684</v>
      </c>
      <c r="G42" s="2014"/>
      <c r="H42" s="2021"/>
      <c r="I42" s="2016"/>
      <c r="J42" s="2087" t="s">
        <v>1683</v>
      </c>
    </row>
    <row r="43" spans="1:11">
      <c r="A43" s="2006">
        <f t="shared" si="0"/>
        <v>28</v>
      </c>
      <c r="B43" s="2004"/>
      <c r="C43" s="2004" t="str">
        <f>INDEX(FF1_INPUT,MATCH($F43,INDEX(FF1_INPUT,,6),0),MATCH(C$15,FF1_INPUT_columns,0))</f>
        <v>Accum Dep - Hydro (conventional) production</v>
      </c>
      <c r="D43" s="2079">
        <f>INDEX(FF1_INPUT,MATCH($F43,INDEX(FF1_INPUT,,6),0),MATCH(data_year-1,FF1_INPUT_columns,0))</f>
        <v>418497235</v>
      </c>
      <c r="E43" s="2078">
        <f>INDEX(FF1_INPUT,MATCH($F43,INDEX(FF1_INPUT,,6),0),MATCH(data_year,FF1_INPUT_columns,0))</f>
        <v>450261661</v>
      </c>
      <c r="F43" s="2008" t="s">
        <v>1685</v>
      </c>
      <c r="G43" s="2014"/>
      <c r="H43" s="2021"/>
      <c r="I43" s="2016"/>
      <c r="J43" s="2087" t="s">
        <v>1683</v>
      </c>
    </row>
    <row r="44" spans="1:11">
      <c r="A44" s="2006">
        <f t="shared" si="0"/>
        <v>29</v>
      </c>
      <c r="B44" s="2004"/>
      <c r="C44" s="2004" t="str">
        <f>INDEX(FF1_INPUT,MATCH($F44,INDEX(FF1_INPUT,,6),0),MATCH(C$15,FF1_INPUT_columns,0))</f>
        <v>Accum Dep - Hydro (pumped storage) production</v>
      </c>
      <c r="D44" s="2079">
        <f>INDEX(FF1_INPUT,MATCH($F44,INDEX(FF1_INPUT,,6),0),MATCH(data_year-1,FF1_INPUT_columns,0))</f>
        <v>0</v>
      </c>
      <c r="E44" s="2078">
        <f>INDEX(FF1_INPUT,MATCH($F44,INDEX(FF1_INPUT,,6),0),MATCH(data_year,FF1_INPUT_columns,0))</f>
        <v>0</v>
      </c>
      <c r="F44" s="2008" t="s">
        <v>1686</v>
      </c>
      <c r="G44" s="2014"/>
      <c r="H44" s="2021"/>
      <c r="I44" s="2016"/>
      <c r="J44" s="2087" t="s">
        <v>1683</v>
      </c>
    </row>
    <row r="45" spans="1:11">
      <c r="A45" s="2006">
        <f t="shared" si="0"/>
        <v>30</v>
      </c>
      <c r="B45" s="2004"/>
      <c r="C45" s="2004" t="str">
        <f>INDEX(FF1_INPUT,MATCH($F45,INDEX(FF1_INPUT,,6),0),MATCH(C$15,FF1_INPUT_columns,0))</f>
        <v>Accum Dep - Other production</v>
      </c>
      <c r="D45" s="2079">
        <f>INDEX(FF1_INPUT,MATCH($F45,INDEX(FF1_INPUT,,6),0),MATCH(data_year-1,FF1_INPUT_columns,0))</f>
        <v>1140446194</v>
      </c>
      <c r="E45" s="2078">
        <f>INDEX(FF1_INPUT,MATCH($F45,INDEX(FF1_INPUT,,6),0),MATCH(data_year,FF1_INPUT_columns,0))</f>
        <v>531443175</v>
      </c>
      <c r="F45" s="2008" t="s">
        <v>1687</v>
      </c>
      <c r="G45" s="2014"/>
      <c r="H45" s="2021"/>
      <c r="I45" s="2016"/>
      <c r="J45" s="2087" t="s">
        <v>1683</v>
      </c>
    </row>
    <row r="46" spans="1:11">
      <c r="A46" s="2006">
        <f t="shared" si="0"/>
        <v>31</v>
      </c>
      <c r="B46" s="2004" t="str">
        <f>'Att 5 - Cost Support'!$C$130</f>
        <v>Production Accumulated Depreciation</v>
      </c>
      <c r="C46" s="2004"/>
      <c r="D46" s="2084">
        <f>SUM(D41:D45)</f>
        <v>5141626787</v>
      </c>
      <c r="E46" s="2084">
        <f>SUM(E41:E45)</f>
        <v>4731395492</v>
      </c>
      <c r="F46" s="2008" t="s">
        <v>1072</v>
      </c>
      <c r="G46" s="2082" t="s">
        <v>1688</v>
      </c>
      <c r="H46" s="2085">
        <f ca="1">(INDIRECT(RIGHT(G46,LEN(G46)-1))-E46)</f>
        <v>0.20000076293945313</v>
      </c>
      <c r="I46" s="2088" t="s">
        <v>1659</v>
      </c>
      <c r="J46" s="2087" t="s">
        <v>1689</v>
      </c>
    </row>
    <row r="47" spans="1:11">
      <c r="A47" s="2006">
        <f t="shared" si="0"/>
        <v>32</v>
      </c>
      <c r="B47" s="2004"/>
      <c r="C47" s="2018"/>
      <c r="D47" s="2011"/>
      <c r="E47" s="2012"/>
      <c r="F47" s="2013"/>
      <c r="G47" s="2014"/>
      <c r="H47" s="2021"/>
      <c r="I47" s="2016"/>
      <c r="J47" s="2017"/>
    </row>
    <row r="48" spans="1:11">
      <c r="A48" s="2006">
        <f t="shared" si="0"/>
        <v>33</v>
      </c>
      <c r="B48" s="2007" t="str">
        <f>'Att 5 - Cost Support'!C145</f>
        <v>Construction Materials &amp; Supplies</v>
      </c>
      <c r="C48" s="2004" t="str">
        <f>INDEX(FF1_INPUT,MATCH($F48,INDEX(FF1_INPUT,,6),0),MATCH(C$15,FF1_INPUT_columns,0))</f>
        <v>Materials and supplies - est construction (EoY)</v>
      </c>
      <c r="D48" s="2079">
        <f>INDEX(FF1_INPUT,MATCH($F48,INDEX(FF1_INPUT,,6),0),MATCH(data_year-1,FF1_INPUT_columns,0))</f>
        <v>161139297</v>
      </c>
      <c r="E48" s="2078">
        <f>INDEX(FF1_INPUT,MATCH($F48,INDEX(FF1_INPUT,,6),0),MATCH(data_year,FF1_INPUT_columns,0))</f>
        <v>162913741</v>
      </c>
      <c r="F48" s="2022" t="s">
        <v>1081</v>
      </c>
      <c r="G48" s="2082" t="s">
        <v>1690</v>
      </c>
      <c r="H48" s="2085">
        <f t="shared" ref="H48:H53" ca="1" si="5">(INDIRECT(RIGHT(G48,LEN(G48)-1))-E48)</f>
        <v>0</v>
      </c>
      <c r="I48" s="2069" t="s">
        <v>1650</v>
      </c>
      <c r="J48" s="2087" t="s">
        <v>1691</v>
      </c>
    </row>
    <row r="49" spans="1:10">
      <c r="A49" s="2006">
        <f t="shared" si="0"/>
        <v>34</v>
      </c>
      <c r="B49" s="2007" t="str">
        <f>'Att 5 - Cost Support'!C149</f>
        <v>Transmission Materials &amp; Supplies</v>
      </c>
      <c r="C49" s="2004" t="str">
        <f>INDEX(FF1_INPUT,MATCH($F49,INDEX(FF1_INPUT,,6),0),MATCH(C$15,FF1_INPUT_columns,0))</f>
        <v>Materials and supplies - transmission (EoY)</v>
      </c>
      <c r="D49" s="2079">
        <f>INDEX(FF1_INPUT,MATCH($F49,INDEX(FF1_INPUT,,6),0),MATCH(data_year-1,FF1_INPUT_columns,0))</f>
        <v>786256</v>
      </c>
      <c r="E49" s="2078">
        <f>INDEX(FF1_INPUT,MATCH($F49,INDEX(FF1_INPUT,,6),0),MATCH(data_year,FF1_INPUT_columns,0))</f>
        <v>852235</v>
      </c>
      <c r="F49" s="2022" t="s">
        <v>1082</v>
      </c>
      <c r="G49" s="2082" t="s">
        <v>1692</v>
      </c>
      <c r="H49" s="2085">
        <f t="shared" ca="1" si="5"/>
        <v>0</v>
      </c>
      <c r="I49" s="2069" t="s">
        <v>1650</v>
      </c>
      <c r="J49" s="2087" t="s">
        <v>1691</v>
      </c>
    </row>
    <row r="50" spans="1:10">
      <c r="A50" s="2006">
        <f t="shared" si="0"/>
        <v>35</v>
      </c>
      <c r="B50" s="2007" t="str">
        <f>'Att 5 - Cost Support'!C141</f>
        <v>Undistributed Stores Expense</v>
      </c>
      <c r="C50" s="2004" t="str">
        <f>INDEX(FF1_INPUT,MATCH($F50,INDEX(FF1_INPUT,,6),0),MATCH(C$15,FF1_INPUT_columns,0))</f>
        <v>FERC 163 - Undistributed stores expense</v>
      </c>
      <c r="D50" s="2079">
        <f>INDEX(FF1_INPUT,MATCH($F50,INDEX(FF1_INPUT,,6),0),MATCH(data_year-1,FF1_INPUT_columns,0))</f>
        <v>0</v>
      </c>
      <c r="E50" s="2078">
        <f>INDEX(FF1_INPUT,MATCH($F50,INDEX(FF1_INPUT,,6),0),MATCH(data_year,FF1_INPUT_columns,0))</f>
        <v>0</v>
      </c>
      <c r="F50" s="2022" t="s">
        <v>1078</v>
      </c>
      <c r="G50" s="2082" t="s">
        <v>1693</v>
      </c>
      <c r="H50" s="2085">
        <f t="shared" ca="1" si="5"/>
        <v>0</v>
      </c>
      <c r="I50" s="2069" t="s">
        <v>1650</v>
      </c>
      <c r="J50" s="2087" t="s">
        <v>1691</v>
      </c>
    </row>
    <row r="51" spans="1:10">
      <c r="A51" s="2006">
        <f t="shared" si="0"/>
        <v>36</v>
      </c>
      <c r="B51" s="2007"/>
      <c r="C51" s="2004"/>
      <c r="D51" s="2011"/>
      <c r="E51" s="2012"/>
      <c r="F51" s="2016"/>
      <c r="G51" s="2014"/>
      <c r="H51" s="2023"/>
      <c r="I51" s="2016"/>
      <c r="J51" s="2017"/>
    </row>
    <row r="52" spans="1:10">
      <c r="A52" s="2006">
        <f t="shared" si="0"/>
        <v>37</v>
      </c>
      <c r="B52" s="2212" t="s">
        <v>1694</v>
      </c>
      <c r="C52" s="2004" t="str">
        <f t="shared" ref="C52:C59" si="6">INDEX(FF1_INPUT,MATCH($F52,INDEX(FF1_INPUT,,6),0),MATCH(C$15,FF1_INPUT_columns,0))</f>
        <v>FERC 190 - ADIT (BoY)</v>
      </c>
      <c r="D52" s="2079">
        <f t="shared" ref="D52:D59" si="7">INDEX(FF1_INPUT,MATCH($F52,INDEX(FF1_INPUT,,6),0),MATCH(data_year-1,FF1_INPUT_columns,0))</f>
        <v>836588163</v>
      </c>
      <c r="E52" s="2086">
        <f t="shared" ref="E52:E59" si="8">INDEX(FF1_INPUT,MATCH($F52,INDEX(FF1_INPUT,,6),0),MATCH(data_year,FF1_INPUT_columns,0))</f>
        <v>824459612</v>
      </c>
      <c r="F52" s="2022" t="s">
        <v>1695</v>
      </c>
      <c r="G52" s="2082" t="s">
        <v>2276</v>
      </c>
      <c r="H52" s="2085">
        <f ca="1">(INDIRECT(RIGHT(G52,LEN(G52)-1))-E52)</f>
        <v>0</v>
      </c>
      <c r="I52" s="2069" t="s">
        <v>1696</v>
      </c>
      <c r="J52" s="2087" t="s">
        <v>1697</v>
      </c>
    </row>
    <row r="53" spans="1:10">
      <c r="A53" s="2006">
        <f t="shared" si="0"/>
        <v>38</v>
      </c>
      <c r="B53" s="2212" t="s">
        <v>1694</v>
      </c>
      <c r="C53" s="2004" t="str">
        <f t="shared" si="6"/>
        <v>FERC 190 - ADIT (EoY)</v>
      </c>
      <c r="D53" s="2079">
        <f t="shared" si="7"/>
        <v>824459612</v>
      </c>
      <c r="E53" s="2086">
        <f t="shared" si="8"/>
        <v>783561636</v>
      </c>
      <c r="F53" s="2022" t="s">
        <v>1698</v>
      </c>
      <c r="G53" s="2082" t="s">
        <v>1902</v>
      </c>
      <c r="H53" s="2085">
        <f t="shared" ca="1" si="5"/>
        <v>0</v>
      </c>
      <c r="I53" s="2069" t="s">
        <v>1699</v>
      </c>
      <c r="J53" s="2087" t="s">
        <v>1697</v>
      </c>
    </row>
    <row r="54" spans="1:10">
      <c r="A54" s="2006">
        <f t="shared" si="0"/>
        <v>39</v>
      </c>
      <c r="B54" s="2212" t="s">
        <v>1910</v>
      </c>
      <c r="C54" s="2004" t="str">
        <f t="shared" si="6"/>
        <v>FERC 281 - ADIT (BoY)</v>
      </c>
      <c r="D54" s="2079">
        <f t="shared" si="7"/>
        <v>185416334</v>
      </c>
      <c r="E54" s="2086">
        <f t="shared" si="8"/>
        <v>180339430</v>
      </c>
      <c r="F54" s="2022" t="s">
        <v>1700</v>
      </c>
      <c r="G54" s="2082" t="s">
        <v>2277</v>
      </c>
      <c r="H54" s="2085">
        <f t="shared" ref="H54:H59" ca="1" si="9">(INDIRECT(RIGHT(G54,LEN(G54)-1))--E54)</f>
        <v>0</v>
      </c>
      <c r="I54" s="2069" t="s">
        <v>1696</v>
      </c>
      <c r="J54" s="2087" t="s">
        <v>1701</v>
      </c>
    </row>
    <row r="55" spans="1:10">
      <c r="A55" s="2006">
        <f t="shared" si="0"/>
        <v>40</v>
      </c>
      <c r="B55" s="2212" t="s">
        <v>1910</v>
      </c>
      <c r="C55" s="2004" t="str">
        <f t="shared" si="6"/>
        <v>FERC 281 - ADIT (EoY)</v>
      </c>
      <c r="D55" s="2079">
        <f t="shared" si="7"/>
        <v>180339430</v>
      </c>
      <c r="E55" s="2086">
        <f t="shared" si="8"/>
        <v>174829838</v>
      </c>
      <c r="F55" s="2022" t="s">
        <v>1702</v>
      </c>
      <c r="G55" s="2082" t="s">
        <v>1903</v>
      </c>
      <c r="H55" s="2085">
        <f t="shared" ca="1" si="9"/>
        <v>0</v>
      </c>
      <c r="I55" s="2069" t="s">
        <v>1699</v>
      </c>
      <c r="J55" s="2087" t="s">
        <v>1701</v>
      </c>
    </row>
    <row r="56" spans="1:10">
      <c r="A56" s="2006">
        <f t="shared" si="0"/>
        <v>41</v>
      </c>
      <c r="B56" s="2212" t="s">
        <v>1911</v>
      </c>
      <c r="C56" s="2004" t="str">
        <f t="shared" si="6"/>
        <v>FERC 282 - ADIT (BoY)</v>
      </c>
      <c r="D56" s="2079">
        <f t="shared" si="7"/>
        <v>2972737275</v>
      </c>
      <c r="E56" s="2086">
        <f t="shared" si="8"/>
        <v>2910580066</v>
      </c>
      <c r="F56" s="2022" t="s">
        <v>1703</v>
      </c>
      <c r="G56" s="2082" t="s">
        <v>2278</v>
      </c>
      <c r="H56" s="2085">
        <f t="shared" ca="1" si="9"/>
        <v>0.35000038146972656</v>
      </c>
      <c r="I56" s="2069" t="s">
        <v>1696</v>
      </c>
      <c r="J56" s="2087" t="s">
        <v>1701</v>
      </c>
    </row>
    <row r="57" spans="1:10">
      <c r="A57" s="2006">
        <f t="shared" si="0"/>
        <v>42</v>
      </c>
      <c r="B57" s="2212" t="s">
        <v>1912</v>
      </c>
      <c r="C57" s="2004" t="str">
        <f t="shared" si="6"/>
        <v>FERC 282 - ADIT (EoY)</v>
      </c>
      <c r="D57" s="2079">
        <f t="shared" si="7"/>
        <v>2910580066</v>
      </c>
      <c r="E57" s="2086">
        <f t="shared" si="8"/>
        <v>2889829879</v>
      </c>
      <c r="F57" s="2022" t="s">
        <v>1704</v>
      </c>
      <c r="G57" s="2082" t="s">
        <v>2279</v>
      </c>
      <c r="H57" s="2085">
        <f t="shared" ca="1" si="9"/>
        <v>0</v>
      </c>
      <c r="I57" s="2069" t="s">
        <v>1699</v>
      </c>
      <c r="J57" s="2087" t="s">
        <v>1701</v>
      </c>
    </row>
    <row r="58" spans="1:10">
      <c r="A58" s="2006">
        <f t="shared" si="0"/>
        <v>43</v>
      </c>
      <c r="B58" s="2212" t="s">
        <v>1913</v>
      </c>
      <c r="C58" s="2004" t="str">
        <f t="shared" si="6"/>
        <v>FERC 283 - ADIT (BoY)</v>
      </c>
      <c r="D58" s="2079">
        <f t="shared" si="7"/>
        <v>272914927</v>
      </c>
      <c r="E58" s="2086">
        <f t="shared" si="8"/>
        <v>285789510</v>
      </c>
      <c r="F58" s="2022" t="s">
        <v>1705</v>
      </c>
      <c r="G58" s="2082" t="s">
        <v>2281</v>
      </c>
      <c r="H58" s="2085">
        <f t="shared" ca="1" si="9"/>
        <v>0</v>
      </c>
      <c r="I58" s="2069" t="s">
        <v>1696</v>
      </c>
      <c r="J58" s="2087" t="s">
        <v>1701</v>
      </c>
    </row>
    <row r="59" spans="1:10">
      <c r="A59" s="2006">
        <f t="shared" si="0"/>
        <v>44</v>
      </c>
      <c r="B59" s="2212" t="s">
        <v>1913</v>
      </c>
      <c r="C59" s="2004" t="str">
        <f t="shared" si="6"/>
        <v>FERC 283 - ADIT (EoY)</v>
      </c>
      <c r="D59" s="2079">
        <f t="shared" si="7"/>
        <v>285789510</v>
      </c>
      <c r="E59" s="2086">
        <f t="shared" si="8"/>
        <v>297173549</v>
      </c>
      <c r="F59" s="2022" t="s">
        <v>1706</v>
      </c>
      <c r="G59" s="2082" t="s">
        <v>2280</v>
      </c>
      <c r="H59" s="2085">
        <f t="shared" ca="1" si="9"/>
        <v>0</v>
      </c>
      <c r="I59" s="2069" t="s">
        <v>1699</v>
      </c>
      <c r="J59" s="2087" t="s">
        <v>1701</v>
      </c>
    </row>
    <row r="60" spans="1:10">
      <c r="A60" s="2006">
        <f t="shared" si="0"/>
        <v>45</v>
      </c>
      <c r="B60" s="1984"/>
      <c r="C60" s="2004"/>
      <c r="D60" s="2011"/>
      <c r="E60" s="2024"/>
      <c r="F60" s="2016"/>
      <c r="G60" s="2014"/>
      <c r="H60" s="2021"/>
      <c r="I60" s="2016"/>
      <c r="J60" s="2017"/>
    </row>
    <row r="61" spans="1:10">
      <c r="A61" s="2006">
        <f t="shared" si="0"/>
        <v>46</v>
      </c>
      <c r="B61" s="2007" t="str">
        <f>'Att 5 - Cost Support'!C270</f>
        <v>(561) Load Dispatching</v>
      </c>
      <c r="C61" s="2004" t="str">
        <f t="shared" ref="C61:C67" si="10">INDEX(FF1_INPUT,MATCH($F61,INDEX(FF1_INPUT,,6),0),MATCH(C$15,FF1_INPUT_columns,0))</f>
        <v>FERC 561 - Load Dispatch (LD)</v>
      </c>
      <c r="D61" s="2079">
        <f t="shared" ref="D61:D67" si="11">INDEX(FF1_INPUT,MATCH($F61,INDEX(FF1_INPUT,,6),0),MATCH(data_year-1,FF1_INPUT_columns,0))</f>
        <v>0</v>
      </c>
      <c r="E61" s="2078">
        <f t="shared" ref="E61:E67" si="12">INDEX(FF1_INPUT,MATCH($F61,INDEX(FF1_INPUT,,6),0),MATCH(data_year,FF1_INPUT_columns,0))</f>
        <v>0</v>
      </c>
      <c r="F61" s="2022" t="s">
        <v>1150</v>
      </c>
      <c r="G61" s="2075" t="s">
        <v>1709</v>
      </c>
      <c r="H61" s="2085">
        <f t="shared" ref="H61:H80" ca="1" si="13">(INDIRECT(RIGHT(G61,LEN(G61)-1))-E61)</f>
        <v>0</v>
      </c>
      <c r="I61" s="2069" t="s">
        <v>1650</v>
      </c>
      <c r="J61" s="2087" t="s">
        <v>1708</v>
      </c>
    </row>
    <row r="62" spans="1:10">
      <c r="A62" s="2006">
        <f t="shared" si="0"/>
        <v>47</v>
      </c>
      <c r="B62" s="2007" t="str">
        <f>'Att 5 - Cost Support'!C271</f>
        <v>(561.1) Load Dispatch-Reliability</v>
      </c>
      <c r="C62" s="2004" t="str">
        <f t="shared" si="10"/>
        <v>FERC 561.1 - LD reliability</v>
      </c>
      <c r="D62" s="2079">
        <f t="shared" si="11"/>
        <v>0</v>
      </c>
      <c r="E62" s="2078">
        <f t="shared" si="12"/>
        <v>0</v>
      </c>
      <c r="F62" s="2022" t="s">
        <v>292</v>
      </c>
      <c r="G62" s="2075" t="s">
        <v>1710</v>
      </c>
      <c r="H62" s="2085">
        <f t="shared" ca="1" si="13"/>
        <v>0</v>
      </c>
      <c r="I62" s="2069" t="s">
        <v>1650</v>
      </c>
      <c r="J62" s="2087" t="s">
        <v>1708</v>
      </c>
    </row>
    <row r="63" spans="1:10">
      <c r="A63" s="2006">
        <f t="shared" si="0"/>
        <v>48</v>
      </c>
      <c r="B63" s="2007" t="str">
        <f>'Att 5 - Cost Support'!C272</f>
        <v>(561.2) Load Dispatch-Monitor and Operate Transmission System</v>
      </c>
      <c r="C63" s="2004" t="str">
        <f t="shared" si="10"/>
        <v>FERC 561.2 - LD monitor operate</v>
      </c>
      <c r="D63" s="2079">
        <f t="shared" si="11"/>
        <v>7234514</v>
      </c>
      <c r="E63" s="2078">
        <f t="shared" si="12"/>
        <v>7813567</v>
      </c>
      <c r="F63" s="2022" t="s">
        <v>294</v>
      </c>
      <c r="G63" s="2075" t="s">
        <v>1711</v>
      </c>
      <c r="H63" s="2085">
        <f ca="1">(INDIRECT(RIGHT(G63,LEN(G63)-1))-E63)</f>
        <v>0</v>
      </c>
      <c r="I63" s="2069" t="s">
        <v>1650</v>
      </c>
      <c r="J63" s="2087" t="s">
        <v>1708</v>
      </c>
    </row>
    <row r="64" spans="1:10">
      <c r="A64" s="2006">
        <f t="shared" si="0"/>
        <v>49</v>
      </c>
      <c r="B64" s="2007" t="str">
        <f>'Att 5 - Cost Support'!C273</f>
        <v>(561.3) Load Dispatch-Transmission Service and Scheduling</v>
      </c>
      <c r="C64" s="2004" t="str">
        <f t="shared" si="10"/>
        <v>FERC 561.3 - LD service scheduling</v>
      </c>
      <c r="D64" s="2079">
        <f t="shared" si="11"/>
        <v>0</v>
      </c>
      <c r="E64" s="2078">
        <f t="shared" si="12"/>
        <v>0</v>
      </c>
      <c r="F64" s="2022" t="s">
        <v>296</v>
      </c>
      <c r="G64" s="2075" t="s">
        <v>2030</v>
      </c>
      <c r="H64" s="2085">
        <f t="shared" ca="1" si="13"/>
        <v>0</v>
      </c>
      <c r="I64" s="2069" t="s">
        <v>1650</v>
      </c>
      <c r="J64" s="2087" t="s">
        <v>1708</v>
      </c>
    </row>
    <row r="65" spans="1:10">
      <c r="A65" s="2006">
        <f t="shared" si="0"/>
        <v>50</v>
      </c>
      <c r="B65" s="2007" t="str">
        <f>'Att 5 - Cost Support'!C274</f>
        <v>(561.4) Scheduling, System Control and Dispatch Services</v>
      </c>
      <c r="C65" s="2004" t="str">
        <f t="shared" si="10"/>
        <v>FERC 561.4 - Sched, sys control, dispatch</v>
      </c>
      <c r="D65" s="2079">
        <f t="shared" si="11"/>
        <v>1384344</v>
      </c>
      <c r="E65" s="2078">
        <f t="shared" si="12"/>
        <v>1250888</v>
      </c>
      <c r="F65" s="2022" t="s">
        <v>298</v>
      </c>
      <c r="G65" s="2075" t="s">
        <v>2031</v>
      </c>
      <c r="H65" s="2085">
        <f t="shared" ca="1" si="13"/>
        <v>0</v>
      </c>
      <c r="I65" s="2069" t="s">
        <v>1650</v>
      </c>
      <c r="J65" s="2087" t="s">
        <v>1708</v>
      </c>
    </row>
    <row r="66" spans="1:10">
      <c r="A66" s="2006">
        <f t="shared" si="0"/>
        <v>51</v>
      </c>
      <c r="B66" s="2007" t="str">
        <f>'Att 5 - Cost Support'!C275</f>
        <v>(561.5) Reliability, Planning and Standards Development</v>
      </c>
      <c r="C66" s="2004" t="str">
        <f t="shared" si="10"/>
        <v>FERC 561.5 - Reliability, plan, standards</v>
      </c>
      <c r="D66" s="2079">
        <f t="shared" si="11"/>
        <v>1968543</v>
      </c>
      <c r="E66" s="2078">
        <f t="shared" si="12"/>
        <v>1962101</v>
      </c>
      <c r="F66" s="2022" t="s">
        <v>300</v>
      </c>
      <c r="G66" s="2075" t="s">
        <v>1712</v>
      </c>
      <c r="H66" s="2085">
        <f ca="1">(INDIRECT(RIGHT(G66,LEN(G66)-1))-E66)</f>
        <v>0</v>
      </c>
      <c r="I66" s="2069" t="s">
        <v>1650</v>
      </c>
      <c r="J66" s="2087" t="s">
        <v>1708</v>
      </c>
    </row>
    <row r="67" spans="1:10">
      <c r="A67" s="2006">
        <f t="shared" si="0"/>
        <v>52</v>
      </c>
      <c r="B67" s="2007" t="str">
        <f>'Att 5 - Cost Support'!C278</f>
        <v xml:space="preserve">     Less: Account 565</v>
      </c>
      <c r="C67" s="2004" t="str">
        <f t="shared" si="10"/>
        <v>FERC 565  - Transmission by others</v>
      </c>
      <c r="D67" s="2079">
        <f t="shared" si="11"/>
        <v>135021597</v>
      </c>
      <c r="E67" s="2078">
        <f t="shared" si="12"/>
        <v>145825268</v>
      </c>
      <c r="F67" s="2022" t="s">
        <v>1151</v>
      </c>
      <c r="G67" s="2075" t="s">
        <v>2029</v>
      </c>
      <c r="H67" s="2085">
        <f t="shared" ca="1" si="13"/>
        <v>0</v>
      </c>
      <c r="I67" s="2069" t="s">
        <v>1650</v>
      </c>
      <c r="J67" s="2087" t="s">
        <v>1708</v>
      </c>
    </row>
    <row r="68" spans="1:10">
      <c r="A68" s="2006">
        <f t="shared" si="0"/>
        <v>53</v>
      </c>
      <c r="B68" s="2007"/>
      <c r="C68" s="2004"/>
      <c r="D68" s="2011"/>
      <c r="E68" s="2012"/>
      <c r="F68" s="2016"/>
      <c r="G68" s="2025"/>
      <c r="H68" s="2023"/>
      <c r="I68" s="2016"/>
      <c r="J68" s="2017"/>
    </row>
    <row r="69" spans="1:10">
      <c r="A69" s="2006">
        <f t="shared" si="0"/>
        <v>54</v>
      </c>
      <c r="B69" s="2007" t="str">
        <f>'Att 5 - Cost Support'!C267</f>
        <v>Transmission O&amp;M</v>
      </c>
      <c r="C69" s="2004" t="str">
        <f t="shared" ref="C69:C82" si="14">INDEX(FF1_INPUT,MATCH($F69,INDEX(FF1_INPUT,,6),0),MATCH(C$15,FF1_INPUT_columns,0))</f>
        <v>Total Transmission Expenses</v>
      </c>
      <c r="D69" s="2079">
        <f t="shared" ref="D69:D82" si="15">INDEX(FF1_INPUT,MATCH($F69,INDEX(FF1_INPUT,,6),0),MATCH(data_year-1,FF1_INPUT_columns,0))</f>
        <v>206505944</v>
      </c>
      <c r="E69" s="2078">
        <f t="shared" ref="E69:E82" si="16">INDEX(FF1_INPUT,MATCH($F69,INDEX(FF1_INPUT,,6),0),MATCH(data_year,FF1_INPUT_columns,0))</f>
        <v>218366626</v>
      </c>
      <c r="F69" s="2022" t="s">
        <v>1147</v>
      </c>
      <c r="G69" s="2075" t="s">
        <v>1707</v>
      </c>
      <c r="H69" s="2085">
        <f t="shared" ca="1" si="13"/>
        <v>0</v>
      </c>
      <c r="I69" s="2069" t="s">
        <v>1650</v>
      </c>
      <c r="J69" s="2087" t="s">
        <v>1708</v>
      </c>
    </row>
    <row r="70" spans="1:10">
      <c r="A70" s="2006">
        <f t="shared" si="0"/>
        <v>55</v>
      </c>
      <c r="B70" s="2007" t="str">
        <f>'Att 5 - Cost Support'!$C$223</f>
        <v>Property Insurance Account 924</v>
      </c>
      <c r="C70" s="2004" t="str">
        <f t="shared" si="14"/>
        <v>FERC 924 - Property Insurance</v>
      </c>
      <c r="D70" s="2079">
        <f t="shared" si="15"/>
        <v>5203260</v>
      </c>
      <c r="E70" s="2078">
        <f t="shared" si="16"/>
        <v>4737084</v>
      </c>
      <c r="F70" s="2022" t="s">
        <v>92</v>
      </c>
      <c r="G70" s="2075" t="s">
        <v>2032</v>
      </c>
      <c r="H70" s="2085">
        <f t="shared" ca="1" si="13"/>
        <v>0</v>
      </c>
      <c r="I70" s="2069" t="s">
        <v>1650</v>
      </c>
      <c r="J70" s="2087" t="s">
        <v>1713</v>
      </c>
    </row>
    <row r="71" spans="1:10">
      <c r="A71" s="2006">
        <f t="shared" si="0"/>
        <v>56</v>
      </c>
      <c r="B71" s="2007" t="str">
        <f>'Appendix A'!$C$122</f>
        <v xml:space="preserve">    Less Regulatory Commission Exp Account 928</v>
      </c>
      <c r="C71" s="2004" t="str">
        <f t="shared" si="14"/>
        <v>FERC 928 - Regulatory Commission Expenses</v>
      </c>
      <c r="D71" s="2079">
        <f t="shared" si="15"/>
        <v>22484361</v>
      </c>
      <c r="E71" s="2078">
        <f t="shared" si="16"/>
        <v>25605836</v>
      </c>
      <c r="F71" s="2022" t="s">
        <v>95</v>
      </c>
      <c r="G71" s="2075" t="s">
        <v>1714</v>
      </c>
      <c r="H71" s="2085">
        <f t="shared" ca="1" si="13"/>
        <v>0</v>
      </c>
      <c r="I71" s="2069" t="s">
        <v>360</v>
      </c>
      <c r="J71" s="2087" t="str">
        <f ca="1">"Line "&amp;OFFSET(INDIRECT(RIGHT(G71,LEN(G71)-1)),0,-7)</f>
        <v>Line 61</v>
      </c>
    </row>
    <row r="72" spans="1:10">
      <c r="A72" s="2006">
        <f t="shared" si="0"/>
        <v>57</v>
      </c>
      <c r="B72" s="2007" t="str">
        <f>'Appendix A'!$C$123</f>
        <v xml:space="preserve">    Less General Advertising Exp Account 930.1</v>
      </c>
      <c r="C72" s="2004" t="str">
        <f t="shared" si="14"/>
        <v>FERC 930.1 - General Advertising Expenses</v>
      </c>
      <c r="D72" s="2079">
        <f t="shared" si="15"/>
        <v>580</v>
      </c>
      <c r="E72" s="2078">
        <f t="shared" si="16"/>
        <v>55028</v>
      </c>
      <c r="F72" s="2022" t="s">
        <v>97</v>
      </c>
      <c r="G72" s="2075" t="s">
        <v>2283</v>
      </c>
      <c r="H72" s="2085">
        <f t="shared" ca="1" si="13"/>
        <v>0</v>
      </c>
      <c r="I72" s="2069" t="s">
        <v>360</v>
      </c>
      <c r="J72" s="2087" t="str">
        <f ca="1">"Line "&amp;OFFSET(INDIRECT(RIGHT(G72,LEN(G72)-1)),0,-7)</f>
        <v>Line 62</v>
      </c>
    </row>
    <row r="73" spans="1:10">
      <c r="A73" s="2006">
        <f t="shared" si="0"/>
        <v>58</v>
      </c>
      <c r="B73" s="2007" t="str">
        <f>'Appendix A'!C118</f>
        <v>Total A&amp;G</v>
      </c>
      <c r="C73" s="2004" t="str">
        <f t="shared" si="14"/>
        <v>Total A&amp;G Expenses</v>
      </c>
      <c r="D73" s="2079">
        <f t="shared" si="15"/>
        <v>130380347</v>
      </c>
      <c r="E73" s="2078">
        <f t="shared" si="16"/>
        <v>115628648</v>
      </c>
      <c r="F73" s="2022" t="s">
        <v>89</v>
      </c>
      <c r="G73" s="2075" t="s">
        <v>2284</v>
      </c>
      <c r="H73" s="2085">
        <f t="shared" ca="1" si="13"/>
        <v>0</v>
      </c>
      <c r="I73" s="2069" t="s">
        <v>360</v>
      </c>
      <c r="J73" s="2087" t="str">
        <f ca="1">"Line "&amp;OFFSET(INDIRECT(RIGHT(G73,LEN(G73)-1)),0,-7)</f>
        <v>Line 57</v>
      </c>
    </row>
    <row r="74" spans="1:10">
      <c r="A74" s="2006">
        <f t="shared" si="0"/>
        <v>59</v>
      </c>
      <c r="B74" s="2007" t="str">
        <f>'Att 5 - Cost Support'!C313</f>
        <v>Amortization of limited term electric plant (404)</v>
      </c>
      <c r="C74" s="2004" t="str">
        <f t="shared" si="14"/>
        <v>Amort - Intangible, ltd term (FERC 404)</v>
      </c>
      <c r="D74" s="2079">
        <f t="shared" si="15"/>
        <v>45503823</v>
      </c>
      <c r="E74" s="2078">
        <f t="shared" si="16"/>
        <v>48671914</v>
      </c>
      <c r="F74" s="2022" t="s">
        <v>1164</v>
      </c>
      <c r="G74" s="2075" t="s">
        <v>2033</v>
      </c>
      <c r="H74" s="2085">
        <f t="shared" ca="1" si="13"/>
        <v>0</v>
      </c>
      <c r="I74" s="2069" t="s">
        <v>1650</v>
      </c>
      <c r="J74" s="2087" t="s">
        <v>1715</v>
      </c>
    </row>
    <row r="75" spans="1:10">
      <c r="A75" s="2006">
        <f t="shared" si="0"/>
        <v>60</v>
      </c>
      <c r="B75" s="2007" t="str">
        <f>'Att 5 - Cost Support'!C314</f>
        <v>Amortization of other electric plant (405)</v>
      </c>
      <c r="C75" s="2004" t="str">
        <f t="shared" si="14"/>
        <v>Amort exp - Intangible (FERC 405)</v>
      </c>
      <c r="D75" s="2079">
        <f t="shared" si="15"/>
        <v>0</v>
      </c>
      <c r="E75" s="2078">
        <f t="shared" si="16"/>
        <v>0</v>
      </c>
      <c r="F75" s="2022" t="s">
        <v>1166</v>
      </c>
      <c r="G75" s="2075" t="s">
        <v>2034</v>
      </c>
      <c r="H75" s="2085">
        <f t="shared" ca="1" si="13"/>
        <v>0</v>
      </c>
      <c r="I75" s="2069" t="s">
        <v>1650</v>
      </c>
      <c r="J75" s="2087" t="s">
        <v>1715</v>
      </c>
    </row>
    <row r="76" spans="1:10">
      <c r="A76" s="2006">
        <f t="shared" si="0"/>
        <v>61</v>
      </c>
      <c r="B76" s="2007" t="str">
        <f>'Att 5 - Cost Support'!C303</f>
        <v>Depreciation expense (403)</v>
      </c>
      <c r="C76" s="2004" t="str">
        <f t="shared" si="14"/>
        <v>Dep exp - Transmission (FERC 403)</v>
      </c>
      <c r="D76" s="2079">
        <f t="shared" si="15"/>
        <v>109403638</v>
      </c>
      <c r="E76" s="2078">
        <f t="shared" si="16"/>
        <v>112507659</v>
      </c>
      <c r="F76" s="2022" t="s">
        <v>1158</v>
      </c>
      <c r="G76" s="2075" t="s">
        <v>2035</v>
      </c>
      <c r="H76" s="2085">
        <f t="shared" ca="1" si="13"/>
        <v>0</v>
      </c>
      <c r="I76" s="2069" t="s">
        <v>1650</v>
      </c>
      <c r="J76" s="2087" t="s">
        <v>1715</v>
      </c>
    </row>
    <row r="77" spans="1:10">
      <c r="A77" s="2006">
        <f t="shared" si="0"/>
        <v>62</v>
      </c>
      <c r="B77" s="2007" t="str">
        <f>'Att 5 - Cost Support'!C304</f>
        <v>Amortization of limited term electric plant (404)</v>
      </c>
      <c r="C77" s="2004" t="str">
        <f t="shared" si="14"/>
        <v>Dep exp - Transmission, ltd term (FERC 404)</v>
      </c>
      <c r="D77" s="2079">
        <f t="shared" si="15"/>
        <v>0</v>
      </c>
      <c r="E77" s="2078">
        <f t="shared" si="16"/>
        <v>0</v>
      </c>
      <c r="F77" s="2022" t="s">
        <v>1160</v>
      </c>
      <c r="G77" s="2075" t="s">
        <v>2036</v>
      </c>
      <c r="H77" s="2085">
        <f t="shared" ca="1" si="13"/>
        <v>0</v>
      </c>
      <c r="I77" s="2069" t="s">
        <v>1650</v>
      </c>
      <c r="J77" s="2087" t="s">
        <v>1715</v>
      </c>
    </row>
    <row r="78" spans="1:10">
      <c r="A78" s="2006">
        <f t="shared" si="0"/>
        <v>63</v>
      </c>
      <c r="B78" s="2007" t="str">
        <f>'Att 5 - Cost Support'!C308</f>
        <v>Depreciation expense (403)</v>
      </c>
      <c r="C78" s="2004" t="str">
        <f t="shared" si="14"/>
        <v>Dep exp - General (FERC 403)</v>
      </c>
      <c r="D78" s="2079">
        <f t="shared" si="15"/>
        <v>41562941</v>
      </c>
      <c r="E78" s="2078">
        <f t="shared" si="16"/>
        <v>42404362</v>
      </c>
      <c r="F78" s="2022" t="s">
        <v>1161</v>
      </c>
      <c r="G78" s="2075" t="s">
        <v>2037</v>
      </c>
      <c r="H78" s="2085">
        <f t="shared" ca="1" si="13"/>
        <v>0</v>
      </c>
      <c r="I78" s="2069" t="s">
        <v>1650</v>
      </c>
      <c r="J78" s="2087" t="s">
        <v>1715</v>
      </c>
    </row>
    <row r="79" spans="1:10">
      <c r="A79" s="2006">
        <f t="shared" si="0"/>
        <v>64</v>
      </c>
      <c r="B79" s="2007" t="str">
        <f>'Att 5 - Cost Support'!C309</f>
        <v>Amortization of limited term electric plant (404)</v>
      </c>
      <c r="C79" s="2004" t="str">
        <f t="shared" si="14"/>
        <v>Dep exp - General, ltd term (FERC 404)</v>
      </c>
      <c r="D79" s="2079">
        <f t="shared" si="15"/>
        <v>1067414</v>
      </c>
      <c r="E79" s="2078">
        <f t="shared" si="16"/>
        <v>706273</v>
      </c>
      <c r="F79" s="2022" t="s">
        <v>1162</v>
      </c>
      <c r="G79" s="2075" t="s">
        <v>2038</v>
      </c>
      <c r="H79" s="2085">
        <f t="shared" ca="1" si="13"/>
        <v>0</v>
      </c>
      <c r="I79" s="2069" t="s">
        <v>1650</v>
      </c>
      <c r="J79" s="2087" t="s">
        <v>1715</v>
      </c>
    </row>
    <row r="80" spans="1:10">
      <c r="A80" s="2006">
        <f t="shared" si="0"/>
        <v>65</v>
      </c>
      <c r="B80" s="2007" t="str">
        <f>'Appendix A'!$C$12</f>
        <v>Transmission Wages Expense</v>
      </c>
      <c r="C80" s="2004" t="str">
        <f t="shared" si="14"/>
        <v>Transmisison wages and salaries</v>
      </c>
      <c r="D80" s="2078">
        <f t="shared" si="15"/>
        <v>26690861</v>
      </c>
      <c r="E80" s="2078">
        <f t="shared" si="16"/>
        <v>26859544</v>
      </c>
      <c r="F80" s="2022" t="s">
        <v>16</v>
      </c>
      <c r="G80" s="2075" t="s">
        <v>1716</v>
      </c>
      <c r="H80" s="2085">
        <f t="shared" ca="1" si="13"/>
        <v>0</v>
      </c>
      <c r="I80" s="2069" t="s">
        <v>360</v>
      </c>
      <c r="J80" s="2087" t="str">
        <f ca="1">"Line "&amp;OFFSET(INDIRECT(RIGHT(G80,LEN(G80)-1)),0,-7)</f>
        <v>Line 1</v>
      </c>
    </row>
    <row r="81" spans="1:11">
      <c r="A81" s="2006">
        <f t="shared" si="0"/>
        <v>66</v>
      </c>
      <c r="B81" s="2007" t="str">
        <f>'Appendix A'!$C$14</f>
        <v>Total Wages Expense</v>
      </c>
      <c r="C81" s="2004" t="str">
        <f t="shared" si="14"/>
        <v>Total O&amp;M salaries</v>
      </c>
      <c r="D81" s="2078">
        <f t="shared" si="15"/>
        <v>351120432</v>
      </c>
      <c r="E81" s="2078">
        <f t="shared" si="16"/>
        <v>362000992</v>
      </c>
      <c r="F81" s="2022" t="s">
        <v>18</v>
      </c>
      <c r="G81" s="2075" t="s">
        <v>1717</v>
      </c>
      <c r="H81" s="2085">
        <f ca="1">(INDIRECT(RIGHT(G81,LEN(G81)-1))-E81)</f>
        <v>0</v>
      </c>
      <c r="I81" s="2069" t="s">
        <v>360</v>
      </c>
      <c r="J81" s="2087" t="str">
        <f ca="1">"Line "&amp;OFFSET(INDIRECT(RIGHT(G81,LEN(G81)-1)),0,-7)</f>
        <v>Line 2</v>
      </c>
    </row>
    <row r="82" spans="1:11">
      <c r="A82" s="2006">
        <f t="shared" ref="A82" si="17">A81+1</f>
        <v>67</v>
      </c>
      <c r="B82" s="2007" t="str">
        <f>'Appendix A'!$C$15</f>
        <v>Less A&amp;G Wages Expense</v>
      </c>
      <c r="C82" s="2004" t="str">
        <f t="shared" si="14"/>
        <v>A&amp;G wages and salaries</v>
      </c>
      <c r="D82" s="2078">
        <f t="shared" si="15"/>
        <v>43863713</v>
      </c>
      <c r="E82" s="2078">
        <f t="shared" si="16"/>
        <v>42795683</v>
      </c>
      <c r="F82" s="2022" t="s">
        <v>20</v>
      </c>
      <c r="G82" s="2075" t="s">
        <v>1718</v>
      </c>
      <c r="H82" s="2085">
        <f ca="1">(INDIRECT(RIGHT(G82,LEN(G82)-1))-E82)</f>
        <v>0</v>
      </c>
      <c r="I82" s="2069" t="s">
        <v>360</v>
      </c>
      <c r="J82" s="2087" t="str">
        <f ca="1">"Line "&amp;OFFSET(INDIRECT(RIGHT(G82,LEN(G82)-1)),0,-7)</f>
        <v>Line 3</v>
      </c>
    </row>
    <row r="83" spans="1:11">
      <c r="A83" s="1280"/>
      <c r="D83" s="2026"/>
      <c r="E83" s="2026"/>
      <c r="F83" s="1281"/>
      <c r="G83" s="2026"/>
      <c r="H83" s="2026"/>
      <c r="I83" s="1281"/>
    </row>
    <row r="84" spans="1:11">
      <c r="C84" s="803"/>
      <c r="D84" s="248"/>
      <c r="F84" s="1281"/>
      <c r="I84" s="1281"/>
    </row>
    <row r="85" spans="1:11" ht="15.75" thickBot="1">
      <c r="A85" s="1994" t="s">
        <v>1719</v>
      </c>
      <c r="D85" s="2026"/>
      <c r="E85" s="2026"/>
      <c r="F85" s="1281"/>
      <c r="G85" s="2026"/>
      <c r="H85" s="2026"/>
      <c r="I85" s="1281"/>
    </row>
    <row r="86" spans="1:11" ht="15.75" thickBot="1">
      <c r="A86" s="1979" t="s">
        <v>315</v>
      </c>
      <c r="B86" s="1980" t="s">
        <v>1615</v>
      </c>
      <c r="C86" s="2027" t="s">
        <v>1720</v>
      </c>
      <c r="D86" s="1981" t="s">
        <v>1721</v>
      </c>
      <c r="E86" s="1981" t="s">
        <v>1722</v>
      </c>
      <c r="F86" s="2028" t="s">
        <v>1015</v>
      </c>
      <c r="G86" s="2029"/>
      <c r="H86" s="2495" t="s">
        <v>6</v>
      </c>
      <c r="I86" s="2496"/>
      <c r="J86" s="803"/>
    </row>
    <row r="87" spans="1:11">
      <c r="A87" s="2000">
        <v>0</v>
      </c>
      <c r="B87" s="2030"/>
      <c r="C87" s="2031"/>
      <c r="D87" s="2032">
        <v>2018</v>
      </c>
      <c r="E87" s="2032">
        <v>2019</v>
      </c>
      <c r="F87" s="2000"/>
      <c r="G87" s="2000"/>
      <c r="H87" s="2000"/>
      <c r="I87" s="2000"/>
      <c r="J87" s="803"/>
    </row>
    <row r="88" spans="1:11" ht="25.5">
      <c r="A88" s="1991">
        <f ca="1">OFFSET(A88,-1,0)+1</f>
        <v>1</v>
      </c>
      <c r="B88" s="1989" t="s">
        <v>1723</v>
      </c>
      <c r="C88" s="2033" t="s">
        <v>1724</v>
      </c>
      <c r="D88" s="2034">
        <v>0</v>
      </c>
      <c r="E88" s="2034">
        <v>0</v>
      </c>
      <c r="F88" s="2488" t="s">
        <v>1514</v>
      </c>
      <c r="G88" s="2489"/>
      <c r="H88" s="2488"/>
      <c r="I88" s="2489"/>
      <c r="J88" s="803"/>
    </row>
    <row r="89" spans="1:11" ht="25.5">
      <c r="A89" s="1991">
        <f t="shared" ref="A89:A103" ca="1" si="18">OFFSET(A89,-1,0)+1</f>
        <v>2</v>
      </c>
      <c r="B89" s="1989" t="s">
        <v>1725</v>
      </c>
      <c r="C89" s="2033" t="s">
        <v>1726</v>
      </c>
      <c r="D89" s="2034">
        <v>986704.87999999989</v>
      </c>
      <c r="E89" s="2034">
        <v>2410364.63</v>
      </c>
      <c r="F89" s="2488" t="s">
        <v>1727</v>
      </c>
      <c r="G89" s="2489"/>
      <c r="H89" s="2488"/>
      <c r="I89" s="2489"/>
      <c r="J89" s="803"/>
    </row>
    <row r="90" spans="1:11" ht="25.5">
      <c r="A90" s="1991">
        <f t="shared" ca="1" si="18"/>
        <v>3</v>
      </c>
      <c r="B90" s="1989" t="s">
        <v>80</v>
      </c>
      <c r="C90" s="2033" t="s">
        <v>1728</v>
      </c>
      <c r="D90" s="2034">
        <v>19216247.690000001</v>
      </c>
      <c r="E90" s="2034">
        <v>88187062.270000011</v>
      </c>
      <c r="F90" s="2488" t="s">
        <v>1729</v>
      </c>
      <c r="G90" s="2489"/>
      <c r="H90" s="2488"/>
      <c r="I90" s="2489"/>
      <c r="J90" s="803"/>
    </row>
    <row r="91" spans="1:11" ht="25.5">
      <c r="A91" s="1991">
        <f t="shared" ca="1" si="18"/>
        <v>4</v>
      </c>
      <c r="B91" s="1989" t="s">
        <v>1730</v>
      </c>
      <c r="C91" s="2033" t="s">
        <v>1731</v>
      </c>
      <c r="D91" s="2035">
        <v>0.21</v>
      </c>
      <c r="E91" s="2035">
        <v>0.21</v>
      </c>
      <c r="F91" s="2488" t="s">
        <v>2021</v>
      </c>
      <c r="G91" s="2489"/>
      <c r="H91" s="2488"/>
      <c r="I91" s="2489"/>
      <c r="J91" s="803"/>
    </row>
    <row r="92" spans="1:11" ht="25.5">
      <c r="A92" s="1991">
        <f t="shared" ca="1" si="18"/>
        <v>5</v>
      </c>
      <c r="B92" s="1989" t="s">
        <v>1732</v>
      </c>
      <c r="C92" s="2033" t="s">
        <v>1733</v>
      </c>
      <c r="D92" s="2035">
        <v>4.5400000000000003E-2</v>
      </c>
      <c r="E92" s="2035">
        <v>4.5400000000000003E-2</v>
      </c>
      <c r="F92" s="2488" t="s">
        <v>2021</v>
      </c>
      <c r="G92" s="2489"/>
      <c r="H92" s="2488"/>
      <c r="I92" s="2489"/>
      <c r="J92" s="803"/>
    </row>
    <row r="93" spans="1:11">
      <c r="A93" s="1991">
        <f t="shared" ca="1" si="18"/>
        <v>6</v>
      </c>
      <c r="B93" s="1989" t="s">
        <v>1734</v>
      </c>
      <c r="C93" s="2033" t="s">
        <v>1735</v>
      </c>
      <c r="D93" s="2035">
        <v>0</v>
      </c>
      <c r="E93" s="2035">
        <v>0</v>
      </c>
      <c r="F93" s="2488" t="s">
        <v>2021</v>
      </c>
      <c r="G93" s="2489"/>
      <c r="H93" s="2488"/>
      <c r="I93" s="2489"/>
      <c r="J93" s="803"/>
    </row>
    <row r="94" spans="1:11" ht="25.5">
      <c r="A94" s="1991">
        <f t="shared" ca="1" si="18"/>
        <v>7</v>
      </c>
      <c r="B94" s="2036" t="s">
        <v>960</v>
      </c>
      <c r="C94" s="2033" t="s">
        <v>1736</v>
      </c>
      <c r="D94" s="2034">
        <v>3602574.13</v>
      </c>
      <c r="E94" s="2034">
        <v>3614077.59</v>
      </c>
      <c r="F94" s="2488" t="s">
        <v>1737</v>
      </c>
      <c r="G94" s="2489"/>
      <c r="H94" s="2488" t="s">
        <v>1738</v>
      </c>
      <c r="I94" s="2489"/>
      <c r="J94" s="803"/>
      <c r="K94" s="2037"/>
    </row>
    <row r="95" spans="1:11" ht="25.5">
      <c r="A95" s="1991">
        <f t="shared" ca="1" si="18"/>
        <v>8</v>
      </c>
      <c r="B95" s="2036" t="s">
        <v>1739</v>
      </c>
      <c r="C95" s="2033" t="s">
        <v>1740</v>
      </c>
      <c r="D95" s="2034">
        <v>1380032</v>
      </c>
      <c r="E95" s="2034">
        <v>212836</v>
      </c>
      <c r="F95" s="2488" t="s">
        <v>2026</v>
      </c>
      <c r="G95" s="2489"/>
      <c r="H95" s="2488" t="s">
        <v>1741</v>
      </c>
      <c r="I95" s="2489"/>
      <c r="J95" s="803"/>
      <c r="K95" s="2037"/>
    </row>
    <row r="96" spans="1:11" ht="25.5">
      <c r="A96" s="1991">
        <f t="shared" ca="1" si="18"/>
        <v>9</v>
      </c>
      <c r="B96" s="2036" t="s">
        <v>1742</v>
      </c>
      <c r="C96" s="2033" t="s">
        <v>1740</v>
      </c>
      <c r="D96" s="2034">
        <v>1659764</v>
      </c>
      <c r="E96" s="2034">
        <v>400637</v>
      </c>
      <c r="F96" s="2488" t="s">
        <v>2020</v>
      </c>
      <c r="G96" s="2489"/>
      <c r="H96" s="2488" t="s">
        <v>1743</v>
      </c>
      <c r="I96" s="2489"/>
      <c r="J96" s="803"/>
      <c r="K96" s="2037"/>
    </row>
    <row r="97" spans="1:11" ht="25.5">
      <c r="A97" s="1991">
        <f t="shared" ca="1" si="18"/>
        <v>10</v>
      </c>
      <c r="B97" s="2036" t="s">
        <v>1744</v>
      </c>
      <c r="C97" s="2033" t="s">
        <v>1740</v>
      </c>
      <c r="D97" s="2034">
        <v>33699.325703001494</v>
      </c>
      <c r="E97" s="2034">
        <v>27691.978509566907</v>
      </c>
      <c r="F97" s="2488" t="s">
        <v>2020</v>
      </c>
      <c r="G97" s="2489"/>
      <c r="H97" s="2488" t="s">
        <v>1745</v>
      </c>
      <c r="I97" s="2489"/>
      <c r="J97" s="803"/>
      <c r="K97" s="2037"/>
    </row>
    <row r="98" spans="1:11" ht="25.5">
      <c r="A98" s="1991">
        <f t="shared" ca="1" si="18"/>
        <v>11</v>
      </c>
      <c r="B98" s="2038" t="s">
        <v>1746</v>
      </c>
      <c r="C98" s="2033" t="s">
        <v>1747</v>
      </c>
      <c r="D98" s="2034">
        <v>-158514.01</v>
      </c>
      <c r="E98" s="2034">
        <v>-144926.04999999999</v>
      </c>
      <c r="F98" s="2488" t="s">
        <v>1847</v>
      </c>
      <c r="G98" s="2489"/>
      <c r="H98" s="2488" t="s">
        <v>1748</v>
      </c>
      <c r="I98" s="2489"/>
      <c r="J98" s="803"/>
      <c r="K98" s="2039"/>
    </row>
    <row r="99" spans="1:11" ht="42" customHeight="1">
      <c r="A99" s="1991">
        <f t="shared" ca="1" si="18"/>
        <v>12</v>
      </c>
      <c r="B99" s="2038" t="s">
        <v>1749</v>
      </c>
      <c r="C99" s="2033" t="s">
        <v>1747</v>
      </c>
      <c r="D99" s="2034">
        <v>0</v>
      </c>
      <c r="E99" s="2034">
        <v>0</v>
      </c>
      <c r="F99" s="2488" t="s">
        <v>1750</v>
      </c>
      <c r="G99" s="2489"/>
      <c r="H99" s="2488" t="s">
        <v>1751</v>
      </c>
      <c r="I99" s="2489"/>
      <c r="J99" s="803"/>
      <c r="K99" s="2039"/>
    </row>
    <row r="100" spans="1:11" ht="42" customHeight="1">
      <c r="A100" s="1991">
        <v>13</v>
      </c>
      <c r="B100" s="1989" t="s">
        <v>2039</v>
      </c>
      <c r="C100" s="2033" t="s">
        <v>1747</v>
      </c>
      <c r="D100" s="2034">
        <v>-197828.49</v>
      </c>
      <c r="E100" s="2034">
        <v>-185814.29</v>
      </c>
      <c r="F100" s="2488" t="s">
        <v>2040</v>
      </c>
      <c r="G100" s="2489"/>
      <c r="H100" s="2488" t="s">
        <v>2041</v>
      </c>
      <c r="I100" s="2489"/>
      <c r="J100" s="803"/>
      <c r="K100" s="2039"/>
    </row>
    <row r="101" spans="1:11" ht="38.25">
      <c r="A101" s="1991">
        <f t="shared" ca="1" si="18"/>
        <v>14</v>
      </c>
      <c r="B101" s="2040" t="s">
        <v>1752</v>
      </c>
      <c r="C101" s="2033" t="s">
        <v>1753</v>
      </c>
      <c r="D101" s="2034">
        <v>738458.11</v>
      </c>
      <c r="E101" s="2034">
        <v>738458.11</v>
      </c>
      <c r="F101" s="2488" t="s">
        <v>1754</v>
      </c>
      <c r="G101" s="2489"/>
      <c r="H101" s="2488" t="s">
        <v>1755</v>
      </c>
      <c r="I101" s="2489"/>
      <c r="J101" s="803"/>
      <c r="K101" s="2037"/>
    </row>
    <row r="102" spans="1:11" ht="38.25">
      <c r="A102" s="1991">
        <f t="shared" ca="1" si="18"/>
        <v>15</v>
      </c>
      <c r="B102" s="2040" t="s">
        <v>1756</v>
      </c>
      <c r="C102" s="2033" t="s">
        <v>1753</v>
      </c>
      <c r="D102" s="2034">
        <v>216347.30524480899</v>
      </c>
      <c r="E102" s="2034">
        <v>123728.92085676301</v>
      </c>
      <c r="F102" s="2488" t="s">
        <v>1757</v>
      </c>
      <c r="G102" s="2489"/>
      <c r="H102" s="2488" t="s">
        <v>1758</v>
      </c>
      <c r="I102" s="2489"/>
    </row>
    <row r="103" spans="1:11" ht="38.25">
      <c r="A103" s="1991">
        <f t="shared" ca="1" si="18"/>
        <v>16</v>
      </c>
      <c r="B103" s="2038" t="s">
        <v>1759</v>
      </c>
      <c r="C103" s="2033" t="s">
        <v>1753</v>
      </c>
      <c r="D103" s="2034">
        <v>76086340</v>
      </c>
      <c r="E103" s="2034">
        <v>76584481.894250005</v>
      </c>
      <c r="F103" s="2488" t="s">
        <v>2257</v>
      </c>
      <c r="G103" s="2489"/>
      <c r="H103" s="2488" t="s">
        <v>1760</v>
      </c>
      <c r="I103" s="2489"/>
      <c r="J103" s="803"/>
      <c r="K103" s="2037"/>
    </row>
    <row r="104" spans="1:11">
      <c r="F104" s="1281"/>
      <c r="I104" s="1281"/>
      <c r="J104" s="803"/>
    </row>
    <row r="105" spans="1:11">
      <c r="A105" s="2041"/>
      <c r="F105" s="1281"/>
      <c r="I105" s="1281"/>
      <c r="J105" s="803"/>
    </row>
    <row r="106" spans="1:11">
      <c r="F106" s="1281"/>
      <c r="I106" s="1281"/>
    </row>
    <row r="107" spans="1:11">
      <c r="B107" s="2042"/>
      <c r="C107" s="2042"/>
      <c r="D107" s="1616"/>
      <c r="E107" s="1616"/>
      <c r="F107" s="2043"/>
      <c r="G107" s="1616"/>
      <c r="H107" s="1616"/>
      <c r="I107" s="2044"/>
    </row>
    <row r="108" spans="1:11">
      <c r="B108" s="2042"/>
      <c r="C108" s="2042"/>
      <c r="D108" s="1616"/>
      <c r="E108" s="1616"/>
      <c r="F108" s="2043"/>
      <c r="G108" s="1616"/>
      <c r="H108" s="1616"/>
      <c r="I108" s="2044"/>
    </row>
    <row r="109" spans="1:11">
      <c r="B109" s="2042"/>
      <c r="C109" s="2042"/>
      <c r="D109" s="1616"/>
      <c r="E109" s="1616"/>
      <c r="F109" s="2043"/>
      <c r="G109" s="1616"/>
      <c r="H109" s="1616"/>
      <c r="I109" s="2044"/>
    </row>
    <row r="110" spans="1:11">
      <c r="F110" s="1281"/>
      <c r="I110" s="1281"/>
    </row>
    <row r="111" spans="1:11">
      <c r="F111" s="1281"/>
      <c r="I111" s="1281"/>
    </row>
    <row r="112" spans="1:11">
      <c r="F112" s="1281"/>
      <c r="I112" s="1281"/>
    </row>
    <row r="113" spans="6:9">
      <c r="F113" s="1281"/>
      <c r="I113" s="1281"/>
    </row>
    <row r="114" spans="6:9">
      <c r="F114" s="1281"/>
      <c r="I114" s="1281"/>
    </row>
    <row r="115" spans="6:9">
      <c r="F115" s="1281"/>
      <c r="I115" s="1281"/>
    </row>
    <row r="116" spans="6:9">
      <c r="F116" s="1281"/>
      <c r="I116" s="1281"/>
    </row>
    <row r="117" spans="6:9">
      <c r="F117" s="1281"/>
      <c r="I117" s="1281"/>
    </row>
    <row r="118" spans="6:9">
      <c r="F118" s="1281"/>
      <c r="I118" s="1281"/>
    </row>
    <row r="119" spans="6:9">
      <c r="F119" s="1281"/>
      <c r="I119" s="1281"/>
    </row>
    <row r="120" spans="6:9">
      <c r="F120" s="1281"/>
      <c r="I120" s="1281"/>
    </row>
    <row r="121" spans="6:9">
      <c r="F121" s="1281"/>
      <c r="I121" s="1281"/>
    </row>
    <row r="122" spans="6:9">
      <c r="F122" s="1281"/>
      <c r="I122" s="1281"/>
    </row>
    <row r="123" spans="6:9">
      <c r="F123" s="1281"/>
      <c r="I123" s="1281"/>
    </row>
    <row r="124" spans="6:9">
      <c r="F124" s="1281"/>
      <c r="I124" s="1281"/>
    </row>
    <row r="125" spans="6:9">
      <c r="F125" s="1281"/>
      <c r="I125" s="1281"/>
    </row>
    <row r="126" spans="6:9">
      <c r="F126" s="1281"/>
      <c r="I126" s="1281"/>
    </row>
    <row r="127" spans="6:9">
      <c r="F127" s="1281"/>
      <c r="I127" s="1281"/>
    </row>
    <row r="128" spans="6:9">
      <c r="F128" s="1281"/>
      <c r="I128" s="1281"/>
    </row>
    <row r="129" spans="6:9">
      <c r="F129" s="1281"/>
      <c r="I129" s="1281"/>
    </row>
    <row r="130" spans="6:9">
      <c r="F130" s="1281"/>
      <c r="I130" s="1281"/>
    </row>
    <row r="131" spans="6:9">
      <c r="F131" s="1281"/>
      <c r="I131" s="1281"/>
    </row>
    <row r="132" spans="6:9">
      <c r="F132" s="1281"/>
      <c r="I132" s="1281"/>
    </row>
    <row r="133" spans="6:9">
      <c r="F133" s="1281"/>
      <c r="I133" s="1281"/>
    </row>
    <row r="134" spans="6:9">
      <c r="F134" s="1281"/>
      <c r="I134" s="1281"/>
    </row>
    <row r="135" spans="6:9">
      <c r="F135" s="1281"/>
      <c r="I135" s="1281"/>
    </row>
    <row r="136" spans="6:9">
      <c r="F136" s="1281"/>
      <c r="I136" s="1281"/>
    </row>
    <row r="137" spans="6:9">
      <c r="F137" s="1281"/>
      <c r="I137" s="1281"/>
    </row>
    <row r="138" spans="6:9">
      <c r="F138" s="1281"/>
      <c r="I138" s="1281"/>
    </row>
    <row r="139" spans="6:9">
      <c r="F139" s="1281"/>
      <c r="I139" s="1281"/>
    </row>
    <row r="140" spans="6:9">
      <c r="F140" s="1281"/>
      <c r="I140" s="1281"/>
    </row>
    <row r="141" spans="6:9">
      <c r="F141" s="1281"/>
      <c r="I141" s="1281"/>
    </row>
    <row r="142" spans="6:9">
      <c r="F142" s="1281"/>
      <c r="I142" s="1281"/>
    </row>
  </sheetData>
  <mergeCells count="35">
    <mergeCell ref="F89:G89"/>
    <mergeCell ref="H89:I89"/>
    <mergeCell ref="A1:J1"/>
    <mergeCell ref="H33:H34"/>
    <mergeCell ref="H86:I86"/>
    <mergeCell ref="F88:G88"/>
    <mergeCell ref="H88:I88"/>
    <mergeCell ref="F90:G90"/>
    <mergeCell ref="H90:I90"/>
    <mergeCell ref="F91:G91"/>
    <mergeCell ref="H91:I91"/>
    <mergeCell ref="F92:G92"/>
    <mergeCell ref="H92:I92"/>
    <mergeCell ref="F93:G93"/>
    <mergeCell ref="H93:I93"/>
    <mergeCell ref="F94:G94"/>
    <mergeCell ref="H94:I94"/>
    <mergeCell ref="F95:G95"/>
    <mergeCell ref="H95:I95"/>
    <mergeCell ref="F96:G96"/>
    <mergeCell ref="H96:I96"/>
    <mergeCell ref="F97:G97"/>
    <mergeCell ref="H97:I97"/>
    <mergeCell ref="F98:G98"/>
    <mergeCell ref="H98:I98"/>
    <mergeCell ref="F103:G103"/>
    <mergeCell ref="H103:I103"/>
    <mergeCell ref="F99:G99"/>
    <mergeCell ref="H99:I99"/>
    <mergeCell ref="F101:G101"/>
    <mergeCell ref="H101:I101"/>
    <mergeCell ref="F102:G102"/>
    <mergeCell ref="H102:I102"/>
    <mergeCell ref="F100:G100"/>
    <mergeCell ref="H100:I100"/>
  </mergeCells>
  <pageMargins left="0.7" right="0.7" top="0.75" bottom="0.75" header="0.3" footer="0.3"/>
  <pageSetup orientation="portrait"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A395C7"/>
  </sheetPr>
  <dimension ref="A1:O67"/>
  <sheetViews>
    <sheetView workbookViewId="0">
      <selection activeCell="J5" sqref="J5"/>
    </sheetView>
  </sheetViews>
  <sheetFormatPr defaultRowHeight="15"/>
  <cols>
    <col min="1" max="1" width="2.85546875" customWidth="1"/>
    <col min="2" max="2" width="14" customWidth="1"/>
    <col min="3" max="3" width="42" customWidth="1"/>
    <col min="4" max="7" width="14" customWidth="1"/>
    <col min="8" max="8" width="17" customWidth="1"/>
    <col min="9" max="9" width="15.140625" customWidth="1"/>
    <col min="10" max="11" width="15.42578125" customWidth="1"/>
  </cols>
  <sheetData>
    <row r="1" spans="1:15">
      <c r="A1" s="1692"/>
      <c r="B1" s="1692"/>
      <c r="C1" s="1692"/>
      <c r="D1" s="1692"/>
      <c r="E1" s="1692"/>
      <c r="F1" s="1692"/>
      <c r="G1" s="1692"/>
      <c r="H1" s="1692"/>
      <c r="I1" s="1692"/>
      <c r="J1" s="1692"/>
      <c r="K1" s="1692"/>
      <c r="L1" s="1692"/>
      <c r="M1" s="1692"/>
      <c r="N1" s="1692"/>
      <c r="O1" s="1692"/>
    </row>
    <row r="2" spans="1:15">
      <c r="A2" s="1692"/>
      <c r="B2" s="2045"/>
      <c r="C2" s="2045"/>
      <c r="D2" s="305"/>
      <c r="E2" s="305"/>
      <c r="F2" s="2046"/>
      <c r="G2" s="2047"/>
      <c r="H2" s="803"/>
      <c r="I2" s="803"/>
      <c r="J2" s="803"/>
      <c r="K2" s="803"/>
      <c r="L2" s="803"/>
      <c r="M2" s="803"/>
      <c r="N2" s="803"/>
      <c r="O2" s="803"/>
    </row>
    <row r="3" spans="1:15">
      <c r="A3" s="1692"/>
      <c r="B3" s="2048" t="s">
        <v>1761</v>
      </c>
      <c r="C3" s="2048"/>
      <c r="D3" s="2048"/>
      <c r="E3" s="2048"/>
      <c r="F3" s="2048"/>
      <c r="G3" s="2048"/>
      <c r="H3" s="2048"/>
      <c r="I3" s="2048"/>
      <c r="J3" s="2048"/>
      <c r="K3" s="2048"/>
      <c r="L3" s="2049"/>
      <c r="M3" s="2049"/>
      <c r="N3" s="2049"/>
      <c r="O3" s="2049"/>
    </row>
    <row r="4" spans="1:15">
      <c r="A4" s="2050"/>
      <c r="B4" s="2050"/>
      <c r="C4" s="2050"/>
      <c r="D4" s="2050"/>
      <c r="E4" s="2050"/>
      <c r="F4" s="2050"/>
      <c r="G4" s="2050"/>
      <c r="H4" s="2050"/>
      <c r="I4" s="2050"/>
      <c r="J4" s="2050"/>
      <c r="K4" s="2051"/>
      <c r="L4" s="2050"/>
      <c r="M4" s="2050"/>
      <c r="N4" s="2050"/>
      <c r="O4" s="2050"/>
    </row>
    <row r="5" spans="1:15">
      <c r="A5" s="2050"/>
      <c r="B5" s="2052" t="s">
        <v>1762</v>
      </c>
      <c r="C5" s="2053" t="s">
        <v>1640</v>
      </c>
      <c r="D5" s="2052" t="s">
        <v>1763</v>
      </c>
      <c r="E5" s="2052" t="s">
        <v>1764</v>
      </c>
      <c r="F5" s="2052" t="s">
        <v>1765</v>
      </c>
      <c r="G5" s="2052" t="s">
        <v>1766</v>
      </c>
      <c r="H5" s="2052" t="s">
        <v>1767</v>
      </c>
      <c r="I5" s="2052">
        <v>2017</v>
      </c>
      <c r="J5" s="2052">
        <v>2018</v>
      </c>
      <c r="K5" s="2052">
        <v>2019</v>
      </c>
      <c r="L5" s="2050"/>
      <c r="M5" s="2050"/>
      <c r="N5" s="2050"/>
      <c r="O5" s="2050"/>
    </row>
    <row r="6" spans="1:15">
      <c r="A6" s="2050"/>
      <c r="B6" s="2054">
        <v>1</v>
      </c>
      <c r="C6" s="2055" t="s">
        <v>1768</v>
      </c>
      <c r="D6" s="2054">
        <v>114</v>
      </c>
      <c r="E6" s="2054">
        <v>14</v>
      </c>
      <c r="F6" s="2056" t="s">
        <v>1769</v>
      </c>
      <c r="G6" s="2056" t="str">
        <f t="shared" ref="G6:G65" si="0">D6&amp;"."&amp;E6&amp;F6</f>
        <v>114.14c</v>
      </c>
      <c r="H6" s="2056" t="s">
        <v>1770</v>
      </c>
      <c r="I6" s="2057">
        <v>196653710</v>
      </c>
      <c r="J6" s="2057">
        <v>201255354</v>
      </c>
      <c r="K6" s="2057">
        <v>199137026</v>
      </c>
      <c r="L6" s="2050"/>
      <c r="M6" s="2050"/>
      <c r="N6" s="2050"/>
      <c r="O6" s="2050"/>
    </row>
    <row r="7" spans="1:15">
      <c r="A7" s="2050"/>
      <c r="B7" s="2054">
        <f>B6+1</f>
        <v>2</v>
      </c>
      <c r="C7" s="2055" t="s">
        <v>1771</v>
      </c>
      <c r="D7" s="2054">
        <v>114</v>
      </c>
      <c r="E7" s="2054">
        <v>19</v>
      </c>
      <c r="F7" s="2056" t="s">
        <v>1769</v>
      </c>
      <c r="G7" s="2056" t="str">
        <f t="shared" si="0"/>
        <v>114.19c</v>
      </c>
      <c r="H7" s="2056" t="s">
        <v>1770</v>
      </c>
      <c r="I7" s="2057">
        <v>-3698228</v>
      </c>
      <c r="J7" s="2057">
        <v>-3152015</v>
      </c>
      <c r="K7" s="2057">
        <v>-2738724</v>
      </c>
      <c r="L7" s="2050"/>
      <c r="M7" s="2050"/>
      <c r="N7" s="2050"/>
      <c r="O7" s="2050"/>
    </row>
    <row r="8" spans="1:15">
      <c r="A8" s="2050"/>
      <c r="B8" s="2054">
        <f t="shared" ref="B8:B66" si="1">B7+1</f>
        <v>3</v>
      </c>
      <c r="C8" s="2055" t="s">
        <v>1772</v>
      </c>
      <c r="D8" s="2054">
        <v>200</v>
      </c>
      <c r="E8" s="2054">
        <v>21</v>
      </c>
      <c r="F8" s="2056" t="s">
        <v>1769</v>
      </c>
      <c r="G8" s="2056" t="str">
        <f t="shared" si="0"/>
        <v>200.21c</v>
      </c>
      <c r="H8" s="2056" t="s">
        <v>1773</v>
      </c>
      <c r="I8" s="2058">
        <v>580005314</v>
      </c>
      <c r="J8" s="2057">
        <v>614571348</v>
      </c>
      <c r="K8" s="2057">
        <v>652942422</v>
      </c>
      <c r="L8" s="2050"/>
      <c r="M8" s="2050"/>
      <c r="N8" s="2050"/>
      <c r="O8" s="2050"/>
    </row>
    <row r="9" spans="1:15">
      <c r="A9" s="2050"/>
      <c r="B9" s="2054">
        <f t="shared" si="1"/>
        <v>4</v>
      </c>
      <c r="C9" s="2055" t="s">
        <v>1774</v>
      </c>
      <c r="D9" s="2054">
        <v>204</v>
      </c>
      <c r="E9" s="2054">
        <v>5</v>
      </c>
      <c r="F9" s="2056" t="s">
        <v>1775</v>
      </c>
      <c r="G9" s="2056" t="str">
        <f t="shared" si="0"/>
        <v>204.5b</v>
      </c>
      <c r="H9" s="2056" t="s">
        <v>1776</v>
      </c>
      <c r="I9" s="2058">
        <v>884165367</v>
      </c>
      <c r="J9" s="2058">
        <v>936908128</v>
      </c>
      <c r="K9" s="2057">
        <v>970432021</v>
      </c>
      <c r="L9" s="2050"/>
      <c r="M9" s="2050"/>
      <c r="N9" s="2050"/>
      <c r="O9" s="2050"/>
    </row>
    <row r="10" spans="1:15">
      <c r="A10" s="2050"/>
      <c r="B10" s="2054">
        <f t="shared" si="1"/>
        <v>5</v>
      </c>
      <c r="C10" s="2055" t="s">
        <v>1777</v>
      </c>
      <c r="D10" s="2054">
        <v>204</v>
      </c>
      <c r="E10" s="2054">
        <v>5</v>
      </c>
      <c r="F10" s="2056" t="s">
        <v>1416</v>
      </c>
      <c r="G10" s="2056" t="str">
        <f t="shared" si="0"/>
        <v>204.5g</v>
      </c>
      <c r="H10" s="2056" t="s">
        <v>1778</v>
      </c>
      <c r="I10" s="2058">
        <v>936908128</v>
      </c>
      <c r="J10" s="2058">
        <v>970432021</v>
      </c>
      <c r="K10" s="2057">
        <v>1015882796</v>
      </c>
      <c r="L10" s="2050"/>
      <c r="M10" s="2050"/>
      <c r="N10" s="2050"/>
      <c r="O10" s="2050"/>
    </row>
    <row r="11" spans="1:15">
      <c r="A11" s="2050"/>
      <c r="B11" s="2054">
        <f t="shared" si="1"/>
        <v>6</v>
      </c>
      <c r="C11" s="2055" t="s">
        <v>1779</v>
      </c>
      <c r="D11" s="2054">
        <v>204</v>
      </c>
      <c r="E11" s="2054">
        <v>46</v>
      </c>
      <c r="F11" s="2056" t="s">
        <v>1775</v>
      </c>
      <c r="G11" s="2056" t="str">
        <f t="shared" si="0"/>
        <v>204.46b</v>
      </c>
      <c r="H11" s="2056" t="s">
        <v>1776</v>
      </c>
      <c r="I11" s="2058">
        <v>12212881186</v>
      </c>
      <c r="J11" s="2058">
        <v>12344232810</v>
      </c>
      <c r="K11" s="2235">
        <v>12454178185</v>
      </c>
      <c r="L11" s="2050"/>
      <c r="M11" s="2050"/>
      <c r="N11" s="2050"/>
      <c r="O11" s="2050"/>
    </row>
    <row r="12" spans="1:15">
      <c r="A12" s="2050"/>
      <c r="B12" s="2054">
        <f t="shared" si="1"/>
        <v>7</v>
      </c>
      <c r="C12" s="2055" t="s">
        <v>1780</v>
      </c>
      <c r="D12" s="2054">
        <v>204</v>
      </c>
      <c r="E12" s="2054">
        <v>46</v>
      </c>
      <c r="F12" s="2056" t="s">
        <v>1416</v>
      </c>
      <c r="G12" s="2056" t="str">
        <f t="shared" si="0"/>
        <v>204.46g</v>
      </c>
      <c r="H12" s="2056" t="s">
        <v>1778</v>
      </c>
      <c r="I12" s="2058">
        <v>12344232810</v>
      </c>
      <c r="J12" s="2058">
        <v>12454178185</v>
      </c>
      <c r="K12" s="2235">
        <v>12370876824</v>
      </c>
      <c r="L12" s="2050"/>
      <c r="M12" s="2050"/>
      <c r="N12" s="2050"/>
      <c r="O12" s="2050"/>
    </row>
    <row r="13" spans="1:15">
      <c r="A13" s="2050"/>
      <c r="B13" s="2054">
        <f t="shared" si="1"/>
        <v>8</v>
      </c>
      <c r="C13" s="2055" t="s">
        <v>1781</v>
      </c>
      <c r="D13" s="2054">
        <v>206</v>
      </c>
      <c r="E13" s="2054">
        <v>58</v>
      </c>
      <c r="F13" s="2056" t="s">
        <v>1775</v>
      </c>
      <c r="G13" s="2056" t="str">
        <f>D13&amp;"."&amp;E13&amp;F13</f>
        <v>206.58b</v>
      </c>
      <c r="H13" s="2056" t="s">
        <v>1776</v>
      </c>
      <c r="I13" s="2057">
        <v>6051719907</v>
      </c>
      <c r="J13" s="2057">
        <v>6222285657</v>
      </c>
      <c r="K13" s="2057">
        <v>6353044980</v>
      </c>
      <c r="L13" s="2050"/>
      <c r="M13" s="2050"/>
      <c r="N13" s="2050"/>
      <c r="O13" s="2050"/>
    </row>
    <row r="14" spans="1:15">
      <c r="A14" s="2050"/>
      <c r="B14" s="2054">
        <f t="shared" si="1"/>
        <v>9</v>
      </c>
      <c r="C14" s="2055" t="s">
        <v>1782</v>
      </c>
      <c r="D14" s="2054">
        <v>207</v>
      </c>
      <c r="E14" s="2054">
        <v>58</v>
      </c>
      <c r="F14" s="2056" t="s">
        <v>1416</v>
      </c>
      <c r="G14" s="2056" t="str">
        <f>D14&amp;"."&amp;E14&amp;F14</f>
        <v>207.58g</v>
      </c>
      <c r="H14" s="2056" t="s">
        <v>1778</v>
      </c>
      <c r="I14" s="2057">
        <v>6222285657</v>
      </c>
      <c r="J14" s="2057">
        <v>6353044980</v>
      </c>
      <c r="K14" s="2057">
        <v>6478620080</v>
      </c>
      <c r="L14" s="2050"/>
      <c r="M14" s="2050"/>
      <c r="N14" s="2050"/>
      <c r="O14" s="2050"/>
    </row>
    <row r="15" spans="1:15">
      <c r="A15" s="2050"/>
      <c r="B15" s="2054">
        <f t="shared" si="1"/>
        <v>10</v>
      </c>
      <c r="C15" s="2055" t="s">
        <v>1783</v>
      </c>
      <c r="D15" s="2054">
        <v>206</v>
      </c>
      <c r="E15" s="2054">
        <v>75</v>
      </c>
      <c r="F15" s="2056" t="s">
        <v>1775</v>
      </c>
      <c r="G15" s="2056" t="str">
        <f t="shared" si="0"/>
        <v>206.75b</v>
      </c>
      <c r="H15" s="2056" t="s">
        <v>1776</v>
      </c>
      <c r="I15" s="2058">
        <v>6581302000</v>
      </c>
      <c r="J15" s="2058">
        <v>6780558594</v>
      </c>
      <c r="K15" s="2235">
        <v>7017942816</v>
      </c>
      <c r="L15" s="2050"/>
      <c r="M15" s="2050"/>
      <c r="N15" s="2050"/>
      <c r="O15" s="2050"/>
    </row>
    <row r="16" spans="1:15">
      <c r="A16" s="2050"/>
      <c r="B16" s="2054">
        <f t="shared" si="1"/>
        <v>11</v>
      </c>
      <c r="C16" s="2055" t="s">
        <v>1784</v>
      </c>
      <c r="D16" s="2054">
        <v>206</v>
      </c>
      <c r="E16" s="2054">
        <v>75</v>
      </c>
      <c r="F16" s="2056" t="s">
        <v>1416</v>
      </c>
      <c r="G16" s="2056" t="str">
        <f t="shared" si="0"/>
        <v>206.75g</v>
      </c>
      <c r="H16" s="2056" t="s">
        <v>1778</v>
      </c>
      <c r="I16" s="2058">
        <v>6780558594</v>
      </c>
      <c r="J16" s="2058">
        <v>7017942816</v>
      </c>
      <c r="K16" s="2235">
        <v>7295300652</v>
      </c>
      <c r="L16" s="2050"/>
      <c r="M16" s="2050"/>
      <c r="N16" s="2050"/>
      <c r="O16" s="2050"/>
    </row>
    <row r="17" spans="1:15">
      <c r="A17" s="2050"/>
      <c r="B17" s="2054">
        <f t="shared" si="1"/>
        <v>12</v>
      </c>
      <c r="C17" s="2055" t="s">
        <v>1785</v>
      </c>
      <c r="D17" s="2054">
        <v>206</v>
      </c>
      <c r="E17" s="2054">
        <v>99</v>
      </c>
      <c r="F17" s="2056" t="s">
        <v>1775</v>
      </c>
      <c r="G17" s="2056" t="str">
        <f t="shared" si="0"/>
        <v>206.99b</v>
      </c>
      <c r="H17" s="2056" t="s">
        <v>1776</v>
      </c>
      <c r="I17" s="2058">
        <v>1176030315</v>
      </c>
      <c r="J17" s="2058">
        <v>1228976231</v>
      </c>
      <c r="K17" s="2235">
        <v>1274442961</v>
      </c>
      <c r="L17" s="2050"/>
      <c r="M17" s="2050"/>
      <c r="N17" s="2050"/>
      <c r="O17" s="2050"/>
    </row>
    <row r="18" spans="1:15">
      <c r="A18" s="2050"/>
      <c r="B18" s="2054">
        <f t="shared" si="1"/>
        <v>13</v>
      </c>
      <c r="C18" s="2055" t="s">
        <v>1786</v>
      </c>
      <c r="D18" s="2054">
        <v>207</v>
      </c>
      <c r="E18" s="2054">
        <v>99</v>
      </c>
      <c r="F18" s="2056" t="s">
        <v>1416</v>
      </c>
      <c r="G18" s="2056" t="str">
        <f t="shared" si="0"/>
        <v>207.99g</v>
      </c>
      <c r="H18" s="2056" t="s">
        <v>1778</v>
      </c>
      <c r="I18" s="2058">
        <v>1228976231</v>
      </c>
      <c r="J18" s="2058">
        <v>1274442961</v>
      </c>
      <c r="K18" s="2235">
        <v>1287632918</v>
      </c>
      <c r="L18" s="2050"/>
      <c r="M18" s="2050"/>
      <c r="N18" s="2050"/>
      <c r="O18" s="2050"/>
    </row>
    <row r="19" spans="1:15">
      <c r="A19" s="2050"/>
      <c r="B19" s="2054">
        <f t="shared" si="1"/>
        <v>14</v>
      </c>
      <c r="C19" s="2055" t="s">
        <v>1673</v>
      </c>
      <c r="D19" s="2054">
        <v>206</v>
      </c>
      <c r="E19" s="2054">
        <v>101</v>
      </c>
      <c r="F19" s="2056" t="s">
        <v>1416</v>
      </c>
      <c r="G19" s="2056" t="str">
        <f t="shared" si="0"/>
        <v>206.101g</v>
      </c>
      <c r="H19" s="2056" t="s">
        <v>1778</v>
      </c>
      <c r="I19" s="2057">
        <v>0</v>
      </c>
      <c r="J19" s="2057">
        <v>0</v>
      </c>
      <c r="K19" s="2057">
        <v>0</v>
      </c>
      <c r="L19" s="2050"/>
      <c r="M19" s="2050"/>
      <c r="N19" s="2050"/>
      <c r="O19" s="2050"/>
    </row>
    <row r="20" spans="1:15">
      <c r="A20" s="2050"/>
      <c r="B20" s="2054">
        <f t="shared" si="1"/>
        <v>15</v>
      </c>
      <c r="C20" s="2055" t="s">
        <v>1787</v>
      </c>
      <c r="D20" s="2054">
        <v>206</v>
      </c>
      <c r="E20" s="2054">
        <v>102</v>
      </c>
      <c r="F20" s="2056" t="s">
        <v>1416</v>
      </c>
      <c r="G20" s="2056" t="str">
        <f t="shared" si="0"/>
        <v>206.102g</v>
      </c>
      <c r="H20" s="2056" t="s">
        <v>1778</v>
      </c>
      <c r="I20" s="2057">
        <v>0</v>
      </c>
      <c r="J20" s="2057">
        <v>0</v>
      </c>
      <c r="K20" s="2057">
        <v>0</v>
      </c>
      <c r="L20" s="2050"/>
      <c r="M20" s="2050"/>
      <c r="N20" s="2050"/>
      <c r="O20" s="2050"/>
    </row>
    <row r="21" spans="1:15">
      <c r="A21" s="2050"/>
      <c r="B21" s="2054">
        <f t="shared" si="1"/>
        <v>16</v>
      </c>
      <c r="C21" s="2055" t="s">
        <v>1788</v>
      </c>
      <c r="D21" s="2054">
        <v>206</v>
      </c>
      <c r="E21" s="2054">
        <v>104</v>
      </c>
      <c r="F21" s="2056" t="s">
        <v>1775</v>
      </c>
      <c r="G21" s="2056" t="str">
        <f t="shared" si="0"/>
        <v>206.104b</v>
      </c>
      <c r="H21" s="2056" t="s">
        <v>1776</v>
      </c>
      <c r="I21" s="2058">
        <v>26906098775</v>
      </c>
      <c r="J21" s="2058">
        <v>27512961420</v>
      </c>
      <c r="K21" s="2235">
        <v>28070040963</v>
      </c>
      <c r="L21" s="2050"/>
      <c r="M21" s="2050"/>
      <c r="N21" s="2050"/>
      <c r="O21" s="2050"/>
    </row>
    <row r="22" spans="1:15">
      <c r="A22" s="2050"/>
      <c r="B22" s="2054">
        <f t="shared" si="1"/>
        <v>17</v>
      </c>
      <c r="C22" s="2055" t="s">
        <v>1789</v>
      </c>
      <c r="D22" s="2054">
        <v>206</v>
      </c>
      <c r="E22" s="2054">
        <v>104</v>
      </c>
      <c r="F22" s="2056" t="s">
        <v>1416</v>
      </c>
      <c r="G22" s="2056" t="str">
        <f t="shared" si="0"/>
        <v>206.104g</v>
      </c>
      <c r="H22" s="2056" t="s">
        <v>1778</v>
      </c>
      <c r="I22" s="2058">
        <v>27512961420</v>
      </c>
      <c r="J22" s="2058">
        <v>28070040963</v>
      </c>
      <c r="K22" s="2235">
        <v>28448313270</v>
      </c>
      <c r="L22" s="2050"/>
      <c r="M22" s="2050"/>
      <c r="N22" s="2050"/>
      <c r="O22" s="2050"/>
    </row>
    <row r="23" spans="1:15">
      <c r="A23" s="2050"/>
      <c r="B23" s="2054">
        <f t="shared" si="1"/>
        <v>18</v>
      </c>
      <c r="C23" s="2055" t="s">
        <v>1790</v>
      </c>
      <c r="D23" s="2054">
        <v>214</v>
      </c>
      <c r="E23" s="2054">
        <v>47</v>
      </c>
      <c r="F23" s="2056" t="s">
        <v>1791</v>
      </c>
      <c r="G23" s="2056" t="str">
        <f t="shared" si="0"/>
        <v>214.47d</v>
      </c>
      <c r="H23" s="2056" t="s">
        <v>1792</v>
      </c>
      <c r="I23" s="2057">
        <v>26134386</v>
      </c>
      <c r="J23" s="2057">
        <v>26415220</v>
      </c>
      <c r="K23" s="2057">
        <v>25890060</v>
      </c>
      <c r="L23" s="2050"/>
      <c r="M23" s="2050"/>
      <c r="N23" s="2050"/>
      <c r="O23" s="2050"/>
    </row>
    <row r="24" spans="1:15">
      <c r="A24" s="2050"/>
      <c r="B24" s="2054">
        <f t="shared" si="1"/>
        <v>19</v>
      </c>
      <c r="C24" s="2055" t="s">
        <v>1793</v>
      </c>
      <c r="D24" s="2054">
        <v>219</v>
      </c>
      <c r="E24" s="2054">
        <v>20</v>
      </c>
      <c r="F24" s="2056" t="s">
        <v>1769</v>
      </c>
      <c r="G24" s="2056" t="str">
        <f t="shared" si="0"/>
        <v>219.20c</v>
      </c>
      <c r="H24" s="2056" t="s">
        <v>1794</v>
      </c>
      <c r="I24" s="2058">
        <v>3211337623</v>
      </c>
      <c r="J24" s="2058">
        <v>3582683358</v>
      </c>
      <c r="K24" s="2235">
        <v>3749690656</v>
      </c>
      <c r="L24" s="2050"/>
      <c r="M24" s="2050"/>
      <c r="N24" s="2050"/>
      <c r="O24" s="2050"/>
    </row>
    <row r="25" spans="1:15">
      <c r="A25" s="2050"/>
      <c r="B25" s="2054">
        <f t="shared" si="1"/>
        <v>20</v>
      </c>
      <c r="C25" s="2055" t="s">
        <v>1795</v>
      </c>
      <c r="D25" s="2054">
        <v>219</v>
      </c>
      <c r="E25" s="2054">
        <v>21</v>
      </c>
      <c r="F25" s="2056" t="s">
        <v>1769</v>
      </c>
      <c r="G25" s="2056" t="str">
        <f t="shared" si="0"/>
        <v>219.21c</v>
      </c>
      <c r="H25" s="2056" t="s">
        <v>1794</v>
      </c>
      <c r="I25" s="2057">
        <v>0</v>
      </c>
      <c r="J25" s="2057">
        <v>0</v>
      </c>
      <c r="K25" s="2057">
        <v>0</v>
      </c>
      <c r="L25" s="2050"/>
      <c r="M25" s="2050"/>
      <c r="N25" s="2050"/>
      <c r="O25" s="2050"/>
    </row>
    <row r="26" spans="1:15" ht="30">
      <c r="A26" s="2050"/>
      <c r="B26" s="2054">
        <f t="shared" si="1"/>
        <v>21</v>
      </c>
      <c r="C26" s="2055" t="s">
        <v>1796</v>
      </c>
      <c r="D26" s="2054">
        <v>219</v>
      </c>
      <c r="E26" s="2054">
        <v>22</v>
      </c>
      <c r="F26" s="2056" t="s">
        <v>1769</v>
      </c>
      <c r="G26" s="2056" t="str">
        <f t="shared" si="0"/>
        <v>219.22c</v>
      </c>
      <c r="H26" s="2056" t="s">
        <v>1794</v>
      </c>
      <c r="I26" s="2058">
        <v>389589290</v>
      </c>
      <c r="J26" s="2058">
        <v>418497235</v>
      </c>
      <c r="K26" s="2235">
        <v>450261661</v>
      </c>
      <c r="L26" s="2050"/>
      <c r="M26" s="2050"/>
      <c r="N26" s="2050"/>
      <c r="O26" s="2050"/>
    </row>
    <row r="27" spans="1:15" ht="30">
      <c r="A27" s="2050"/>
      <c r="B27" s="2054">
        <f t="shared" si="1"/>
        <v>22</v>
      </c>
      <c r="C27" s="2055" t="s">
        <v>1797</v>
      </c>
      <c r="D27" s="2054">
        <v>219</v>
      </c>
      <c r="E27" s="2054">
        <v>23</v>
      </c>
      <c r="F27" s="2056" t="s">
        <v>1769</v>
      </c>
      <c r="G27" s="2056" t="str">
        <f t="shared" si="0"/>
        <v>219.23c</v>
      </c>
      <c r="H27" s="2056" t="s">
        <v>1794</v>
      </c>
      <c r="I27" s="2057">
        <v>0</v>
      </c>
      <c r="J27" s="2057">
        <v>0</v>
      </c>
      <c r="K27" s="2057">
        <v>0</v>
      </c>
      <c r="L27" s="2050"/>
      <c r="M27" s="2050"/>
      <c r="N27" s="2050"/>
      <c r="O27" s="2050"/>
    </row>
    <row r="28" spans="1:15">
      <c r="A28" s="2050"/>
      <c r="B28" s="2054">
        <f t="shared" si="1"/>
        <v>23</v>
      </c>
      <c r="C28" s="2055" t="s">
        <v>1798</v>
      </c>
      <c r="D28" s="2054">
        <v>219</v>
      </c>
      <c r="E28" s="2054">
        <v>24</v>
      </c>
      <c r="F28" s="2056" t="s">
        <v>1769</v>
      </c>
      <c r="G28" s="2056" t="str">
        <f t="shared" si="0"/>
        <v>219.24c</v>
      </c>
      <c r="H28" s="2056" t="s">
        <v>1794</v>
      </c>
      <c r="I28" s="2058">
        <v>1035507833</v>
      </c>
      <c r="J28" s="2058">
        <v>1140446194</v>
      </c>
      <c r="K28" s="2235">
        <v>531443175</v>
      </c>
      <c r="L28" s="2050"/>
      <c r="M28" s="2050"/>
      <c r="N28" s="2050"/>
      <c r="O28" s="2050"/>
    </row>
    <row r="29" spans="1:15">
      <c r="A29" s="2050"/>
      <c r="B29" s="2054">
        <f t="shared" si="1"/>
        <v>24</v>
      </c>
      <c r="C29" s="2055" t="s">
        <v>1799</v>
      </c>
      <c r="D29" s="2054">
        <v>219</v>
      </c>
      <c r="E29" s="2054">
        <v>25</v>
      </c>
      <c r="F29" s="2056" t="s">
        <v>1769</v>
      </c>
      <c r="G29" s="2056" t="str">
        <f t="shared" si="0"/>
        <v>219.25c</v>
      </c>
      <c r="H29" s="2056" t="s">
        <v>1794</v>
      </c>
      <c r="I29" s="2058">
        <v>1680313619</v>
      </c>
      <c r="J29" s="2058">
        <v>1768531625</v>
      </c>
      <c r="K29" s="2057">
        <v>1863152997</v>
      </c>
      <c r="L29" s="2050"/>
      <c r="M29" s="2050"/>
      <c r="N29" s="2050"/>
      <c r="O29" s="2050"/>
    </row>
    <row r="30" spans="1:15">
      <c r="A30" s="2050"/>
      <c r="B30" s="2054">
        <f t="shared" si="1"/>
        <v>25</v>
      </c>
      <c r="C30" s="2055" t="s">
        <v>1800</v>
      </c>
      <c r="D30" s="2054">
        <v>219</v>
      </c>
      <c r="E30" s="2054">
        <v>26</v>
      </c>
      <c r="F30" s="2056" t="s">
        <v>1769</v>
      </c>
      <c r="G30" s="2056" t="str">
        <f t="shared" si="0"/>
        <v>219.26c</v>
      </c>
      <c r="H30" s="2056" t="s">
        <v>1794</v>
      </c>
      <c r="I30" s="2058">
        <v>2782769277</v>
      </c>
      <c r="J30" s="2058">
        <v>2847150664</v>
      </c>
      <c r="K30" s="2235">
        <v>2925945711</v>
      </c>
      <c r="L30" s="2050"/>
      <c r="M30" s="2050"/>
      <c r="N30" s="2050"/>
      <c r="O30" s="2050"/>
    </row>
    <row r="31" spans="1:15">
      <c r="A31" s="2050"/>
      <c r="B31" s="2054">
        <f t="shared" si="1"/>
        <v>26</v>
      </c>
      <c r="C31" s="2055" t="s">
        <v>1801</v>
      </c>
      <c r="D31" s="2054">
        <v>219</v>
      </c>
      <c r="E31" s="2054">
        <v>28</v>
      </c>
      <c r="F31" s="2056" t="s">
        <v>1769</v>
      </c>
      <c r="G31" s="2056" t="str">
        <f t="shared" si="0"/>
        <v>219.28c</v>
      </c>
      <c r="H31" s="2056" t="s">
        <v>1794</v>
      </c>
      <c r="I31" s="2058">
        <v>461124272</v>
      </c>
      <c r="J31" s="2058">
        <v>482727327</v>
      </c>
      <c r="K31" s="2235">
        <v>493756072</v>
      </c>
      <c r="L31" s="2050"/>
      <c r="M31" s="2050"/>
      <c r="N31" s="2050"/>
      <c r="O31" s="2050"/>
    </row>
    <row r="32" spans="1:15">
      <c r="A32" s="2050"/>
      <c r="B32" s="2054">
        <f t="shared" si="1"/>
        <v>27</v>
      </c>
      <c r="C32" s="2055" t="s">
        <v>1802</v>
      </c>
      <c r="D32" s="2054">
        <v>219</v>
      </c>
      <c r="E32" s="2054">
        <v>29</v>
      </c>
      <c r="F32" s="2056" t="s">
        <v>1769</v>
      </c>
      <c r="G32" s="2056" t="str">
        <f t="shared" si="0"/>
        <v>219.29c</v>
      </c>
      <c r="H32" s="2056" t="s">
        <v>1794</v>
      </c>
      <c r="I32" s="2058">
        <v>9560641914</v>
      </c>
      <c r="J32" s="2058">
        <v>10240036403</v>
      </c>
      <c r="K32" s="2235">
        <v>10014250272</v>
      </c>
      <c r="L32" s="2050"/>
      <c r="M32" s="2050"/>
      <c r="N32" s="2050"/>
      <c r="O32" s="2050"/>
    </row>
    <row r="33" spans="1:15" ht="30">
      <c r="A33" s="2050"/>
      <c r="B33" s="2054">
        <f t="shared" si="1"/>
        <v>28</v>
      </c>
      <c r="C33" s="2055" t="s">
        <v>1803</v>
      </c>
      <c r="D33" s="2054">
        <v>227</v>
      </c>
      <c r="E33" s="2054">
        <v>5</v>
      </c>
      <c r="F33" s="2056" t="s">
        <v>1769</v>
      </c>
      <c r="G33" s="2056" t="str">
        <f t="shared" si="0"/>
        <v>227.5c</v>
      </c>
      <c r="H33" s="2056" t="s">
        <v>1778</v>
      </c>
      <c r="I33" s="2057">
        <v>150015776</v>
      </c>
      <c r="J33" s="2057">
        <v>161139297</v>
      </c>
      <c r="K33" s="2057">
        <v>162913741</v>
      </c>
      <c r="L33" s="2050"/>
      <c r="M33" s="2050"/>
      <c r="N33" s="2050"/>
      <c r="O33" s="2050"/>
    </row>
    <row r="34" spans="1:15">
      <c r="A34" s="2050"/>
      <c r="B34" s="2054">
        <f t="shared" si="1"/>
        <v>29</v>
      </c>
      <c r="C34" s="2055" t="s">
        <v>1804</v>
      </c>
      <c r="D34" s="2054">
        <v>227</v>
      </c>
      <c r="E34" s="2054">
        <v>8</v>
      </c>
      <c r="F34" s="2056" t="s">
        <v>1769</v>
      </c>
      <c r="G34" s="2056" t="str">
        <f t="shared" si="0"/>
        <v>227.8c</v>
      </c>
      <c r="H34" s="2056" t="s">
        <v>1778</v>
      </c>
      <c r="I34" s="2057">
        <v>381386</v>
      </c>
      <c r="J34" s="2057">
        <v>786256</v>
      </c>
      <c r="K34" s="2057">
        <v>852235</v>
      </c>
      <c r="L34" s="2050"/>
      <c r="M34" s="2050"/>
      <c r="N34" s="2050"/>
      <c r="O34" s="2050"/>
    </row>
    <row r="35" spans="1:15">
      <c r="A35" s="2050"/>
      <c r="B35" s="2054">
        <f t="shared" si="1"/>
        <v>30</v>
      </c>
      <c r="C35" s="2055" t="s">
        <v>1805</v>
      </c>
      <c r="D35" s="2054">
        <v>227</v>
      </c>
      <c r="E35" s="2054">
        <v>16</v>
      </c>
      <c r="F35" s="2056" t="s">
        <v>1769</v>
      </c>
      <c r="G35" s="2056" t="str">
        <f t="shared" si="0"/>
        <v>227.16c</v>
      </c>
      <c r="H35" s="2056" t="s">
        <v>1778</v>
      </c>
      <c r="I35" s="2057">
        <v>0</v>
      </c>
      <c r="J35" s="2057">
        <v>0</v>
      </c>
      <c r="K35" s="2057">
        <v>0</v>
      </c>
      <c r="L35" s="2050"/>
      <c r="M35" s="2050"/>
      <c r="N35" s="2050"/>
      <c r="O35" s="2050"/>
    </row>
    <row r="36" spans="1:15">
      <c r="A36" s="2050"/>
      <c r="B36" s="2054">
        <f t="shared" si="1"/>
        <v>31</v>
      </c>
      <c r="C36" s="2055" t="s">
        <v>1806</v>
      </c>
      <c r="D36" s="2054">
        <v>234</v>
      </c>
      <c r="E36" s="2054">
        <v>18</v>
      </c>
      <c r="F36" s="2056" t="s">
        <v>1775</v>
      </c>
      <c r="G36" s="2056" t="str">
        <f t="shared" si="0"/>
        <v>234.18b</v>
      </c>
      <c r="H36" s="2056" t="s">
        <v>1776</v>
      </c>
      <c r="I36" s="2057">
        <v>541859343</v>
      </c>
      <c r="J36" s="2057">
        <v>836588163</v>
      </c>
      <c r="K36" s="2057">
        <v>824459612</v>
      </c>
      <c r="L36" s="2050"/>
      <c r="M36" s="2050"/>
      <c r="N36" s="2050"/>
      <c r="O36" s="2050"/>
    </row>
    <row r="37" spans="1:15">
      <c r="A37" s="2050"/>
      <c r="B37" s="2054">
        <f t="shared" si="1"/>
        <v>32</v>
      </c>
      <c r="C37" s="2055" t="s">
        <v>1807</v>
      </c>
      <c r="D37" s="2054">
        <v>234</v>
      </c>
      <c r="E37" s="2054">
        <v>18</v>
      </c>
      <c r="F37" s="2056" t="s">
        <v>1769</v>
      </c>
      <c r="G37" s="2056" t="str">
        <f t="shared" si="0"/>
        <v>234.18c</v>
      </c>
      <c r="H37" s="2056" t="s">
        <v>1778</v>
      </c>
      <c r="I37" s="2057">
        <v>836588163</v>
      </c>
      <c r="J37" s="2057">
        <v>824459612</v>
      </c>
      <c r="K37" s="2057">
        <v>783561636</v>
      </c>
      <c r="L37" s="2050"/>
      <c r="M37" s="2050"/>
      <c r="N37" s="2050"/>
      <c r="O37" s="2050"/>
    </row>
    <row r="38" spans="1:15">
      <c r="A38" s="2050"/>
      <c r="B38" s="2054">
        <f t="shared" si="1"/>
        <v>33</v>
      </c>
      <c r="C38" s="2055" t="s">
        <v>1808</v>
      </c>
      <c r="D38" s="2054">
        <v>272</v>
      </c>
      <c r="E38" s="2054">
        <v>17</v>
      </c>
      <c r="F38" s="2056" t="s">
        <v>1775</v>
      </c>
      <c r="G38" s="2056" t="str">
        <f t="shared" si="0"/>
        <v>272.17b</v>
      </c>
      <c r="H38" s="2059" t="s">
        <v>1809</v>
      </c>
      <c r="I38" s="2057">
        <v>306993377</v>
      </c>
      <c r="J38" s="2057">
        <v>185416334</v>
      </c>
      <c r="K38" s="2057">
        <v>180339430</v>
      </c>
      <c r="L38" s="2050"/>
      <c r="M38" s="2050"/>
      <c r="N38" s="2050"/>
      <c r="O38" s="2050"/>
    </row>
    <row r="39" spans="1:15">
      <c r="A39" s="2050"/>
      <c r="B39" s="2054">
        <f t="shared" si="1"/>
        <v>34</v>
      </c>
      <c r="C39" s="2055" t="s">
        <v>1810</v>
      </c>
      <c r="D39" s="2054">
        <v>272</v>
      </c>
      <c r="E39" s="2054">
        <v>17</v>
      </c>
      <c r="F39" s="2056" t="s">
        <v>1811</v>
      </c>
      <c r="G39" s="2056" t="str">
        <f t="shared" si="0"/>
        <v>272.17k</v>
      </c>
      <c r="H39" s="2056" t="s">
        <v>1812</v>
      </c>
      <c r="I39" s="2057">
        <v>185416334</v>
      </c>
      <c r="J39" s="2057">
        <v>180339430</v>
      </c>
      <c r="K39" s="2057">
        <v>174829838</v>
      </c>
      <c r="L39" s="2050"/>
      <c r="M39" s="2050"/>
      <c r="N39" s="2050"/>
      <c r="O39" s="2050"/>
    </row>
    <row r="40" spans="1:15">
      <c r="A40" s="2050"/>
      <c r="B40" s="2054">
        <f t="shared" si="1"/>
        <v>35</v>
      </c>
      <c r="C40" s="2055" t="s">
        <v>1813</v>
      </c>
      <c r="D40" s="2054">
        <v>274</v>
      </c>
      <c r="E40" s="2054">
        <v>9</v>
      </c>
      <c r="F40" s="2056" t="s">
        <v>1775</v>
      </c>
      <c r="G40" s="2056" t="str">
        <f t="shared" si="0"/>
        <v>274.9b</v>
      </c>
      <c r="H40" s="2059" t="s">
        <v>1809</v>
      </c>
      <c r="I40" s="2057">
        <v>4518977533</v>
      </c>
      <c r="J40" s="2057">
        <v>2972737275</v>
      </c>
      <c r="K40" s="2057">
        <v>2910580066</v>
      </c>
      <c r="L40" s="2050"/>
      <c r="M40" s="2050"/>
      <c r="N40" s="2050"/>
      <c r="O40" s="2050"/>
    </row>
    <row r="41" spans="1:15">
      <c r="A41" s="2050"/>
      <c r="B41" s="2054">
        <f t="shared" si="1"/>
        <v>36</v>
      </c>
      <c r="C41" s="2055" t="s">
        <v>1814</v>
      </c>
      <c r="D41" s="2054">
        <v>274</v>
      </c>
      <c r="E41" s="2054">
        <v>9</v>
      </c>
      <c r="F41" s="2056" t="s">
        <v>1811</v>
      </c>
      <c r="G41" s="2056" t="str">
        <f t="shared" si="0"/>
        <v>274.9k</v>
      </c>
      <c r="H41" s="2056" t="s">
        <v>1812</v>
      </c>
      <c r="I41" s="2057">
        <v>2972737275</v>
      </c>
      <c r="J41" s="2057">
        <v>2910580066</v>
      </c>
      <c r="K41" s="2057">
        <v>2889829879</v>
      </c>
      <c r="L41" s="2050"/>
      <c r="M41" s="2050"/>
      <c r="N41" s="2050"/>
      <c r="O41" s="2050"/>
    </row>
    <row r="42" spans="1:15">
      <c r="A42" s="2050"/>
      <c r="B42" s="2054">
        <f t="shared" si="1"/>
        <v>37</v>
      </c>
      <c r="C42" s="2055" t="s">
        <v>1815</v>
      </c>
      <c r="D42" s="2054">
        <v>276</v>
      </c>
      <c r="E42" s="2054">
        <v>19</v>
      </c>
      <c r="F42" s="2056" t="s">
        <v>1775</v>
      </c>
      <c r="G42" s="2056" t="str">
        <f t="shared" si="0"/>
        <v>276.19b</v>
      </c>
      <c r="H42" s="2056" t="s">
        <v>1809</v>
      </c>
      <c r="I42" s="2057">
        <v>603137231</v>
      </c>
      <c r="J42" s="2057">
        <v>272914927</v>
      </c>
      <c r="K42" s="2057">
        <v>285789510</v>
      </c>
      <c r="L42" s="2050"/>
      <c r="M42" s="2050"/>
      <c r="N42" s="2050"/>
      <c r="O42" s="2050"/>
    </row>
    <row r="43" spans="1:15">
      <c r="A43" s="2050"/>
      <c r="B43" s="2054">
        <f t="shared" si="1"/>
        <v>38</v>
      </c>
      <c r="C43" s="2055" t="s">
        <v>1816</v>
      </c>
      <c r="D43" s="2054">
        <v>276</v>
      </c>
      <c r="E43" s="2054">
        <v>19</v>
      </c>
      <c r="F43" s="2056" t="s">
        <v>1811</v>
      </c>
      <c r="G43" s="2056" t="str">
        <f t="shared" si="0"/>
        <v>276.19k</v>
      </c>
      <c r="H43" s="2056" t="s">
        <v>1812</v>
      </c>
      <c r="I43" s="2057">
        <v>272914927</v>
      </c>
      <c r="J43" s="2057">
        <v>285789510</v>
      </c>
      <c r="K43" s="2057">
        <v>297173549</v>
      </c>
      <c r="L43" s="2050"/>
      <c r="M43" s="2050"/>
      <c r="N43" s="2050"/>
      <c r="O43" s="2050"/>
    </row>
    <row r="44" spans="1:15">
      <c r="A44" s="2050"/>
      <c r="B44" s="2054">
        <f t="shared" si="1"/>
        <v>39</v>
      </c>
      <c r="C44" s="2055" t="s">
        <v>1817</v>
      </c>
      <c r="D44" s="2054">
        <v>321</v>
      </c>
      <c r="E44" s="2054">
        <v>84</v>
      </c>
      <c r="F44" s="2056" t="s">
        <v>1775</v>
      </c>
      <c r="G44" s="2056" t="str">
        <f t="shared" si="0"/>
        <v>321.84b</v>
      </c>
      <c r="H44" s="2056" t="s">
        <v>1818</v>
      </c>
      <c r="I44" s="2057">
        <v>0</v>
      </c>
      <c r="J44" s="2057">
        <v>0</v>
      </c>
      <c r="K44" s="2057">
        <v>0</v>
      </c>
      <c r="L44" s="2050"/>
      <c r="M44" s="2050"/>
      <c r="N44" s="2050"/>
      <c r="O44" s="2050"/>
    </row>
    <row r="45" spans="1:15">
      <c r="A45" s="2050"/>
      <c r="B45" s="2054">
        <f t="shared" si="1"/>
        <v>40</v>
      </c>
      <c r="C45" s="2055" t="s">
        <v>1819</v>
      </c>
      <c r="D45" s="2054">
        <v>321</v>
      </c>
      <c r="E45" s="2054">
        <v>85</v>
      </c>
      <c r="F45" s="2056" t="s">
        <v>1775</v>
      </c>
      <c r="G45" s="2056" t="str">
        <f t="shared" si="0"/>
        <v>321.85b</v>
      </c>
      <c r="H45" s="2056" t="s">
        <v>1818</v>
      </c>
      <c r="I45" s="2057">
        <v>0</v>
      </c>
      <c r="J45" s="2057">
        <v>0</v>
      </c>
      <c r="K45" s="2057">
        <v>0</v>
      </c>
      <c r="L45" s="2050"/>
      <c r="M45" s="2050"/>
      <c r="N45" s="2050"/>
      <c r="O45" s="2050"/>
    </row>
    <row r="46" spans="1:15">
      <c r="A46" s="2050"/>
      <c r="B46" s="2054">
        <f t="shared" si="1"/>
        <v>41</v>
      </c>
      <c r="C46" s="2055" t="s">
        <v>1820</v>
      </c>
      <c r="D46" s="2054">
        <v>321</v>
      </c>
      <c r="E46" s="2054">
        <v>86</v>
      </c>
      <c r="F46" s="2056" t="s">
        <v>1775</v>
      </c>
      <c r="G46" s="2056" t="str">
        <f t="shared" si="0"/>
        <v>321.86b</v>
      </c>
      <c r="H46" s="2056" t="s">
        <v>1818</v>
      </c>
      <c r="I46" s="2057">
        <v>6954702</v>
      </c>
      <c r="J46" s="2057">
        <v>7234514</v>
      </c>
      <c r="K46" s="2057">
        <v>7813567</v>
      </c>
      <c r="L46" s="2050"/>
      <c r="M46" s="2050"/>
      <c r="N46" s="2050"/>
      <c r="O46" s="2050"/>
    </row>
    <row r="47" spans="1:15">
      <c r="A47" s="2050"/>
      <c r="B47" s="2054">
        <f t="shared" si="1"/>
        <v>42</v>
      </c>
      <c r="C47" s="2055" t="s">
        <v>1821</v>
      </c>
      <c r="D47" s="2054">
        <v>321</v>
      </c>
      <c r="E47" s="2054">
        <v>87</v>
      </c>
      <c r="F47" s="2056" t="s">
        <v>1775</v>
      </c>
      <c r="G47" s="2056" t="str">
        <f t="shared" si="0"/>
        <v>321.87b</v>
      </c>
      <c r="H47" s="2056" t="s">
        <v>1818</v>
      </c>
      <c r="I47" s="2057">
        <v>0</v>
      </c>
      <c r="J47" s="2057">
        <v>0</v>
      </c>
      <c r="K47" s="2057">
        <v>0</v>
      </c>
      <c r="L47" s="2050"/>
      <c r="M47" s="2050"/>
      <c r="N47" s="2050"/>
      <c r="O47" s="2050"/>
    </row>
    <row r="48" spans="1:15">
      <c r="A48" s="2050"/>
      <c r="B48" s="2054">
        <f t="shared" si="1"/>
        <v>43</v>
      </c>
      <c r="C48" s="2055" t="s">
        <v>1822</v>
      </c>
      <c r="D48" s="2054">
        <v>321</v>
      </c>
      <c r="E48" s="2054">
        <v>88</v>
      </c>
      <c r="F48" s="2056" t="s">
        <v>1775</v>
      </c>
      <c r="G48" s="2056" t="str">
        <f t="shared" si="0"/>
        <v>321.88b</v>
      </c>
      <c r="H48" s="2056" t="s">
        <v>1818</v>
      </c>
      <c r="I48" s="2057">
        <v>2007912</v>
      </c>
      <c r="J48" s="2057">
        <v>1384344</v>
      </c>
      <c r="K48" s="2057">
        <v>1250888</v>
      </c>
      <c r="L48" s="2050"/>
      <c r="M48" s="2050"/>
      <c r="N48" s="2050"/>
      <c r="O48" s="2050"/>
    </row>
    <row r="49" spans="1:15">
      <c r="A49" s="2050"/>
      <c r="B49" s="2054">
        <f t="shared" si="1"/>
        <v>44</v>
      </c>
      <c r="C49" s="2055" t="s">
        <v>1823</v>
      </c>
      <c r="D49" s="2054">
        <v>321</v>
      </c>
      <c r="E49" s="2054">
        <v>89</v>
      </c>
      <c r="F49" s="2056" t="s">
        <v>1775</v>
      </c>
      <c r="G49" s="2056" t="str">
        <f t="shared" si="0"/>
        <v>321.89b</v>
      </c>
      <c r="H49" s="2056" t="s">
        <v>1818</v>
      </c>
      <c r="I49" s="2057">
        <v>1674277</v>
      </c>
      <c r="J49" s="2057">
        <v>1968543</v>
      </c>
      <c r="K49" s="2057">
        <v>1962101</v>
      </c>
      <c r="L49" s="2050"/>
      <c r="M49" s="2050"/>
      <c r="N49" s="2050"/>
      <c r="O49" s="2050"/>
    </row>
    <row r="50" spans="1:15" ht="30">
      <c r="A50" s="2050"/>
      <c r="B50" s="2054">
        <f t="shared" si="1"/>
        <v>45</v>
      </c>
      <c r="C50" s="2055" t="s">
        <v>1824</v>
      </c>
      <c r="D50" s="2054">
        <v>321</v>
      </c>
      <c r="E50" s="2054">
        <v>92</v>
      </c>
      <c r="F50" s="2056" t="s">
        <v>1775</v>
      </c>
      <c r="G50" s="2056" t="str">
        <f t="shared" si="0"/>
        <v>321.92b</v>
      </c>
      <c r="H50" s="2056" t="s">
        <v>1818</v>
      </c>
      <c r="I50" s="2057">
        <v>7484166</v>
      </c>
      <c r="J50" s="2057">
        <v>7447677</v>
      </c>
      <c r="K50" s="2057">
        <v>8800994</v>
      </c>
      <c r="L50" s="2050"/>
      <c r="M50" s="2050"/>
      <c r="N50" s="2050"/>
      <c r="O50" s="2050"/>
    </row>
    <row r="51" spans="1:15">
      <c r="A51" s="2050"/>
      <c r="B51" s="2054">
        <f t="shared" si="1"/>
        <v>46</v>
      </c>
      <c r="C51" s="2055" t="s">
        <v>1825</v>
      </c>
      <c r="D51" s="2054">
        <v>321</v>
      </c>
      <c r="E51" s="2054">
        <v>96</v>
      </c>
      <c r="F51" s="2056" t="s">
        <v>1775</v>
      </c>
      <c r="G51" s="2056" t="str">
        <f t="shared" si="0"/>
        <v>321.96b</v>
      </c>
      <c r="H51" s="2056" t="s">
        <v>1818</v>
      </c>
      <c r="I51" s="2057">
        <v>134473119</v>
      </c>
      <c r="J51" s="2057">
        <v>135021597</v>
      </c>
      <c r="K51" s="2057">
        <v>145825268</v>
      </c>
      <c r="L51" s="2050"/>
      <c r="M51" s="2050"/>
      <c r="N51" s="2050"/>
      <c r="O51" s="2050"/>
    </row>
    <row r="52" spans="1:15">
      <c r="A52" s="2050"/>
      <c r="B52" s="2054">
        <f t="shared" si="1"/>
        <v>47</v>
      </c>
      <c r="C52" s="2055" t="s">
        <v>1826</v>
      </c>
      <c r="D52" s="2054">
        <v>321</v>
      </c>
      <c r="E52" s="2054">
        <v>112</v>
      </c>
      <c r="F52" s="2056" t="s">
        <v>1775</v>
      </c>
      <c r="G52" s="2056" t="str">
        <f t="shared" si="0"/>
        <v>321.112b</v>
      </c>
      <c r="H52" s="2056" t="s">
        <v>1818</v>
      </c>
      <c r="I52" s="2057">
        <v>204805841</v>
      </c>
      <c r="J52" s="2057">
        <v>206505944</v>
      </c>
      <c r="K52" s="2057">
        <v>218366626</v>
      </c>
      <c r="L52" s="2050"/>
      <c r="M52" s="2050"/>
      <c r="N52" s="2050"/>
      <c r="O52" s="2050"/>
    </row>
    <row r="53" spans="1:15">
      <c r="A53" s="2050"/>
      <c r="B53" s="2054">
        <f t="shared" si="1"/>
        <v>48</v>
      </c>
      <c r="C53" s="2055" t="s">
        <v>1827</v>
      </c>
      <c r="D53" s="2054">
        <v>323</v>
      </c>
      <c r="E53" s="2054">
        <v>185</v>
      </c>
      <c r="F53" s="2056" t="s">
        <v>1775</v>
      </c>
      <c r="G53" s="2056" t="str">
        <f t="shared" si="0"/>
        <v>323.185b</v>
      </c>
      <c r="H53" s="2056" t="s">
        <v>1818</v>
      </c>
      <c r="I53" s="2058">
        <v>5579593</v>
      </c>
      <c r="J53" s="2058">
        <v>5203260</v>
      </c>
      <c r="K53" s="2235">
        <v>4737084</v>
      </c>
      <c r="L53" s="2050"/>
      <c r="M53" s="2050"/>
      <c r="N53" s="2050"/>
      <c r="O53" s="2050"/>
    </row>
    <row r="54" spans="1:15">
      <c r="A54" s="2050"/>
      <c r="B54" s="2054">
        <f t="shared" si="1"/>
        <v>49</v>
      </c>
      <c r="C54" s="2055" t="s">
        <v>1828</v>
      </c>
      <c r="D54" s="2054">
        <v>323</v>
      </c>
      <c r="E54" s="2054">
        <v>189</v>
      </c>
      <c r="F54" s="2056" t="s">
        <v>1775</v>
      </c>
      <c r="G54" s="2056" t="str">
        <f t="shared" si="0"/>
        <v>323.189b</v>
      </c>
      <c r="H54" s="2056" t="s">
        <v>1818</v>
      </c>
      <c r="I54" s="2057">
        <v>22853804</v>
      </c>
      <c r="J54" s="2057">
        <v>22484361</v>
      </c>
      <c r="K54" s="2057">
        <v>25605836</v>
      </c>
      <c r="L54" s="2050"/>
      <c r="M54" s="2050"/>
      <c r="N54" s="2050"/>
      <c r="O54" s="2050"/>
    </row>
    <row r="55" spans="1:15">
      <c r="A55" s="2050"/>
      <c r="B55" s="2054">
        <f t="shared" si="1"/>
        <v>50</v>
      </c>
      <c r="C55" s="2055" t="s">
        <v>1829</v>
      </c>
      <c r="D55" s="2054">
        <v>323</v>
      </c>
      <c r="E55" s="2054">
        <v>191</v>
      </c>
      <c r="F55" s="2056" t="s">
        <v>1775</v>
      </c>
      <c r="G55" s="2056" t="str">
        <f t="shared" si="0"/>
        <v>323.191b</v>
      </c>
      <c r="H55" s="2056" t="s">
        <v>1818</v>
      </c>
      <c r="I55" s="2057">
        <v>1435</v>
      </c>
      <c r="J55" s="2057">
        <v>580</v>
      </c>
      <c r="K55" s="2057">
        <v>55028</v>
      </c>
      <c r="L55" s="2050"/>
      <c r="M55" s="2050"/>
      <c r="N55" s="2050"/>
      <c r="O55" s="2050"/>
    </row>
    <row r="56" spans="1:15">
      <c r="A56" s="2050"/>
      <c r="B56" s="2054">
        <f t="shared" si="1"/>
        <v>51</v>
      </c>
      <c r="C56" s="2055" t="s">
        <v>1830</v>
      </c>
      <c r="D56" s="2054">
        <v>323</v>
      </c>
      <c r="E56" s="2054">
        <v>197</v>
      </c>
      <c r="F56" s="2056" t="s">
        <v>1775</v>
      </c>
      <c r="G56" s="2056" t="str">
        <f t="shared" si="0"/>
        <v>323.197b</v>
      </c>
      <c r="H56" s="2056" t="s">
        <v>1818</v>
      </c>
      <c r="I56" s="2058">
        <v>134499331</v>
      </c>
      <c r="J56" s="2058">
        <v>130380347</v>
      </c>
      <c r="K56" s="2235">
        <v>115628648</v>
      </c>
      <c r="L56" s="2050"/>
      <c r="M56" s="2050"/>
      <c r="N56" s="2050"/>
      <c r="O56" s="2050"/>
    </row>
    <row r="57" spans="1:15">
      <c r="A57" s="2050"/>
      <c r="B57" s="2054">
        <f t="shared" si="1"/>
        <v>52</v>
      </c>
      <c r="C57" s="2055" t="s">
        <v>1831</v>
      </c>
      <c r="D57" s="2054">
        <v>335</v>
      </c>
      <c r="E57" s="2054">
        <v>1</v>
      </c>
      <c r="F57" s="2056" t="s">
        <v>1775</v>
      </c>
      <c r="G57" s="2056" t="str">
        <f t="shared" si="0"/>
        <v>335.1b</v>
      </c>
      <c r="H57" s="2056" t="s">
        <v>1832</v>
      </c>
      <c r="I57" s="2057">
        <v>1115015</v>
      </c>
      <c r="J57" s="2057">
        <v>1338912</v>
      </c>
      <c r="K57" s="2057">
        <v>1376461</v>
      </c>
      <c r="L57" s="2050"/>
      <c r="M57" s="2050"/>
      <c r="N57" s="2050"/>
      <c r="O57" s="2050"/>
    </row>
    <row r="58" spans="1:15">
      <c r="A58" s="2050"/>
      <c r="B58" s="2054">
        <f t="shared" si="1"/>
        <v>53</v>
      </c>
      <c r="C58" s="2055" t="s">
        <v>1833</v>
      </c>
      <c r="D58" s="2054">
        <v>336</v>
      </c>
      <c r="E58" s="2054">
        <v>1</v>
      </c>
      <c r="F58" s="2056" t="s">
        <v>1791</v>
      </c>
      <c r="G58" s="2056" t="str">
        <f t="shared" si="0"/>
        <v>336.1d</v>
      </c>
      <c r="H58" s="2056" t="s">
        <v>1834</v>
      </c>
      <c r="I58" s="2058">
        <v>40052602</v>
      </c>
      <c r="J58" s="2058">
        <v>45503823</v>
      </c>
      <c r="K58" s="2057">
        <v>48671914</v>
      </c>
      <c r="L58" s="2050"/>
      <c r="M58" s="2050"/>
      <c r="N58" s="2050"/>
      <c r="O58" s="2050"/>
    </row>
    <row r="59" spans="1:15">
      <c r="A59" s="2050"/>
      <c r="B59" s="2054">
        <f t="shared" si="1"/>
        <v>54</v>
      </c>
      <c r="C59" s="2055" t="s">
        <v>1835</v>
      </c>
      <c r="D59" s="2054">
        <v>336</v>
      </c>
      <c r="E59" s="2054">
        <v>1</v>
      </c>
      <c r="F59" s="2056" t="s">
        <v>1350</v>
      </c>
      <c r="G59" s="2056" t="str">
        <f t="shared" si="0"/>
        <v>336.1e</v>
      </c>
      <c r="H59" s="2056" t="s">
        <v>1836</v>
      </c>
      <c r="I59" s="2057">
        <v>0</v>
      </c>
      <c r="J59" s="2057">
        <v>0</v>
      </c>
      <c r="K59" s="2057">
        <v>0</v>
      </c>
      <c r="L59" s="2050"/>
      <c r="M59" s="2050"/>
      <c r="N59" s="2050"/>
      <c r="O59" s="2050"/>
    </row>
    <row r="60" spans="1:15">
      <c r="A60" s="2050"/>
      <c r="B60" s="2054">
        <f t="shared" si="1"/>
        <v>55</v>
      </c>
      <c r="C60" s="2055" t="s">
        <v>1837</v>
      </c>
      <c r="D60" s="2054">
        <v>336</v>
      </c>
      <c r="E60" s="2054">
        <v>7</v>
      </c>
      <c r="F60" s="2056" t="s">
        <v>1775</v>
      </c>
      <c r="G60" s="2056" t="str">
        <f t="shared" si="0"/>
        <v>336.7b</v>
      </c>
      <c r="H60" s="2056" t="s">
        <v>1838</v>
      </c>
      <c r="I60" s="2058">
        <v>106777986</v>
      </c>
      <c r="J60" s="2057">
        <v>109403638</v>
      </c>
      <c r="K60" s="2057">
        <v>112507659</v>
      </c>
      <c r="L60" s="2050"/>
      <c r="M60" s="2050"/>
      <c r="N60" s="2050"/>
      <c r="O60" s="2050"/>
    </row>
    <row r="61" spans="1:15">
      <c r="A61" s="2050"/>
      <c r="B61" s="2054">
        <f t="shared" si="1"/>
        <v>56</v>
      </c>
      <c r="C61" s="2055" t="s">
        <v>1839</v>
      </c>
      <c r="D61" s="2054">
        <v>336</v>
      </c>
      <c r="E61" s="2054">
        <v>7</v>
      </c>
      <c r="F61" s="2056" t="s">
        <v>1791</v>
      </c>
      <c r="G61" s="2056" t="str">
        <f t="shared" si="0"/>
        <v>336.7d</v>
      </c>
      <c r="H61" s="2056" t="s">
        <v>1834</v>
      </c>
      <c r="I61" s="2057">
        <v>0</v>
      </c>
      <c r="J61" s="2057">
        <v>0</v>
      </c>
      <c r="K61" s="2057">
        <v>0</v>
      </c>
      <c r="L61" s="2050"/>
      <c r="M61" s="2050"/>
      <c r="N61" s="2050"/>
      <c r="O61" s="2050"/>
    </row>
    <row r="62" spans="1:15">
      <c r="A62" s="2050"/>
      <c r="B62" s="2054">
        <f t="shared" si="1"/>
        <v>57</v>
      </c>
      <c r="C62" s="2055" t="s">
        <v>1840</v>
      </c>
      <c r="D62" s="2054">
        <v>336</v>
      </c>
      <c r="E62" s="2054">
        <v>10</v>
      </c>
      <c r="F62" s="2056" t="s">
        <v>1775</v>
      </c>
      <c r="G62" s="2056" t="str">
        <f t="shared" si="0"/>
        <v>336.10b</v>
      </c>
      <c r="H62" s="2056" t="s">
        <v>1838</v>
      </c>
      <c r="I62" s="2057">
        <v>38785821</v>
      </c>
      <c r="J62" s="2057">
        <v>41562941</v>
      </c>
      <c r="K62" s="2057">
        <v>42404362</v>
      </c>
      <c r="L62" s="2050"/>
      <c r="M62" s="2050"/>
      <c r="N62" s="2050"/>
      <c r="O62" s="2050"/>
    </row>
    <row r="63" spans="1:15">
      <c r="A63" s="2050"/>
      <c r="B63" s="2054">
        <f t="shared" si="1"/>
        <v>58</v>
      </c>
      <c r="C63" s="2055" t="s">
        <v>1841</v>
      </c>
      <c r="D63" s="2054">
        <v>336</v>
      </c>
      <c r="E63" s="2054">
        <v>10</v>
      </c>
      <c r="F63" s="2056" t="s">
        <v>1791</v>
      </c>
      <c r="G63" s="2056" t="str">
        <f t="shared" si="0"/>
        <v>336.10d</v>
      </c>
      <c r="H63" s="2056" t="s">
        <v>1834</v>
      </c>
      <c r="I63" s="2057">
        <v>1035064</v>
      </c>
      <c r="J63" s="2057">
        <v>1067414</v>
      </c>
      <c r="K63" s="2057">
        <v>706273</v>
      </c>
      <c r="L63" s="2050"/>
      <c r="M63" s="2050"/>
      <c r="N63" s="2050"/>
      <c r="O63" s="2050"/>
    </row>
    <row r="64" spans="1:15">
      <c r="A64" s="2050"/>
      <c r="B64" s="2054">
        <f t="shared" si="1"/>
        <v>59</v>
      </c>
      <c r="C64" s="2055" t="s">
        <v>1842</v>
      </c>
      <c r="D64" s="2054">
        <v>354</v>
      </c>
      <c r="E64" s="2054">
        <v>21</v>
      </c>
      <c r="F64" s="2056" t="s">
        <v>1775</v>
      </c>
      <c r="G64" s="2056" t="str">
        <f t="shared" si="0"/>
        <v>354.21b</v>
      </c>
      <c r="H64" s="2056" t="s">
        <v>1843</v>
      </c>
      <c r="I64" s="2057">
        <v>26634206</v>
      </c>
      <c r="J64" s="2057">
        <v>26690861</v>
      </c>
      <c r="K64" s="2057">
        <v>26859544</v>
      </c>
      <c r="L64" s="2050"/>
      <c r="M64" s="2050"/>
      <c r="N64" s="2050"/>
      <c r="O64" s="2050"/>
    </row>
    <row r="65" spans="1:15">
      <c r="A65" s="2050"/>
      <c r="B65" s="2054">
        <f t="shared" si="1"/>
        <v>60</v>
      </c>
      <c r="C65" s="2055" t="s">
        <v>1844</v>
      </c>
      <c r="D65" s="2054">
        <v>354</v>
      </c>
      <c r="E65" s="2054">
        <v>27</v>
      </c>
      <c r="F65" s="2056" t="s">
        <v>1775</v>
      </c>
      <c r="G65" s="2056" t="str">
        <f t="shared" si="0"/>
        <v>354.27b</v>
      </c>
      <c r="H65" s="2056" t="s">
        <v>1843</v>
      </c>
      <c r="I65" s="2057">
        <v>42557961</v>
      </c>
      <c r="J65" s="2057">
        <v>43863713</v>
      </c>
      <c r="K65" s="2057">
        <v>42795683</v>
      </c>
      <c r="L65" s="2050"/>
      <c r="M65" s="2050"/>
      <c r="N65" s="2050"/>
      <c r="O65" s="2050"/>
    </row>
    <row r="66" spans="1:15">
      <c r="A66" s="2050"/>
      <c r="B66" s="2054">
        <f t="shared" si="1"/>
        <v>61</v>
      </c>
      <c r="C66" s="2055" t="s">
        <v>1845</v>
      </c>
      <c r="D66" s="2060">
        <v>354</v>
      </c>
      <c r="E66" s="2060">
        <v>28</v>
      </c>
      <c r="F66" s="2061" t="s">
        <v>1775</v>
      </c>
      <c r="G66" s="2061" t="str">
        <f>D66&amp;"."&amp;E66&amp;F66</f>
        <v>354.28b</v>
      </c>
      <c r="H66" s="2061" t="s">
        <v>1843</v>
      </c>
      <c r="I66" s="2057">
        <v>356448651</v>
      </c>
      <c r="J66" s="2057">
        <v>351120432</v>
      </c>
      <c r="K66" s="2057">
        <v>362000992</v>
      </c>
      <c r="L66" s="2050"/>
      <c r="M66" s="2050"/>
      <c r="N66" s="2050"/>
      <c r="O66" s="2050"/>
    </row>
    <row r="67" spans="1:15">
      <c r="A67" s="2050"/>
      <c r="B67" s="2050"/>
      <c r="C67" s="2050"/>
      <c r="D67" s="2050"/>
      <c r="E67" s="2050"/>
      <c r="F67" s="2050"/>
      <c r="G67" s="2050"/>
      <c r="H67" s="2050"/>
      <c r="I67" s="2050"/>
      <c r="J67" s="2050"/>
      <c r="K67" s="2050"/>
      <c r="L67" s="2050"/>
      <c r="M67" s="2050"/>
      <c r="N67" s="2050"/>
      <c r="O67" s="2050"/>
    </row>
  </sheetData>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01"/>
  <sheetViews>
    <sheetView topLeftCell="E1" workbookViewId="0">
      <selection activeCell="J19" sqref="J19"/>
    </sheetView>
  </sheetViews>
  <sheetFormatPr defaultRowHeight="14.25"/>
  <cols>
    <col min="1" max="2" width="10.85546875" style="517" customWidth="1"/>
    <col min="3" max="3" width="59.140625" style="578" customWidth="1"/>
    <col min="4" max="4" width="18.5703125" style="474" customWidth="1"/>
    <col min="5" max="8" width="18.5703125" style="2191" customWidth="1"/>
    <col min="9" max="9" width="18.5703125" style="578" customWidth="1"/>
    <col min="10" max="10" width="80.5703125" style="474" customWidth="1"/>
    <col min="11" max="16384" width="9.140625" style="474"/>
  </cols>
  <sheetData>
    <row r="1" spans="1:10" ht="18">
      <c r="A1" s="471" t="s">
        <v>2</v>
      </c>
      <c r="B1" s="471"/>
      <c r="C1" s="472"/>
      <c r="D1" s="473"/>
      <c r="E1" s="473"/>
      <c r="F1" s="473"/>
      <c r="G1" s="473"/>
      <c r="H1" s="473"/>
      <c r="I1" s="473"/>
      <c r="J1" s="473"/>
    </row>
    <row r="2" spans="1:10" ht="15.75">
      <c r="A2" s="475" t="s">
        <v>335</v>
      </c>
      <c r="B2" s="475"/>
      <c r="C2" s="476"/>
      <c r="D2" s="477"/>
      <c r="E2" s="477"/>
      <c r="F2" s="477"/>
      <c r="G2" s="477"/>
      <c r="H2" s="477"/>
      <c r="I2" s="477"/>
      <c r="J2" s="477"/>
    </row>
    <row r="3" spans="1:10">
      <c r="A3" s="478" t="s">
        <v>336</v>
      </c>
      <c r="B3" s="479"/>
      <c r="C3" s="480"/>
      <c r="D3" s="481"/>
      <c r="E3" s="481"/>
      <c r="F3" s="481"/>
      <c r="G3" s="481"/>
      <c r="H3" s="481"/>
      <c r="I3" s="480"/>
      <c r="J3" s="478"/>
    </row>
    <row r="4" spans="1:10" s="487" customFormat="1" ht="15">
      <c r="A4" s="482"/>
      <c r="B4" s="482"/>
      <c r="C4" s="508"/>
      <c r="D4" s="484"/>
      <c r="E4" s="485"/>
      <c r="F4" s="485"/>
      <c r="G4" s="485"/>
      <c r="H4" s="486"/>
      <c r="I4" s="485"/>
      <c r="J4" s="486"/>
    </row>
    <row r="5" spans="1:10" s="487" customFormat="1" ht="15">
      <c r="A5" s="482"/>
      <c r="B5" s="482"/>
      <c r="C5" s="508"/>
      <c r="D5" s="484"/>
      <c r="E5" s="486"/>
      <c r="F5" s="486"/>
      <c r="G5" s="486"/>
      <c r="H5" s="486"/>
      <c r="I5" s="486"/>
      <c r="J5" s="486"/>
    </row>
    <row r="6" spans="1:10" s="487" customFormat="1" ht="32.25" thickBot="1">
      <c r="A6" s="488" t="s">
        <v>287</v>
      </c>
      <c r="B6" s="488"/>
      <c r="C6" s="488" t="s">
        <v>288</v>
      </c>
      <c r="D6" s="489" t="s">
        <v>316</v>
      </c>
      <c r="E6" s="490" t="s">
        <v>337</v>
      </c>
      <c r="F6" s="490" t="s">
        <v>338</v>
      </c>
      <c r="G6" s="490" t="s">
        <v>339</v>
      </c>
      <c r="H6" s="489" t="s">
        <v>340</v>
      </c>
      <c r="I6" s="489" t="s">
        <v>341</v>
      </c>
      <c r="J6" s="490" t="s">
        <v>342</v>
      </c>
    </row>
    <row r="7" spans="1:10" s="487" customFormat="1" ht="15.75">
      <c r="A7" s="491"/>
      <c r="B7" s="491"/>
      <c r="C7" s="491" t="s">
        <v>343</v>
      </c>
      <c r="D7" s="492" t="s">
        <v>344</v>
      </c>
      <c r="E7" s="492"/>
      <c r="F7" s="492"/>
      <c r="G7" s="492" t="s">
        <v>345</v>
      </c>
      <c r="H7" s="492" t="s">
        <v>346</v>
      </c>
      <c r="I7" s="492" t="s">
        <v>347</v>
      </c>
      <c r="J7" s="492" t="s">
        <v>348</v>
      </c>
    </row>
    <row r="8" spans="1:10">
      <c r="A8" s="482"/>
      <c r="B8" s="482"/>
      <c r="C8" s="508"/>
      <c r="D8" s="493"/>
      <c r="E8" s="494"/>
      <c r="F8" s="494"/>
      <c r="G8" s="494"/>
      <c r="H8" s="494"/>
      <c r="I8" s="494"/>
      <c r="J8" s="493"/>
    </row>
    <row r="9" spans="1:10">
      <c r="A9" s="482"/>
      <c r="B9" s="482"/>
      <c r="C9" s="508"/>
      <c r="D9" s="493"/>
      <c r="E9" s="494"/>
      <c r="F9" s="494"/>
      <c r="G9" s="494"/>
      <c r="H9" s="494"/>
      <c r="I9" s="494"/>
      <c r="J9" s="493"/>
    </row>
    <row r="10" spans="1:10">
      <c r="A10" s="495">
        <v>1</v>
      </c>
      <c r="B10" s="496"/>
      <c r="C10" s="508" t="s">
        <v>349</v>
      </c>
      <c r="D10" s="497" t="s">
        <v>350</v>
      </c>
      <c r="E10" s="498">
        <f>E288</f>
        <v>-4040256109.6499996</v>
      </c>
      <c r="F10" s="498">
        <f>F288</f>
        <v>-2672524670.6499996</v>
      </c>
      <c r="G10" s="498">
        <f>+G288</f>
        <v>-1140859478</v>
      </c>
      <c r="H10" s="498">
        <f>+H288</f>
        <v>20431871</v>
      </c>
      <c r="I10" s="498">
        <f>+I288</f>
        <v>-247303832</v>
      </c>
      <c r="J10" s="499"/>
    </row>
    <row r="11" spans="1:10">
      <c r="A11" s="496">
        <f t="shared" ref="A11:A16" si="0">A10+1</f>
        <v>2</v>
      </c>
      <c r="B11" s="496"/>
      <c r="C11" s="508" t="s">
        <v>351</v>
      </c>
      <c r="D11" s="497" t="s">
        <v>352</v>
      </c>
      <c r="E11" s="498">
        <f>E196</f>
        <v>-180339430</v>
      </c>
      <c r="F11" s="498">
        <f>F196</f>
        <v>-180339430</v>
      </c>
      <c r="G11" s="498">
        <v>0</v>
      </c>
      <c r="H11" s="498">
        <f>H196</f>
        <v>0</v>
      </c>
      <c r="I11" s="498">
        <v>0</v>
      </c>
      <c r="J11" s="499"/>
    </row>
    <row r="12" spans="1:10">
      <c r="A12" s="496">
        <f t="shared" si="0"/>
        <v>3</v>
      </c>
      <c r="B12" s="496"/>
      <c r="C12" s="508" t="s">
        <v>353</v>
      </c>
      <c r="D12" s="497" t="s">
        <v>354</v>
      </c>
      <c r="E12" s="498">
        <f>E412</f>
        <v>-285780597</v>
      </c>
      <c r="F12" s="498">
        <f>F412</f>
        <v>-278408762</v>
      </c>
      <c r="G12" s="498">
        <f>+G412</f>
        <v>0</v>
      </c>
      <c r="H12" s="498">
        <f>+H412</f>
        <v>-6842227</v>
      </c>
      <c r="I12" s="498">
        <f>+I412</f>
        <v>-529608</v>
      </c>
      <c r="J12" s="499"/>
    </row>
    <row r="13" spans="1:10">
      <c r="A13" s="496">
        <f t="shared" si="0"/>
        <v>4</v>
      </c>
      <c r="B13" s="496"/>
      <c r="C13" s="508" t="s">
        <v>355</v>
      </c>
      <c r="D13" s="497" t="s">
        <v>356</v>
      </c>
      <c r="E13" s="500">
        <f>E170</f>
        <v>443224621</v>
      </c>
      <c r="F13" s="500">
        <f>F170</f>
        <v>421125303</v>
      </c>
      <c r="G13" s="500">
        <f>+G170</f>
        <v>574232</v>
      </c>
      <c r="H13" s="500">
        <f>+H170</f>
        <v>0</v>
      </c>
      <c r="I13" s="500">
        <f>+I170</f>
        <v>21525086</v>
      </c>
      <c r="J13" s="499"/>
    </row>
    <row r="14" spans="1:10" ht="14.25" customHeight="1">
      <c r="A14" s="496">
        <f t="shared" si="0"/>
        <v>5</v>
      </c>
      <c r="B14" s="496"/>
      <c r="C14" s="508" t="s">
        <v>357</v>
      </c>
      <c r="D14" s="499" t="s">
        <v>358</v>
      </c>
      <c r="E14" s="498">
        <f>SUM(E10:E13)</f>
        <v>-4063151515.6499996</v>
      </c>
      <c r="F14" s="498">
        <f>SUM(F10:F13)</f>
        <v>-2710147559.6499996</v>
      </c>
      <c r="G14" s="498">
        <f>SUM(G10:G13)</f>
        <v>-1140285246</v>
      </c>
      <c r="H14" s="498">
        <f>SUM(H10:H13)</f>
        <v>13589644</v>
      </c>
      <c r="I14" s="498">
        <f>SUM(I10:I13)</f>
        <v>-226308354</v>
      </c>
      <c r="J14" s="499"/>
    </row>
    <row r="15" spans="1:10" ht="14.25" customHeight="1">
      <c r="A15" s="496">
        <f t="shared" si="0"/>
        <v>6</v>
      </c>
      <c r="B15" s="496"/>
      <c r="C15" s="508" t="s">
        <v>359</v>
      </c>
      <c r="D15" s="497" t="s">
        <v>360</v>
      </c>
      <c r="E15" s="494"/>
      <c r="F15" s="494"/>
      <c r="G15" s="501">
        <v>1</v>
      </c>
      <c r="H15" s="501">
        <f>Allocator.net.plant</f>
        <v>0.27227320599025778</v>
      </c>
      <c r="I15" s="501">
        <f>Allocator.wages.salary</f>
        <v>8.414504158513228E-2</v>
      </c>
      <c r="J15" s="493"/>
    </row>
    <row r="16" spans="1:10">
      <c r="A16" s="496">
        <f t="shared" si="0"/>
        <v>7</v>
      </c>
      <c r="B16" s="496"/>
      <c r="C16" s="508" t="s">
        <v>361</v>
      </c>
      <c r="D16" s="497" t="str">
        <f>"Line "&amp;A14&amp;" * Allocator"</f>
        <v>Line 5 * Allocator</v>
      </c>
      <c r="E16" s="502"/>
      <c r="F16" s="502"/>
      <c r="G16" s="498">
        <f>G14</f>
        <v>-1140285246</v>
      </c>
      <c r="H16" s="498">
        <f>H15*H14</f>
        <v>3700095.9401462707</v>
      </c>
      <c r="I16" s="498">
        <f>I15*I14</f>
        <v>-19042725.858392838</v>
      </c>
      <c r="J16" s="503"/>
    </row>
    <row r="17" spans="1:10">
      <c r="A17" s="496"/>
      <c r="B17" s="496"/>
      <c r="C17" s="508"/>
      <c r="D17" s="497"/>
      <c r="E17" s="497"/>
      <c r="F17" s="497"/>
      <c r="H17" s="498"/>
      <c r="I17" s="498"/>
      <c r="J17" s="569"/>
    </row>
    <row r="18" spans="1:10">
      <c r="A18" s="496"/>
      <c r="B18" s="482"/>
      <c r="C18" s="508"/>
      <c r="D18" s="493"/>
      <c r="E18" s="494"/>
      <c r="F18" s="494"/>
      <c r="H18" s="494"/>
      <c r="I18" s="494"/>
      <c r="J18" s="494"/>
    </row>
    <row r="19" spans="1:10">
      <c r="A19" s="496">
        <v>8</v>
      </c>
      <c r="B19" s="508"/>
      <c r="C19" s="483" t="s">
        <v>342</v>
      </c>
      <c r="D19" s="493" t="s">
        <v>362</v>
      </c>
      <c r="E19" s="494"/>
      <c r="F19" s="494"/>
      <c r="H19" s="498"/>
      <c r="I19" s="505" t="s">
        <v>363</v>
      </c>
      <c r="J19" s="2194">
        <f>SUM(G16:I16)</f>
        <v>-1155627875.9182467</v>
      </c>
    </row>
    <row r="20" spans="1:10">
      <c r="A20" s="482"/>
      <c r="B20" s="482"/>
      <c r="D20" s="493"/>
      <c r="E20" s="494"/>
      <c r="F20" s="494"/>
      <c r="G20" s="494"/>
      <c r="H20" s="494"/>
      <c r="I20" s="494"/>
      <c r="J20" s="487"/>
    </row>
    <row r="21" spans="1:10" ht="12.75">
      <c r="A21" s="506"/>
      <c r="B21" s="506"/>
      <c r="C21" s="506"/>
      <c r="D21" s="487"/>
      <c r="E21" s="506"/>
      <c r="F21" s="506"/>
      <c r="G21" s="506"/>
      <c r="H21" s="506"/>
      <c r="I21" s="506"/>
      <c r="J21" s="487"/>
    </row>
    <row r="22" spans="1:10" ht="15">
      <c r="A22" s="507" t="s">
        <v>364</v>
      </c>
      <c r="B22" s="507"/>
      <c r="C22" s="508"/>
      <c r="D22" s="493"/>
      <c r="E22" s="494"/>
      <c r="F22" s="494"/>
      <c r="G22" s="494"/>
      <c r="H22" s="494"/>
      <c r="I22" s="508"/>
      <c r="J22" s="487"/>
    </row>
    <row r="23" spans="1:10" ht="15">
      <c r="A23" s="507" t="s">
        <v>365</v>
      </c>
      <c r="B23" s="507"/>
      <c r="C23" s="508"/>
      <c r="D23" s="493"/>
      <c r="E23" s="494"/>
      <c r="F23" s="494"/>
      <c r="G23" s="494"/>
      <c r="H23" s="494"/>
      <c r="I23" s="508"/>
      <c r="J23" s="487"/>
    </row>
    <row r="24" spans="1:10" ht="15">
      <c r="A24" s="482"/>
      <c r="B24" s="482"/>
      <c r="C24" s="509"/>
      <c r="D24" s="510"/>
      <c r="E24" s="510"/>
      <c r="F24" s="510"/>
      <c r="G24" s="510"/>
      <c r="H24" s="510"/>
      <c r="I24" s="508"/>
      <c r="J24" s="487"/>
    </row>
    <row r="25" spans="1:10" ht="15">
      <c r="A25" s="507" t="s">
        <v>366</v>
      </c>
      <c r="B25" s="507"/>
      <c r="C25" s="508"/>
      <c r="D25" s="493"/>
      <c r="E25" s="494"/>
      <c r="F25" s="494"/>
      <c r="G25" s="494"/>
      <c r="H25" s="511"/>
      <c r="I25" s="508"/>
      <c r="J25" s="487"/>
    </row>
    <row r="26" spans="1:10" ht="15">
      <c r="A26" s="491"/>
      <c r="B26" s="491"/>
      <c r="C26" s="512" t="s">
        <v>234</v>
      </c>
      <c r="D26" s="513"/>
      <c r="E26" s="512" t="s">
        <v>237</v>
      </c>
      <c r="F26" s="512" t="s">
        <v>239</v>
      </c>
      <c r="G26" s="512" t="s">
        <v>240</v>
      </c>
      <c r="H26" s="512" t="s">
        <v>242</v>
      </c>
      <c r="I26" s="512" t="s">
        <v>244</v>
      </c>
      <c r="J26" s="512" t="s">
        <v>246</v>
      </c>
    </row>
    <row r="27" spans="1:10" s="487" customFormat="1">
      <c r="A27" s="482"/>
      <c r="B27" s="482"/>
      <c r="C27" s="578"/>
      <c r="D27" s="504"/>
      <c r="E27" s="506"/>
      <c r="F27" s="514" t="s">
        <v>367</v>
      </c>
      <c r="G27" s="506"/>
      <c r="H27" s="514"/>
      <c r="I27" s="514"/>
      <c r="J27" s="504"/>
    </row>
    <row r="28" spans="1:10" s="487" customFormat="1">
      <c r="A28" s="578"/>
      <c r="B28" s="578"/>
      <c r="C28" s="578"/>
      <c r="D28" s="504"/>
      <c r="E28" s="514" t="s">
        <v>115</v>
      </c>
      <c r="F28" s="514" t="s">
        <v>368</v>
      </c>
      <c r="G28" s="514" t="s">
        <v>369</v>
      </c>
      <c r="H28" s="514" t="s">
        <v>370</v>
      </c>
      <c r="I28" s="514" t="s">
        <v>371</v>
      </c>
      <c r="J28" s="504"/>
    </row>
    <row r="29" spans="1:10" s="487" customFormat="1" ht="15">
      <c r="A29" s="507" t="s">
        <v>288</v>
      </c>
      <c r="B29" s="507"/>
      <c r="C29" s="515" t="s">
        <v>372</v>
      </c>
      <c r="D29" s="515"/>
      <c r="E29" s="514" t="s">
        <v>373</v>
      </c>
      <c r="F29" s="514" t="s">
        <v>374</v>
      </c>
      <c r="G29" s="514" t="s">
        <v>374</v>
      </c>
      <c r="H29" s="514" t="s">
        <v>374</v>
      </c>
      <c r="I29" s="514" t="s">
        <v>374</v>
      </c>
      <c r="J29" s="516" t="s">
        <v>375</v>
      </c>
    </row>
    <row r="30" spans="1:10">
      <c r="D30" s="504"/>
      <c r="E30" s="506"/>
      <c r="F30" s="506"/>
      <c r="G30" s="506"/>
      <c r="H30" s="506"/>
      <c r="I30" s="506"/>
      <c r="J30" s="504"/>
    </row>
    <row r="31" spans="1:10" ht="15">
      <c r="A31" s="2102" t="s">
        <v>376</v>
      </c>
      <c r="B31" s="2103"/>
      <c r="C31" s="2103"/>
      <c r="D31" s="2104"/>
      <c r="E31" s="2105"/>
      <c r="F31" s="2105"/>
      <c r="G31" s="2105"/>
      <c r="H31" s="2105"/>
      <c r="I31" s="2105"/>
      <c r="J31" s="2106"/>
    </row>
    <row r="32" spans="1:10" ht="12.75">
      <c r="A32" s="2107" t="s">
        <v>377</v>
      </c>
      <c r="B32" s="2108"/>
      <c r="C32" s="2109"/>
      <c r="D32" s="2110"/>
      <c r="E32" s="2111"/>
      <c r="F32" s="2111"/>
      <c r="G32" s="2111"/>
      <c r="H32" s="2111"/>
      <c r="I32" s="2111"/>
      <c r="J32" s="2112"/>
    </row>
    <row r="33" spans="1:10" ht="25.5">
      <c r="A33" s="2097">
        <v>287414</v>
      </c>
      <c r="B33" s="2098">
        <v>505.41399999999999</v>
      </c>
      <c r="C33" s="2099" t="s">
        <v>837</v>
      </c>
      <c r="D33" s="2100"/>
      <c r="E33" s="2113">
        <v>477822</v>
      </c>
      <c r="F33" s="2113">
        <v>0</v>
      </c>
      <c r="G33" s="2113">
        <v>0</v>
      </c>
      <c r="H33" s="2113">
        <v>0</v>
      </c>
      <c r="I33" s="2113">
        <v>477822</v>
      </c>
      <c r="J33" s="2101" t="s">
        <v>838</v>
      </c>
    </row>
    <row r="34" spans="1:10" ht="25.5">
      <c r="A34" s="2097">
        <v>287220</v>
      </c>
      <c r="B34" s="2098">
        <v>720.56</v>
      </c>
      <c r="C34" s="2099" t="s">
        <v>378</v>
      </c>
      <c r="D34" s="2100"/>
      <c r="E34" s="2113">
        <v>28303872</v>
      </c>
      <c r="F34" s="2113">
        <v>28303872</v>
      </c>
      <c r="G34" s="2113">
        <v>0</v>
      </c>
      <c r="H34" s="2113">
        <v>0</v>
      </c>
      <c r="I34" s="2113">
        <v>0</v>
      </c>
      <c r="J34" s="2101" t="s">
        <v>379</v>
      </c>
    </row>
    <row r="35" spans="1:10" ht="25.5">
      <c r="A35" s="2097">
        <v>287300</v>
      </c>
      <c r="B35" s="2098">
        <v>920.18200000000002</v>
      </c>
      <c r="C35" s="2099" t="s">
        <v>380</v>
      </c>
      <c r="D35" s="2100"/>
      <c r="E35" s="2113">
        <v>5102064</v>
      </c>
      <c r="F35" s="2113">
        <v>0</v>
      </c>
      <c r="G35" s="2113">
        <v>0</v>
      </c>
      <c r="H35" s="2113">
        <v>0</v>
      </c>
      <c r="I35" s="2113">
        <v>5102064</v>
      </c>
      <c r="J35" s="2101" t="s">
        <v>381</v>
      </c>
    </row>
    <row r="36" spans="1:10" ht="30">
      <c r="A36" s="2097">
        <v>287323</v>
      </c>
      <c r="B36" s="2098">
        <v>505.4</v>
      </c>
      <c r="C36" s="2099" t="s">
        <v>382</v>
      </c>
      <c r="D36" s="2100"/>
      <c r="E36" s="2113">
        <v>34404</v>
      </c>
      <c r="F36" s="2113">
        <v>0</v>
      </c>
      <c r="G36" s="2113">
        <v>0</v>
      </c>
      <c r="H36" s="2113">
        <v>0</v>
      </c>
      <c r="I36" s="2113">
        <v>34404</v>
      </c>
      <c r="J36" s="2114" t="s">
        <v>383</v>
      </c>
    </row>
    <row r="37" spans="1:10" ht="15">
      <c r="A37" s="2097">
        <v>287324</v>
      </c>
      <c r="B37" s="2098">
        <v>720.2</v>
      </c>
      <c r="C37" s="2099" t="s">
        <v>384</v>
      </c>
      <c r="D37" s="2100"/>
      <c r="E37" s="2113">
        <v>2116778</v>
      </c>
      <c r="F37" s="2113">
        <v>0</v>
      </c>
      <c r="G37" s="2113">
        <v>0</v>
      </c>
      <c r="H37" s="2113">
        <v>0</v>
      </c>
      <c r="I37" s="2113">
        <v>2116778</v>
      </c>
      <c r="J37" s="2101" t="s">
        <v>385</v>
      </c>
    </row>
    <row r="38" spans="1:10" ht="45">
      <c r="A38" s="2097">
        <v>287326</v>
      </c>
      <c r="B38" s="2098">
        <v>720.5</v>
      </c>
      <c r="C38" s="2099" t="s">
        <v>386</v>
      </c>
      <c r="D38" s="2100"/>
      <c r="E38" s="2113">
        <v>326417</v>
      </c>
      <c r="F38" s="2113">
        <v>0</v>
      </c>
      <c r="G38" s="2113">
        <v>0</v>
      </c>
      <c r="H38" s="2113">
        <v>0</v>
      </c>
      <c r="I38" s="2113">
        <v>326417</v>
      </c>
      <c r="J38" s="2114" t="s">
        <v>387</v>
      </c>
    </row>
    <row r="39" spans="1:10" ht="25.5">
      <c r="A39" s="2097">
        <v>287327</v>
      </c>
      <c r="B39" s="2098">
        <v>720.3</v>
      </c>
      <c r="C39" s="2099" t="s">
        <v>388</v>
      </c>
      <c r="D39" s="2100"/>
      <c r="E39" s="2113">
        <v>415630</v>
      </c>
      <c r="F39" s="2113">
        <v>415630</v>
      </c>
      <c r="G39" s="2113">
        <v>0</v>
      </c>
      <c r="H39" s="2113">
        <v>0</v>
      </c>
      <c r="I39" s="2113">
        <v>0</v>
      </c>
      <c r="J39" s="2101" t="s">
        <v>389</v>
      </c>
    </row>
    <row r="40" spans="1:10" ht="30">
      <c r="A40" s="2097">
        <v>287332</v>
      </c>
      <c r="B40" s="2098">
        <v>505.6</v>
      </c>
      <c r="C40" s="2099" t="s">
        <v>390</v>
      </c>
      <c r="D40" s="2100"/>
      <c r="E40" s="2113">
        <v>6431421</v>
      </c>
      <c r="F40" s="2113">
        <v>0</v>
      </c>
      <c r="G40" s="2113">
        <v>0</v>
      </c>
      <c r="H40" s="2113">
        <v>0</v>
      </c>
      <c r="I40" s="2113">
        <v>6431421</v>
      </c>
      <c r="J40" s="2114" t="s">
        <v>391</v>
      </c>
    </row>
    <row r="41" spans="1:10" ht="25.5">
      <c r="A41" s="2097">
        <v>287373</v>
      </c>
      <c r="B41" s="2098">
        <v>910.58</v>
      </c>
      <c r="C41" s="2099" t="s">
        <v>392</v>
      </c>
      <c r="D41" s="2100"/>
      <c r="E41" s="2113">
        <v>654818</v>
      </c>
      <c r="F41" s="2113">
        <v>0</v>
      </c>
      <c r="G41" s="2113">
        <v>0</v>
      </c>
      <c r="H41" s="2113">
        <v>0</v>
      </c>
      <c r="I41" s="2113">
        <v>654818</v>
      </c>
      <c r="J41" s="2101" t="s">
        <v>393</v>
      </c>
    </row>
    <row r="42" spans="1:10" ht="15">
      <c r="A42" s="2097">
        <v>287399</v>
      </c>
      <c r="B42" s="2098">
        <v>920.15</v>
      </c>
      <c r="C42" s="2099" t="s">
        <v>394</v>
      </c>
      <c r="D42" s="2100"/>
      <c r="E42" s="2113">
        <v>6381362</v>
      </c>
      <c r="F42" s="2113">
        <v>0</v>
      </c>
      <c r="G42" s="2113">
        <v>0</v>
      </c>
      <c r="H42" s="2113">
        <v>0</v>
      </c>
      <c r="I42" s="2113">
        <v>6381362</v>
      </c>
      <c r="J42" s="2101" t="s">
        <v>395</v>
      </c>
    </row>
    <row r="43" spans="1:10" ht="38.25">
      <c r="A43" s="2097">
        <v>287447</v>
      </c>
      <c r="B43" s="2098">
        <v>720.83</v>
      </c>
      <c r="C43" s="2099" t="s">
        <v>396</v>
      </c>
      <c r="D43" s="2100"/>
      <c r="E43" s="2113">
        <v>2576430</v>
      </c>
      <c r="F43" s="2113">
        <v>0</v>
      </c>
      <c r="G43" s="2113">
        <v>0</v>
      </c>
      <c r="H43" s="2113">
        <v>0</v>
      </c>
      <c r="I43" s="2113">
        <v>2576430</v>
      </c>
      <c r="J43" s="2101" t="s">
        <v>397</v>
      </c>
    </row>
    <row r="44" spans="1:10" ht="12.75">
      <c r="A44" s="2097">
        <v>287460</v>
      </c>
      <c r="B44" s="2098">
        <v>720.8</v>
      </c>
      <c r="C44" s="2115" t="s">
        <v>398</v>
      </c>
      <c r="D44" s="2100"/>
      <c r="E44" s="2113">
        <v>27208050</v>
      </c>
      <c r="F44" s="2113">
        <v>27208050</v>
      </c>
      <c r="G44" s="2113">
        <v>0</v>
      </c>
      <c r="H44" s="2113">
        <v>0</v>
      </c>
      <c r="I44" s="2113">
        <v>0</v>
      </c>
      <c r="J44" s="2101" t="s">
        <v>399</v>
      </c>
    </row>
    <row r="45" spans="1:10" ht="25.5">
      <c r="A45" s="2097">
        <v>287461</v>
      </c>
      <c r="B45" s="2098">
        <v>720.81</v>
      </c>
      <c r="C45" s="2099" t="s">
        <v>400</v>
      </c>
      <c r="D45" s="2100"/>
      <c r="E45" s="2113">
        <v>1071390</v>
      </c>
      <c r="F45" s="2113">
        <v>1071390</v>
      </c>
      <c r="G45" s="2113">
        <v>0</v>
      </c>
      <c r="H45" s="2113">
        <v>0</v>
      </c>
      <c r="I45" s="2113">
        <v>0</v>
      </c>
      <c r="J45" s="2101" t="s">
        <v>2302</v>
      </c>
    </row>
    <row r="46" spans="1:10" ht="15">
      <c r="A46" s="2097">
        <v>287462</v>
      </c>
      <c r="B46" s="2098">
        <v>720.82</v>
      </c>
      <c r="C46" s="2099" t="s">
        <v>401</v>
      </c>
      <c r="D46" s="2100"/>
      <c r="E46" s="2113">
        <v>12970711</v>
      </c>
      <c r="F46" s="2113">
        <v>12970711</v>
      </c>
      <c r="G46" s="2113">
        <v>0</v>
      </c>
      <c r="H46" s="2113">
        <v>0</v>
      </c>
      <c r="I46" s="2113">
        <v>0</v>
      </c>
      <c r="J46" s="2101" t="s">
        <v>402</v>
      </c>
    </row>
    <row r="47" spans="1:10" ht="12.75">
      <c r="A47" s="2107" t="s">
        <v>403</v>
      </c>
      <c r="B47" s="2108"/>
      <c r="C47" s="2109"/>
      <c r="D47" s="2100"/>
      <c r="E47" s="2113">
        <v>0</v>
      </c>
      <c r="F47" s="2113">
        <v>0</v>
      </c>
      <c r="G47" s="2113">
        <v>0</v>
      </c>
      <c r="H47" s="2113">
        <v>0</v>
      </c>
      <c r="I47" s="2113">
        <v>0</v>
      </c>
      <c r="J47" s="2101"/>
    </row>
    <row r="48" spans="1:10" ht="25.5">
      <c r="A48" s="2097">
        <v>287336</v>
      </c>
      <c r="B48" s="2098">
        <v>730.12</v>
      </c>
      <c r="C48" s="2109" t="s">
        <v>404</v>
      </c>
      <c r="D48" s="2100"/>
      <c r="E48" s="2113">
        <v>24031255</v>
      </c>
      <c r="F48" s="2113">
        <v>24031255</v>
      </c>
      <c r="G48" s="2113">
        <v>0</v>
      </c>
      <c r="H48" s="2113">
        <v>0</v>
      </c>
      <c r="I48" s="2113">
        <v>0</v>
      </c>
      <c r="J48" s="2101" t="s">
        <v>405</v>
      </c>
    </row>
    <row r="49" spans="1:10" ht="25.5">
      <c r="A49" s="2097">
        <v>287249</v>
      </c>
      <c r="B49" s="2098">
        <v>415.839</v>
      </c>
      <c r="C49" s="2109" t="s">
        <v>406</v>
      </c>
      <c r="D49" s="2100"/>
      <c r="E49" s="2113">
        <v>21154826</v>
      </c>
      <c r="F49" s="2113">
        <v>21154826</v>
      </c>
      <c r="G49" s="2113">
        <v>0</v>
      </c>
      <c r="H49" s="2113">
        <v>0</v>
      </c>
      <c r="I49" s="2113">
        <v>0</v>
      </c>
      <c r="J49" s="2101" t="s">
        <v>407</v>
      </c>
    </row>
    <row r="50" spans="1:10" ht="12.75">
      <c r="A50" s="2107" t="s">
        <v>408</v>
      </c>
      <c r="B50" s="2108"/>
      <c r="C50" s="2109"/>
      <c r="D50" s="2100"/>
      <c r="E50" s="2113">
        <v>0</v>
      </c>
      <c r="F50" s="2113">
        <v>0</v>
      </c>
      <c r="G50" s="2113">
        <v>0</v>
      </c>
      <c r="H50" s="2113">
        <v>0</v>
      </c>
      <c r="I50" s="2113">
        <v>0</v>
      </c>
      <c r="J50" s="2101"/>
    </row>
    <row r="51" spans="1:10" ht="63.75">
      <c r="A51" s="2097">
        <v>287051</v>
      </c>
      <c r="B51" s="2211" t="s">
        <v>1863</v>
      </c>
      <c r="C51" s="2099" t="s">
        <v>1864</v>
      </c>
      <c r="D51" s="2100"/>
      <c r="E51" s="2113">
        <v>786756</v>
      </c>
      <c r="F51" s="2113">
        <v>786756</v>
      </c>
      <c r="G51" s="2113">
        <v>0</v>
      </c>
      <c r="H51" s="2113">
        <v>0</v>
      </c>
      <c r="I51" s="2113">
        <v>0</v>
      </c>
      <c r="J51" s="2101" t="s">
        <v>2303</v>
      </c>
    </row>
    <row r="52" spans="1:10" ht="63.75">
      <c r="A52" s="2097">
        <v>287052</v>
      </c>
      <c r="B52" s="2098">
        <v>705.43100000000004</v>
      </c>
      <c r="C52" s="2099" t="s">
        <v>1865</v>
      </c>
      <c r="D52" s="2100"/>
      <c r="E52" s="2113">
        <v>136624</v>
      </c>
      <c r="F52" s="2113">
        <v>136624</v>
      </c>
      <c r="G52" s="2113">
        <v>0</v>
      </c>
      <c r="H52" s="2113">
        <v>0</v>
      </c>
      <c r="I52" s="2113">
        <v>0</v>
      </c>
      <c r="J52" s="2101" t="s">
        <v>2303</v>
      </c>
    </row>
    <row r="53" spans="1:10" ht="63.75">
      <c r="A53" s="2097">
        <v>287053</v>
      </c>
      <c r="B53" s="2098">
        <v>705.34199999999998</v>
      </c>
      <c r="C53" s="2099" t="s">
        <v>1866</v>
      </c>
      <c r="D53" s="2100"/>
      <c r="E53" s="2113">
        <v>11938085</v>
      </c>
      <c r="F53" s="2113">
        <v>11938085</v>
      </c>
      <c r="G53" s="2113">
        <v>0</v>
      </c>
      <c r="H53" s="2113">
        <v>0</v>
      </c>
      <c r="I53" s="2113">
        <v>0</v>
      </c>
      <c r="J53" s="2101" t="s">
        <v>2303</v>
      </c>
    </row>
    <row r="54" spans="1:10" ht="63.75">
      <c r="A54" s="2097">
        <v>287054</v>
      </c>
      <c r="B54" s="2098">
        <v>705.34299999999996</v>
      </c>
      <c r="C54" s="2099" t="s">
        <v>1867</v>
      </c>
      <c r="D54" s="2100"/>
      <c r="E54" s="2113">
        <v>129816</v>
      </c>
      <c r="F54" s="2113">
        <v>129816</v>
      </c>
      <c r="G54" s="2113">
        <v>0</v>
      </c>
      <c r="H54" s="2113">
        <v>0</v>
      </c>
      <c r="I54" s="2113">
        <v>0</v>
      </c>
      <c r="J54" s="2101" t="s">
        <v>2303</v>
      </c>
    </row>
    <row r="55" spans="1:10" ht="63.75">
      <c r="A55" s="2097">
        <v>287055</v>
      </c>
      <c r="B55" s="2098">
        <v>705.34400000000005</v>
      </c>
      <c r="C55" s="2099" t="s">
        <v>1868</v>
      </c>
      <c r="D55" s="2100"/>
      <c r="E55" s="2113">
        <v>2090530</v>
      </c>
      <c r="F55" s="2113">
        <v>2090530</v>
      </c>
      <c r="G55" s="2113">
        <v>0</v>
      </c>
      <c r="H55" s="2113">
        <v>0</v>
      </c>
      <c r="I55" s="2113">
        <v>0</v>
      </c>
      <c r="J55" s="2101" t="s">
        <v>2303</v>
      </c>
    </row>
    <row r="56" spans="1:10" ht="63.75">
      <c r="A56" s="2097">
        <v>287056</v>
      </c>
      <c r="B56" s="2098">
        <v>705.34500000000003</v>
      </c>
      <c r="C56" s="2099" t="s">
        <v>1869</v>
      </c>
      <c r="D56" s="2100"/>
      <c r="E56" s="2113">
        <v>1721600</v>
      </c>
      <c r="F56" s="2113">
        <v>1721600</v>
      </c>
      <c r="G56" s="2113">
        <v>0</v>
      </c>
      <c r="H56" s="2113">
        <v>0</v>
      </c>
      <c r="I56" s="2113">
        <v>0</v>
      </c>
      <c r="J56" s="2101" t="s">
        <v>2303</v>
      </c>
    </row>
    <row r="57" spans="1:10" ht="102">
      <c r="A57" s="2097">
        <v>287061</v>
      </c>
      <c r="B57" s="2098">
        <v>705.346</v>
      </c>
      <c r="C57" s="2099" t="s">
        <v>1870</v>
      </c>
      <c r="D57" s="2100"/>
      <c r="E57" s="2113">
        <v>217738</v>
      </c>
      <c r="F57" s="2113">
        <v>217738</v>
      </c>
      <c r="G57" s="2113">
        <v>0</v>
      </c>
      <c r="H57" s="2113">
        <v>0</v>
      </c>
      <c r="I57" s="2113">
        <v>0</v>
      </c>
      <c r="J57" s="2101" t="s">
        <v>2304</v>
      </c>
    </row>
    <row r="58" spans="1:10" ht="102">
      <c r="A58" s="2097">
        <v>287062</v>
      </c>
      <c r="B58" s="2098">
        <v>705.34699999999998</v>
      </c>
      <c r="C58" s="2099" t="s">
        <v>1871</v>
      </c>
      <c r="D58" s="2100"/>
      <c r="E58" s="2113">
        <v>638875</v>
      </c>
      <c r="F58" s="2113">
        <v>638875</v>
      </c>
      <c r="G58" s="2113">
        <v>0</v>
      </c>
      <c r="H58" s="2113">
        <v>0</v>
      </c>
      <c r="I58" s="2113">
        <v>0</v>
      </c>
      <c r="J58" s="2101" t="s">
        <v>2304</v>
      </c>
    </row>
    <row r="59" spans="1:10" ht="102">
      <c r="A59" s="2097">
        <v>287063</v>
      </c>
      <c r="B59" s="2098">
        <v>705.34799999999996</v>
      </c>
      <c r="C59" s="2099" t="s">
        <v>1872</v>
      </c>
      <c r="D59" s="2100"/>
      <c r="E59" s="2113">
        <v>2567965</v>
      </c>
      <c r="F59" s="2113">
        <v>2567965</v>
      </c>
      <c r="G59" s="2113">
        <v>0</v>
      </c>
      <c r="H59" s="2113">
        <v>0</v>
      </c>
      <c r="I59" s="2113">
        <v>0</v>
      </c>
      <c r="J59" s="2101" t="s">
        <v>2304</v>
      </c>
    </row>
    <row r="60" spans="1:10" ht="102">
      <c r="A60" s="2097">
        <v>287064</v>
      </c>
      <c r="B60" s="2098">
        <v>705.34900000000005</v>
      </c>
      <c r="C60" s="2099" t="s">
        <v>1873</v>
      </c>
      <c r="D60" s="2100"/>
      <c r="E60" s="2113">
        <v>4473319</v>
      </c>
      <c r="F60" s="2113">
        <v>4473319</v>
      </c>
      <c r="G60" s="2113">
        <v>0</v>
      </c>
      <c r="H60" s="2113">
        <v>0</v>
      </c>
      <c r="I60" s="2113">
        <v>0</v>
      </c>
      <c r="J60" s="2101" t="s">
        <v>2304</v>
      </c>
    </row>
    <row r="61" spans="1:10" ht="102">
      <c r="A61" s="2097">
        <v>287065</v>
      </c>
      <c r="B61" s="2098">
        <v>705.35</v>
      </c>
      <c r="C61" s="2099" t="s">
        <v>1874</v>
      </c>
      <c r="D61" s="2100"/>
      <c r="E61" s="2113">
        <v>669635</v>
      </c>
      <c r="F61" s="2113">
        <v>669635</v>
      </c>
      <c r="G61" s="2113">
        <v>0</v>
      </c>
      <c r="H61" s="2113">
        <v>0</v>
      </c>
      <c r="I61" s="2113">
        <v>0</v>
      </c>
      <c r="J61" s="2101" t="s">
        <v>2304</v>
      </c>
    </row>
    <row r="62" spans="1:10" ht="102">
      <c r="A62" s="2097">
        <v>287066</v>
      </c>
      <c r="B62" s="2098">
        <v>705.351</v>
      </c>
      <c r="C62" s="2099" t="s">
        <v>1875</v>
      </c>
      <c r="D62" s="2100"/>
      <c r="E62" s="2113">
        <v>1430370</v>
      </c>
      <c r="F62" s="2113">
        <v>1430370</v>
      </c>
      <c r="G62" s="2113">
        <v>0</v>
      </c>
      <c r="H62" s="2113">
        <v>0</v>
      </c>
      <c r="I62" s="2113">
        <v>0</v>
      </c>
      <c r="J62" s="2101" t="s">
        <v>2304</v>
      </c>
    </row>
    <row r="63" spans="1:10" ht="135">
      <c r="A63" s="2097">
        <v>287184</v>
      </c>
      <c r="B63" s="2098">
        <v>705.60500000000002</v>
      </c>
      <c r="C63" s="2099" t="s">
        <v>1876</v>
      </c>
      <c r="D63" s="2100"/>
      <c r="E63" s="2113">
        <v>119860</v>
      </c>
      <c r="F63" s="2113">
        <v>119860</v>
      </c>
      <c r="G63" s="2113">
        <v>0</v>
      </c>
      <c r="H63" s="2113">
        <v>0</v>
      </c>
      <c r="I63" s="2113">
        <v>0</v>
      </c>
      <c r="J63" s="2114" t="s">
        <v>1877</v>
      </c>
    </row>
    <row r="64" spans="1:10" ht="15">
      <c r="A64" s="2097">
        <v>287186</v>
      </c>
      <c r="B64" s="2098" t="s">
        <v>515</v>
      </c>
      <c r="C64" s="2099" t="s">
        <v>1878</v>
      </c>
      <c r="D64" s="2100"/>
      <c r="E64" s="2113">
        <v>56455524</v>
      </c>
      <c r="F64" s="2113">
        <v>56455524</v>
      </c>
      <c r="G64" s="2113">
        <v>0</v>
      </c>
      <c r="H64" s="2113">
        <v>0</v>
      </c>
      <c r="I64" s="2113">
        <v>0</v>
      </c>
      <c r="J64" s="2114" t="s">
        <v>2305</v>
      </c>
    </row>
    <row r="65" spans="1:10" ht="127.5">
      <c r="A65" s="2097">
        <v>287188</v>
      </c>
      <c r="B65" s="2098" t="s">
        <v>839</v>
      </c>
      <c r="C65" s="2109" t="s">
        <v>840</v>
      </c>
      <c r="D65" s="2100"/>
      <c r="E65" s="2113">
        <v>365813273</v>
      </c>
      <c r="F65" s="2113">
        <v>365813273</v>
      </c>
      <c r="G65" s="2113">
        <v>0</v>
      </c>
      <c r="H65" s="2113">
        <v>0</v>
      </c>
      <c r="I65" s="2113">
        <v>0</v>
      </c>
      <c r="J65" s="2101" t="s">
        <v>2306</v>
      </c>
    </row>
    <row r="66" spans="1:10" ht="38.25">
      <c r="A66" s="2097">
        <v>287190</v>
      </c>
      <c r="B66" s="2098">
        <v>100.122</v>
      </c>
      <c r="C66" s="2117" t="s">
        <v>841</v>
      </c>
      <c r="D66" s="2100"/>
      <c r="E66" s="2113">
        <v>2488577</v>
      </c>
      <c r="F66" s="2113">
        <v>2488577</v>
      </c>
      <c r="G66" s="2113">
        <v>0</v>
      </c>
      <c r="H66" s="2113">
        <v>0</v>
      </c>
      <c r="I66" s="2113">
        <v>0</v>
      </c>
      <c r="J66" s="2101" t="s">
        <v>2307</v>
      </c>
    </row>
    <row r="67" spans="1:10" ht="45">
      <c r="A67" s="2097">
        <v>287191</v>
      </c>
      <c r="B67" s="2098">
        <v>705.28</v>
      </c>
      <c r="C67" s="2117" t="s">
        <v>842</v>
      </c>
      <c r="D67" s="2100"/>
      <c r="E67" s="2113">
        <v>272759</v>
      </c>
      <c r="F67" s="2113">
        <v>272759</v>
      </c>
      <c r="G67" s="2113">
        <v>0</v>
      </c>
      <c r="H67" s="2113">
        <v>0</v>
      </c>
      <c r="I67" s="2113">
        <v>0</v>
      </c>
      <c r="J67" s="2114" t="s">
        <v>843</v>
      </c>
    </row>
    <row r="68" spans="1:10" ht="45">
      <c r="A68" s="2097">
        <v>287192</v>
      </c>
      <c r="B68" s="2098">
        <v>705.28099999999995</v>
      </c>
      <c r="C68" s="2117" t="s">
        <v>844</v>
      </c>
      <c r="D68" s="2100"/>
      <c r="E68" s="2113">
        <v>396045</v>
      </c>
      <c r="F68" s="2113">
        <v>396045</v>
      </c>
      <c r="G68" s="2113">
        <v>0</v>
      </c>
      <c r="H68" s="2113">
        <v>0</v>
      </c>
      <c r="I68" s="2113">
        <v>0</v>
      </c>
      <c r="J68" s="2114" t="s">
        <v>845</v>
      </c>
    </row>
    <row r="69" spans="1:10" ht="45">
      <c r="A69" s="2097">
        <v>287193</v>
      </c>
      <c r="B69" s="2098">
        <v>705.28200000000004</v>
      </c>
      <c r="C69" s="2117" t="s">
        <v>846</v>
      </c>
      <c r="D69" s="2100"/>
      <c r="E69" s="2113">
        <v>3876975</v>
      </c>
      <c r="F69" s="2113">
        <v>3876975</v>
      </c>
      <c r="G69" s="2113">
        <v>0</v>
      </c>
      <c r="H69" s="2113">
        <v>0</v>
      </c>
      <c r="I69" s="2113">
        <v>0</v>
      </c>
      <c r="J69" s="2114" t="s">
        <v>2308</v>
      </c>
    </row>
    <row r="70" spans="1:10" ht="45">
      <c r="A70" s="2097">
        <v>287194</v>
      </c>
      <c r="B70" s="2098">
        <v>705.28300000000002</v>
      </c>
      <c r="C70" s="2117" t="s">
        <v>847</v>
      </c>
      <c r="D70" s="2100"/>
      <c r="E70" s="2113">
        <v>0</v>
      </c>
      <c r="F70" s="2113">
        <v>0</v>
      </c>
      <c r="G70" s="2113">
        <v>0</v>
      </c>
      <c r="H70" s="2113">
        <v>0</v>
      </c>
      <c r="I70" s="2113">
        <v>0</v>
      </c>
      <c r="J70" s="2114" t="s">
        <v>2309</v>
      </c>
    </row>
    <row r="71" spans="1:10" ht="45">
      <c r="A71" s="2097">
        <v>287195</v>
      </c>
      <c r="B71" s="2098">
        <v>705.28399999999999</v>
      </c>
      <c r="C71" s="2117" t="s">
        <v>848</v>
      </c>
      <c r="D71" s="2100"/>
      <c r="E71" s="2113">
        <v>326187</v>
      </c>
      <c r="F71" s="2113">
        <v>326187</v>
      </c>
      <c r="G71" s="2113">
        <v>0</v>
      </c>
      <c r="H71" s="2113">
        <v>0</v>
      </c>
      <c r="I71" s="2113">
        <v>0</v>
      </c>
      <c r="J71" s="2114" t="s">
        <v>849</v>
      </c>
    </row>
    <row r="72" spans="1:10" ht="45">
      <c r="A72" s="2097">
        <v>287196</v>
      </c>
      <c r="B72" s="2098">
        <v>705.28499999999997</v>
      </c>
      <c r="C72" s="2117" t="s">
        <v>850</v>
      </c>
      <c r="D72" s="2100"/>
      <c r="E72" s="2113">
        <v>2939674</v>
      </c>
      <c r="F72" s="2113">
        <v>2939674</v>
      </c>
      <c r="G72" s="2113">
        <v>0</v>
      </c>
      <c r="H72" s="2113">
        <v>0</v>
      </c>
      <c r="I72" s="2113">
        <v>0</v>
      </c>
      <c r="J72" s="2114" t="s">
        <v>851</v>
      </c>
    </row>
    <row r="73" spans="1:10" ht="45">
      <c r="A73" s="2097">
        <v>287197</v>
      </c>
      <c r="B73" s="2098">
        <v>705.28599999999994</v>
      </c>
      <c r="C73" s="2117" t="s">
        <v>852</v>
      </c>
      <c r="D73" s="2100"/>
      <c r="E73" s="2113">
        <v>4334</v>
      </c>
      <c r="F73" s="2113">
        <v>4334</v>
      </c>
      <c r="G73" s="2113">
        <v>0</v>
      </c>
      <c r="H73" s="2113">
        <v>0</v>
      </c>
      <c r="I73" s="2113">
        <v>0</v>
      </c>
      <c r="J73" s="2114" t="s">
        <v>2310</v>
      </c>
    </row>
    <row r="74" spans="1:10" ht="30">
      <c r="A74" s="2097">
        <v>287198</v>
      </c>
      <c r="B74" s="2098">
        <v>320.279</v>
      </c>
      <c r="C74" s="2117" t="s">
        <v>853</v>
      </c>
      <c r="D74" s="2100"/>
      <c r="E74" s="2113">
        <v>0</v>
      </c>
      <c r="F74" s="2113">
        <v>0</v>
      </c>
      <c r="G74" s="2113">
        <v>0</v>
      </c>
      <c r="H74" s="2113">
        <v>0</v>
      </c>
      <c r="I74" s="2113">
        <v>0</v>
      </c>
      <c r="J74" s="2114" t="s">
        <v>854</v>
      </c>
    </row>
    <row r="75" spans="1:10" ht="15">
      <c r="A75" s="2097">
        <v>287200</v>
      </c>
      <c r="B75" s="2098">
        <v>705.26700000000005</v>
      </c>
      <c r="C75" s="2117" t="s">
        <v>855</v>
      </c>
      <c r="D75" s="2100"/>
      <c r="E75" s="2113">
        <v>816792</v>
      </c>
      <c r="F75" s="2113">
        <v>816792</v>
      </c>
      <c r="G75" s="2113">
        <v>0</v>
      </c>
      <c r="H75" s="2113">
        <v>0</v>
      </c>
      <c r="I75" s="2113">
        <v>0</v>
      </c>
      <c r="J75" s="2101" t="s">
        <v>856</v>
      </c>
    </row>
    <row r="76" spans="1:10" ht="38.25">
      <c r="A76" s="2097">
        <v>287206</v>
      </c>
      <c r="B76" s="2098" t="s">
        <v>409</v>
      </c>
      <c r="C76" s="2109" t="s">
        <v>410</v>
      </c>
      <c r="D76" s="2100"/>
      <c r="E76" s="2113">
        <v>6646837</v>
      </c>
      <c r="F76" s="2113">
        <v>6646837</v>
      </c>
      <c r="G76" s="2113">
        <v>0</v>
      </c>
      <c r="H76" s="2113">
        <v>0</v>
      </c>
      <c r="I76" s="2113">
        <v>0</v>
      </c>
      <c r="J76" s="2101" t="s">
        <v>411</v>
      </c>
    </row>
    <row r="77" spans="1:10" ht="38.25">
      <c r="A77" s="2097">
        <v>287209</v>
      </c>
      <c r="B77" s="2098">
        <v>705.26599999999996</v>
      </c>
      <c r="C77" s="2109" t="s">
        <v>412</v>
      </c>
      <c r="D77" s="2100"/>
      <c r="E77" s="2113">
        <v>107017</v>
      </c>
      <c r="F77" s="2113">
        <v>107017</v>
      </c>
      <c r="G77" s="2113">
        <v>0</v>
      </c>
      <c r="H77" s="2113">
        <v>0</v>
      </c>
      <c r="I77" s="2113">
        <v>0</v>
      </c>
      <c r="J77" s="2101" t="s">
        <v>413</v>
      </c>
    </row>
    <row r="78" spans="1:10" ht="51">
      <c r="A78" s="2097">
        <v>287212</v>
      </c>
      <c r="B78" s="2098">
        <v>705.245</v>
      </c>
      <c r="C78" s="2109" t="s">
        <v>414</v>
      </c>
      <c r="D78" s="2100"/>
      <c r="E78" s="2113">
        <v>893442</v>
      </c>
      <c r="F78" s="2113">
        <v>893442</v>
      </c>
      <c r="G78" s="2113">
        <v>0</v>
      </c>
      <c r="H78" s="2113">
        <v>0</v>
      </c>
      <c r="I78" s="2113">
        <v>0</v>
      </c>
      <c r="J78" s="2101" t="s">
        <v>415</v>
      </c>
    </row>
    <row r="79" spans="1:10" ht="38.25">
      <c r="A79" s="2097">
        <v>287213</v>
      </c>
      <c r="B79" s="2098">
        <v>425.38099999999997</v>
      </c>
      <c r="C79" s="2099" t="s">
        <v>416</v>
      </c>
      <c r="D79" s="2100"/>
      <c r="E79" s="2113">
        <v>826933</v>
      </c>
      <c r="F79" s="2113">
        <v>826933</v>
      </c>
      <c r="G79" s="2113">
        <v>0</v>
      </c>
      <c r="H79" s="2113">
        <v>0</v>
      </c>
      <c r="I79" s="2113">
        <v>0</v>
      </c>
      <c r="J79" s="2118" t="s">
        <v>417</v>
      </c>
    </row>
    <row r="80" spans="1:10" ht="63.75">
      <c r="A80" s="2097">
        <v>287225</v>
      </c>
      <c r="B80" s="2098">
        <v>605.10299999999995</v>
      </c>
      <c r="C80" s="2099" t="s">
        <v>418</v>
      </c>
      <c r="D80" s="2100"/>
      <c r="E80" s="2113">
        <v>-62874</v>
      </c>
      <c r="F80" s="2113">
        <v>-62874</v>
      </c>
      <c r="G80" s="2113">
        <v>0</v>
      </c>
      <c r="H80" s="2113">
        <v>0</v>
      </c>
      <c r="I80" s="2113">
        <v>0</v>
      </c>
      <c r="J80" s="2118" t="s">
        <v>419</v>
      </c>
    </row>
    <row r="81" spans="1:10" ht="15">
      <c r="A81" s="2097">
        <v>287227</v>
      </c>
      <c r="B81" s="2098">
        <v>705.53099999999995</v>
      </c>
      <c r="C81" s="2099" t="s">
        <v>420</v>
      </c>
      <c r="D81" s="2100"/>
      <c r="E81" s="2113">
        <v>5898994</v>
      </c>
      <c r="F81" s="2113">
        <v>5898994</v>
      </c>
      <c r="G81" s="2113">
        <v>0</v>
      </c>
      <c r="H81" s="2113">
        <v>0</v>
      </c>
      <c r="I81" s="2113">
        <v>0</v>
      </c>
      <c r="J81" s="2118" t="s">
        <v>2311</v>
      </c>
    </row>
    <row r="82" spans="1:10" ht="15">
      <c r="A82" s="2097">
        <v>287229</v>
      </c>
      <c r="B82" s="2098">
        <v>705.52700000000004</v>
      </c>
      <c r="C82" s="2099" t="s">
        <v>421</v>
      </c>
      <c r="D82" s="2100"/>
      <c r="E82" s="2113">
        <v>153231</v>
      </c>
      <c r="F82" s="2113">
        <v>153231</v>
      </c>
      <c r="G82" s="2113">
        <v>0</v>
      </c>
      <c r="H82" s="2113">
        <v>0</v>
      </c>
      <c r="I82" s="2113">
        <v>0</v>
      </c>
      <c r="J82" s="2118" t="s">
        <v>2312</v>
      </c>
    </row>
    <row r="83" spans="1:10" ht="51">
      <c r="A83" s="2097">
        <v>287230</v>
      </c>
      <c r="B83" s="2098">
        <v>705.52099999999996</v>
      </c>
      <c r="C83" s="2099" t="s">
        <v>422</v>
      </c>
      <c r="D83" s="2100"/>
      <c r="E83" s="2113">
        <v>0</v>
      </c>
      <c r="F83" s="2113">
        <v>0</v>
      </c>
      <c r="G83" s="2113">
        <v>0</v>
      </c>
      <c r="H83" s="2113">
        <v>0</v>
      </c>
      <c r="I83" s="2113">
        <v>0</v>
      </c>
      <c r="J83" s="2118" t="s">
        <v>2313</v>
      </c>
    </row>
    <row r="84" spans="1:10" ht="15">
      <c r="A84" s="2097">
        <v>287231</v>
      </c>
      <c r="B84" s="2098">
        <v>705.51900000000001</v>
      </c>
      <c r="C84" s="2099" t="s">
        <v>423</v>
      </c>
      <c r="D84" s="2100"/>
      <c r="E84" s="2113">
        <v>5671198</v>
      </c>
      <c r="F84" s="2113">
        <v>5671198</v>
      </c>
      <c r="G84" s="2113">
        <v>0</v>
      </c>
      <c r="H84" s="2113">
        <v>0</v>
      </c>
      <c r="I84" s="2113">
        <v>0</v>
      </c>
      <c r="J84" s="2118" t="s">
        <v>424</v>
      </c>
    </row>
    <row r="85" spans="1:10" ht="38.25">
      <c r="A85" s="2097">
        <v>287232</v>
      </c>
      <c r="B85" s="2098">
        <v>705.51700000000005</v>
      </c>
      <c r="C85" s="2099" t="s">
        <v>425</v>
      </c>
      <c r="D85" s="2100"/>
      <c r="E85" s="2113">
        <v>0</v>
      </c>
      <c r="F85" s="2113">
        <v>0</v>
      </c>
      <c r="G85" s="2113">
        <v>0</v>
      </c>
      <c r="H85" s="2113">
        <v>0</v>
      </c>
      <c r="I85" s="2113">
        <v>0</v>
      </c>
      <c r="J85" s="2118" t="s">
        <v>2314</v>
      </c>
    </row>
    <row r="86" spans="1:10" ht="25.5">
      <c r="A86" s="2097">
        <v>287233</v>
      </c>
      <c r="B86" s="2098">
        <v>705.51499999999999</v>
      </c>
      <c r="C86" s="2099" t="s">
        <v>426</v>
      </c>
      <c r="D86" s="2100"/>
      <c r="E86" s="2113">
        <v>7488062</v>
      </c>
      <c r="F86" s="2113">
        <v>7488062</v>
      </c>
      <c r="G86" s="2113">
        <v>0</v>
      </c>
      <c r="H86" s="2113">
        <v>0</v>
      </c>
      <c r="I86" s="2113">
        <v>0</v>
      </c>
      <c r="J86" s="2118" t="s">
        <v>427</v>
      </c>
    </row>
    <row r="87" spans="1:10" ht="38.25">
      <c r="A87" s="2097">
        <v>287237</v>
      </c>
      <c r="B87" s="2098">
        <v>705.755</v>
      </c>
      <c r="C87" s="2099" t="s">
        <v>428</v>
      </c>
      <c r="D87" s="2100"/>
      <c r="E87" s="2113">
        <v>26525</v>
      </c>
      <c r="F87" s="2113">
        <v>26525</v>
      </c>
      <c r="G87" s="2113">
        <v>0</v>
      </c>
      <c r="H87" s="2113">
        <v>0</v>
      </c>
      <c r="I87" s="2113">
        <v>0</v>
      </c>
      <c r="J87" s="2118" t="s">
        <v>2315</v>
      </c>
    </row>
    <row r="88" spans="1:10" ht="25.5">
      <c r="A88" s="2097">
        <v>287238</v>
      </c>
      <c r="B88" s="2098">
        <v>705.42</v>
      </c>
      <c r="C88" s="2099" t="s">
        <v>429</v>
      </c>
      <c r="D88" s="2100"/>
      <c r="E88" s="2113">
        <v>829837</v>
      </c>
      <c r="F88" s="2113">
        <v>829837</v>
      </c>
      <c r="G88" s="2113">
        <v>0</v>
      </c>
      <c r="H88" s="2113">
        <v>0</v>
      </c>
      <c r="I88" s="2113">
        <v>0</v>
      </c>
      <c r="J88" s="2118" t="s">
        <v>430</v>
      </c>
    </row>
    <row r="89" spans="1:10" ht="25.5">
      <c r="A89" s="2097">
        <v>287253</v>
      </c>
      <c r="B89" s="2098">
        <v>705.4</v>
      </c>
      <c r="C89" s="2099" t="s">
        <v>431</v>
      </c>
      <c r="D89" s="2100"/>
      <c r="E89" s="2113">
        <v>1976773</v>
      </c>
      <c r="F89" s="2113">
        <v>1976773</v>
      </c>
      <c r="G89" s="2113">
        <v>0</v>
      </c>
      <c r="H89" s="2113">
        <v>0</v>
      </c>
      <c r="I89" s="2113">
        <v>0</v>
      </c>
      <c r="J89" s="2101" t="s">
        <v>432</v>
      </c>
    </row>
    <row r="90" spans="1:10" ht="25.5">
      <c r="A90" s="2097">
        <v>287257</v>
      </c>
      <c r="B90" s="2098">
        <v>705.45299999999997</v>
      </c>
      <c r="C90" s="2109" t="s">
        <v>434</v>
      </c>
      <c r="D90" s="2100"/>
      <c r="E90" s="2113">
        <v>190832</v>
      </c>
      <c r="F90" s="2113">
        <v>190832</v>
      </c>
      <c r="G90" s="2113">
        <v>0</v>
      </c>
      <c r="H90" s="2113">
        <v>0</v>
      </c>
      <c r="I90" s="2113">
        <v>0</v>
      </c>
      <c r="J90" s="2101" t="s">
        <v>435</v>
      </c>
    </row>
    <row r="91" spans="1:10" ht="25.5">
      <c r="A91" s="2097">
        <v>287258</v>
      </c>
      <c r="B91" s="2098">
        <v>705.45399999999995</v>
      </c>
      <c r="C91" s="2109" t="s">
        <v>436</v>
      </c>
      <c r="D91" s="2100"/>
      <c r="E91" s="2113">
        <v>1732015</v>
      </c>
      <c r="F91" s="2113">
        <v>1732015</v>
      </c>
      <c r="G91" s="2113">
        <v>0</v>
      </c>
      <c r="H91" s="2113">
        <v>0</v>
      </c>
      <c r="I91" s="2113">
        <v>0</v>
      </c>
      <c r="J91" s="2101" t="s">
        <v>437</v>
      </c>
    </row>
    <row r="92" spans="1:10" ht="25.5">
      <c r="A92" s="2097">
        <v>287259</v>
      </c>
      <c r="B92" s="2098">
        <v>705.45500000000004</v>
      </c>
      <c r="C92" s="2109" t="s">
        <v>438</v>
      </c>
      <c r="D92" s="2100"/>
      <c r="E92" s="2113">
        <v>189594</v>
      </c>
      <c r="F92" s="2113">
        <v>189594</v>
      </c>
      <c r="G92" s="2113">
        <v>0</v>
      </c>
      <c r="H92" s="2113">
        <v>0</v>
      </c>
      <c r="I92" s="2113">
        <v>0</v>
      </c>
      <c r="J92" s="2101" t="s">
        <v>439</v>
      </c>
    </row>
    <row r="93" spans="1:10" ht="25.5">
      <c r="A93" s="2097">
        <v>287262</v>
      </c>
      <c r="B93" s="2098">
        <v>100.1</v>
      </c>
      <c r="C93" s="2109" t="s">
        <v>440</v>
      </c>
      <c r="D93" s="2100"/>
      <c r="E93" s="2113">
        <v>495889</v>
      </c>
      <c r="F93" s="2113">
        <v>495889</v>
      </c>
      <c r="G93" s="2113">
        <v>0</v>
      </c>
      <c r="H93" s="2113">
        <v>0</v>
      </c>
      <c r="I93" s="2113">
        <v>0</v>
      </c>
      <c r="J93" s="2101" t="s">
        <v>441</v>
      </c>
    </row>
    <row r="94" spans="1:10" ht="25.5">
      <c r="A94" s="2097">
        <v>287268</v>
      </c>
      <c r="B94" s="2098">
        <v>415.70600000000002</v>
      </c>
      <c r="C94" s="2109" t="s">
        <v>442</v>
      </c>
      <c r="D94" s="2100"/>
      <c r="E94" s="2113">
        <v>508162</v>
      </c>
      <c r="F94" s="2113">
        <v>508162</v>
      </c>
      <c r="G94" s="2113">
        <v>0</v>
      </c>
      <c r="H94" s="2113">
        <v>0</v>
      </c>
      <c r="I94" s="2113">
        <v>0</v>
      </c>
      <c r="J94" s="2101" t="s">
        <v>443</v>
      </c>
    </row>
    <row r="95" spans="1:10" ht="25.5">
      <c r="A95" s="2097">
        <v>287284</v>
      </c>
      <c r="B95" s="2098">
        <v>610.14700000000005</v>
      </c>
      <c r="C95" s="2109" t="s">
        <v>444</v>
      </c>
      <c r="D95" s="2100"/>
      <c r="E95" s="2113">
        <v>201696</v>
      </c>
      <c r="F95" s="2113">
        <v>201696</v>
      </c>
      <c r="G95" s="2113">
        <v>0</v>
      </c>
      <c r="H95" s="2113">
        <v>0</v>
      </c>
      <c r="I95" s="2113">
        <v>0</v>
      </c>
      <c r="J95" s="2101" t="s">
        <v>445</v>
      </c>
    </row>
    <row r="96" spans="1:10" ht="45">
      <c r="A96" s="2097">
        <v>287299</v>
      </c>
      <c r="B96" s="2098">
        <v>705.26499999999999</v>
      </c>
      <c r="C96" s="2099" t="s">
        <v>446</v>
      </c>
      <c r="D96" s="2100"/>
      <c r="E96" s="2113">
        <v>1075744</v>
      </c>
      <c r="F96" s="2113">
        <v>1075744</v>
      </c>
      <c r="G96" s="2113">
        <v>0</v>
      </c>
      <c r="H96" s="2113">
        <v>0</v>
      </c>
      <c r="I96" s="2113">
        <v>0</v>
      </c>
      <c r="J96" s="2114" t="s">
        <v>447</v>
      </c>
    </row>
    <row r="97" spans="1:10" ht="25.5">
      <c r="A97" s="2097">
        <v>287304</v>
      </c>
      <c r="B97" s="2098">
        <v>610.14599999999996</v>
      </c>
      <c r="C97" s="2109" t="s">
        <v>448</v>
      </c>
      <c r="D97" s="2100"/>
      <c r="E97" s="2113">
        <v>-65343</v>
      </c>
      <c r="F97" s="2113">
        <v>-65343</v>
      </c>
      <c r="G97" s="2113">
        <v>0</v>
      </c>
      <c r="H97" s="2113">
        <v>0</v>
      </c>
      <c r="I97" s="2113">
        <v>0</v>
      </c>
      <c r="J97" s="2101" t="s">
        <v>449</v>
      </c>
    </row>
    <row r="98" spans="1:10" ht="25.5">
      <c r="A98" s="2097">
        <v>287312</v>
      </c>
      <c r="B98" s="2098">
        <v>105.402</v>
      </c>
      <c r="C98" s="2109" t="s">
        <v>450</v>
      </c>
      <c r="D98" s="2100"/>
      <c r="E98" s="2113">
        <v>264602</v>
      </c>
      <c r="F98" s="2113">
        <v>264602</v>
      </c>
      <c r="G98" s="2113">
        <v>0</v>
      </c>
      <c r="H98" s="2113">
        <v>0</v>
      </c>
      <c r="I98" s="2113">
        <v>0</v>
      </c>
      <c r="J98" s="2101" t="s">
        <v>451</v>
      </c>
    </row>
    <row r="99" spans="1:10" ht="60">
      <c r="A99" s="2097">
        <v>287316</v>
      </c>
      <c r="B99" s="2098">
        <v>715.72</v>
      </c>
      <c r="C99" s="2099" t="s">
        <v>452</v>
      </c>
      <c r="D99" s="2100"/>
      <c r="E99" s="2113">
        <v>115544</v>
      </c>
      <c r="F99" s="2113">
        <v>115544</v>
      </c>
      <c r="G99" s="2113">
        <v>0</v>
      </c>
      <c r="H99" s="2113">
        <v>0</v>
      </c>
      <c r="I99" s="2113">
        <v>0</v>
      </c>
      <c r="J99" s="2114" t="s">
        <v>2316</v>
      </c>
    </row>
    <row r="100" spans="1:10" ht="25.5">
      <c r="A100" s="2097">
        <v>287374</v>
      </c>
      <c r="B100" s="2098">
        <v>100.105</v>
      </c>
      <c r="C100" s="2109" t="s">
        <v>453</v>
      </c>
      <c r="D100" s="2100"/>
      <c r="E100" s="2113">
        <v>181679</v>
      </c>
      <c r="F100" s="2113">
        <v>181679</v>
      </c>
      <c r="G100" s="2113">
        <v>0</v>
      </c>
      <c r="H100" s="2113">
        <v>0</v>
      </c>
      <c r="I100" s="2113">
        <v>0</v>
      </c>
      <c r="J100" s="2101" t="s">
        <v>454</v>
      </c>
    </row>
    <row r="101" spans="1:10" ht="25.5">
      <c r="A101" s="2097">
        <v>287389</v>
      </c>
      <c r="B101" s="2098">
        <v>610.14499999999998</v>
      </c>
      <c r="C101" s="2099" t="s">
        <v>455</v>
      </c>
      <c r="D101" s="2100"/>
      <c r="E101" s="2113">
        <v>5131927</v>
      </c>
      <c r="F101" s="2113">
        <v>5131927</v>
      </c>
      <c r="G101" s="2113">
        <v>0</v>
      </c>
      <c r="H101" s="2113">
        <v>0</v>
      </c>
      <c r="I101" s="2113">
        <v>0</v>
      </c>
      <c r="J101" s="2118" t="s">
        <v>445</v>
      </c>
    </row>
    <row r="102" spans="1:10" ht="38.25">
      <c r="A102" s="2097">
        <v>287441</v>
      </c>
      <c r="B102" s="2098">
        <v>605.1</v>
      </c>
      <c r="C102" s="2109" t="s">
        <v>456</v>
      </c>
      <c r="D102" s="2100"/>
      <c r="E102" s="2113">
        <v>1319363</v>
      </c>
      <c r="F102" s="2113">
        <v>1319363</v>
      </c>
      <c r="G102" s="2113">
        <v>0</v>
      </c>
      <c r="H102" s="2113">
        <v>0</v>
      </c>
      <c r="I102" s="2113">
        <v>0</v>
      </c>
      <c r="J102" s="2101" t="s">
        <v>457</v>
      </c>
    </row>
    <row r="103" spans="1:10" ht="30">
      <c r="A103" s="2097">
        <v>287445</v>
      </c>
      <c r="B103" s="2098">
        <v>610.14200000000005</v>
      </c>
      <c r="C103" s="2099" t="s">
        <v>458</v>
      </c>
      <c r="D103" s="2100"/>
      <c r="E103" s="2113">
        <v>371395</v>
      </c>
      <c r="F103" s="2113">
        <v>371395</v>
      </c>
      <c r="G103" s="2113">
        <v>0</v>
      </c>
      <c r="H103" s="2113">
        <v>0</v>
      </c>
      <c r="I103" s="2113">
        <v>0</v>
      </c>
      <c r="J103" s="2114" t="s">
        <v>459</v>
      </c>
    </row>
    <row r="104" spans="1:10" ht="30">
      <c r="A104" s="2097">
        <v>287453</v>
      </c>
      <c r="B104" s="2098">
        <v>610.14300000000003</v>
      </c>
      <c r="C104" s="2099" t="s">
        <v>460</v>
      </c>
      <c r="D104" s="2100"/>
      <c r="E104" s="2113">
        <v>123924</v>
      </c>
      <c r="F104" s="2113">
        <v>123924</v>
      </c>
      <c r="G104" s="2113">
        <v>0</v>
      </c>
      <c r="H104" s="2113">
        <v>0</v>
      </c>
      <c r="I104" s="2113">
        <v>0</v>
      </c>
      <c r="J104" s="2114" t="s">
        <v>459</v>
      </c>
    </row>
    <row r="105" spans="1:10" ht="45">
      <c r="A105" s="2097">
        <v>287473</v>
      </c>
      <c r="B105" s="2098">
        <v>705.27</v>
      </c>
      <c r="C105" s="2099" t="s">
        <v>461</v>
      </c>
      <c r="D105" s="2100"/>
      <c r="E105" s="2113">
        <v>630271</v>
      </c>
      <c r="F105" s="2113">
        <v>630271</v>
      </c>
      <c r="G105" s="2113">
        <v>0</v>
      </c>
      <c r="H105" s="2113">
        <v>0</v>
      </c>
      <c r="I105" s="2113">
        <v>0</v>
      </c>
      <c r="J105" s="2114" t="s">
        <v>462</v>
      </c>
    </row>
    <row r="106" spans="1:10" ht="45">
      <c r="A106" s="2097">
        <v>287474</v>
      </c>
      <c r="B106" s="2098">
        <v>705.27099999999996</v>
      </c>
      <c r="C106" s="2099" t="s">
        <v>463</v>
      </c>
      <c r="D106" s="2100"/>
      <c r="E106" s="2113">
        <v>93650</v>
      </c>
      <c r="F106" s="2113">
        <v>93650</v>
      </c>
      <c r="G106" s="2113">
        <v>0</v>
      </c>
      <c r="H106" s="2113">
        <v>0</v>
      </c>
      <c r="I106" s="2113">
        <v>0</v>
      </c>
      <c r="J106" s="2114" t="s">
        <v>462</v>
      </c>
    </row>
    <row r="107" spans="1:10" ht="45">
      <c r="A107" s="2097">
        <v>287475</v>
      </c>
      <c r="B107" s="2098">
        <v>705.27200000000005</v>
      </c>
      <c r="C107" s="2099" t="s">
        <v>464</v>
      </c>
      <c r="D107" s="2100"/>
      <c r="E107" s="2113">
        <v>52721</v>
      </c>
      <c r="F107" s="2113">
        <v>52721</v>
      </c>
      <c r="G107" s="2113">
        <v>0</v>
      </c>
      <c r="H107" s="2113">
        <v>0</v>
      </c>
      <c r="I107" s="2113">
        <v>0</v>
      </c>
      <c r="J107" s="2114" t="s">
        <v>462</v>
      </c>
    </row>
    <row r="108" spans="1:10" ht="45">
      <c r="A108" s="2097">
        <v>287476</v>
      </c>
      <c r="B108" s="2098">
        <v>705.27300000000002</v>
      </c>
      <c r="C108" s="2099" t="s">
        <v>465</v>
      </c>
      <c r="D108" s="2100"/>
      <c r="E108" s="2113">
        <v>2456455</v>
      </c>
      <c r="F108" s="2113">
        <v>2456455</v>
      </c>
      <c r="G108" s="2113">
        <v>0</v>
      </c>
      <c r="H108" s="2113">
        <v>0</v>
      </c>
      <c r="I108" s="2113">
        <v>0</v>
      </c>
      <c r="J108" s="2114" t="s">
        <v>462</v>
      </c>
    </row>
    <row r="109" spans="1:10" ht="45">
      <c r="A109" s="2097">
        <v>287477</v>
      </c>
      <c r="B109" s="2098">
        <v>705.274</v>
      </c>
      <c r="C109" s="2099" t="s">
        <v>466</v>
      </c>
      <c r="D109" s="2100"/>
      <c r="E109" s="2113">
        <v>59385</v>
      </c>
      <c r="F109" s="2113">
        <v>59385</v>
      </c>
      <c r="G109" s="2113">
        <v>0</v>
      </c>
      <c r="H109" s="2113">
        <v>0</v>
      </c>
      <c r="I109" s="2113">
        <v>0</v>
      </c>
      <c r="J109" s="2114" t="s">
        <v>462</v>
      </c>
    </row>
    <row r="110" spans="1:10" ht="45">
      <c r="A110" s="2097">
        <v>287478</v>
      </c>
      <c r="B110" s="2098">
        <v>705.27499999999998</v>
      </c>
      <c r="C110" s="2099" t="s">
        <v>467</v>
      </c>
      <c r="D110" s="2100"/>
      <c r="E110" s="2113">
        <v>114658</v>
      </c>
      <c r="F110" s="2113">
        <v>114658</v>
      </c>
      <c r="G110" s="2113">
        <v>0</v>
      </c>
      <c r="H110" s="2113">
        <v>0</v>
      </c>
      <c r="I110" s="2113">
        <v>0</v>
      </c>
      <c r="J110" s="2114" t="s">
        <v>468</v>
      </c>
    </row>
    <row r="111" spans="1:10" ht="30">
      <c r="A111" s="2097">
        <v>287486</v>
      </c>
      <c r="B111" s="2098">
        <v>415.92599999999999</v>
      </c>
      <c r="C111" s="2099" t="s">
        <v>469</v>
      </c>
      <c r="D111" s="2100"/>
      <c r="E111" s="2113">
        <v>1284244</v>
      </c>
      <c r="F111" s="2113">
        <v>1284244</v>
      </c>
      <c r="G111" s="2113">
        <v>0</v>
      </c>
      <c r="H111" s="2113">
        <v>0</v>
      </c>
      <c r="I111" s="2113">
        <v>0</v>
      </c>
      <c r="J111" s="2114" t="s">
        <v>470</v>
      </c>
    </row>
    <row r="112" spans="1:10" ht="25.5">
      <c r="A112" s="2097">
        <v>287487</v>
      </c>
      <c r="B112" s="2098">
        <v>415.92700000000002</v>
      </c>
      <c r="C112" s="2109" t="s">
        <v>469</v>
      </c>
      <c r="D112" s="2100"/>
      <c r="E112" s="2113">
        <v>-1635</v>
      </c>
      <c r="F112" s="2113">
        <v>-1635</v>
      </c>
      <c r="G112" s="2113">
        <v>0</v>
      </c>
      <c r="H112" s="2113">
        <v>0</v>
      </c>
      <c r="I112" s="2113">
        <v>0</v>
      </c>
      <c r="J112" s="2101" t="s">
        <v>471</v>
      </c>
    </row>
    <row r="113" spans="1:10" ht="25.5">
      <c r="A113" s="2097">
        <v>287848</v>
      </c>
      <c r="B113" s="2098">
        <v>320.28100000000001</v>
      </c>
      <c r="C113" s="2109" t="s">
        <v>796</v>
      </c>
      <c r="D113" s="2100"/>
      <c r="E113" s="2113">
        <v>0</v>
      </c>
      <c r="F113" s="2113">
        <v>0</v>
      </c>
      <c r="G113" s="2113">
        <v>0</v>
      </c>
      <c r="H113" s="2113">
        <v>0</v>
      </c>
      <c r="I113" s="2113">
        <v>0</v>
      </c>
      <c r="J113" s="2101" t="s">
        <v>797</v>
      </c>
    </row>
    <row r="114" spans="1:10" ht="25.5">
      <c r="A114" s="2097">
        <v>287933</v>
      </c>
      <c r="B114" s="2098">
        <v>320.28199999999998</v>
      </c>
      <c r="C114" s="2109" t="s">
        <v>798</v>
      </c>
      <c r="D114" s="2100"/>
      <c r="E114" s="2113">
        <v>0</v>
      </c>
      <c r="F114" s="2113">
        <v>0</v>
      </c>
      <c r="G114" s="2113">
        <v>0</v>
      </c>
      <c r="H114" s="2113">
        <v>0</v>
      </c>
      <c r="I114" s="2113">
        <v>0</v>
      </c>
      <c r="J114" s="2101" t="s">
        <v>2317</v>
      </c>
    </row>
    <row r="115" spans="1:10" ht="25.5">
      <c r="A115" s="2097">
        <v>287934</v>
      </c>
      <c r="B115" s="2098">
        <v>320.28300000000002</v>
      </c>
      <c r="C115" s="2109" t="s">
        <v>799</v>
      </c>
      <c r="D115" s="2100"/>
      <c r="E115" s="2113">
        <v>0</v>
      </c>
      <c r="F115" s="2113">
        <v>0</v>
      </c>
      <c r="G115" s="2113">
        <v>0</v>
      </c>
      <c r="H115" s="2113">
        <v>0</v>
      </c>
      <c r="I115" s="2113">
        <v>0</v>
      </c>
      <c r="J115" s="2101" t="s">
        <v>2318</v>
      </c>
    </row>
    <row r="116" spans="1:10" ht="25.5">
      <c r="A116" s="2097">
        <v>287584</v>
      </c>
      <c r="B116" s="2098">
        <v>415.827</v>
      </c>
      <c r="C116" s="2109" t="s">
        <v>771</v>
      </c>
      <c r="D116" s="2100"/>
      <c r="E116" s="2113">
        <v>0</v>
      </c>
      <c r="F116" s="2113">
        <v>0</v>
      </c>
      <c r="G116" s="2113">
        <v>0</v>
      </c>
      <c r="H116" s="2113">
        <v>0</v>
      </c>
      <c r="I116" s="2113">
        <v>0</v>
      </c>
      <c r="J116" s="2101" t="s">
        <v>2319</v>
      </c>
    </row>
    <row r="117" spans="1:10" ht="25.5">
      <c r="A117" s="2097">
        <v>287588</v>
      </c>
      <c r="B117" s="2098">
        <v>415.83100000000002</v>
      </c>
      <c r="C117" s="2109" t="s">
        <v>770</v>
      </c>
      <c r="D117" s="2100"/>
      <c r="E117" s="2113">
        <v>0</v>
      </c>
      <c r="F117" s="2113">
        <v>0</v>
      </c>
      <c r="G117" s="2113">
        <v>0</v>
      </c>
      <c r="H117" s="2113">
        <v>0</v>
      </c>
      <c r="I117" s="2113">
        <v>0</v>
      </c>
      <c r="J117" s="2101" t="s">
        <v>2320</v>
      </c>
    </row>
    <row r="118" spans="1:10" ht="12.75">
      <c r="A118" s="2107" t="s">
        <v>472</v>
      </c>
      <c r="B118" s="2098"/>
      <c r="C118" s="2109"/>
      <c r="D118" s="2100"/>
      <c r="E118" s="2113">
        <v>0</v>
      </c>
      <c r="F118" s="2113">
        <v>0</v>
      </c>
      <c r="G118" s="2113">
        <v>0</v>
      </c>
      <c r="H118" s="2113">
        <v>0</v>
      </c>
      <c r="I118" s="2113">
        <v>0</v>
      </c>
      <c r="J118" s="2101">
        <v>0</v>
      </c>
    </row>
    <row r="119" spans="1:10" ht="12.75">
      <c r="A119" s="2097">
        <v>287280</v>
      </c>
      <c r="B119" s="2119" t="s">
        <v>473</v>
      </c>
      <c r="C119" s="2109"/>
      <c r="D119" s="2100"/>
      <c r="E119" s="2113">
        <v>187100</v>
      </c>
      <c r="F119" s="2113">
        <v>187100</v>
      </c>
      <c r="G119" s="2113">
        <v>0</v>
      </c>
      <c r="H119" s="2113">
        <v>0</v>
      </c>
      <c r="I119" s="2113">
        <v>0</v>
      </c>
      <c r="J119" s="2101" t="s">
        <v>474</v>
      </c>
    </row>
    <row r="120" spans="1:10" ht="12.75">
      <c r="A120" s="2097">
        <v>287437</v>
      </c>
      <c r="B120" s="2119" t="s">
        <v>475</v>
      </c>
      <c r="C120" s="2109"/>
      <c r="D120" s="2100"/>
      <c r="E120" s="2113">
        <v>72551413</v>
      </c>
      <c r="F120" s="2113">
        <v>72551413</v>
      </c>
      <c r="G120" s="2113">
        <v>0</v>
      </c>
      <c r="H120" s="2113">
        <v>0</v>
      </c>
      <c r="I120" s="2113">
        <v>0</v>
      </c>
      <c r="J120" s="2101" t="s">
        <v>476</v>
      </c>
    </row>
    <row r="121" spans="1:10" ht="25.5">
      <c r="A121" s="2097">
        <v>287449</v>
      </c>
      <c r="B121" s="2119" t="s">
        <v>477</v>
      </c>
      <c r="C121" s="2109"/>
      <c r="D121" s="2100"/>
      <c r="E121" s="2113">
        <v>-15275088</v>
      </c>
      <c r="F121" s="2113">
        <v>-15275088</v>
      </c>
      <c r="G121" s="2113">
        <v>0</v>
      </c>
      <c r="H121" s="2113">
        <v>0</v>
      </c>
      <c r="I121" s="2113">
        <v>0</v>
      </c>
      <c r="J121" s="2101" t="s">
        <v>478</v>
      </c>
    </row>
    <row r="122" spans="1:10" ht="12.75">
      <c r="A122" s="2097">
        <v>287371</v>
      </c>
      <c r="B122" s="2119" t="s">
        <v>479</v>
      </c>
      <c r="C122" s="2109"/>
      <c r="D122" s="2100"/>
      <c r="E122" s="2113">
        <v>1599420</v>
      </c>
      <c r="F122" s="2113">
        <v>1599420</v>
      </c>
      <c r="G122" s="2113">
        <v>0</v>
      </c>
      <c r="H122" s="2113">
        <v>0</v>
      </c>
      <c r="I122" s="2113">
        <v>0</v>
      </c>
      <c r="J122" s="2118" t="s">
        <v>480</v>
      </c>
    </row>
    <row r="123" spans="1:10" ht="12.75">
      <c r="A123" s="2097">
        <v>287491</v>
      </c>
      <c r="B123" s="2119" t="s">
        <v>481</v>
      </c>
      <c r="C123" s="2109"/>
      <c r="D123" s="2100"/>
      <c r="E123" s="2113">
        <v>1611177</v>
      </c>
      <c r="F123" s="2113">
        <v>1611177</v>
      </c>
      <c r="G123" s="2113">
        <v>0</v>
      </c>
      <c r="H123" s="2113">
        <v>0</v>
      </c>
      <c r="I123" s="2113">
        <v>0</v>
      </c>
      <c r="J123" s="2101" t="s">
        <v>482</v>
      </c>
    </row>
    <row r="124" spans="1:10" ht="12.75">
      <c r="A124" s="2097">
        <v>287497</v>
      </c>
      <c r="B124" s="2119" t="s">
        <v>483</v>
      </c>
      <c r="C124" s="2109"/>
      <c r="D124" s="2100"/>
      <c r="E124" s="2113">
        <v>354878</v>
      </c>
      <c r="F124" s="2113">
        <v>354878</v>
      </c>
      <c r="G124" s="2113">
        <v>0</v>
      </c>
      <c r="H124" s="2113">
        <v>0</v>
      </c>
      <c r="I124" s="2113">
        <v>0</v>
      </c>
      <c r="J124" s="2118" t="s">
        <v>484</v>
      </c>
    </row>
    <row r="125" spans="1:10" ht="12.75">
      <c r="A125" s="2097">
        <v>287494</v>
      </c>
      <c r="B125" s="2119" t="s">
        <v>485</v>
      </c>
      <c r="C125" s="2109"/>
      <c r="D125" s="2100"/>
      <c r="E125" s="2113">
        <v>15240731</v>
      </c>
      <c r="F125" s="2113">
        <v>15240731</v>
      </c>
      <c r="G125" s="2113">
        <v>0</v>
      </c>
      <c r="H125" s="2113">
        <v>0</v>
      </c>
      <c r="I125" s="2113">
        <v>0</v>
      </c>
      <c r="J125" s="2101" t="s">
        <v>486</v>
      </c>
    </row>
    <row r="126" spans="1:10" ht="12.75">
      <c r="A126" s="2097">
        <v>287269</v>
      </c>
      <c r="B126" s="2119" t="s">
        <v>487</v>
      </c>
      <c r="C126" s="2109"/>
      <c r="D126" s="2100"/>
      <c r="E126" s="2113">
        <v>224138</v>
      </c>
      <c r="F126" s="2113">
        <v>224138</v>
      </c>
      <c r="G126" s="2113">
        <v>0</v>
      </c>
      <c r="H126" s="2113">
        <v>0</v>
      </c>
      <c r="I126" s="2113">
        <v>0</v>
      </c>
      <c r="J126" s="2101" t="s">
        <v>488</v>
      </c>
    </row>
    <row r="127" spans="1:10" ht="12.75">
      <c r="A127" s="2097">
        <v>287281</v>
      </c>
      <c r="B127" s="2119" t="s">
        <v>489</v>
      </c>
      <c r="C127" s="2109"/>
      <c r="D127" s="2100"/>
      <c r="E127" s="2113">
        <v>255284</v>
      </c>
      <c r="F127" s="2113">
        <v>255284</v>
      </c>
      <c r="G127" s="2113">
        <v>0</v>
      </c>
      <c r="H127" s="2113">
        <v>0</v>
      </c>
      <c r="I127" s="2113">
        <v>0</v>
      </c>
      <c r="J127" s="2101" t="s">
        <v>490</v>
      </c>
    </row>
    <row r="128" spans="1:10" ht="12.75">
      <c r="A128" s="2107" t="s">
        <v>491</v>
      </c>
      <c r="B128" s="2098"/>
      <c r="C128" s="2109"/>
      <c r="D128" s="2100"/>
      <c r="E128" s="2113">
        <v>0</v>
      </c>
      <c r="F128" s="2113">
        <v>0</v>
      </c>
      <c r="G128" s="2113">
        <v>0</v>
      </c>
      <c r="H128" s="2113">
        <v>0</v>
      </c>
      <c r="I128" s="2113">
        <v>0</v>
      </c>
      <c r="J128" s="2101"/>
    </row>
    <row r="129" spans="1:10" ht="25.5">
      <c r="A129" s="2097">
        <v>287970</v>
      </c>
      <c r="B129" s="2119">
        <v>415.815</v>
      </c>
      <c r="C129" s="2099" t="s">
        <v>492</v>
      </c>
      <c r="D129" s="2100"/>
      <c r="E129" s="2113">
        <v>0</v>
      </c>
      <c r="F129" s="2113">
        <v>0</v>
      </c>
      <c r="G129" s="2113">
        <v>0</v>
      </c>
      <c r="H129" s="2113">
        <v>0</v>
      </c>
      <c r="I129" s="2113">
        <v>0</v>
      </c>
      <c r="J129" s="2101" t="s">
        <v>2321</v>
      </c>
    </row>
    <row r="130" spans="1:10" ht="12.75">
      <c r="A130" s="2097">
        <v>287341</v>
      </c>
      <c r="B130" s="2119">
        <v>910.53</v>
      </c>
      <c r="C130" s="2109" t="s">
        <v>493</v>
      </c>
      <c r="D130" s="2100"/>
      <c r="E130" s="2113">
        <v>3872782</v>
      </c>
      <c r="F130" s="2113">
        <v>3872782</v>
      </c>
      <c r="G130" s="2113">
        <v>0</v>
      </c>
      <c r="H130" s="2113">
        <v>0</v>
      </c>
      <c r="I130" s="2113">
        <v>0</v>
      </c>
      <c r="J130" s="2101" t="s">
        <v>494</v>
      </c>
    </row>
    <row r="131" spans="1:10" ht="12.75">
      <c r="A131" s="2107" t="s">
        <v>495</v>
      </c>
      <c r="B131" s="2098"/>
      <c r="C131" s="2109"/>
      <c r="D131" s="2100"/>
      <c r="E131" s="2113">
        <v>0</v>
      </c>
      <c r="F131" s="2113">
        <v>0</v>
      </c>
      <c r="G131" s="2113">
        <v>0</v>
      </c>
      <c r="H131" s="2113">
        <v>0</v>
      </c>
      <c r="I131" s="2113">
        <v>0</v>
      </c>
      <c r="J131" s="2101"/>
    </row>
    <row r="132" spans="1:10" ht="12.75">
      <c r="A132" s="2097">
        <v>287339</v>
      </c>
      <c r="B132" s="2119">
        <v>105.4</v>
      </c>
      <c r="C132" s="2109" t="s">
        <v>496</v>
      </c>
      <c r="D132" s="2100"/>
      <c r="E132" s="2113">
        <v>53101152</v>
      </c>
      <c r="F132" s="2113">
        <v>53101152</v>
      </c>
      <c r="G132" s="2113">
        <v>0</v>
      </c>
      <c r="H132" s="2113">
        <v>0</v>
      </c>
      <c r="I132" s="2113">
        <v>0</v>
      </c>
      <c r="J132" s="2101" t="s">
        <v>497</v>
      </c>
    </row>
    <row r="133" spans="1:10" ht="12.75">
      <c r="A133" s="2107" t="s">
        <v>498</v>
      </c>
      <c r="B133" s="2108"/>
      <c r="C133" s="2109"/>
      <c r="D133" s="2100"/>
      <c r="E133" s="2113">
        <v>0</v>
      </c>
      <c r="F133" s="2113">
        <v>0</v>
      </c>
      <c r="G133" s="2113">
        <v>0</v>
      </c>
      <c r="H133" s="2113">
        <v>0</v>
      </c>
      <c r="I133" s="2113">
        <v>0</v>
      </c>
      <c r="J133" s="2101"/>
    </row>
    <row r="134" spans="1:10" ht="25.5">
      <c r="A134" s="2097">
        <v>287100</v>
      </c>
      <c r="B134" s="2117" t="s">
        <v>515</v>
      </c>
      <c r="C134" s="2109" t="s">
        <v>857</v>
      </c>
      <c r="D134" s="2100"/>
      <c r="E134" s="2113">
        <v>-13930382</v>
      </c>
      <c r="F134" s="2113">
        <v>-13930382</v>
      </c>
      <c r="G134" s="2113">
        <v>0</v>
      </c>
      <c r="H134" s="2113">
        <v>0</v>
      </c>
      <c r="I134" s="2113">
        <v>0</v>
      </c>
      <c r="J134" s="2101" t="s">
        <v>858</v>
      </c>
    </row>
    <row r="135" spans="1:10" ht="38.25">
      <c r="A135" s="2097">
        <v>287199</v>
      </c>
      <c r="B135" s="2098">
        <v>220.101</v>
      </c>
      <c r="C135" s="2117" t="s">
        <v>859</v>
      </c>
      <c r="D135" s="2100"/>
      <c r="E135" s="2113">
        <v>-40763</v>
      </c>
      <c r="F135" s="2113">
        <v>-40763</v>
      </c>
      <c r="G135" s="2113">
        <v>0</v>
      </c>
      <c r="H135" s="2113">
        <v>0</v>
      </c>
      <c r="I135" s="2113">
        <v>0</v>
      </c>
      <c r="J135" s="2101" t="s">
        <v>2322</v>
      </c>
    </row>
    <row r="136" spans="1:10" ht="15">
      <c r="A136" s="2097">
        <v>287210</v>
      </c>
      <c r="B136" s="2098">
        <v>505.11500000000001</v>
      </c>
      <c r="C136" s="2099" t="s">
        <v>499</v>
      </c>
      <c r="D136" s="2100"/>
      <c r="E136" s="2113">
        <v>61707</v>
      </c>
      <c r="F136" s="2113">
        <v>61707</v>
      </c>
      <c r="G136" s="2113">
        <v>0</v>
      </c>
      <c r="H136" s="2113">
        <v>0</v>
      </c>
      <c r="I136" s="2113">
        <v>0</v>
      </c>
      <c r="J136" s="2114" t="s">
        <v>2323</v>
      </c>
    </row>
    <row r="137" spans="1:10" ht="15">
      <c r="A137" s="2097">
        <v>287211</v>
      </c>
      <c r="B137" s="2098">
        <v>425.226</v>
      </c>
      <c r="C137" s="2099" t="s">
        <v>500</v>
      </c>
      <c r="D137" s="2100"/>
      <c r="E137" s="2113">
        <v>360275</v>
      </c>
      <c r="F137" s="2113">
        <v>360275</v>
      </c>
      <c r="G137" s="2113">
        <v>0</v>
      </c>
      <c r="H137" s="2113">
        <v>0</v>
      </c>
      <c r="I137" s="2113">
        <v>0</v>
      </c>
      <c r="J137" s="2114" t="s">
        <v>501</v>
      </c>
    </row>
    <row r="138" spans="1:10" ht="15">
      <c r="A138" s="2097">
        <v>287214</v>
      </c>
      <c r="B138" s="2098">
        <v>910.245</v>
      </c>
      <c r="C138" s="2099" t="s">
        <v>502</v>
      </c>
      <c r="D138" s="2100"/>
      <c r="E138" s="2113">
        <v>430058</v>
      </c>
      <c r="F138" s="2113">
        <v>430058</v>
      </c>
      <c r="G138" s="2113">
        <v>0</v>
      </c>
      <c r="H138" s="2113">
        <v>0</v>
      </c>
      <c r="I138" s="2113">
        <v>0</v>
      </c>
      <c r="J138" s="2114" t="s">
        <v>503</v>
      </c>
    </row>
    <row r="139" spans="1:10" ht="15">
      <c r="A139" s="2097">
        <v>287216</v>
      </c>
      <c r="B139" s="2098">
        <v>605.71500000000003</v>
      </c>
      <c r="C139" s="2099" t="s">
        <v>504</v>
      </c>
      <c r="D139" s="2100"/>
      <c r="E139" s="2113">
        <v>1562198</v>
      </c>
      <c r="F139" s="2113">
        <v>1562198</v>
      </c>
      <c r="G139" s="2113">
        <v>0</v>
      </c>
      <c r="H139" s="2113">
        <v>0</v>
      </c>
      <c r="I139" s="2113">
        <v>0</v>
      </c>
      <c r="J139" s="2114" t="s">
        <v>505</v>
      </c>
    </row>
    <row r="140" spans="1:10" ht="30">
      <c r="A140" s="2097">
        <v>287219</v>
      </c>
      <c r="B140" s="2098">
        <v>715.81</v>
      </c>
      <c r="C140" s="2099" t="s">
        <v>509</v>
      </c>
      <c r="D140" s="2100"/>
      <c r="E140" s="2113">
        <v>127166</v>
      </c>
      <c r="F140" s="2113">
        <v>127166</v>
      </c>
      <c r="G140" s="2113">
        <v>0</v>
      </c>
      <c r="H140" s="2113">
        <v>0</v>
      </c>
      <c r="I140" s="2113">
        <v>0</v>
      </c>
      <c r="J140" s="2114" t="s">
        <v>510</v>
      </c>
    </row>
    <row r="141" spans="1:10" ht="30">
      <c r="A141" s="2097">
        <v>287240</v>
      </c>
      <c r="B141" s="2098">
        <v>605.30100000000004</v>
      </c>
      <c r="C141" s="2109" t="s">
        <v>511</v>
      </c>
      <c r="D141" s="2100"/>
      <c r="E141" s="2113">
        <v>13647196</v>
      </c>
      <c r="F141" s="2113">
        <v>13647196</v>
      </c>
      <c r="G141" s="2113">
        <v>0</v>
      </c>
      <c r="H141" s="2113">
        <v>0</v>
      </c>
      <c r="I141" s="2113">
        <v>0</v>
      </c>
      <c r="J141" s="2114" t="s">
        <v>512</v>
      </c>
    </row>
    <row r="142" spans="1:10" ht="25.5">
      <c r="A142" s="2097">
        <v>287241</v>
      </c>
      <c r="B142" s="2098">
        <v>605.30200000000002</v>
      </c>
      <c r="C142" s="2109" t="s">
        <v>513</v>
      </c>
      <c r="D142" s="2100"/>
      <c r="E142" s="2113">
        <v>660571</v>
      </c>
      <c r="F142" s="2113">
        <v>660571</v>
      </c>
      <c r="G142" s="2113">
        <v>0</v>
      </c>
      <c r="H142" s="2113">
        <v>0</v>
      </c>
      <c r="I142" s="2113">
        <v>0</v>
      </c>
      <c r="J142" s="2101" t="s">
        <v>514</v>
      </c>
    </row>
    <row r="143" spans="1:10" ht="15">
      <c r="A143" s="2097">
        <v>287270</v>
      </c>
      <c r="B143" s="2098" t="s">
        <v>515</v>
      </c>
      <c r="C143" s="2099" t="s">
        <v>516</v>
      </c>
      <c r="D143" s="2100"/>
      <c r="E143" s="2113">
        <v>-675631</v>
      </c>
      <c r="F143" s="2113">
        <v>-675631</v>
      </c>
      <c r="G143" s="2113">
        <v>0</v>
      </c>
      <c r="H143" s="2113">
        <v>0</v>
      </c>
      <c r="I143" s="2113">
        <v>0</v>
      </c>
      <c r="J143" s="2114" t="s">
        <v>517</v>
      </c>
    </row>
    <row r="144" spans="1:10" ht="25.5">
      <c r="A144" s="2097">
        <v>287290</v>
      </c>
      <c r="B144" s="2098">
        <v>425.15</v>
      </c>
      <c r="C144" s="2109" t="s">
        <v>520</v>
      </c>
      <c r="D144" s="2100"/>
      <c r="E144" s="2113">
        <v>267814</v>
      </c>
      <c r="F144" s="2113">
        <v>267814</v>
      </c>
      <c r="G144" s="2113">
        <v>0</v>
      </c>
      <c r="H144" s="2113">
        <v>0</v>
      </c>
      <c r="I144" s="2113">
        <v>0</v>
      </c>
      <c r="J144" s="2101" t="s">
        <v>521</v>
      </c>
    </row>
    <row r="145" spans="1:10" ht="51">
      <c r="A145" s="2097">
        <v>287297</v>
      </c>
      <c r="B145" s="2098">
        <v>505.15499999999997</v>
      </c>
      <c r="C145" s="2109" t="s">
        <v>522</v>
      </c>
      <c r="D145" s="2100"/>
      <c r="E145" s="2113">
        <v>69114</v>
      </c>
      <c r="F145" s="2113">
        <v>69114</v>
      </c>
      <c r="G145" s="2113">
        <v>0</v>
      </c>
      <c r="H145" s="2113">
        <v>0</v>
      </c>
      <c r="I145" s="2113">
        <v>0</v>
      </c>
      <c r="J145" s="2101" t="s">
        <v>2324</v>
      </c>
    </row>
    <row r="146" spans="1:10" ht="30">
      <c r="A146" s="2097">
        <v>287298</v>
      </c>
      <c r="B146" s="2098">
        <v>205.21</v>
      </c>
      <c r="C146" s="2109" t="s">
        <v>523</v>
      </c>
      <c r="D146" s="2100"/>
      <c r="E146" s="2113">
        <v>501567</v>
      </c>
      <c r="F146" s="2113">
        <v>501567</v>
      </c>
      <c r="G146" s="2113">
        <v>0</v>
      </c>
      <c r="H146" s="2113">
        <v>0</v>
      </c>
      <c r="I146" s="2113">
        <v>0</v>
      </c>
      <c r="J146" s="2114" t="s">
        <v>2325</v>
      </c>
    </row>
    <row r="147" spans="1:10" ht="12.75">
      <c r="A147" s="2097">
        <v>287321</v>
      </c>
      <c r="B147" s="2098">
        <v>100.1</v>
      </c>
      <c r="C147" s="2109" t="s">
        <v>524</v>
      </c>
      <c r="D147" s="2100"/>
      <c r="E147" s="2113">
        <v>1863169</v>
      </c>
      <c r="F147" s="2113">
        <v>1863169</v>
      </c>
      <c r="G147" s="2113">
        <v>0</v>
      </c>
      <c r="H147" s="2113">
        <v>0</v>
      </c>
      <c r="I147" s="2113">
        <v>0</v>
      </c>
      <c r="J147" s="2101" t="s">
        <v>525</v>
      </c>
    </row>
    <row r="148" spans="1:10" ht="25.5">
      <c r="A148" s="2097">
        <v>287337</v>
      </c>
      <c r="B148" s="2098">
        <v>715.10500000000002</v>
      </c>
      <c r="C148" s="2109" t="s">
        <v>526</v>
      </c>
      <c r="D148" s="2100"/>
      <c r="E148" s="2113">
        <v>137194</v>
      </c>
      <c r="F148" s="2113">
        <v>137194</v>
      </c>
      <c r="G148" s="2113">
        <v>0</v>
      </c>
      <c r="H148" s="2113">
        <v>0</v>
      </c>
      <c r="I148" s="2113">
        <v>0</v>
      </c>
      <c r="J148" s="2101" t="s">
        <v>527</v>
      </c>
    </row>
    <row r="149" spans="1:10" ht="38.25">
      <c r="A149" s="2097">
        <v>287338</v>
      </c>
      <c r="B149" s="2098">
        <v>415.11</v>
      </c>
      <c r="C149" s="2109" t="s">
        <v>528</v>
      </c>
      <c r="D149" s="2100"/>
      <c r="E149" s="2113">
        <v>574232</v>
      </c>
      <c r="F149" s="2113">
        <v>0</v>
      </c>
      <c r="G149" s="2113">
        <v>574232</v>
      </c>
      <c r="H149" s="2113">
        <v>0</v>
      </c>
      <c r="I149" s="2113">
        <v>0</v>
      </c>
      <c r="J149" s="2101" t="s">
        <v>529</v>
      </c>
    </row>
    <row r="150" spans="1:10" ht="30">
      <c r="A150" s="2097">
        <v>287340</v>
      </c>
      <c r="B150" s="2098">
        <v>220.1</v>
      </c>
      <c r="C150" s="2099" t="s">
        <v>530</v>
      </c>
      <c r="D150" s="2100"/>
      <c r="E150" s="2113">
        <v>2261919</v>
      </c>
      <c r="F150" s="2113">
        <v>2261919</v>
      </c>
      <c r="G150" s="2113">
        <v>0</v>
      </c>
      <c r="H150" s="2113">
        <v>0</v>
      </c>
      <c r="I150" s="2113">
        <v>0</v>
      </c>
      <c r="J150" s="2114" t="s">
        <v>531</v>
      </c>
    </row>
    <row r="151" spans="1:10" ht="15">
      <c r="A151" s="2097">
        <v>287354</v>
      </c>
      <c r="B151" s="2098">
        <v>505.15</v>
      </c>
      <c r="C151" s="2099" t="s">
        <v>532</v>
      </c>
      <c r="D151" s="2100"/>
      <c r="E151" s="2113">
        <v>1161582</v>
      </c>
      <c r="F151" s="2113">
        <v>1161582</v>
      </c>
      <c r="G151" s="2113">
        <v>0</v>
      </c>
      <c r="H151" s="2113">
        <v>0</v>
      </c>
      <c r="I151" s="2113">
        <v>0</v>
      </c>
      <c r="J151" s="2114" t="s">
        <v>533</v>
      </c>
    </row>
    <row r="152" spans="1:10" ht="12.75">
      <c r="A152" s="2097">
        <v>287370</v>
      </c>
      <c r="B152" s="2098">
        <v>425.21499999999997</v>
      </c>
      <c r="C152" s="2109" t="s">
        <v>534</v>
      </c>
      <c r="D152" s="2100"/>
      <c r="E152" s="2113">
        <v>707283</v>
      </c>
      <c r="F152" s="2113">
        <v>707283</v>
      </c>
      <c r="G152" s="2113">
        <v>0</v>
      </c>
      <c r="H152" s="2113">
        <v>0</v>
      </c>
      <c r="I152" s="2113">
        <v>0</v>
      </c>
      <c r="J152" s="2101" t="s">
        <v>535</v>
      </c>
    </row>
    <row r="153" spans="1:10" ht="30">
      <c r="A153" s="2097">
        <v>287391</v>
      </c>
      <c r="B153" s="2098">
        <v>425.32</v>
      </c>
      <c r="C153" s="2099" t="s">
        <v>536</v>
      </c>
      <c r="D153" s="2100"/>
      <c r="E153" s="2113">
        <v>5840431</v>
      </c>
      <c r="F153" s="2113">
        <v>5840431</v>
      </c>
      <c r="G153" s="2113">
        <v>0</v>
      </c>
      <c r="H153" s="2113">
        <v>0</v>
      </c>
      <c r="I153" s="2113">
        <v>0</v>
      </c>
      <c r="J153" s="2114" t="s">
        <v>537</v>
      </c>
    </row>
    <row r="154" spans="1:10" ht="25.5">
      <c r="A154" s="2097">
        <v>287392</v>
      </c>
      <c r="B154" s="2098">
        <v>425.12</v>
      </c>
      <c r="C154" s="2109" t="s">
        <v>538</v>
      </c>
      <c r="D154" s="2100"/>
      <c r="E154" s="2113">
        <v>4155873</v>
      </c>
      <c r="F154" s="2113">
        <v>4155873</v>
      </c>
      <c r="G154" s="2113">
        <v>0</v>
      </c>
      <c r="H154" s="2113">
        <v>0</v>
      </c>
      <c r="I154" s="2113">
        <v>0</v>
      </c>
      <c r="J154" s="2101" t="s">
        <v>539</v>
      </c>
    </row>
    <row r="155" spans="1:10" ht="25.5">
      <c r="A155" s="2097">
        <v>287393</v>
      </c>
      <c r="B155" s="2098">
        <v>425.11</v>
      </c>
      <c r="C155" s="2109" t="s">
        <v>540</v>
      </c>
      <c r="D155" s="2100"/>
      <c r="E155" s="2113">
        <v>38185</v>
      </c>
      <c r="F155" s="2113">
        <v>38185</v>
      </c>
      <c r="G155" s="2113">
        <v>0</v>
      </c>
      <c r="H155" s="2113">
        <v>0</v>
      </c>
      <c r="I155" s="2113">
        <v>0</v>
      </c>
      <c r="J155" s="2101" t="s">
        <v>541</v>
      </c>
    </row>
    <row r="156" spans="1:10" ht="15">
      <c r="A156" s="2097">
        <v>287415</v>
      </c>
      <c r="B156" s="2098">
        <v>205.2</v>
      </c>
      <c r="C156" s="2099" t="s">
        <v>542</v>
      </c>
      <c r="D156" s="2100"/>
      <c r="E156" s="2113">
        <v>534687</v>
      </c>
      <c r="F156" s="2113">
        <v>534687</v>
      </c>
      <c r="G156" s="2113">
        <v>0</v>
      </c>
      <c r="H156" s="2113">
        <v>0</v>
      </c>
      <c r="I156" s="2113">
        <v>0</v>
      </c>
      <c r="J156" s="2114" t="s">
        <v>543</v>
      </c>
    </row>
    <row r="157" spans="1:10" ht="12.75">
      <c r="A157" s="2097">
        <v>287417</v>
      </c>
      <c r="B157" s="2098">
        <v>605.71</v>
      </c>
      <c r="C157" s="2109" t="s">
        <v>544</v>
      </c>
      <c r="D157" s="2100"/>
      <c r="E157" s="2113">
        <v>2121972</v>
      </c>
      <c r="F157" s="2113">
        <v>2121972</v>
      </c>
      <c r="G157" s="2113">
        <v>0</v>
      </c>
      <c r="H157" s="2113">
        <v>0</v>
      </c>
      <c r="I157" s="2113">
        <v>0</v>
      </c>
      <c r="J157" s="2101" t="s">
        <v>545</v>
      </c>
    </row>
    <row r="158" spans="1:10" ht="30">
      <c r="A158" s="2097">
        <v>287430</v>
      </c>
      <c r="B158" s="2098">
        <v>505.125</v>
      </c>
      <c r="C158" s="2099" t="s">
        <v>546</v>
      </c>
      <c r="D158" s="2100"/>
      <c r="E158" s="2113">
        <v>1768604</v>
      </c>
      <c r="F158" s="2113">
        <v>1768604</v>
      </c>
      <c r="G158" s="2113">
        <v>0</v>
      </c>
      <c r="H158" s="2113">
        <v>0</v>
      </c>
      <c r="I158" s="2113">
        <v>0</v>
      </c>
      <c r="J158" s="2114" t="s">
        <v>547</v>
      </c>
    </row>
    <row r="159" spans="1:10" ht="25.5">
      <c r="A159" s="2097">
        <v>287479</v>
      </c>
      <c r="B159" s="2098">
        <v>105.221</v>
      </c>
      <c r="C159" s="2109" t="s">
        <v>548</v>
      </c>
      <c r="D159" s="2100"/>
      <c r="E159" s="2113">
        <v>19734360</v>
      </c>
      <c r="F159" s="2113">
        <v>19734360</v>
      </c>
      <c r="G159" s="2113">
        <v>0</v>
      </c>
      <c r="H159" s="2113">
        <v>0</v>
      </c>
      <c r="I159" s="2113">
        <v>0</v>
      </c>
      <c r="J159" s="2101" t="s">
        <v>549</v>
      </c>
    </row>
    <row r="160" spans="1:10" ht="30">
      <c r="A160" s="2097">
        <v>287482</v>
      </c>
      <c r="B160" s="2098">
        <v>205.02500000000001</v>
      </c>
      <c r="C160" s="2099" t="s">
        <v>550</v>
      </c>
      <c r="D160" s="2100"/>
      <c r="E160" s="2113">
        <v>0</v>
      </c>
      <c r="F160" s="2113">
        <v>0</v>
      </c>
      <c r="G160" s="2113">
        <v>0</v>
      </c>
      <c r="H160" s="2113">
        <v>0</v>
      </c>
      <c r="I160" s="2113">
        <v>0</v>
      </c>
      <c r="J160" s="2114" t="s">
        <v>2326</v>
      </c>
    </row>
    <row r="161" spans="1:10" ht="25.5">
      <c r="A161" s="2097">
        <v>287489</v>
      </c>
      <c r="B161" s="2098">
        <v>910.51499999999999</v>
      </c>
      <c r="C161" s="2109" t="s">
        <v>551</v>
      </c>
      <c r="D161" s="2100"/>
      <c r="E161" s="2113">
        <v>18808</v>
      </c>
      <c r="F161" s="2113">
        <v>18808</v>
      </c>
      <c r="G161" s="2113">
        <v>0</v>
      </c>
      <c r="H161" s="2113">
        <v>0</v>
      </c>
      <c r="I161" s="2113">
        <v>0</v>
      </c>
      <c r="J161" s="2118" t="s">
        <v>2327</v>
      </c>
    </row>
    <row r="162" spans="1:10" ht="12.75">
      <c r="A162" s="2097">
        <v>287807</v>
      </c>
      <c r="B162" s="2098" t="s">
        <v>515</v>
      </c>
      <c r="C162" s="2109" t="s">
        <v>552</v>
      </c>
      <c r="D162" s="2100"/>
      <c r="E162" s="2113">
        <v>162294</v>
      </c>
      <c r="F162" s="2113">
        <v>162294</v>
      </c>
      <c r="G162" s="2113">
        <v>0</v>
      </c>
      <c r="H162" s="2113">
        <v>0</v>
      </c>
      <c r="I162" s="2113">
        <v>0</v>
      </c>
      <c r="J162" s="2101" t="s">
        <v>553</v>
      </c>
    </row>
    <row r="163" spans="1:10" ht="12.75">
      <c r="A163" s="2097">
        <v>287817</v>
      </c>
      <c r="B163" s="2098" t="s">
        <v>515</v>
      </c>
      <c r="C163" s="2109" t="s">
        <v>554</v>
      </c>
      <c r="D163" s="2100"/>
      <c r="E163" s="2113">
        <v>23634</v>
      </c>
      <c r="F163" s="2113">
        <v>23634</v>
      </c>
      <c r="G163" s="2113">
        <v>0</v>
      </c>
      <c r="H163" s="2113">
        <v>0</v>
      </c>
      <c r="I163" s="2113">
        <v>0</v>
      </c>
      <c r="J163" s="2101" t="s">
        <v>555</v>
      </c>
    </row>
    <row r="164" spans="1:10" ht="12.75">
      <c r="A164" s="2097">
        <v>287827</v>
      </c>
      <c r="B164" s="2098" t="s">
        <v>515</v>
      </c>
      <c r="C164" s="2109" t="s">
        <v>556</v>
      </c>
      <c r="D164" s="2100"/>
      <c r="E164" s="2113">
        <v>35086</v>
      </c>
      <c r="F164" s="2113">
        <v>35086</v>
      </c>
      <c r="G164" s="2113">
        <v>0</v>
      </c>
      <c r="H164" s="2113">
        <v>0</v>
      </c>
      <c r="I164" s="2113">
        <v>0</v>
      </c>
      <c r="J164" s="2101" t="s">
        <v>557</v>
      </c>
    </row>
    <row r="165" spans="1:10" ht="12.75">
      <c r="A165" s="2097">
        <v>287837</v>
      </c>
      <c r="B165" s="2098" t="s">
        <v>515</v>
      </c>
      <c r="C165" s="2109" t="s">
        <v>558</v>
      </c>
      <c r="D165" s="2100"/>
      <c r="E165" s="2113">
        <v>5112</v>
      </c>
      <c r="F165" s="2113">
        <v>5112</v>
      </c>
      <c r="G165" s="2113">
        <v>0</v>
      </c>
      <c r="H165" s="2113">
        <v>0</v>
      </c>
      <c r="I165" s="2113">
        <v>0</v>
      </c>
      <c r="J165" s="2101" t="s">
        <v>559</v>
      </c>
    </row>
    <row r="166" spans="1:10" s="533" customFormat="1" ht="12.75">
      <c r="A166" s="2120" t="s">
        <v>560</v>
      </c>
      <c r="B166" s="2121"/>
      <c r="C166" s="2122"/>
      <c r="D166" s="2123"/>
      <c r="E166" s="2116">
        <v>0</v>
      </c>
      <c r="F166" s="2116">
        <f>E166</f>
        <v>0</v>
      </c>
      <c r="G166" s="2116">
        <v>0</v>
      </c>
      <c r="H166" s="2116">
        <v>0</v>
      </c>
      <c r="I166" s="2116">
        <v>0</v>
      </c>
      <c r="J166" s="2124"/>
    </row>
    <row r="167" spans="1:10" ht="12.75">
      <c r="A167" s="2125" t="s">
        <v>561</v>
      </c>
      <c r="B167" s="2126"/>
      <c r="C167" s="2121"/>
      <c r="D167" s="2127"/>
      <c r="E167" s="2105">
        <f>SUM(E32:E166)</f>
        <v>824459612</v>
      </c>
      <c r="F167" s="2105">
        <f>SUM(F32:F166)</f>
        <v>799783864</v>
      </c>
      <c r="G167" s="2105">
        <f>SUM(G32:G166)</f>
        <v>574232</v>
      </c>
      <c r="H167" s="2105">
        <f>SUM(H32:H166)</f>
        <v>0</v>
      </c>
      <c r="I167" s="2105">
        <f>SUM(I32:I166)</f>
        <v>24101516</v>
      </c>
      <c r="J167" s="2105"/>
    </row>
    <row r="168" spans="1:10" ht="12.75">
      <c r="A168" s="2128" t="s">
        <v>562</v>
      </c>
      <c r="B168" s="2129"/>
      <c r="C168" s="2130"/>
      <c r="D168" s="2131"/>
      <c r="E168" s="2116">
        <f>+E93+E100+E147+E65+E66+E67+E68+E69+E70+E71+E72+E73</f>
        <v>378658561</v>
      </c>
      <c r="F168" s="2116">
        <f>+F93+F100+F147+F65+F66+F67+F68+F69+F70+F71+F72+F73</f>
        <v>378658561</v>
      </c>
      <c r="G168" s="2116">
        <f>+G93+G100+G147+G65+G66+G67+G68+G69+G70+G71+G72+G73</f>
        <v>0</v>
      </c>
      <c r="H168" s="2116">
        <f>+H93+H100+H147+H65+H66+H67+H68+H69+H70+H71+H72+H73</f>
        <v>0</v>
      </c>
      <c r="I168" s="2116">
        <f>+I93+I100+I147+I65+I66+I67+I68+I69+I70+I71+I72+I73</f>
        <v>0</v>
      </c>
      <c r="J168" s="2132"/>
    </row>
    <row r="169" spans="1:10" ht="12.75">
      <c r="A169" s="2133" t="s">
        <v>563</v>
      </c>
      <c r="B169" s="2134"/>
      <c r="C169" s="548"/>
      <c r="D169" s="572"/>
      <c r="E169" s="2116">
        <f>+E43</f>
        <v>2576430</v>
      </c>
      <c r="F169" s="2116">
        <f>+F43</f>
        <v>0</v>
      </c>
      <c r="G169" s="2116">
        <f>+G43</f>
        <v>0</v>
      </c>
      <c r="H169" s="2116">
        <f>+H43</f>
        <v>0</v>
      </c>
      <c r="I169" s="2116">
        <f>+I43</f>
        <v>2576430</v>
      </c>
      <c r="J169" s="2132"/>
    </row>
    <row r="170" spans="1:10" ht="12.75">
      <c r="A170" s="2125" t="s">
        <v>115</v>
      </c>
      <c r="B170" s="2126"/>
      <c r="C170" s="2121"/>
      <c r="D170" s="2127"/>
      <c r="E170" s="2105">
        <f>+E167-E168-E169</f>
        <v>443224621</v>
      </c>
      <c r="F170" s="2105">
        <f>+F167-F168-F169</f>
        <v>421125303</v>
      </c>
      <c r="G170" s="2105">
        <f>+G167-G168-G169</f>
        <v>574232</v>
      </c>
      <c r="H170" s="2105">
        <f>+H167-H168-H169</f>
        <v>0</v>
      </c>
      <c r="I170" s="2105">
        <f>+I167-I168-I169</f>
        <v>21525086</v>
      </c>
      <c r="J170" s="2132"/>
    </row>
    <row r="171" spans="1:10" ht="15">
      <c r="A171" s="519"/>
      <c r="B171" s="519"/>
      <c r="C171" s="520"/>
      <c r="D171" s="520"/>
      <c r="E171" s="521"/>
      <c r="F171" s="522"/>
      <c r="G171" s="521"/>
      <c r="H171" s="523"/>
      <c r="I171" s="524"/>
      <c r="J171" s="525"/>
    </row>
    <row r="172" spans="1:10">
      <c r="A172" s="519"/>
      <c r="B172" s="519"/>
      <c r="C172" s="2135" t="s">
        <v>564</v>
      </c>
      <c r="D172" s="2136"/>
      <c r="E172" s="2136"/>
      <c r="F172" s="2137"/>
      <c r="G172" s="2138"/>
      <c r="H172" s="2139"/>
      <c r="I172" s="525"/>
      <c r="J172" s="487"/>
    </row>
    <row r="173" spans="1:10">
      <c r="A173" s="519"/>
      <c r="B173" s="519"/>
      <c r="C173" s="526" t="s">
        <v>565</v>
      </c>
      <c r="D173" s="2285"/>
      <c r="E173" s="2285"/>
      <c r="F173" s="2285"/>
      <c r="G173" s="2285"/>
      <c r="H173" s="2286"/>
      <c r="I173" s="527"/>
      <c r="J173" s="487"/>
    </row>
    <row r="174" spans="1:10">
      <c r="A174" s="519"/>
      <c r="B174" s="519"/>
      <c r="C174" s="526" t="s">
        <v>566</v>
      </c>
      <c r="D174" s="521"/>
      <c r="E174" s="521"/>
      <c r="F174" s="521"/>
      <c r="G174" s="524"/>
      <c r="H174" s="528"/>
      <c r="I174" s="525"/>
      <c r="J174" s="487"/>
    </row>
    <row r="175" spans="1:10">
      <c r="A175" s="519"/>
      <c r="B175" s="519"/>
      <c r="C175" s="526" t="s">
        <v>567</v>
      </c>
      <c r="D175" s="521"/>
      <c r="E175" s="521"/>
      <c r="F175" s="521"/>
      <c r="G175" s="524"/>
      <c r="H175" s="528"/>
      <c r="I175" s="527"/>
      <c r="J175" s="487"/>
    </row>
    <row r="176" spans="1:10">
      <c r="A176" s="519"/>
      <c r="B176" s="519"/>
      <c r="C176" s="526" t="s">
        <v>568</v>
      </c>
      <c r="D176" s="521"/>
      <c r="E176" s="521"/>
      <c r="F176" s="521"/>
      <c r="G176" s="524"/>
      <c r="H176" s="528"/>
      <c r="I176" s="525"/>
      <c r="J176" s="487"/>
    </row>
    <row r="177" spans="1:10">
      <c r="A177" s="519"/>
      <c r="B177" s="519"/>
      <c r="C177" s="2428" t="s">
        <v>569</v>
      </c>
      <c r="D177" s="2426"/>
      <c r="E177" s="2426"/>
      <c r="F177" s="2426"/>
      <c r="G177" s="2426"/>
      <c r="H177" s="2427"/>
      <c r="I177" s="525"/>
      <c r="J177" s="487"/>
    </row>
    <row r="178" spans="1:10">
      <c r="A178" s="519"/>
      <c r="B178" s="519"/>
      <c r="C178" s="2285"/>
      <c r="D178" s="2285"/>
      <c r="E178" s="2285"/>
      <c r="F178" s="2285"/>
      <c r="G178" s="2285"/>
      <c r="H178" s="2285"/>
      <c r="I178" s="525"/>
      <c r="J178" s="487"/>
    </row>
    <row r="179" spans="1:10" ht="15">
      <c r="A179" s="519"/>
      <c r="B179" s="519"/>
      <c r="C179" s="529"/>
      <c r="D179" s="530"/>
      <c r="E179" s="530"/>
      <c r="F179" s="530"/>
      <c r="G179" s="530"/>
      <c r="H179" s="530"/>
      <c r="I179" s="525"/>
      <c r="J179" s="487"/>
    </row>
    <row r="180" spans="1:10" s="533" customFormat="1" ht="12.75">
      <c r="A180" s="531" t="s">
        <v>2</v>
      </c>
      <c r="B180" s="531"/>
      <c r="C180" s="532"/>
      <c r="D180" s="532"/>
      <c r="E180" s="532"/>
      <c r="F180" s="532"/>
      <c r="G180" s="532"/>
      <c r="H180" s="532"/>
      <c r="I180" s="532"/>
    </row>
    <row r="181" spans="1:10" s="533" customFormat="1" ht="12.75">
      <c r="A181" s="534"/>
      <c r="B181" s="534"/>
      <c r="C181" s="535"/>
      <c r="D181" s="536"/>
      <c r="E181" s="536"/>
      <c r="F181" s="536"/>
      <c r="G181" s="536"/>
      <c r="H181" s="536"/>
      <c r="I181" s="536"/>
    </row>
    <row r="182" spans="1:10" s="533" customFormat="1" ht="12.75">
      <c r="A182" s="537" t="s">
        <v>570</v>
      </c>
      <c r="B182" s="537"/>
      <c r="C182" s="538"/>
      <c r="D182" s="538"/>
      <c r="E182" s="538"/>
      <c r="F182" s="538"/>
      <c r="G182" s="538"/>
      <c r="H182" s="538"/>
      <c r="I182" s="538"/>
    </row>
    <row r="183" spans="1:10" s="533" customFormat="1" ht="15">
      <c r="A183" s="507" t="s">
        <v>571</v>
      </c>
      <c r="B183" s="539"/>
      <c r="C183" s="536"/>
      <c r="D183" s="536"/>
      <c r="E183" s="536"/>
      <c r="F183" s="536"/>
      <c r="G183" s="536"/>
      <c r="H183" s="536"/>
      <c r="I183" s="536"/>
    </row>
    <row r="184" spans="1:10" s="533" customFormat="1" ht="12.75">
      <c r="A184" s="540"/>
      <c r="B184" s="540"/>
      <c r="C184" s="512" t="s">
        <v>234</v>
      </c>
      <c r="D184" s="513"/>
      <c r="E184" s="512" t="s">
        <v>237</v>
      </c>
      <c r="F184" s="512" t="s">
        <v>239</v>
      </c>
      <c r="G184" s="512" t="s">
        <v>240</v>
      </c>
      <c r="H184" s="512" t="s">
        <v>242</v>
      </c>
      <c r="I184" s="512" t="s">
        <v>244</v>
      </c>
      <c r="J184" s="512" t="s">
        <v>246</v>
      </c>
    </row>
    <row r="185" spans="1:10" s="533" customFormat="1" ht="12.75">
      <c r="A185" s="540"/>
      <c r="B185" s="540"/>
      <c r="C185" s="541"/>
      <c r="E185" s="541"/>
      <c r="F185" s="542" t="s">
        <v>367</v>
      </c>
      <c r="G185" s="541"/>
      <c r="H185" s="542"/>
      <c r="I185" s="542"/>
      <c r="J185" s="541"/>
    </row>
    <row r="186" spans="1:10" s="533" customFormat="1" ht="15">
      <c r="A186" s="507"/>
      <c r="B186" s="540"/>
      <c r="C186" s="543"/>
      <c r="E186" s="542" t="s">
        <v>115</v>
      </c>
      <c r="F186" s="542" t="s">
        <v>368</v>
      </c>
      <c r="G186" s="542" t="s">
        <v>369</v>
      </c>
      <c r="H186" s="542" t="s">
        <v>370</v>
      </c>
      <c r="I186" s="542" t="s">
        <v>371</v>
      </c>
      <c r="J186" s="541"/>
    </row>
    <row r="187" spans="1:10" s="533" customFormat="1" ht="12.75">
      <c r="A187" s="540"/>
      <c r="B187" s="540"/>
      <c r="C187" s="521"/>
      <c r="E187" s="542"/>
      <c r="F187" s="542" t="s">
        <v>374</v>
      </c>
      <c r="G187" s="542" t="s">
        <v>374</v>
      </c>
      <c r="H187" s="542" t="s">
        <v>374</v>
      </c>
      <c r="I187" s="542" t="s">
        <v>374</v>
      </c>
      <c r="J187" s="542" t="s">
        <v>375</v>
      </c>
    </row>
    <row r="188" spans="1:10" s="533" customFormat="1" ht="12.75">
      <c r="A188" s="2140" t="s">
        <v>572</v>
      </c>
      <c r="B188" s="2141"/>
      <c r="C188" s="2142"/>
      <c r="D188" s="2142"/>
      <c r="E188" s="2143"/>
      <c r="F188" s="2144"/>
      <c r="G188" s="2144"/>
      <c r="H188" s="2144"/>
      <c r="I188" s="2144"/>
      <c r="J188" s="2145"/>
    </row>
    <row r="189" spans="1:10" s="533" customFormat="1" ht="12.75">
      <c r="A189" s="2146" t="s">
        <v>573</v>
      </c>
      <c r="B189" s="2147"/>
      <c r="C189" s="2148"/>
      <c r="D189" s="2148"/>
      <c r="E189" s="2149"/>
      <c r="F189" s="2111"/>
      <c r="G189" s="2111"/>
      <c r="H189" s="2111"/>
      <c r="I189" s="2111"/>
      <c r="J189" s="2150"/>
    </row>
    <row r="190" spans="1:10" s="533" customFormat="1" ht="12.75">
      <c r="A190" s="2097">
        <v>287960</v>
      </c>
      <c r="B190" s="2098" t="s">
        <v>515</v>
      </c>
      <c r="C190" s="2109" t="s">
        <v>574</v>
      </c>
      <c r="D190" s="2100"/>
      <c r="E190" s="2113">
        <v>-180339430</v>
      </c>
      <c r="F190" s="2113">
        <v>-180339430</v>
      </c>
      <c r="G190" s="2113">
        <v>0</v>
      </c>
      <c r="H190" s="2113">
        <v>0</v>
      </c>
      <c r="I190" s="2113">
        <v>0</v>
      </c>
      <c r="J190" s="2101" t="s">
        <v>575</v>
      </c>
    </row>
    <row r="191" spans="1:10" s="533" customFormat="1" ht="12.75">
      <c r="A191" s="2153"/>
      <c r="B191" s="2098"/>
      <c r="C191" s="2109"/>
      <c r="D191" s="2100"/>
      <c r="E191" s="2151"/>
      <c r="F191" s="2151"/>
      <c r="G191" s="2151"/>
      <c r="H191" s="2151"/>
      <c r="I191" s="2151"/>
      <c r="J191" s="2152"/>
    </row>
    <row r="192" spans="1:10" s="533" customFormat="1" ht="12.75">
      <c r="A192" s="2154" t="s">
        <v>560</v>
      </c>
      <c r="B192" s="2155"/>
      <c r="C192" s="2155"/>
      <c r="D192" s="2156"/>
      <c r="E192" s="2151">
        <v>0</v>
      </c>
      <c r="F192" s="2151">
        <v>0</v>
      </c>
      <c r="G192" s="2151">
        <v>0</v>
      </c>
      <c r="H192" s="2151">
        <v>0</v>
      </c>
      <c r="I192" s="2151">
        <v>0</v>
      </c>
      <c r="J192" s="2124"/>
    </row>
    <row r="193" spans="1:11" s="533" customFormat="1" ht="15">
      <c r="A193" s="2125" t="s">
        <v>666</v>
      </c>
      <c r="B193" s="2126"/>
      <c r="C193" s="2121"/>
      <c r="D193" s="2157"/>
      <c r="E193" s="2158">
        <f>SUM(E190:E192)</f>
        <v>-180339430</v>
      </c>
      <c r="F193" s="2158">
        <f>SUM(F190:F192)</f>
        <v>-180339430</v>
      </c>
      <c r="G193" s="2158">
        <f>SUM(G190:G192)</f>
        <v>0</v>
      </c>
      <c r="H193" s="2158">
        <f>SUM(H190:H192)</f>
        <v>0</v>
      </c>
      <c r="I193" s="2158">
        <f>SUM(I190:I192)</f>
        <v>0</v>
      </c>
      <c r="J193" s="2144"/>
      <c r="K193" s="2213" t="s">
        <v>1914</v>
      </c>
    </row>
    <row r="194" spans="1:11" s="533" customFormat="1" ht="12.75">
      <c r="A194" s="2125" t="s">
        <v>562</v>
      </c>
      <c r="B194" s="2126"/>
      <c r="C194" s="2121"/>
      <c r="D194" s="2157"/>
      <c r="E194" s="2151">
        <v>0</v>
      </c>
      <c r="F194" s="2151">
        <v>0</v>
      </c>
      <c r="G194" s="2151">
        <v>0</v>
      </c>
      <c r="H194" s="2151">
        <v>0</v>
      </c>
      <c r="I194" s="2151">
        <v>0</v>
      </c>
      <c r="J194" s="2124"/>
    </row>
    <row r="195" spans="1:11" s="533" customFormat="1" ht="12.75">
      <c r="A195" s="2125" t="s">
        <v>563</v>
      </c>
      <c r="B195" s="2126"/>
      <c r="C195" s="2121"/>
      <c r="D195" s="2157"/>
      <c r="E195" s="2151">
        <v>0</v>
      </c>
      <c r="F195" s="2151">
        <v>0</v>
      </c>
      <c r="G195" s="2151">
        <v>0</v>
      </c>
      <c r="H195" s="2151">
        <v>0</v>
      </c>
      <c r="I195" s="2151">
        <v>0</v>
      </c>
      <c r="J195" s="2124"/>
    </row>
    <row r="196" spans="1:11" s="533" customFormat="1" ht="12.75">
      <c r="A196" s="2125" t="s">
        <v>115</v>
      </c>
      <c r="B196" s="2126"/>
      <c r="C196" s="2121"/>
      <c r="D196" s="2157"/>
      <c r="E196" s="2158">
        <f>+E193-E194-E195</f>
        <v>-180339430</v>
      </c>
      <c r="F196" s="2158">
        <f>+F193-F194-F195</f>
        <v>-180339430</v>
      </c>
      <c r="G196" s="2158">
        <f>+G193-G194-G195</f>
        <v>0</v>
      </c>
      <c r="H196" s="2158">
        <f>+H193-H194-H195</f>
        <v>0</v>
      </c>
      <c r="I196" s="2159">
        <f>+I193-I194-I195</f>
        <v>0</v>
      </c>
      <c r="J196" s="2124"/>
    </row>
    <row r="197" spans="1:11" ht="15">
      <c r="A197" s="544"/>
      <c r="B197" s="544"/>
      <c r="C197" s="525"/>
      <c r="D197" s="521"/>
      <c r="E197" s="521"/>
      <c r="F197" s="521"/>
      <c r="G197" s="521"/>
      <c r="H197" s="521"/>
      <c r="I197" s="525"/>
      <c r="J197" s="487"/>
    </row>
    <row r="198" spans="1:11" s="533" customFormat="1" ht="12.75">
      <c r="A198" s="545"/>
      <c r="B198" s="545"/>
      <c r="C198" s="2135" t="s">
        <v>576</v>
      </c>
      <c r="D198" s="2160"/>
      <c r="E198" s="2161"/>
      <c r="F198" s="2161"/>
      <c r="G198" s="2162"/>
      <c r="H198" s="2163"/>
      <c r="I198" s="536"/>
    </row>
    <row r="199" spans="1:11" s="533" customFormat="1" ht="12.75">
      <c r="A199" s="545"/>
      <c r="B199" s="545"/>
      <c r="C199" s="2429" t="s">
        <v>565</v>
      </c>
      <c r="D199" s="2430"/>
      <c r="E199" s="2430"/>
      <c r="F199" s="2430"/>
      <c r="G199" s="2430"/>
      <c r="H199" s="2431"/>
      <c r="I199" s="536"/>
    </row>
    <row r="200" spans="1:11" s="533" customFormat="1" ht="12.75">
      <c r="A200" s="545"/>
      <c r="B200" s="545"/>
      <c r="C200" s="526" t="s">
        <v>566</v>
      </c>
      <c r="D200" s="547"/>
      <c r="E200" s="548"/>
      <c r="F200" s="548"/>
      <c r="G200" s="549"/>
      <c r="H200" s="550"/>
      <c r="I200" s="536"/>
    </row>
    <row r="201" spans="1:11" s="533" customFormat="1" ht="12.75">
      <c r="A201" s="545"/>
      <c r="B201" s="545"/>
      <c r="C201" s="526" t="s">
        <v>567</v>
      </c>
      <c r="D201" s="547"/>
      <c r="E201" s="548"/>
      <c r="F201" s="548"/>
      <c r="G201" s="549"/>
      <c r="H201" s="550"/>
      <c r="I201" s="536"/>
    </row>
    <row r="202" spans="1:11" s="533" customFormat="1" ht="12.75">
      <c r="A202" s="545"/>
      <c r="B202" s="545"/>
      <c r="C202" s="526" t="s">
        <v>568</v>
      </c>
      <c r="D202" s="547"/>
      <c r="E202" s="548"/>
      <c r="F202" s="548"/>
      <c r="G202" s="549"/>
      <c r="H202" s="550"/>
      <c r="I202" s="536"/>
    </row>
    <row r="203" spans="1:11" s="533" customFormat="1" ht="12.75">
      <c r="A203" s="545"/>
      <c r="B203" s="545"/>
      <c r="C203" s="2428" t="s">
        <v>569</v>
      </c>
      <c r="D203" s="2426"/>
      <c r="E203" s="2426"/>
      <c r="F203" s="2426"/>
      <c r="G203" s="2426"/>
      <c r="H203" s="2427"/>
      <c r="I203" s="551"/>
    </row>
    <row r="204" spans="1:11" s="533" customFormat="1" ht="12.75">
      <c r="A204" s="545"/>
      <c r="B204" s="545"/>
      <c r="C204" s="2285"/>
      <c r="D204" s="2285"/>
      <c r="E204" s="2285"/>
      <c r="F204" s="2285"/>
      <c r="G204" s="2285"/>
      <c r="H204" s="2285"/>
      <c r="I204" s="551"/>
    </row>
    <row r="205" spans="1:11" s="533" customFormat="1" ht="12.75">
      <c r="A205" s="531" t="s">
        <v>2</v>
      </c>
      <c r="B205" s="540"/>
      <c r="C205" s="552"/>
      <c r="D205" s="552"/>
      <c r="E205" s="552"/>
      <c r="F205" s="552"/>
      <c r="G205" s="552"/>
      <c r="H205" s="552"/>
      <c r="I205" s="551"/>
    </row>
    <row r="206" spans="1:11" s="533" customFormat="1" ht="12.75">
      <c r="A206" s="534"/>
      <c r="B206" s="540"/>
      <c r="C206" s="552"/>
      <c r="D206" s="552"/>
      <c r="E206" s="552"/>
      <c r="F206" s="552"/>
      <c r="G206" s="552"/>
      <c r="H206" s="552"/>
      <c r="I206" s="551"/>
    </row>
    <row r="207" spans="1:11" s="533" customFormat="1" ht="12.75">
      <c r="A207" s="537" t="s">
        <v>570</v>
      </c>
      <c r="B207" s="540"/>
      <c r="C207" s="552"/>
      <c r="D207" s="552"/>
      <c r="E207" s="552"/>
      <c r="F207" s="552"/>
      <c r="G207" s="552"/>
      <c r="H207" s="552"/>
      <c r="I207" s="551"/>
    </row>
    <row r="208" spans="1:11" s="533" customFormat="1" ht="12.75">
      <c r="A208" s="540"/>
      <c r="B208" s="540"/>
      <c r="C208" s="552"/>
      <c r="D208" s="552"/>
      <c r="E208" s="552"/>
      <c r="F208" s="552"/>
      <c r="G208" s="552"/>
      <c r="H208" s="552"/>
      <c r="I208" s="551"/>
    </row>
    <row r="209" spans="1:10" ht="15.75">
      <c r="A209" s="507" t="s">
        <v>577</v>
      </c>
      <c r="B209" s="553"/>
      <c r="C209" s="529"/>
      <c r="D209" s="530"/>
      <c r="E209" s="530"/>
      <c r="F209" s="530"/>
      <c r="G209" s="530"/>
      <c r="H209" s="530"/>
      <c r="I209" s="529"/>
      <c r="J209" s="487"/>
    </row>
    <row r="210" spans="1:10" ht="15">
      <c r="A210" s="515"/>
      <c r="B210" s="515"/>
      <c r="C210" s="512" t="s">
        <v>234</v>
      </c>
      <c r="D210" s="513"/>
      <c r="E210" s="512" t="s">
        <v>237</v>
      </c>
      <c r="F210" s="512" t="s">
        <v>239</v>
      </c>
      <c r="G210" s="512" t="s">
        <v>240</v>
      </c>
      <c r="H210" s="512" t="s">
        <v>242</v>
      </c>
      <c r="I210" s="512" t="s">
        <v>244</v>
      </c>
      <c r="J210" s="512" t="s">
        <v>246</v>
      </c>
    </row>
    <row r="211" spans="1:10" ht="15">
      <c r="A211" s="515"/>
      <c r="B211" s="515"/>
      <c r="C211" s="515"/>
      <c r="D211" s="487"/>
      <c r="E211" s="514"/>
      <c r="F211" s="514" t="s">
        <v>367</v>
      </c>
      <c r="G211" s="514"/>
      <c r="H211" s="514"/>
      <c r="I211" s="514"/>
      <c r="J211" s="515"/>
    </row>
    <row r="212" spans="1:10" ht="15">
      <c r="A212" s="507"/>
      <c r="B212" s="507"/>
      <c r="C212" s="515"/>
      <c r="D212" s="487"/>
      <c r="E212" s="514" t="s">
        <v>115</v>
      </c>
      <c r="F212" s="514" t="s">
        <v>368</v>
      </c>
      <c r="G212" s="514" t="s">
        <v>369</v>
      </c>
      <c r="H212" s="514" t="s">
        <v>370</v>
      </c>
      <c r="I212" s="514" t="s">
        <v>371</v>
      </c>
      <c r="J212" s="515"/>
    </row>
    <row r="213" spans="1:10" ht="15">
      <c r="A213" s="515"/>
      <c r="B213" s="515"/>
      <c r="C213" s="515"/>
      <c r="D213" s="487"/>
      <c r="E213" s="514"/>
      <c r="F213" s="514" t="s">
        <v>374</v>
      </c>
      <c r="G213" s="514" t="s">
        <v>374</v>
      </c>
      <c r="H213" s="514" t="s">
        <v>374</v>
      </c>
      <c r="I213" s="514" t="s">
        <v>374</v>
      </c>
      <c r="J213" s="515" t="s">
        <v>375</v>
      </c>
    </row>
    <row r="214" spans="1:10" ht="15">
      <c r="A214" s="2164" t="s">
        <v>578</v>
      </c>
      <c r="B214" s="2165"/>
      <c r="C214" s="2166"/>
      <c r="D214" s="2167"/>
      <c r="E214" s="2168"/>
      <c r="F214" s="2105"/>
      <c r="G214" s="2105"/>
      <c r="H214" s="2105"/>
      <c r="I214" s="2105"/>
      <c r="J214" s="2169"/>
    </row>
    <row r="215" spans="1:10" ht="25.5">
      <c r="A215" s="2097">
        <v>287605</v>
      </c>
      <c r="B215" s="2098">
        <v>105.14700000000001</v>
      </c>
      <c r="C215" s="2109" t="s">
        <v>579</v>
      </c>
      <c r="D215" s="2100"/>
      <c r="E215" s="2113">
        <v>-111999</v>
      </c>
      <c r="F215" s="2113">
        <v>-111999</v>
      </c>
      <c r="G215" s="2113">
        <v>0</v>
      </c>
      <c r="H215" s="2113">
        <v>0</v>
      </c>
      <c r="I215" s="2113">
        <v>0</v>
      </c>
      <c r="J215" s="2101" t="s">
        <v>580</v>
      </c>
    </row>
    <row r="216" spans="1:10" ht="25.5">
      <c r="A216" s="2097">
        <v>287599</v>
      </c>
      <c r="B216" s="2098">
        <v>105.16</v>
      </c>
      <c r="C216" s="2109" t="s">
        <v>581</v>
      </c>
      <c r="D216" s="2100"/>
      <c r="E216" s="2113">
        <v>-4524862</v>
      </c>
      <c r="F216" s="2113">
        <v>-4524862</v>
      </c>
      <c r="G216" s="2113">
        <v>0</v>
      </c>
      <c r="H216" s="2113">
        <v>0</v>
      </c>
      <c r="I216" s="2113">
        <v>0</v>
      </c>
      <c r="J216" s="2101" t="s">
        <v>582</v>
      </c>
    </row>
    <row r="217" spans="1:10" ht="25.5">
      <c r="A217" s="2097">
        <v>287766</v>
      </c>
      <c r="B217" s="2098">
        <v>610.101</v>
      </c>
      <c r="C217" s="2109" t="s">
        <v>583</v>
      </c>
      <c r="D217" s="2100"/>
      <c r="E217" s="2113">
        <v>69021</v>
      </c>
      <c r="F217" s="2113">
        <v>69021</v>
      </c>
      <c r="G217" s="2113">
        <v>0</v>
      </c>
      <c r="H217" s="2113">
        <v>0</v>
      </c>
      <c r="I217" s="2113">
        <v>0</v>
      </c>
      <c r="J217" s="2101" t="s">
        <v>584</v>
      </c>
    </row>
    <row r="218" spans="1:10" ht="12.75">
      <c r="A218" s="2097">
        <v>287610</v>
      </c>
      <c r="B218" s="2098">
        <v>105.40300000000001</v>
      </c>
      <c r="C218" s="2109" t="s">
        <v>585</v>
      </c>
      <c r="D218" s="2100"/>
      <c r="E218" s="2113">
        <v>-24192983</v>
      </c>
      <c r="F218" s="2113">
        <v>-24192983</v>
      </c>
      <c r="G218" s="2113">
        <v>0</v>
      </c>
      <c r="H218" s="2113">
        <v>0</v>
      </c>
      <c r="I218" s="2113">
        <v>0</v>
      </c>
      <c r="J218" s="2101" t="s">
        <v>586</v>
      </c>
    </row>
    <row r="219" spans="1:10" ht="12.75">
      <c r="A219" s="2097">
        <v>287605</v>
      </c>
      <c r="B219" s="2098">
        <v>105.142</v>
      </c>
      <c r="C219" s="2109" t="s">
        <v>587</v>
      </c>
      <c r="D219" s="2100"/>
      <c r="E219" s="2113">
        <v>163640792</v>
      </c>
      <c r="F219" s="2113">
        <v>163640792</v>
      </c>
      <c r="G219" s="2113">
        <v>0</v>
      </c>
      <c r="H219" s="2113">
        <v>0</v>
      </c>
      <c r="I219" s="2113">
        <v>0</v>
      </c>
      <c r="J219" s="2101" t="s">
        <v>588</v>
      </c>
    </row>
    <row r="220" spans="1:10" ht="25.5">
      <c r="A220" s="2097">
        <v>287704</v>
      </c>
      <c r="B220" s="2098">
        <v>105.143</v>
      </c>
      <c r="C220" s="2109" t="s">
        <v>589</v>
      </c>
      <c r="D220" s="2100"/>
      <c r="E220" s="2113">
        <v>-1083823</v>
      </c>
      <c r="F220" s="2113">
        <v>0</v>
      </c>
      <c r="G220" s="2113">
        <v>0</v>
      </c>
      <c r="H220" s="2113">
        <v>-1083823</v>
      </c>
      <c r="I220" s="2113">
        <v>0</v>
      </c>
      <c r="J220" s="2101" t="s">
        <v>590</v>
      </c>
    </row>
    <row r="221" spans="1:10" ht="12.75">
      <c r="A221" s="2097">
        <v>287605</v>
      </c>
      <c r="B221" s="2098">
        <v>105.12</v>
      </c>
      <c r="C221" s="2109" t="s">
        <v>592</v>
      </c>
      <c r="D221" s="2100"/>
      <c r="E221" s="2113">
        <v>2351250809</v>
      </c>
      <c r="F221" s="2113">
        <v>2351250809</v>
      </c>
      <c r="G221" s="2113">
        <v>0</v>
      </c>
      <c r="H221" s="2113">
        <v>0</v>
      </c>
      <c r="I221" s="2113">
        <v>0</v>
      </c>
      <c r="J221" s="2101" t="s">
        <v>593</v>
      </c>
    </row>
    <row r="222" spans="1:10" ht="12.75">
      <c r="A222" s="2097">
        <v>287605</v>
      </c>
      <c r="B222" s="2098">
        <v>105.47</v>
      </c>
      <c r="C222" s="2109" t="s">
        <v>594</v>
      </c>
      <c r="D222" s="2100"/>
      <c r="E222" s="2113">
        <v>16149731</v>
      </c>
      <c r="F222" s="2113">
        <v>16149731</v>
      </c>
      <c r="G222" s="2113">
        <v>0</v>
      </c>
      <c r="H222" s="2113">
        <v>0</v>
      </c>
      <c r="I222" s="2113">
        <v>0</v>
      </c>
      <c r="J222" s="2101" t="s">
        <v>595</v>
      </c>
    </row>
    <row r="223" spans="1:10" ht="25.5">
      <c r="A223" s="2097">
        <v>287605</v>
      </c>
      <c r="B223" s="2098">
        <v>105.146</v>
      </c>
      <c r="C223" s="2109" t="s">
        <v>596</v>
      </c>
      <c r="D223" s="2100"/>
      <c r="E223" s="2113">
        <v>3393596</v>
      </c>
      <c r="F223" s="2113">
        <v>3393596</v>
      </c>
      <c r="G223" s="2113">
        <v>0</v>
      </c>
      <c r="H223" s="2113">
        <v>0</v>
      </c>
      <c r="I223" s="2113">
        <v>0</v>
      </c>
      <c r="J223" s="2101" t="s">
        <v>597</v>
      </c>
    </row>
    <row r="224" spans="1:10" ht="12.75">
      <c r="A224" s="2097">
        <v>287605</v>
      </c>
      <c r="B224" s="2098">
        <v>105.137</v>
      </c>
      <c r="C224" s="2109" t="s">
        <v>598</v>
      </c>
      <c r="D224" s="2100"/>
      <c r="E224" s="2113">
        <v>-18356159</v>
      </c>
      <c r="F224" s="2113">
        <v>-18356159</v>
      </c>
      <c r="G224" s="2113">
        <v>0</v>
      </c>
      <c r="H224" s="2113">
        <v>0</v>
      </c>
      <c r="I224" s="2113">
        <v>0</v>
      </c>
      <c r="J224" s="2101" t="s">
        <v>599</v>
      </c>
    </row>
    <row r="225" spans="1:10" ht="12.75">
      <c r="A225" s="2097">
        <v>287605</v>
      </c>
      <c r="B225" s="2098">
        <v>105.1</v>
      </c>
      <c r="C225" s="2109" t="s">
        <v>600</v>
      </c>
      <c r="D225" s="2100"/>
      <c r="E225" s="2113">
        <v>22999656</v>
      </c>
      <c r="F225" s="2113">
        <v>22999656</v>
      </c>
      <c r="G225" s="2113">
        <v>0</v>
      </c>
      <c r="H225" s="2113">
        <v>0</v>
      </c>
      <c r="I225" s="2113">
        <v>0</v>
      </c>
      <c r="J225" s="2101" t="s">
        <v>601</v>
      </c>
    </row>
    <row r="226" spans="1:10" ht="25.5">
      <c r="A226" s="2097">
        <v>287605</v>
      </c>
      <c r="B226" s="2098">
        <v>105.101</v>
      </c>
      <c r="C226" s="2109" t="s">
        <v>602</v>
      </c>
      <c r="D226" s="2100"/>
      <c r="E226" s="2113">
        <v>1565135</v>
      </c>
      <c r="F226" s="2113">
        <v>1565135</v>
      </c>
      <c r="G226" s="2113">
        <v>0</v>
      </c>
      <c r="H226" s="2113">
        <v>0</v>
      </c>
      <c r="I226" s="2113">
        <v>0</v>
      </c>
      <c r="J226" s="2101" t="s">
        <v>603</v>
      </c>
    </row>
    <row r="227" spans="1:10" ht="12.75">
      <c r="A227" s="2097">
        <v>287605</v>
      </c>
      <c r="B227" s="2098" t="s">
        <v>515</v>
      </c>
      <c r="C227" s="2109" t="s">
        <v>604</v>
      </c>
      <c r="D227" s="2100"/>
      <c r="E227" s="2113">
        <v>0</v>
      </c>
      <c r="F227" s="2113">
        <v>1144195051</v>
      </c>
      <c r="G227" s="2113">
        <v>-1144195051</v>
      </c>
      <c r="H227" s="2113">
        <v>0</v>
      </c>
      <c r="I227" s="2113">
        <v>0</v>
      </c>
      <c r="J227" s="2101" t="s">
        <v>605</v>
      </c>
    </row>
    <row r="228" spans="1:10" ht="12.75">
      <c r="A228" s="2097">
        <v>287605</v>
      </c>
      <c r="B228" s="2098" t="s">
        <v>515</v>
      </c>
      <c r="C228" s="2109" t="s">
        <v>1907</v>
      </c>
      <c r="D228" s="2100"/>
      <c r="E228" s="2113">
        <v>0</v>
      </c>
      <c r="F228" s="2113">
        <v>829067</v>
      </c>
      <c r="G228" s="2113">
        <v>-829067</v>
      </c>
      <c r="H228" s="2113">
        <v>0</v>
      </c>
      <c r="I228" s="2113">
        <v>0</v>
      </c>
      <c r="J228" s="2101" t="s">
        <v>2328</v>
      </c>
    </row>
    <row r="229" spans="1:10" ht="12.75">
      <c r="A229" s="2097">
        <v>287605</v>
      </c>
      <c r="B229" s="2098" t="s">
        <v>515</v>
      </c>
      <c r="C229" s="2109" t="s">
        <v>606</v>
      </c>
      <c r="D229" s="2100"/>
      <c r="E229" s="2113">
        <v>0</v>
      </c>
      <c r="F229" s="2113">
        <v>52512387</v>
      </c>
      <c r="G229" s="2113">
        <v>0</v>
      </c>
      <c r="H229" s="2113">
        <v>0</v>
      </c>
      <c r="I229" s="2113">
        <v>-52512387</v>
      </c>
      <c r="J229" s="2101" t="s">
        <v>607</v>
      </c>
    </row>
    <row r="230" spans="1:10" ht="12.75">
      <c r="A230" s="2097">
        <v>287605</v>
      </c>
      <c r="B230" s="2098" t="s">
        <v>515</v>
      </c>
      <c r="C230" s="2109" t="s">
        <v>1908</v>
      </c>
      <c r="D230" s="2100"/>
      <c r="E230" s="2113">
        <v>0</v>
      </c>
      <c r="F230" s="2113">
        <v>1409308</v>
      </c>
      <c r="G230" s="2113">
        <v>0</v>
      </c>
      <c r="H230" s="2113">
        <v>0</v>
      </c>
      <c r="I230" s="2113">
        <v>-1409308</v>
      </c>
      <c r="J230" s="2101" t="s">
        <v>2329</v>
      </c>
    </row>
    <row r="231" spans="1:10" ht="12.75">
      <c r="A231" s="2097">
        <v>287605</v>
      </c>
      <c r="B231" s="2098" t="s">
        <v>515</v>
      </c>
      <c r="C231" s="2109" t="s">
        <v>608</v>
      </c>
      <c r="D231" s="2100"/>
      <c r="E231" s="2113">
        <v>0</v>
      </c>
      <c r="F231" s="2113">
        <v>189338393</v>
      </c>
      <c r="G231" s="2113">
        <v>0</v>
      </c>
      <c r="H231" s="2113">
        <v>0</v>
      </c>
      <c r="I231" s="2113">
        <v>-189338393</v>
      </c>
      <c r="J231" s="2101" t="s">
        <v>609</v>
      </c>
    </row>
    <row r="232" spans="1:10" ht="12.75">
      <c r="A232" s="2097">
        <v>287605</v>
      </c>
      <c r="B232" s="2098" t="s">
        <v>515</v>
      </c>
      <c r="C232" s="2109" t="s">
        <v>1909</v>
      </c>
      <c r="D232" s="2100"/>
      <c r="E232" s="2113">
        <v>0</v>
      </c>
      <c r="F232" s="2113">
        <v>4230621</v>
      </c>
      <c r="G232" s="2113">
        <v>0</v>
      </c>
      <c r="H232" s="2113">
        <v>0</v>
      </c>
      <c r="I232" s="2113">
        <v>-4230621</v>
      </c>
      <c r="J232" s="2101" t="s">
        <v>2330</v>
      </c>
    </row>
    <row r="233" spans="1:10" ht="25.5">
      <c r="A233" s="2097">
        <v>287608</v>
      </c>
      <c r="B233" s="2098">
        <v>105.22199999999999</v>
      </c>
      <c r="C233" s="2109" t="s">
        <v>610</v>
      </c>
      <c r="D233" s="2100"/>
      <c r="E233" s="2113">
        <v>-1598585</v>
      </c>
      <c r="F233" s="2113">
        <v>0</v>
      </c>
      <c r="G233" s="2113">
        <v>0</v>
      </c>
      <c r="H233" s="2113">
        <v>-1598585</v>
      </c>
      <c r="I233" s="2113">
        <v>0</v>
      </c>
      <c r="J233" s="2101" t="s">
        <v>549</v>
      </c>
    </row>
    <row r="234" spans="1:10" ht="25.5">
      <c r="A234" s="2097">
        <v>287608</v>
      </c>
      <c r="B234" s="2098">
        <v>105.223</v>
      </c>
      <c r="C234" s="2109" t="s">
        <v>611</v>
      </c>
      <c r="D234" s="2100"/>
      <c r="E234" s="2113">
        <v>647446</v>
      </c>
      <c r="F234" s="2113">
        <v>0</v>
      </c>
      <c r="G234" s="2113">
        <v>0</v>
      </c>
      <c r="H234" s="2113">
        <v>647446</v>
      </c>
      <c r="I234" s="2113">
        <v>0</v>
      </c>
      <c r="J234" s="2101" t="s">
        <v>612</v>
      </c>
    </row>
    <row r="235" spans="1:10" ht="51">
      <c r="A235" s="2097">
        <v>287605</v>
      </c>
      <c r="B235" s="2098">
        <v>105.16500000000001</v>
      </c>
      <c r="C235" s="2109" t="s">
        <v>613</v>
      </c>
      <c r="D235" s="2100"/>
      <c r="E235" s="2113">
        <v>0</v>
      </c>
      <c r="F235" s="2113">
        <v>0</v>
      </c>
      <c r="G235" s="2113">
        <v>0</v>
      </c>
      <c r="H235" s="2113">
        <v>0</v>
      </c>
      <c r="I235" s="2113">
        <v>0</v>
      </c>
      <c r="J235" s="2101" t="s">
        <v>2331</v>
      </c>
    </row>
    <row r="236" spans="1:10" ht="38.25">
      <c r="A236" s="2097">
        <v>287605</v>
      </c>
      <c r="B236" s="2098">
        <v>105.17</v>
      </c>
      <c r="C236" s="2109" t="s">
        <v>614</v>
      </c>
      <c r="D236" s="2100"/>
      <c r="E236" s="2113">
        <v>0</v>
      </c>
      <c r="F236" s="2113">
        <v>0</v>
      </c>
      <c r="G236" s="2113">
        <v>0</v>
      </c>
      <c r="H236" s="2113">
        <v>0</v>
      </c>
      <c r="I236" s="2113">
        <v>0</v>
      </c>
      <c r="J236" s="2101" t="s">
        <v>2332</v>
      </c>
    </row>
    <row r="237" spans="1:10" ht="25.5">
      <c r="A237" s="2097">
        <v>287605</v>
      </c>
      <c r="B237" s="2098">
        <v>105.15300000000001</v>
      </c>
      <c r="C237" s="2109" t="s">
        <v>615</v>
      </c>
      <c r="D237" s="2100"/>
      <c r="E237" s="2113">
        <v>-127166</v>
      </c>
      <c r="F237" s="2113">
        <v>-127166</v>
      </c>
      <c r="G237" s="2113">
        <v>0</v>
      </c>
      <c r="H237" s="2113">
        <v>0</v>
      </c>
      <c r="I237" s="2113">
        <v>0</v>
      </c>
      <c r="J237" s="2101" t="s">
        <v>510</v>
      </c>
    </row>
    <row r="238" spans="1:10" ht="12.75">
      <c r="A238" s="2097">
        <v>287605</v>
      </c>
      <c r="B238" s="2098">
        <v>105.151</v>
      </c>
      <c r="C238" s="2109" t="s">
        <v>616</v>
      </c>
      <c r="D238" s="2100"/>
      <c r="E238" s="2113">
        <v>-482732</v>
      </c>
      <c r="F238" s="2113">
        <v>-482732</v>
      </c>
      <c r="G238" s="2113">
        <v>0</v>
      </c>
      <c r="H238" s="2113">
        <v>0</v>
      </c>
      <c r="I238" s="2113">
        <v>0</v>
      </c>
      <c r="J238" s="2101" t="s">
        <v>508</v>
      </c>
    </row>
    <row r="239" spans="1:10" ht="12.75">
      <c r="A239" s="2097">
        <v>287605</v>
      </c>
      <c r="B239" s="2098">
        <v>105.13</v>
      </c>
      <c r="C239" s="2109" t="s">
        <v>617</v>
      </c>
      <c r="D239" s="2100"/>
      <c r="E239" s="2113">
        <v>245315425</v>
      </c>
      <c r="F239" s="2113">
        <v>245315425</v>
      </c>
      <c r="G239" s="2113">
        <v>0</v>
      </c>
      <c r="H239" s="2113">
        <v>0</v>
      </c>
      <c r="I239" s="2113">
        <v>0</v>
      </c>
      <c r="J239" s="2101" t="s">
        <v>618</v>
      </c>
    </row>
    <row r="240" spans="1:10" ht="38.25">
      <c r="A240" s="2097">
        <v>287605</v>
      </c>
      <c r="B240" s="2098">
        <v>105.175</v>
      </c>
      <c r="C240" s="2109" t="s">
        <v>619</v>
      </c>
      <c r="D240" s="2100"/>
      <c r="E240" s="2113">
        <v>-191061776</v>
      </c>
      <c r="F240" s="2113">
        <v>-191061776</v>
      </c>
      <c r="G240" s="2113">
        <v>0</v>
      </c>
      <c r="H240" s="2113">
        <v>0</v>
      </c>
      <c r="I240" s="2113">
        <v>0</v>
      </c>
      <c r="J240" s="2101" t="s">
        <v>620</v>
      </c>
    </row>
    <row r="241" spans="1:10" ht="76.5">
      <c r="A241" s="2097">
        <v>287224</v>
      </c>
      <c r="B241" s="2098">
        <v>145.03</v>
      </c>
      <c r="C241" s="2109" t="s">
        <v>621</v>
      </c>
      <c r="D241" s="2100"/>
      <c r="E241" s="2113">
        <v>1378419</v>
      </c>
      <c r="F241" s="2113">
        <v>1378419</v>
      </c>
      <c r="G241" s="2113">
        <v>0</v>
      </c>
      <c r="H241" s="2113">
        <v>0</v>
      </c>
      <c r="I241" s="2113">
        <v>0</v>
      </c>
      <c r="J241" s="2101" t="s">
        <v>622</v>
      </c>
    </row>
    <row r="242" spans="1:10" ht="51">
      <c r="A242" s="2097">
        <v>287605</v>
      </c>
      <c r="B242" s="2098">
        <v>105.14100000000001</v>
      </c>
      <c r="C242" s="2109" t="s">
        <v>623</v>
      </c>
      <c r="D242" s="2100"/>
      <c r="E242" s="2113">
        <v>-163018214</v>
      </c>
      <c r="F242" s="2113">
        <v>-163018214</v>
      </c>
      <c r="G242" s="2113">
        <v>0</v>
      </c>
      <c r="H242" s="2113">
        <v>0</v>
      </c>
      <c r="I242" s="2113">
        <v>0</v>
      </c>
      <c r="J242" s="2101" t="s">
        <v>624</v>
      </c>
    </row>
    <row r="243" spans="1:10" ht="51">
      <c r="A243" s="2097">
        <v>287607</v>
      </c>
      <c r="B243" s="2098">
        <v>105.117</v>
      </c>
      <c r="C243" s="2109" t="s">
        <v>860</v>
      </c>
      <c r="D243" s="2100"/>
      <c r="E243" s="2113">
        <v>-7633104</v>
      </c>
      <c r="F243" s="2113">
        <v>-7633104</v>
      </c>
      <c r="G243" s="2113">
        <v>0</v>
      </c>
      <c r="H243" s="2113">
        <v>0</v>
      </c>
      <c r="I243" s="2113">
        <v>0</v>
      </c>
      <c r="J243" s="2101" t="s">
        <v>2333</v>
      </c>
    </row>
    <row r="244" spans="1:10" ht="76.5">
      <c r="A244" s="2097">
        <v>287605</v>
      </c>
      <c r="B244" s="2098">
        <v>105.11499999999999</v>
      </c>
      <c r="C244" s="2109" t="s">
        <v>625</v>
      </c>
      <c r="D244" s="2100"/>
      <c r="E244" s="2113">
        <v>-1360854056</v>
      </c>
      <c r="F244" s="2113">
        <v>-1360854056</v>
      </c>
      <c r="G244" s="2113">
        <v>0</v>
      </c>
      <c r="H244" s="2113">
        <v>0</v>
      </c>
      <c r="I244" s="2113">
        <v>0</v>
      </c>
      <c r="J244" s="2101" t="s">
        <v>2334</v>
      </c>
    </row>
    <row r="245" spans="1:10" ht="51">
      <c r="A245" s="2097">
        <v>287605</v>
      </c>
      <c r="B245" s="2098">
        <v>105.139</v>
      </c>
      <c r="C245" s="2109" t="s">
        <v>626</v>
      </c>
      <c r="D245" s="2100"/>
      <c r="E245" s="2113">
        <v>-79920415</v>
      </c>
      <c r="F245" s="2113">
        <v>-79920415</v>
      </c>
      <c r="G245" s="2113">
        <v>0</v>
      </c>
      <c r="H245" s="2113">
        <v>0</v>
      </c>
      <c r="I245" s="2113">
        <v>0</v>
      </c>
      <c r="J245" s="2101" t="s">
        <v>624</v>
      </c>
    </row>
    <row r="246" spans="1:10" ht="25.5">
      <c r="A246" s="2097">
        <v>287928</v>
      </c>
      <c r="B246" s="2098">
        <v>425.31</v>
      </c>
      <c r="C246" s="2109" t="s">
        <v>627</v>
      </c>
      <c r="D246" s="2100"/>
      <c r="E246" s="2113">
        <v>-4026581</v>
      </c>
      <c r="F246" s="2113">
        <v>-4026581</v>
      </c>
      <c r="G246" s="2113">
        <v>0</v>
      </c>
      <c r="H246" s="2113">
        <v>0</v>
      </c>
      <c r="I246" s="2113">
        <v>0</v>
      </c>
      <c r="J246" s="2101" t="s">
        <v>628</v>
      </c>
    </row>
    <row r="247" spans="1:10" ht="12.75">
      <c r="A247" s="2097">
        <v>287605</v>
      </c>
      <c r="B247" s="2098">
        <v>105.125</v>
      </c>
      <c r="C247" s="2109" t="s">
        <v>629</v>
      </c>
      <c r="D247" s="2100"/>
      <c r="E247" s="2113">
        <v>-4621421000.2399998</v>
      </c>
      <c r="F247" s="2113">
        <v>-4621421000.2399998</v>
      </c>
      <c r="G247" s="2113">
        <v>0</v>
      </c>
      <c r="H247" s="2113">
        <v>0</v>
      </c>
      <c r="I247" s="2113">
        <v>0</v>
      </c>
      <c r="J247" s="2101" t="s">
        <v>630</v>
      </c>
    </row>
    <row r="248" spans="1:10" ht="12.75">
      <c r="A248" s="2097">
        <v>287605</v>
      </c>
      <c r="B248" s="2098">
        <v>105.152</v>
      </c>
      <c r="C248" s="2109" t="s">
        <v>631</v>
      </c>
      <c r="D248" s="2100"/>
      <c r="E248" s="2113">
        <v>-58128735.409999996</v>
      </c>
      <c r="F248" s="2113">
        <v>-58128735.409999996</v>
      </c>
      <c r="G248" s="2113">
        <v>0</v>
      </c>
      <c r="H248" s="2113">
        <v>0</v>
      </c>
      <c r="I248" s="2113">
        <v>0</v>
      </c>
      <c r="J248" s="2101" t="s">
        <v>632</v>
      </c>
    </row>
    <row r="249" spans="1:10" ht="25.5">
      <c r="A249" s="2097">
        <v>287605</v>
      </c>
      <c r="B249" s="2098">
        <v>105.129</v>
      </c>
      <c r="C249" s="2109" t="s">
        <v>633</v>
      </c>
      <c r="D249" s="2100"/>
      <c r="E249" s="2113">
        <v>22466833</v>
      </c>
      <c r="F249" s="2113">
        <v>0</v>
      </c>
      <c r="G249" s="2113">
        <v>0</v>
      </c>
      <c r="H249" s="2113">
        <v>22466833</v>
      </c>
      <c r="I249" s="2113">
        <v>0</v>
      </c>
      <c r="J249" s="2101" t="s">
        <v>634</v>
      </c>
    </row>
    <row r="250" spans="1:10" ht="25.5">
      <c r="A250" s="2097">
        <v>287605</v>
      </c>
      <c r="B250" s="2098">
        <v>105.148</v>
      </c>
      <c r="C250" s="2109" t="s">
        <v>635</v>
      </c>
      <c r="D250" s="2100"/>
      <c r="E250" s="2113">
        <v>-306514</v>
      </c>
      <c r="F250" s="2113">
        <v>-306514</v>
      </c>
      <c r="G250" s="2113">
        <v>0</v>
      </c>
      <c r="H250" s="2113">
        <v>0</v>
      </c>
      <c r="I250" s="2113">
        <v>0</v>
      </c>
      <c r="J250" s="2101" t="s">
        <v>636</v>
      </c>
    </row>
    <row r="251" spans="1:10" ht="12.75">
      <c r="A251" s="2097">
        <v>287929</v>
      </c>
      <c r="B251" s="2098">
        <v>105.46</v>
      </c>
      <c r="C251" s="2109" t="s">
        <v>637</v>
      </c>
      <c r="D251" s="2100"/>
      <c r="E251" s="2113">
        <v>-247201083</v>
      </c>
      <c r="F251" s="2113">
        <v>-247201083</v>
      </c>
      <c r="G251" s="2113">
        <v>0</v>
      </c>
      <c r="H251" s="2113">
        <v>0</v>
      </c>
      <c r="I251" s="2113">
        <v>0</v>
      </c>
      <c r="J251" s="2101" t="s">
        <v>586</v>
      </c>
    </row>
    <row r="252" spans="1:10" ht="76.5">
      <c r="A252" s="2097">
        <v>286691</v>
      </c>
      <c r="B252" s="2098">
        <v>105.10599999999999</v>
      </c>
      <c r="C252" s="2109" t="s">
        <v>1879</v>
      </c>
      <c r="D252" s="2100"/>
      <c r="E252" s="2113">
        <v>-6748788</v>
      </c>
      <c r="F252" s="2113">
        <v>-6748788</v>
      </c>
      <c r="G252" s="2113">
        <v>0</v>
      </c>
      <c r="H252" s="2113">
        <v>0</v>
      </c>
      <c r="I252" s="2113">
        <v>0</v>
      </c>
      <c r="J252" s="2101" t="s">
        <v>2335</v>
      </c>
    </row>
    <row r="253" spans="1:10" ht="76.5">
      <c r="A253" s="2097">
        <v>286697</v>
      </c>
      <c r="B253" s="2098">
        <v>105.113</v>
      </c>
      <c r="C253" s="2109" t="s">
        <v>1880</v>
      </c>
      <c r="D253" s="2100"/>
      <c r="E253" s="2113">
        <v>-3768586</v>
      </c>
      <c r="F253" s="2113">
        <v>-3768586</v>
      </c>
      <c r="G253" s="2113">
        <v>0</v>
      </c>
      <c r="H253" s="2113">
        <v>0</v>
      </c>
      <c r="I253" s="2113">
        <v>0</v>
      </c>
      <c r="J253" s="2101" t="s">
        <v>2335</v>
      </c>
    </row>
    <row r="254" spans="1:10" ht="76.5">
      <c r="A254" s="2097">
        <v>286692</v>
      </c>
      <c r="B254" s="2098">
        <v>105.107</v>
      </c>
      <c r="C254" s="2109" t="s">
        <v>1881</v>
      </c>
      <c r="D254" s="2100"/>
      <c r="E254" s="2113">
        <v>-10009386</v>
      </c>
      <c r="F254" s="2113">
        <v>-10009386</v>
      </c>
      <c r="G254" s="2113">
        <v>0</v>
      </c>
      <c r="H254" s="2113">
        <v>0</v>
      </c>
      <c r="I254" s="2113">
        <v>0</v>
      </c>
      <c r="J254" s="2101" t="s">
        <v>2335</v>
      </c>
    </row>
    <row r="255" spans="1:10" ht="76.5">
      <c r="A255" s="2097">
        <v>286693</v>
      </c>
      <c r="B255" s="2098">
        <v>105.108</v>
      </c>
      <c r="C255" s="2109" t="s">
        <v>1882</v>
      </c>
      <c r="D255" s="2100"/>
      <c r="E255" s="2113">
        <v>-93279909</v>
      </c>
      <c r="F255" s="2113">
        <v>-93279909</v>
      </c>
      <c r="G255" s="2113">
        <v>0</v>
      </c>
      <c r="H255" s="2113">
        <v>0</v>
      </c>
      <c r="I255" s="2113">
        <v>0</v>
      </c>
      <c r="J255" s="2101" t="s">
        <v>2335</v>
      </c>
    </row>
    <row r="256" spans="1:10" ht="76.5">
      <c r="A256" s="2097">
        <v>286695</v>
      </c>
      <c r="B256" s="2098">
        <v>105.10899999999999</v>
      </c>
      <c r="C256" s="2109" t="s">
        <v>1883</v>
      </c>
      <c r="D256" s="2100"/>
      <c r="E256" s="2113">
        <v>-20865641</v>
      </c>
      <c r="F256" s="2113">
        <v>-20865641</v>
      </c>
      <c r="G256" s="2113">
        <v>0</v>
      </c>
      <c r="H256" s="2113">
        <v>0</v>
      </c>
      <c r="I256" s="2113">
        <v>0</v>
      </c>
      <c r="J256" s="2101" t="s">
        <v>2335</v>
      </c>
    </row>
    <row r="257" spans="1:10" ht="76.5">
      <c r="A257" s="2097">
        <v>286696</v>
      </c>
      <c r="B257" s="2098">
        <v>105.111</v>
      </c>
      <c r="C257" s="2109" t="s">
        <v>1884</v>
      </c>
      <c r="D257" s="2100"/>
      <c r="E257" s="2113">
        <v>-38491281</v>
      </c>
      <c r="F257" s="2113">
        <v>-38491281</v>
      </c>
      <c r="G257" s="2113">
        <v>0</v>
      </c>
      <c r="H257" s="2113">
        <v>0</v>
      </c>
      <c r="I257" s="2113">
        <v>0</v>
      </c>
      <c r="J257" s="2101" t="s">
        <v>2335</v>
      </c>
    </row>
    <row r="258" spans="1:10" ht="25.5">
      <c r="A258" s="2097">
        <v>286605</v>
      </c>
      <c r="B258" s="2098">
        <v>105.136</v>
      </c>
      <c r="C258" s="2109" t="s">
        <v>861</v>
      </c>
      <c r="D258" s="2100"/>
      <c r="E258" s="2113">
        <v>-383923</v>
      </c>
      <c r="F258" s="2113">
        <v>-383923</v>
      </c>
      <c r="G258" s="2113">
        <v>0</v>
      </c>
      <c r="H258" s="2113">
        <v>0</v>
      </c>
      <c r="I258" s="2113">
        <v>0</v>
      </c>
      <c r="J258" s="2101" t="s">
        <v>2336</v>
      </c>
    </row>
    <row r="259" spans="1:10" ht="38.25">
      <c r="A259" s="2097">
        <v>287605</v>
      </c>
      <c r="B259" s="2098">
        <v>320.20999999999998</v>
      </c>
      <c r="C259" s="2109" t="s">
        <v>638</v>
      </c>
      <c r="D259" s="2100"/>
      <c r="E259" s="2113">
        <v>-7719946</v>
      </c>
      <c r="F259" s="2113">
        <v>-7719946</v>
      </c>
      <c r="G259" s="2113">
        <v>0</v>
      </c>
      <c r="H259" s="2113">
        <v>0</v>
      </c>
      <c r="I259" s="2113">
        <v>0</v>
      </c>
      <c r="J259" s="2101" t="s">
        <v>639</v>
      </c>
    </row>
    <row r="260" spans="1:10" ht="51">
      <c r="A260" s="2097">
        <v>287605</v>
      </c>
      <c r="B260" s="2098">
        <v>100.11</v>
      </c>
      <c r="C260" s="2109" t="s">
        <v>640</v>
      </c>
      <c r="D260" s="2100"/>
      <c r="E260" s="2113">
        <v>-27337</v>
      </c>
      <c r="F260" s="2113">
        <v>-27337</v>
      </c>
      <c r="G260" s="2113">
        <v>0</v>
      </c>
      <c r="H260" s="2113">
        <v>0</v>
      </c>
      <c r="I260" s="2113">
        <v>0</v>
      </c>
      <c r="J260" s="2101" t="s">
        <v>641</v>
      </c>
    </row>
    <row r="261" spans="1:10" ht="25.5">
      <c r="A261" s="2097">
        <v>287605</v>
      </c>
      <c r="B261" s="2098">
        <v>105.158</v>
      </c>
      <c r="C261" s="2109" t="s">
        <v>642</v>
      </c>
      <c r="D261" s="2100"/>
      <c r="E261" s="2113">
        <v>186877</v>
      </c>
      <c r="F261" s="2113">
        <v>0</v>
      </c>
      <c r="G261" s="2113">
        <v>0</v>
      </c>
      <c r="H261" s="2113">
        <v>0</v>
      </c>
      <c r="I261" s="2113">
        <v>186877</v>
      </c>
      <c r="J261" s="2101" t="s">
        <v>643</v>
      </c>
    </row>
    <row r="262" spans="1:10" ht="25.5">
      <c r="A262" s="2097">
        <v>287605</v>
      </c>
      <c r="B262" s="2098">
        <v>105.15900000000001</v>
      </c>
      <c r="C262" s="2109" t="s">
        <v>644</v>
      </c>
      <c r="D262" s="2100"/>
      <c r="E262" s="2113">
        <v>4164640</v>
      </c>
      <c r="F262" s="2113">
        <v>0</v>
      </c>
      <c r="G262" s="2113">
        <v>4164640</v>
      </c>
      <c r="H262" s="2113">
        <v>0</v>
      </c>
      <c r="I262" s="2113">
        <v>0</v>
      </c>
      <c r="J262" s="2101" t="s">
        <v>643</v>
      </c>
    </row>
    <row r="263" spans="1:10" ht="25.5">
      <c r="A263" s="2097">
        <v>287605</v>
      </c>
      <c r="B263" s="2098">
        <v>105.15900000000001</v>
      </c>
      <c r="C263" s="2109" t="s">
        <v>1885</v>
      </c>
      <c r="D263" s="2100"/>
      <c r="E263" s="2113">
        <v>173345</v>
      </c>
      <c r="F263" s="2113">
        <v>173345</v>
      </c>
      <c r="G263" s="2113">
        <v>0</v>
      </c>
      <c r="H263" s="2113">
        <v>0</v>
      </c>
      <c r="I263" s="2113">
        <v>0</v>
      </c>
      <c r="J263" s="2101" t="s">
        <v>643</v>
      </c>
    </row>
    <row r="264" spans="1:10" ht="25.5">
      <c r="A264" s="2097">
        <v>287605</v>
      </c>
      <c r="B264" s="2098">
        <v>105.131</v>
      </c>
      <c r="C264" s="2109" t="s">
        <v>645</v>
      </c>
      <c r="D264" s="2100"/>
      <c r="E264" s="2113">
        <v>180339430</v>
      </c>
      <c r="F264" s="2113">
        <v>180339430</v>
      </c>
      <c r="G264" s="2113">
        <v>0</v>
      </c>
      <c r="H264" s="2113">
        <v>0</v>
      </c>
      <c r="I264" s="2113">
        <v>0</v>
      </c>
      <c r="J264" s="2101" t="s">
        <v>646</v>
      </c>
    </row>
    <row r="265" spans="1:10" ht="38.25">
      <c r="A265" s="2097">
        <v>287605</v>
      </c>
      <c r="B265" s="2098">
        <v>105.14</v>
      </c>
      <c r="C265" s="2109" t="s">
        <v>647</v>
      </c>
      <c r="D265" s="2100"/>
      <c r="E265" s="2113">
        <v>21672077</v>
      </c>
      <c r="F265" s="2113">
        <v>21672077</v>
      </c>
      <c r="G265" s="2113">
        <v>0</v>
      </c>
      <c r="H265" s="2113">
        <v>0</v>
      </c>
      <c r="I265" s="2113">
        <v>0</v>
      </c>
      <c r="J265" s="2101" t="s">
        <v>648</v>
      </c>
    </row>
    <row r="266" spans="1:10" ht="38.25">
      <c r="A266" s="2097">
        <v>287605</v>
      </c>
      <c r="B266" s="2098">
        <v>105.122</v>
      </c>
      <c r="C266" s="2109" t="s">
        <v>649</v>
      </c>
      <c r="D266" s="2100"/>
      <c r="E266" s="2113">
        <v>-379313893</v>
      </c>
      <c r="F266" s="2113">
        <v>-379313893</v>
      </c>
      <c r="G266" s="2113">
        <v>0</v>
      </c>
      <c r="H266" s="2113">
        <v>0</v>
      </c>
      <c r="I266" s="2113">
        <v>0</v>
      </c>
      <c r="J266" s="2101" t="s">
        <v>650</v>
      </c>
    </row>
    <row r="267" spans="1:10" ht="38.25">
      <c r="A267" s="2097">
        <v>287221</v>
      </c>
      <c r="B267" s="2098">
        <v>415.93299999999999</v>
      </c>
      <c r="C267" s="2109" t="s">
        <v>651</v>
      </c>
      <c r="D267" s="2100"/>
      <c r="E267" s="2113">
        <v>-306766</v>
      </c>
      <c r="F267" s="2113">
        <v>-306766</v>
      </c>
      <c r="G267" s="2113">
        <v>0</v>
      </c>
      <c r="H267" s="2113">
        <v>0</v>
      </c>
      <c r="I267" s="2113">
        <v>0</v>
      </c>
      <c r="J267" s="2101" t="s">
        <v>652</v>
      </c>
    </row>
    <row r="268" spans="1:10" ht="38.25">
      <c r="A268" s="2097">
        <v>287222</v>
      </c>
      <c r="B268" s="2098">
        <v>415.93400000000003</v>
      </c>
      <c r="C268" s="2109" t="s">
        <v>653</v>
      </c>
      <c r="D268" s="2100"/>
      <c r="E268" s="2113">
        <v>-2219066</v>
      </c>
      <c r="F268" s="2113">
        <v>-2219066</v>
      </c>
      <c r="G268" s="2113">
        <v>0</v>
      </c>
      <c r="H268" s="2113">
        <v>0</v>
      </c>
      <c r="I268" s="2113">
        <v>0</v>
      </c>
      <c r="J268" s="2101" t="s">
        <v>654</v>
      </c>
    </row>
    <row r="269" spans="1:10" ht="38.25">
      <c r="A269" s="2097">
        <v>287223</v>
      </c>
      <c r="B269" s="2098">
        <v>415.935</v>
      </c>
      <c r="C269" s="2109" t="s">
        <v>655</v>
      </c>
      <c r="D269" s="2100"/>
      <c r="E269" s="2113">
        <v>-263188</v>
      </c>
      <c r="F269" s="2113">
        <v>-263188</v>
      </c>
      <c r="G269" s="2113">
        <v>0</v>
      </c>
      <c r="H269" s="2113">
        <v>0</v>
      </c>
      <c r="I269" s="2113">
        <v>0</v>
      </c>
      <c r="J269" s="2101" t="s">
        <v>656</v>
      </c>
    </row>
    <row r="270" spans="1:10" ht="51">
      <c r="A270" s="2097">
        <v>287189</v>
      </c>
      <c r="B270" s="2098">
        <v>100.122</v>
      </c>
      <c r="C270" s="2109" t="s">
        <v>862</v>
      </c>
      <c r="D270" s="2100"/>
      <c r="E270" s="2113">
        <v>7633104</v>
      </c>
      <c r="F270" s="2113">
        <v>7633104</v>
      </c>
      <c r="G270" s="2113">
        <v>0</v>
      </c>
      <c r="H270" s="2113">
        <v>0</v>
      </c>
      <c r="I270" s="2113">
        <v>0</v>
      </c>
      <c r="J270" s="2101" t="s">
        <v>2333</v>
      </c>
    </row>
    <row r="271" spans="1:10" ht="76.5">
      <c r="A271" s="2097">
        <v>287187</v>
      </c>
      <c r="B271" s="2098">
        <v>100.121</v>
      </c>
      <c r="C271" s="2109" t="s">
        <v>863</v>
      </c>
      <c r="D271" s="2100"/>
      <c r="E271" s="2113">
        <v>1122042940</v>
      </c>
      <c r="F271" s="2113">
        <v>1122042940</v>
      </c>
      <c r="G271" s="2113">
        <v>0</v>
      </c>
      <c r="H271" s="2113">
        <v>0</v>
      </c>
      <c r="I271" s="2113">
        <v>0</v>
      </c>
      <c r="J271" s="2101" t="s">
        <v>2334</v>
      </c>
    </row>
    <row r="272" spans="1:10" ht="12.75">
      <c r="A272" s="2097">
        <v>287313</v>
      </c>
      <c r="B272" s="2098">
        <v>105.45</v>
      </c>
      <c r="C272" s="2109" t="s">
        <v>657</v>
      </c>
      <c r="D272" s="2100"/>
      <c r="E272" s="2113">
        <v>247201083</v>
      </c>
      <c r="F272" s="2113">
        <v>247201083</v>
      </c>
      <c r="G272" s="2113">
        <v>0</v>
      </c>
      <c r="H272" s="2113">
        <v>0</v>
      </c>
      <c r="I272" s="2113">
        <v>0</v>
      </c>
      <c r="J272" s="2101" t="s">
        <v>586</v>
      </c>
    </row>
    <row r="273" spans="1:10" ht="76.5">
      <c r="A273" s="2097">
        <v>286691</v>
      </c>
      <c r="B273" s="2098">
        <v>100.123</v>
      </c>
      <c r="C273" s="2109" t="s">
        <v>1886</v>
      </c>
      <c r="D273" s="2100"/>
      <c r="E273" s="2113">
        <v>6748788</v>
      </c>
      <c r="F273" s="2113">
        <v>6748788</v>
      </c>
      <c r="G273" s="2113">
        <v>0</v>
      </c>
      <c r="H273" s="2113">
        <v>0</v>
      </c>
      <c r="I273" s="2113">
        <v>0</v>
      </c>
      <c r="J273" s="2101" t="s">
        <v>2337</v>
      </c>
    </row>
    <row r="274" spans="1:10" ht="76.5">
      <c r="A274" s="2097">
        <v>286697</v>
      </c>
      <c r="B274" s="2098">
        <v>100.129</v>
      </c>
      <c r="C274" s="2109" t="s">
        <v>1887</v>
      </c>
      <c r="D274" s="2100"/>
      <c r="E274" s="2113">
        <v>3768586</v>
      </c>
      <c r="F274" s="2113">
        <v>3768586</v>
      </c>
      <c r="G274" s="2113">
        <v>0</v>
      </c>
      <c r="H274" s="2113">
        <v>0</v>
      </c>
      <c r="I274" s="2113">
        <v>0</v>
      </c>
      <c r="J274" s="2101" t="s">
        <v>2337</v>
      </c>
    </row>
    <row r="275" spans="1:10" ht="76.5">
      <c r="A275" s="2097">
        <v>286692</v>
      </c>
      <c r="B275" s="2098">
        <v>100.124</v>
      </c>
      <c r="C275" s="2109" t="s">
        <v>1888</v>
      </c>
      <c r="D275" s="2100"/>
      <c r="E275" s="2113">
        <v>10009386</v>
      </c>
      <c r="F275" s="2113">
        <v>10009386</v>
      </c>
      <c r="G275" s="2113">
        <v>0</v>
      </c>
      <c r="H275" s="2113">
        <v>0</v>
      </c>
      <c r="I275" s="2113">
        <v>0</v>
      </c>
      <c r="J275" s="2101" t="s">
        <v>2337</v>
      </c>
    </row>
    <row r="276" spans="1:10" ht="76.5">
      <c r="A276" s="2097">
        <v>286693</v>
      </c>
      <c r="B276" s="2098">
        <v>100.125</v>
      </c>
      <c r="C276" s="2109" t="s">
        <v>1889</v>
      </c>
      <c r="D276" s="2100"/>
      <c r="E276" s="2113">
        <v>93279909</v>
      </c>
      <c r="F276" s="2113">
        <v>93279909</v>
      </c>
      <c r="G276" s="2113">
        <v>0</v>
      </c>
      <c r="H276" s="2113">
        <v>0</v>
      </c>
      <c r="I276" s="2113">
        <v>0</v>
      </c>
      <c r="J276" s="2101" t="s">
        <v>2337</v>
      </c>
    </row>
    <row r="277" spans="1:10" ht="76.5">
      <c r="A277" s="2097">
        <v>286695</v>
      </c>
      <c r="B277" s="2098">
        <v>100.127</v>
      </c>
      <c r="C277" s="2109" t="s">
        <v>1890</v>
      </c>
      <c r="D277" s="2100"/>
      <c r="E277" s="2113">
        <v>20865641</v>
      </c>
      <c r="F277" s="2113">
        <v>20865641</v>
      </c>
      <c r="G277" s="2113">
        <v>0</v>
      </c>
      <c r="H277" s="2113">
        <v>0</v>
      </c>
      <c r="I277" s="2113">
        <v>0</v>
      </c>
      <c r="J277" s="2101" t="s">
        <v>2337</v>
      </c>
    </row>
    <row r="278" spans="1:10" ht="76.5">
      <c r="A278" s="2097">
        <v>286696</v>
      </c>
      <c r="B278" s="2098">
        <v>100.128</v>
      </c>
      <c r="C278" s="2109" t="s">
        <v>1891</v>
      </c>
      <c r="D278" s="2100"/>
      <c r="E278" s="2113">
        <v>38491281</v>
      </c>
      <c r="F278" s="2113">
        <v>38491281</v>
      </c>
      <c r="G278" s="2113">
        <v>0</v>
      </c>
      <c r="H278" s="2113">
        <v>0</v>
      </c>
      <c r="I278" s="2113">
        <v>0</v>
      </c>
      <c r="J278" s="2101" t="s">
        <v>2337</v>
      </c>
    </row>
    <row r="279" spans="1:10" ht="25.5">
      <c r="A279" s="2097">
        <v>287605</v>
      </c>
      <c r="B279" s="2098">
        <v>105.13500000000001</v>
      </c>
      <c r="C279" s="2109" t="s">
        <v>658</v>
      </c>
      <c r="D279" s="2100"/>
      <c r="E279" s="2113">
        <v>-2846881</v>
      </c>
      <c r="F279" s="2113">
        <v>-2846881</v>
      </c>
      <c r="G279" s="2113">
        <v>0</v>
      </c>
      <c r="H279" s="2113">
        <v>0</v>
      </c>
      <c r="I279" s="2113">
        <v>0</v>
      </c>
      <c r="J279" s="2101" t="s">
        <v>659</v>
      </c>
    </row>
    <row r="280" spans="1:10" ht="63.75">
      <c r="A280" s="2097">
        <v>287605</v>
      </c>
      <c r="B280" s="2098">
        <v>105.123</v>
      </c>
      <c r="C280" s="2109" t="s">
        <v>660</v>
      </c>
      <c r="D280" s="2100"/>
      <c r="E280" s="2113">
        <v>-154568137</v>
      </c>
      <c r="F280" s="2113">
        <v>-154568137</v>
      </c>
      <c r="G280" s="2113">
        <v>0</v>
      </c>
      <c r="H280" s="2113">
        <v>0</v>
      </c>
      <c r="I280" s="2113">
        <v>0</v>
      </c>
      <c r="J280" s="2101" t="s">
        <v>661</v>
      </c>
    </row>
    <row r="281" spans="1:10" ht="38.25">
      <c r="A281" s="2097">
        <v>287605</v>
      </c>
      <c r="B281" s="2098">
        <v>105.116</v>
      </c>
      <c r="C281" s="2109" t="s">
        <v>662</v>
      </c>
      <c r="D281" s="2100"/>
      <c r="E281" s="2113">
        <v>-7170</v>
      </c>
      <c r="F281" s="2113">
        <v>-7170</v>
      </c>
      <c r="G281" s="2113">
        <v>0</v>
      </c>
      <c r="H281" s="2113">
        <v>0</v>
      </c>
      <c r="I281" s="2113">
        <v>0</v>
      </c>
      <c r="J281" s="2101" t="s">
        <v>663</v>
      </c>
    </row>
    <row r="282" spans="1:10" ht="25.5">
      <c r="A282" s="2097">
        <v>287771</v>
      </c>
      <c r="B282" s="2098">
        <v>110.205</v>
      </c>
      <c r="C282" s="2109" t="s">
        <v>664</v>
      </c>
      <c r="D282" s="2100"/>
      <c r="E282" s="2113">
        <v>154934</v>
      </c>
      <c r="F282" s="2113">
        <v>154934</v>
      </c>
      <c r="G282" s="2113">
        <v>0</v>
      </c>
      <c r="H282" s="2113">
        <v>0</v>
      </c>
      <c r="I282" s="2113">
        <v>0</v>
      </c>
      <c r="J282" s="2101" t="s">
        <v>591</v>
      </c>
    </row>
    <row r="283" spans="1:10" s="533" customFormat="1" ht="12.75">
      <c r="A283" s="2097">
        <v>287301</v>
      </c>
      <c r="B283" s="2098">
        <v>105.471</v>
      </c>
      <c r="C283" s="2109" t="s">
        <v>665</v>
      </c>
      <c r="D283" s="2100"/>
      <c r="E283" s="2113">
        <v>8680735</v>
      </c>
      <c r="F283" s="2113">
        <v>8680735</v>
      </c>
      <c r="G283" s="2113">
        <v>0</v>
      </c>
      <c r="H283" s="2113">
        <v>0</v>
      </c>
      <c r="I283" s="2113">
        <v>0</v>
      </c>
      <c r="J283" s="2101" t="s">
        <v>2338</v>
      </c>
    </row>
    <row r="284" spans="1:10" s="533" customFormat="1" ht="15">
      <c r="A284" s="2154"/>
      <c r="B284" s="2154" t="s">
        <v>560</v>
      </c>
      <c r="C284" s="2165"/>
      <c r="D284" s="2167"/>
      <c r="E284" s="2151">
        <v>1</v>
      </c>
      <c r="F284" s="2151">
        <f t="shared" ref="F284" si="1">E284</f>
        <v>1</v>
      </c>
      <c r="G284" s="2151">
        <v>0</v>
      </c>
      <c r="H284" s="2151">
        <v>0</v>
      </c>
      <c r="I284" s="2151">
        <v>0</v>
      </c>
      <c r="J284" s="2112"/>
    </row>
    <row r="285" spans="1:10" ht="12.75">
      <c r="A285" s="2172" t="s">
        <v>666</v>
      </c>
      <c r="B285" s="2173"/>
      <c r="C285" s="2121"/>
      <c r="D285" s="2157"/>
      <c r="E285" s="2158">
        <f>SUM(E215:E284)</f>
        <v>-2910580065.6499996</v>
      </c>
      <c r="F285" s="2158">
        <f>SUM(F215:F284)</f>
        <v>-1542848626.6499996</v>
      </c>
      <c r="G285" s="2158">
        <f>SUM(G215:G284)</f>
        <v>-1140859478</v>
      </c>
      <c r="H285" s="2158">
        <f>SUM(H215:H284)</f>
        <v>20431871</v>
      </c>
      <c r="I285" s="2158">
        <f>SUM(I215:I284)</f>
        <v>-247303832</v>
      </c>
      <c r="J285" s="2105"/>
    </row>
    <row r="286" spans="1:10" ht="12.75">
      <c r="A286" s="2172" t="s">
        <v>562</v>
      </c>
      <c r="B286" s="2173"/>
      <c r="C286" s="2121"/>
      <c r="D286" s="2157"/>
      <c r="E286" s="2174">
        <f>E270+E271</f>
        <v>1129676044</v>
      </c>
      <c r="F286" s="2174">
        <f>F270+F271</f>
        <v>1129676044</v>
      </c>
      <c r="G286" s="2174">
        <f>G270+G271</f>
        <v>0</v>
      </c>
      <c r="H286" s="2174">
        <f>H270+H271</f>
        <v>0</v>
      </c>
      <c r="I286" s="2174">
        <f>I270+I271</f>
        <v>0</v>
      </c>
      <c r="J286" s="2132"/>
    </row>
    <row r="287" spans="1:10" ht="12.75">
      <c r="A287" s="2175" t="s">
        <v>563</v>
      </c>
      <c r="B287" s="2176"/>
      <c r="C287" s="2161"/>
      <c r="D287" s="2177"/>
      <c r="E287" s="2174">
        <v>0</v>
      </c>
      <c r="F287" s="2174">
        <v>0</v>
      </c>
      <c r="G287" s="2174">
        <v>0</v>
      </c>
      <c r="H287" s="2174">
        <v>0</v>
      </c>
      <c r="I287" s="2174">
        <v>0</v>
      </c>
      <c r="J287" s="2132"/>
    </row>
    <row r="288" spans="1:10" ht="12.75">
      <c r="A288" s="2125" t="s">
        <v>115</v>
      </c>
      <c r="B288" s="2126"/>
      <c r="C288" s="2121"/>
      <c r="D288" s="2157"/>
      <c r="E288" s="2158">
        <f>+E285-E286-E287</f>
        <v>-4040256109.6499996</v>
      </c>
      <c r="F288" s="2158">
        <f>+F285-F286-F287</f>
        <v>-2672524670.6499996</v>
      </c>
      <c r="G288" s="2158">
        <f>+G285-G286-G287</f>
        <v>-1140859478</v>
      </c>
      <c r="H288" s="2158">
        <f>+H285-H286-H287</f>
        <v>20431871</v>
      </c>
      <c r="I288" s="2158">
        <f>+I285-I286-I287</f>
        <v>-247303832</v>
      </c>
      <c r="J288" s="2132"/>
    </row>
    <row r="289" spans="1:10" ht="15">
      <c r="A289" s="554"/>
      <c r="B289" s="554"/>
      <c r="C289" s="544"/>
      <c r="D289" s="555"/>
      <c r="E289" s="556"/>
      <c r="F289" s="556"/>
      <c r="G289" s="557"/>
      <c r="H289" s="557"/>
      <c r="I289" s="525"/>
      <c r="J289" s="487"/>
    </row>
    <row r="290" spans="1:10">
      <c r="A290" s="554"/>
      <c r="B290" s="554"/>
      <c r="C290" s="2135" t="s">
        <v>667</v>
      </c>
      <c r="D290" s="2160"/>
      <c r="E290" s="2161"/>
      <c r="F290" s="2161"/>
      <c r="G290" s="2162"/>
      <c r="H290" s="2163"/>
      <c r="I290" s="525"/>
      <c r="J290" s="487"/>
    </row>
    <row r="291" spans="1:10" ht="25.5">
      <c r="A291" s="554"/>
      <c r="B291" s="554"/>
      <c r="C291" s="2284" t="s">
        <v>565</v>
      </c>
      <c r="D291" s="2285"/>
      <c r="E291" s="2285"/>
      <c r="F291" s="2285"/>
      <c r="G291" s="2285"/>
      <c r="H291" s="2286"/>
      <c r="I291" s="525"/>
      <c r="J291" s="487"/>
    </row>
    <row r="292" spans="1:10">
      <c r="A292" s="554"/>
      <c r="B292" s="554"/>
      <c r="C292" s="526" t="s">
        <v>566</v>
      </c>
      <c r="D292" s="547"/>
      <c r="E292" s="548"/>
      <c r="F292" s="548"/>
      <c r="G292" s="549"/>
      <c r="H292" s="550"/>
      <c r="I292" s="525"/>
      <c r="J292" s="487"/>
    </row>
    <row r="293" spans="1:10">
      <c r="A293" s="554"/>
      <c r="B293" s="554"/>
      <c r="C293" s="526" t="s">
        <v>567</v>
      </c>
      <c r="D293" s="547"/>
      <c r="E293" s="548"/>
      <c r="F293" s="548"/>
      <c r="G293" s="549"/>
      <c r="H293" s="550"/>
      <c r="I293" s="525"/>
      <c r="J293" s="487"/>
    </row>
    <row r="294" spans="1:10">
      <c r="A294" s="554"/>
      <c r="B294" s="554"/>
      <c r="C294" s="526" t="s">
        <v>568</v>
      </c>
      <c r="D294" s="547"/>
      <c r="E294" s="548"/>
      <c r="F294" s="548"/>
      <c r="G294" s="549"/>
      <c r="H294" s="550"/>
      <c r="I294" s="525"/>
      <c r="J294" s="487"/>
    </row>
    <row r="295" spans="1:10">
      <c r="A295" s="554"/>
      <c r="B295" s="554"/>
      <c r="C295" s="2428" t="s">
        <v>569</v>
      </c>
      <c r="D295" s="2426"/>
      <c r="E295" s="2426"/>
      <c r="F295" s="2426"/>
      <c r="G295" s="2426"/>
      <c r="H295" s="2427"/>
      <c r="I295" s="558"/>
      <c r="J295" s="487"/>
    </row>
    <row r="296" spans="1:10">
      <c r="A296" s="554"/>
      <c r="B296" s="554"/>
      <c r="C296" s="2285"/>
      <c r="D296" s="2285"/>
      <c r="E296" s="2285"/>
      <c r="F296" s="2285"/>
      <c r="G296" s="2285"/>
      <c r="H296" s="2285"/>
      <c r="I296" s="558"/>
      <c r="J296" s="487"/>
    </row>
    <row r="297" spans="1:10" ht="15">
      <c r="A297" s="559" t="s">
        <v>2</v>
      </c>
      <c r="B297" s="559"/>
      <c r="C297" s="560"/>
      <c r="D297" s="549"/>
      <c r="E297" s="549"/>
      <c r="F297" s="549"/>
      <c r="G297" s="549"/>
      <c r="H297" s="549"/>
      <c r="I297" s="561"/>
      <c r="J297" s="487"/>
    </row>
    <row r="298" spans="1:10" ht="15">
      <c r="A298" s="562"/>
      <c r="B298" s="562"/>
      <c r="C298" s="562"/>
      <c r="D298" s="563"/>
      <c r="E298" s="563"/>
      <c r="F298" s="563"/>
      <c r="G298" s="563"/>
      <c r="H298" s="563"/>
      <c r="I298" s="562"/>
      <c r="J298" s="487"/>
    </row>
    <row r="299" spans="1:10">
      <c r="A299" s="537" t="s">
        <v>570</v>
      </c>
      <c r="B299" s="554"/>
      <c r="C299" s="558"/>
      <c r="D299" s="547"/>
      <c r="E299" s="548"/>
      <c r="F299" s="548"/>
      <c r="G299" s="548"/>
      <c r="H299" s="564"/>
      <c r="I299" s="525"/>
      <c r="J299" s="487"/>
    </row>
    <row r="300" spans="1:10" ht="15">
      <c r="A300" s="507" t="s">
        <v>668</v>
      </c>
      <c r="B300" s="554"/>
      <c r="C300" s="558"/>
      <c r="D300" s="547"/>
      <c r="E300" s="548"/>
      <c r="F300" s="548"/>
      <c r="G300" s="548"/>
      <c r="H300" s="564"/>
      <c r="I300" s="525"/>
      <c r="J300" s="487"/>
    </row>
    <row r="301" spans="1:10">
      <c r="A301" s="554"/>
      <c r="B301" s="554"/>
      <c r="C301" s="512" t="s">
        <v>234</v>
      </c>
      <c r="D301" s="513"/>
      <c r="E301" s="512" t="s">
        <v>237</v>
      </c>
      <c r="F301" s="512" t="s">
        <v>239</v>
      </c>
      <c r="G301" s="512" t="s">
        <v>240</v>
      </c>
      <c r="H301" s="512" t="s">
        <v>242</v>
      </c>
      <c r="I301" s="512" t="s">
        <v>244</v>
      </c>
      <c r="J301" s="512" t="s">
        <v>246</v>
      </c>
    </row>
    <row r="302" spans="1:10" s="487" customFormat="1">
      <c r="A302" s="554"/>
      <c r="B302" s="554"/>
      <c r="C302" s="558"/>
      <c r="E302" s="494"/>
      <c r="F302" s="514" t="s">
        <v>367</v>
      </c>
      <c r="G302" s="494"/>
      <c r="H302" s="514"/>
      <c r="I302" s="514"/>
      <c r="J302" s="483"/>
    </row>
    <row r="303" spans="1:10" s="487" customFormat="1" ht="15">
      <c r="A303" s="507"/>
      <c r="B303" s="554"/>
      <c r="C303" s="544"/>
      <c r="E303" s="514" t="s">
        <v>115</v>
      </c>
      <c r="F303" s="514" t="s">
        <v>368</v>
      </c>
      <c r="G303" s="514" t="s">
        <v>369</v>
      </c>
      <c r="H303" s="514" t="s">
        <v>370</v>
      </c>
      <c r="I303" s="514" t="s">
        <v>371</v>
      </c>
      <c r="J303" s="483"/>
    </row>
    <row r="304" spans="1:10" s="487" customFormat="1" ht="15">
      <c r="A304" s="554"/>
      <c r="B304" s="554"/>
      <c r="C304" s="558"/>
      <c r="E304" s="514"/>
      <c r="F304" s="514" t="s">
        <v>374</v>
      </c>
      <c r="G304" s="514" t="s">
        <v>374</v>
      </c>
      <c r="H304" s="514" t="s">
        <v>374</v>
      </c>
      <c r="I304" s="514" t="s">
        <v>374</v>
      </c>
      <c r="J304" s="515" t="s">
        <v>375</v>
      </c>
    </row>
    <row r="305" spans="1:10" ht="15">
      <c r="A305" s="2164" t="s">
        <v>669</v>
      </c>
      <c r="B305" s="2165"/>
      <c r="C305" s="2165"/>
      <c r="D305" s="2178"/>
      <c r="E305" s="2179"/>
      <c r="F305" s="2179"/>
      <c r="G305" s="2179"/>
      <c r="H305" s="2179"/>
      <c r="I305" s="2179"/>
      <c r="J305" s="2169"/>
    </row>
    <row r="306" spans="1:10" ht="15">
      <c r="A306" s="2107" t="s">
        <v>670</v>
      </c>
      <c r="B306" s="2180"/>
      <c r="C306" s="2165"/>
      <c r="D306" s="2178"/>
      <c r="E306" s="2179"/>
      <c r="F306" s="2179"/>
      <c r="G306" s="2179"/>
      <c r="H306" s="2179"/>
      <c r="I306" s="2179"/>
      <c r="J306" s="2169"/>
    </row>
    <row r="307" spans="1:10" ht="12.75">
      <c r="A307" s="2097">
        <v>287849</v>
      </c>
      <c r="B307" s="2098">
        <v>415.42399999999998</v>
      </c>
      <c r="C307" s="2109" t="s">
        <v>671</v>
      </c>
      <c r="D307" s="2100"/>
      <c r="E307" s="2113">
        <v>23241132</v>
      </c>
      <c r="F307" s="2113">
        <v>23241132</v>
      </c>
      <c r="G307" s="2113">
        <v>0</v>
      </c>
      <c r="H307" s="2113">
        <v>0</v>
      </c>
      <c r="I307" s="2113">
        <v>0</v>
      </c>
      <c r="J307" s="2101" t="s">
        <v>672</v>
      </c>
    </row>
    <row r="308" spans="1:10" ht="12.75">
      <c r="A308" s="2097">
        <v>287841</v>
      </c>
      <c r="B308" s="2098">
        <v>415.411</v>
      </c>
      <c r="C308" s="2109" t="s">
        <v>673</v>
      </c>
      <c r="D308" s="2100"/>
      <c r="E308" s="2113">
        <v>607297</v>
      </c>
      <c r="F308" s="2113">
        <v>607297</v>
      </c>
      <c r="G308" s="2113">
        <v>0</v>
      </c>
      <c r="H308" s="2113">
        <v>0</v>
      </c>
      <c r="I308" s="2113">
        <v>0</v>
      </c>
      <c r="J308" s="2101" t="s">
        <v>674</v>
      </c>
    </row>
    <row r="309" spans="1:10" ht="12.75">
      <c r="A309" s="2097">
        <v>287842</v>
      </c>
      <c r="B309" s="2098">
        <v>415.41199999999998</v>
      </c>
      <c r="C309" s="2109" t="s">
        <v>675</v>
      </c>
      <c r="D309" s="2100"/>
      <c r="E309" s="2113">
        <v>416140</v>
      </c>
      <c r="F309" s="2113">
        <v>416140</v>
      </c>
      <c r="G309" s="2113">
        <v>0</v>
      </c>
      <c r="H309" s="2113">
        <v>0</v>
      </c>
      <c r="I309" s="2113">
        <v>0</v>
      </c>
      <c r="J309" s="2101" t="s">
        <v>676</v>
      </c>
    </row>
    <row r="310" spans="1:10" ht="12.75">
      <c r="A310" s="2097">
        <v>287843</v>
      </c>
      <c r="B310" s="2098">
        <v>415.41300000000001</v>
      </c>
      <c r="C310" s="2109" t="s">
        <v>677</v>
      </c>
      <c r="D310" s="2100"/>
      <c r="E310" s="2113">
        <v>1748164</v>
      </c>
      <c r="F310" s="2113">
        <v>1748164</v>
      </c>
      <c r="G310" s="2113">
        <v>0</v>
      </c>
      <c r="H310" s="2113">
        <v>0</v>
      </c>
      <c r="I310" s="2113">
        <v>0</v>
      </c>
      <c r="J310" s="2101" t="s">
        <v>678</v>
      </c>
    </row>
    <row r="311" spans="1:10" ht="12.75">
      <c r="A311" s="2097">
        <v>287844</v>
      </c>
      <c r="B311" s="2098">
        <v>415.41399999999999</v>
      </c>
      <c r="C311" s="2109" t="s">
        <v>679</v>
      </c>
      <c r="D311" s="2100"/>
      <c r="E311" s="2113">
        <v>963534</v>
      </c>
      <c r="F311" s="2113">
        <v>963534</v>
      </c>
      <c r="G311" s="2113">
        <v>0</v>
      </c>
      <c r="H311" s="2113">
        <v>0</v>
      </c>
      <c r="I311" s="2113">
        <v>0</v>
      </c>
      <c r="J311" s="2101" t="s">
        <v>680</v>
      </c>
    </row>
    <row r="312" spans="1:10" ht="12.75">
      <c r="A312" s="2097">
        <v>287845</v>
      </c>
      <c r="B312" s="2098">
        <v>415.41500000000002</v>
      </c>
      <c r="C312" s="2109" t="s">
        <v>681</v>
      </c>
      <c r="D312" s="2100"/>
      <c r="E312" s="2113">
        <v>2723925</v>
      </c>
      <c r="F312" s="2113">
        <v>2723925</v>
      </c>
      <c r="G312" s="2113">
        <v>0</v>
      </c>
      <c r="H312" s="2113">
        <v>0</v>
      </c>
      <c r="I312" s="2113">
        <v>0</v>
      </c>
      <c r="J312" s="2101" t="s">
        <v>682</v>
      </c>
    </row>
    <row r="313" spans="1:10" ht="12.75">
      <c r="A313" s="2097">
        <v>287846</v>
      </c>
      <c r="B313" s="2098">
        <v>415.416</v>
      </c>
      <c r="C313" s="2109" t="s">
        <v>683</v>
      </c>
      <c r="D313" s="2100"/>
      <c r="E313" s="2113">
        <v>92367</v>
      </c>
      <c r="F313" s="2113">
        <v>92367</v>
      </c>
      <c r="G313" s="2113">
        <v>0</v>
      </c>
      <c r="H313" s="2113">
        <v>0</v>
      </c>
      <c r="I313" s="2113">
        <v>0</v>
      </c>
      <c r="J313" s="2101" t="s">
        <v>684</v>
      </c>
    </row>
    <row r="314" spans="1:10" ht="38.25">
      <c r="A314" s="2097">
        <v>287850</v>
      </c>
      <c r="B314" s="2098">
        <v>415.42500000000001</v>
      </c>
      <c r="C314" s="2109" t="s">
        <v>685</v>
      </c>
      <c r="D314" s="2100"/>
      <c r="E314" s="2113">
        <v>1168493</v>
      </c>
      <c r="F314" s="2113">
        <v>1168493</v>
      </c>
      <c r="G314" s="2113">
        <v>0</v>
      </c>
      <c r="H314" s="2113">
        <v>0</v>
      </c>
      <c r="I314" s="2113">
        <v>0</v>
      </c>
      <c r="J314" s="2101" t="s">
        <v>686</v>
      </c>
    </row>
    <row r="315" spans="1:10" ht="38.25">
      <c r="A315" s="2097">
        <v>287851</v>
      </c>
      <c r="B315" s="2098">
        <v>415.41699999999997</v>
      </c>
      <c r="C315" s="2109" t="s">
        <v>687</v>
      </c>
      <c r="D315" s="2100"/>
      <c r="E315" s="2113">
        <v>443826</v>
      </c>
      <c r="F315" s="2113">
        <v>443826</v>
      </c>
      <c r="G315" s="2113">
        <v>0</v>
      </c>
      <c r="H315" s="2113">
        <v>0</v>
      </c>
      <c r="I315" s="2113">
        <v>0</v>
      </c>
      <c r="J315" s="2101" t="s">
        <v>688</v>
      </c>
    </row>
    <row r="316" spans="1:10" ht="38.25">
      <c r="A316" s="2097">
        <v>287855</v>
      </c>
      <c r="B316" s="2098">
        <v>415.42099999999999</v>
      </c>
      <c r="C316" s="2109" t="s">
        <v>689</v>
      </c>
      <c r="D316" s="2100"/>
      <c r="E316" s="2113">
        <v>1990706</v>
      </c>
      <c r="F316" s="2113">
        <v>1990706</v>
      </c>
      <c r="G316" s="2113">
        <v>0</v>
      </c>
      <c r="H316" s="2113">
        <v>0</v>
      </c>
      <c r="I316" s="2113">
        <v>0</v>
      </c>
      <c r="J316" s="2101" t="s">
        <v>690</v>
      </c>
    </row>
    <row r="317" spans="1:10" ht="25.5">
      <c r="A317" s="2097">
        <v>287747</v>
      </c>
      <c r="B317" s="2098">
        <v>705.24</v>
      </c>
      <c r="C317" s="2109" t="s">
        <v>691</v>
      </c>
      <c r="D317" s="2100"/>
      <c r="E317" s="2113">
        <v>-69242</v>
      </c>
      <c r="F317" s="2113">
        <v>-69242</v>
      </c>
      <c r="G317" s="2113">
        <v>0</v>
      </c>
      <c r="H317" s="2113">
        <v>0</v>
      </c>
      <c r="I317" s="2113">
        <v>0</v>
      </c>
      <c r="J317" s="2101" t="s">
        <v>692</v>
      </c>
    </row>
    <row r="318" spans="1:10" ht="25.5">
      <c r="A318" s="2097">
        <v>287642</v>
      </c>
      <c r="B318" s="2098">
        <v>105.401</v>
      </c>
      <c r="C318" s="2109" t="s">
        <v>693</v>
      </c>
      <c r="D318" s="2100"/>
      <c r="E318" s="2113">
        <v>-29172770</v>
      </c>
      <c r="F318" s="2113">
        <v>-29172770</v>
      </c>
      <c r="G318" s="2113">
        <v>0</v>
      </c>
      <c r="H318" s="2113">
        <v>0</v>
      </c>
      <c r="I318" s="2113">
        <v>0</v>
      </c>
      <c r="J318" s="2101" t="s">
        <v>694</v>
      </c>
    </row>
    <row r="319" spans="1:10" ht="38.25">
      <c r="A319" s="2097">
        <v>287911</v>
      </c>
      <c r="B319" s="2098">
        <v>415.69900000000001</v>
      </c>
      <c r="C319" s="2109" t="s">
        <v>695</v>
      </c>
      <c r="D319" s="2100"/>
      <c r="E319" s="2113">
        <v>-1752861</v>
      </c>
      <c r="F319" s="2113">
        <v>-1752861</v>
      </c>
      <c r="G319" s="2113">
        <v>0</v>
      </c>
      <c r="H319" s="2113">
        <v>0</v>
      </c>
      <c r="I319" s="2113">
        <v>0</v>
      </c>
      <c r="J319" s="2101" t="s">
        <v>696</v>
      </c>
    </row>
    <row r="320" spans="1:10" ht="25.5">
      <c r="A320" s="2097">
        <v>287997</v>
      </c>
      <c r="B320" s="2098">
        <v>415.86200000000002</v>
      </c>
      <c r="C320" s="2109" t="s">
        <v>697</v>
      </c>
      <c r="D320" s="2100"/>
      <c r="E320" s="2113">
        <v>-48856</v>
      </c>
      <c r="F320" s="2113">
        <v>-48856</v>
      </c>
      <c r="G320" s="2113">
        <v>0</v>
      </c>
      <c r="H320" s="2113">
        <v>0</v>
      </c>
      <c r="I320" s="2113">
        <v>0</v>
      </c>
      <c r="J320" s="2101" t="s">
        <v>698</v>
      </c>
    </row>
    <row r="321" spans="1:10" ht="25.5">
      <c r="A321" s="2097">
        <v>287935</v>
      </c>
      <c r="B321" s="2098">
        <v>415.93599999999998</v>
      </c>
      <c r="C321" s="2109" t="s">
        <v>699</v>
      </c>
      <c r="D321" s="2100"/>
      <c r="E321" s="2113">
        <v>-847911</v>
      </c>
      <c r="F321" s="2113">
        <v>-847911</v>
      </c>
      <c r="G321" s="2113">
        <v>0</v>
      </c>
      <c r="H321" s="2113">
        <v>0</v>
      </c>
      <c r="I321" s="2113">
        <v>0</v>
      </c>
      <c r="J321" s="2101" t="s">
        <v>700</v>
      </c>
    </row>
    <row r="322" spans="1:10" ht="25.5">
      <c r="A322" s="2097">
        <v>286901</v>
      </c>
      <c r="B322" s="2098">
        <v>415.93799999999999</v>
      </c>
      <c r="C322" s="2109" t="s">
        <v>701</v>
      </c>
      <c r="D322" s="2100"/>
      <c r="E322" s="2113">
        <v>12797</v>
      </c>
      <c r="F322" s="2113">
        <v>12797</v>
      </c>
      <c r="G322" s="2113">
        <v>0</v>
      </c>
      <c r="H322" s="2113">
        <v>0</v>
      </c>
      <c r="I322" s="2113">
        <v>0</v>
      </c>
      <c r="J322" s="2101" t="s">
        <v>702</v>
      </c>
    </row>
    <row r="323" spans="1:10" ht="25.5">
      <c r="A323" s="2097">
        <v>286900</v>
      </c>
      <c r="B323" s="2098">
        <v>415.93700000000001</v>
      </c>
      <c r="C323" s="2109" t="s">
        <v>703</v>
      </c>
      <c r="D323" s="2100"/>
      <c r="E323" s="2113">
        <v>68301</v>
      </c>
      <c r="F323" s="2113">
        <v>68301</v>
      </c>
      <c r="G323" s="2113">
        <v>0</v>
      </c>
      <c r="H323" s="2113">
        <v>0</v>
      </c>
      <c r="I323" s="2113">
        <v>0</v>
      </c>
      <c r="J323" s="2101" t="s">
        <v>704</v>
      </c>
    </row>
    <row r="324" spans="1:10" ht="25.5">
      <c r="A324" s="2097">
        <v>287984</v>
      </c>
      <c r="B324" s="2098">
        <v>415.923</v>
      </c>
      <c r="C324" s="2109" t="s">
        <v>705</v>
      </c>
      <c r="D324" s="2100"/>
      <c r="E324" s="2113">
        <v>-235362</v>
      </c>
      <c r="F324" s="2113">
        <v>-235362</v>
      </c>
      <c r="G324" s="2113">
        <v>0</v>
      </c>
      <c r="H324" s="2113">
        <v>0</v>
      </c>
      <c r="I324" s="2113">
        <v>0</v>
      </c>
      <c r="J324" s="2101" t="s">
        <v>706</v>
      </c>
    </row>
    <row r="325" spans="1:10" ht="25.5">
      <c r="A325" s="2097">
        <v>287985</v>
      </c>
      <c r="B325" s="2098">
        <v>415.92399999999998</v>
      </c>
      <c r="C325" s="2109" t="s">
        <v>707</v>
      </c>
      <c r="D325" s="2100"/>
      <c r="E325" s="2113">
        <v>-1693840</v>
      </c>
      <c r="F325" s="2113">
        <v>-1693840</v>
      </c>
      <c r="G325" s="2113">
        <v>0</v>
      </c>
      <c r="H325" s="2113">
        <v>0</v>
      </c>
      <c r="I325" s="2113">
        <v>0</v>
      </c>
      <c r="J325" s="2101" t="s">
        <v>708</v>
      </c>
    </row>
    <row r="326" spans="1:10" ht="25.5">
      <c r="A326" s="2097">
        <v>287986</v>
      </c>
      <c r="B326" s="2098">
        <v>415.92500000000001</v>
      </c>
      <c r="C326" s="2109" t="s">
        <v>709</v>
      </c>
      <c r="D326" s="2100"/>
      <c r="E326" s="2113">
        <v>-569518</v>
      </c>
      <c r="F326" s="2113">
        <v>-569518</v>
      </c>
      <c r="G326" s="2113">
        <v>0</v>
      </c>
      <c r="H326" s="2113">
        <v>0</v>
      </c>
      <c r="I326" s="2113">
        <v>0</v>
      </c>
      <c r="J326" s="2101" t="s">
        <v>710</v>
      </c>
    </row>
    <row r="327" spans="1:10" ht="25.5">
      <c r="A327" s="2097">
        <v>287581</v>
      </c>
      <c r="B327" s="2098">
        <v>415.82400000000001</v>
      </c>
      <c r="C327" s="2109" t="s">
        <v>711</v>
      </c>
      <c r="D327" s="2100"/>
      <c r="E327" s="2113">
        <v>0</v>
      </c>
      <c r="F327" s="2113">
        <v>0</v>
      </c>
      <c r="G327" s="2113">
        <v>0</v>
      </c>
      <c r="H327" s="2113">
        <v>0</v>
      </c>
      <c r="I327" s="2113">
        <v>0</v>
      </c>
      <c r="J327" s="2101" t="s">
        <v>2339</v>
      </c>
    </row>
    <row r="328" spans="1:10" ht="25.5">
      <c r="A328" s="2097">
        <v>287577</v>
      </c>
      <c r="B328" s="2098">
        <v>415.82</v>
      </c>
      <c r="C328" s="2109" t="s">
        <v>712</v>
      </c>
      <c r="D328" s="2100"/>
      <c r="E328" s="2113">
        <v>-1</v>
      </c>
      <c r="F328" s="2113">
        <v>-1</v>
      </c>
      <c r="G328" s="2113">
        <v>0</v>
      </c>
      <c r="H328" s="2113">
        <v>0</v>
      </c>
      <c r="I328" s="2113">
        <v>0</v>
      </c>
      <c r="J328" s="2101" t="s">
        <v>2340</v>
      </c>
    </row>
    <row r="329" spans="1:10" ht="25.5">
      <c r="A329" s="2097">
        <v>286903</v>
      </c>
      <c r="B329" s="2098">
        <v>320.27100000000002</v>
      </c>
      <c r="C329" s="2109" t="s">
        <v>713</v>
      </c>
      <c r="D329" s="2100"/>
      <c r="E329" s="2113">
        <v>403462</v>
      </c>
      <c r="F329" s="2113">
        <v>403462</v>
      </c>
      <c r="G329" s="2113">
        <v>0</v>
      </c>
      <c r="H329" s="2113">
        <v>0</v>
      </c>
      <c r="I329" s="2113">
        <v>0</v>
      </c>
      <c r="J329" s="2101" t="s">
        <v>2341</v>
      </c>
    </row>
    <row r="330" spans="1:10" ht="12.75">
      <c r="A330" s="2097">
        <v>287781</v>
      </c>
      <c r="B330" s="2098">
        <v>415.87</v>
      </c>
      <c r="C330" s="2109" t="s">
        <v>714</v>
      </c>
      <c r="D330" s="2100"/>
      <c r="E330" s="2113">
        <v>-1477559</v>
      </c>
      <c r="F330" s="2113">
        <v>-1477559</v>
      </c>
      <c r="G330" s="2113">
        <v>0</v>
      </c>
      <c r="H330" s="2113">
        <v>0</v>
      </c>
      <c r="I330" s="2113">
        <v>0</v>
      </c>
      <c r="J330" s="2101" t="s">
        <v>715</v>
      </c>
    </row>
    <row r="331" spans="1:10" ht="25.5">
      <c r="A331" s="2097">
        <v>287596</v>
      </c>
      <c r="B331" s="2098">
        <v>415.892</v>
      </c>
      <c r="C331" s="2109" t="s">
        <v>716</v>
      </c>
      <c r="D331" s="2100"/>
      <c r="E331" s="2113">
        <v>-4469102</v>
      </c>
      <c r="F331" s="2113">
        <v>-4469102</v>
      </c>
      <c r="G331" s="2113">
        <v>0</v>
      </c>
      <c r="H331" s="2113">
        <v>0</v>
      </c>
      <c r="I331" s="2113">
        <v>0</v>
      </c>
      <c r="J331" s="2101" t="s">
        <v>717</v>
      </c>
    </row>
    <row r="332" spans="1:10" ht="38.25">
      <c r="A332" s="2097">
        <v>287896</v>
      </c>
      <c r="B332" s="2098">
        <v>415.875</v>
      </c>
      <c r="C332" s="2109" t="s">
        <v>718</v>
      </c>
      <c r="D332" s="2100"/>
      <c r="E332" s="2113">
        <v>-7467384</v>
      </c>
      <c r="F332" s="2113">
        <v>-7467384</v>
      </c>
      <c r="G332" s="2113">
        <v>0</v>
      </c>
      <c r="H332" s="2113">
        <v>0</v>
      </c>
      <c r="I332" s="2113">
        <v>0</v>
      </c>
      <c r="J332" s="2101" t="s">
        <v>719</v>
      </c>
    </row>
    <row r="333" spans="1:10" ht="25.5">
      <c r="A333" s="2097">
        <v>287593</v>
      </c>
      <c r="B333" s="2098">
        <v>415.87400000000002</v>
      </c>
      <c r="C333" s="2109" t="s">
        <v>720</v>
      </c>
      <c r="D333" s="2100"/>
      <c r="E333" s="2113">
        <v>-1355403</v>
      </c>
      <c r="F333" s="2113">
        <v>-1355403</v>
      </c>
      <c r="G333" s="2113">
        <v>0</v>
      </c>
      <c r="H333" s="2113">
        <v>0</v>
      </c>
      <c r="I333" s="2113">
        <v>0</v>
      </c>
      <c r="J333" s="2101" t="s">
        <v>721</v>
      </c>
    </row>
    <row r="334" spans="1:10" ht="25.5">
      <c r="A334" s="2097">
        <v>287783</v>
      </c>
      <c r="B334" s="2098">
        <v>415.88</v>
      </c>
      <c r="C334" s="2109" t="s">
        <v>722</v>
      </c>
      <c r="D334" s="2100"/>
      <c r="E334" s="2113">
        <v>26525</v>
      </c>
      <c r="F334" s="2113">
        <v>26525</v>
      </c>
      <c r="G334" s="2113">
        <v>0</v>
      </c>
      <c r="H334" s="2113">
        <v>0</v>
      </c>
      <c r="I334" s="2113">
        <v>0</v>
      </c>
      <c r="J334" s="2101" t="s">
        <v>723</v>
      </c>
    </row>
    <row r="335" spans="1:10" ht="25.5">
      <c r="A335" s="2097">
        <v>287570</v>
      </c>
      <c r="B335" s="2098">
        <v>415.70100000000002</v>
      </c>
      <c r="C335" s="2109" t="s">
        <v>724</v>
      </c>
      <c r="D335" s="2100"/>
      <c r="E335" s="2113">
        <v>-10325</v>
      </c>
      <c r="F335" s="2113">
        <v>-10325</v>
      </c>
      <c r="G335" s="2113">
        <v>0</v>
      </c>
      <c r="H335" s="2113">
        <v>0</v>
      </c>
      <c r="I335" s="2113">
        <v>0</v>
      </c>
      <c r="J335" s="2101" t="s">
        <v>725</v>
      </c>
    </row>
    <row r="336" spans="1:10" ht="25.5">
      <c r="A336" s="2097">
        <v>287647</v>
      </c>
      <c r="B336" s="2098">
        <v>425.1</v>
      </c>
      <c r="C336" s="2109" t="s">
        <v>726</v>
      </c>
      <c r="D336" s="2100"/>
      <c r="E336" s="2113">
        <v>-16440</v>
      </c>
      <c r="F336" s="2113">
        <v>-16440</v>
      </c>
      <c r="G336" s="2113">
        <v>0</v>
      </c>
      <c r="H336" s="2113">
        <v>0</v>
      </c>
      <c r="I336" s="2113">
        <v>0</v>
      </c>
      <c r="J336" s="2101" t="s">
        <v>727</v>
      </c>
    </row>
    <row r="337" spans="1:10" ht="25.5">
      <c r="A337" s="2097">
        <v>287640</v>
      </c>
      <c r="B337" s="2098">
        <v>415.68</v>
      </c>
      <c r="C337" s="2109" t="s">
        <v>728</v>
      </c>
      <c r="D337" s="2100"/>
      <c r="E337" s="2113">
        <v>-227906</v>
      </c>
      <c r="F337" s="2113">
        <v>-227906</v>
      </c>
      <c r="G337" s="2113">
        <v>0</v>
      </c>
      <c r="H337" s="2113">
        <v>0</v>
      </c>
      <c r="I337" s="2113">
        <v>0</v>
      </c>
      <c r="J337" s="2101" t="s">
        <v>729</v>
      </c>
    </row>
    <row r="338" spans="1:10" ht="25.5">
      <c r="A338" s="2097">
        <v>287861</v>
      </c>
      <c r="B338" s="2098">
        <v>415.85700000000003</v>
      </c>
      <c r="C338" s="2109" t="s">
        <v>730</v>
      </c>
      <c r="D338" s="2100"/>
      <c r="E338" s="2113">
        <v>-121333</v>
      </c>
      <c r="F338" s="2113">
        <v>-121333</v>
      </c>
      <c r="G338" s="2113">
        <v>0</v>
      </c>
      <c r="H338" s="2113">
        <v>0</v>
      </c>
      <c r="I338" s="2113">
        <v>0</v>
      </c>
      <c r="J338" s="2101" t="s">
        <v>731</v>
      </c>
    </row>
    <row r="339" spans="1:10" ht="25.5">
      <c r="A339" s="2097">
        <v>287868</v>
      </c>
      <c r="B339" s="2098">
        <v>415.858</v>
      </c>
      <c r="C339" s="2109" t="s">
        <v>732</v>
      </c>
      <c r="D339" s="2100"/>
      <c r="E339" s="2113">
        <v>-341401</v>
      </c>
      <c r="F339" s="2113">
        <v>-341401</v>
      </c>
      <c r="G339" s="2113">
        <v>0</v>
      </c>
      <c r="H339" s="2113">
        <v>0</v>
      </c>
      <c r="I339" s="2113">
        <v>0</v>
      </c>
      <c r="J339" s="2101" t="s">
        <v>733</v>
      </c>
    </row>
    <row r="340" spans="1:10" ht="51">
      <c r="A340" s="2097">
        <v>287614</v>
      </c>
      <c r="B340" s="2098">
        <v>430.1</v>
      </c>
      <c r="C340" s="2109" t="s">
        <v>734</v>
      </c>
      <c r="D340" s="2100"/>
      <c r="E340" s="2113">
        <v>2996799</v>
      </c>
      <c r="F340" s="2113">
        <v>2996799</v>
      </c>
      <c r="G340" s="2113">
        <v>0</v>
      </c>
      <c r="H340" s="2113">
        <v>0</v>
      </c>
      <c r="I340" s="2113">
        <v>0</v>
      </c>
      <c r="J340" s="2101" t="s">
        <v>735</v>
      </c>
    </row>
    <row r="341" spans="1:10" ht="25.5">
      <c r="A341" s="2097">
        <v>287981</v>
      </c>
      <c r="B341" s="2098">
        <v>415.92</v>
      </c>
      <c r="C341" s="2109" t="s">
        <v>736</v>
      </c>
      <c r="D341" s="2100"/>
      <c r="E341" s="2113">
        <v>21367</v>
      </c>
      <c r="F341" s="2113">
        <v>21367</v>
      </c>
      <c r="G341" s="2113">
        <v>0</v>
      </c>
      <c r="H341" s="2113">
        <v>0</v>
      </c>
      <c r="I341" s="2113">
        <v>0</v>
      </c>
      <c r="J341" s="2101" t="s">
        <v>737</v>
      </c>
    </row>
    <row r="342" spans="1:10" ht="25.5">
      <c r="A342" s="2097">
        <v>287982</v>
      </c>
      <c r="B342" s="2098">
        <v>415.92099999999999</v>
      </c>
      <c r="C342" s="2109" t="s">
        <v>738</v>
      </c>
      <c r="D342" s="2100"/>
      <c r="E342" s="2113">
        <v>-393518</v>
      </c>
      <c r="F342" s="2113">
        <v>-393518</v>
      </c>
      <c r="G342" s="2113">
        <v>0</v>
      </c>
      <c r="H342" s="2113">
        <v>0</v>
      </c>
      <c r="I342" s="2113">
        <v>0</v>
      </c>
      <c r="J342" s="2101" t="s">
        <v>739</v>
      </c>
    </row>
    <row r="343" spans="1:10" ht="25.5">
      <c r="A343" s="2097">
        <v>287983</v>
      </c>
      <c r="B343" s="2098">
        <v>415.92200000000003</v>
      </c>
      <c r="C343" s="2109" t="s">
        <v>740</v>
      </c>
      <c r="D343" s="2100"/>
      <c r="E343" s="2113">
        <v>-1358996</v>
      </c>
      <c r="F343" s="2113">
        <v>-1358996</v>
      </c>
      <c r="G343" s="2113">
        <v>0</v>
      </c>
      <c r="H343" s="2113">
        <v>0</v>
      </c>
      <c r="I343" s="2113">
        <v>0</v>
      </c>
      <c r="J343" s="2101" t="s">
        <v>741</v>
      </c>
    </row>
    <row r="344" spans="1:10" ht="25.5">
      <c r="A344" s="2097">
        <v>287576</v>
      </c>
      <c r="B344" s="2098">
        <v>430.11</v>
      </c>
      <c r="C344" s="2109" t="s">
        <v>742</v>
      </c>
      <c r="D344" s="2100"/>
      <c r="E344" s="2113">
        <v>-5131927</v>
      </c>
      <c r="F344" s="2113">
        <v>-5131927</v>
      </c>
      <c r="G344" s="2113">
        <v>0</v>
      </c>
      <c r="H344" s="2113">
        <v>0</v>
      </c>
      <c r="I344" s="2113">
        <v>0</v>
      </c>
      <c r="J344" s="2101" t="s">
        <v>445</v>
      </c>
    </row>
    <row r="345" spans="1:10" ht="38.25">
      <c r="A345" s="2097">
        <v>287840</v>
      </c>
      <c r="B345" s="2098">
        <v>415.41</v>
      </c>
      <c r="C345" s="2109" t="s">
        <v>743</v>
      </c>
      <c r="D345" s="2100"/>
      <c r="E345" s="2113">
        <v>-67294167</v>
      </c>
      <c r="F345" s="2113">
        <v>-67294167</v>
      </c>
      <c r="G345" s="2113">
        <v>0</v>
      </c>
      <c r="H345" s="2113">
        <v>0</v>
      </c>
      <c r="I345" s="2113">
        <v>0</v>
      </c>
      <c r="J345" s="2101" t="s">
        <v>744</v>
      </c>
    </row>
    <row r="346" spans="1:10" ht="25.5">
      <c r="A346" s="2097">
        <v>287634</v>
      </c>
      <c r="B346" s="2098">
        <v>415.3</v>
      </c>
      <c r="C346" s="2109" t="s">
        <v>745</v>
      </c>
      <c r="D346" s="2100"/>
      <c r="E346" s="2113">
        <v>-20800311</v>
      </c>
      <c r="F346" s="2113">
        <v>-20800311</v>
      </c>
      <c r="G346" s="2113">
        <v>0</v>
      </c>
      <c r="H346" s="2113">
        <v>0</v>
      </c>
      <c r="I346" s="2113">
        <v>0</v>
      </c>
      <c r="J346" s="2101" t="s">
        <v>746</v>
      </c>
    </row>
    <row r="347" spans="1:10" ht="25.5">
      <c r="A347" s="2097">
        <v>287591</v>
      </c>
      <c r="B347" s="2098">
        <v>415.30099999999999</v>
      </c>
      <c r="C347" s="2109" t="s">
        <v>747</v>
      </c>
      <c r="D347" s="2100"/>
      <c r="E347" s="2113">
        <v>502643</v>
      </c>
      <c r="F347" s="2113">
        <v>502643</v>
      </c>
      <c r="G347" s="2113">
        <v>0</v>
      </c>
      <c r="H347" s="2113">
        <v>0</v>
      </c>
      <c r="I347" s="2113">
        <v>0</v>
      </c>
      <c r="J347" s="2101" t="s">
        <v>748</v>
      </c>
    </row>
    <row r="348" spans="1:10" ht="25.5">
      <c r="A348" s="2097">
        <v>287738</v>
      </c>
      <c r="B348" s="2098">
        <v>320.27</v>
      </c>
      <c r="C348" s="2109" t="s">
        <v>749</v>
      </c>
      <c r="D348" s="2100"/>
      <c r="E348" s="2113">
        <v>-109192092</v>
      </c>
      <c r="F348" s="2113">
        <v>-109192092</v>
      </c>
      <c r="G348" s="2113">
        <v>0</v>
      </c>
      <c r="H348" s="2113">
        <v>0</v>
      </c>
      <c r="I348" s="2113">
        <v>0</v>
      </c>
      <c r="J348" s="2101" t="s">
        <v>750</v>
      </c>
    </row>
    <row r="349" spans="1:10" ht="25.5">
      <c r="A349" s="2097">
        <v>287739</v>
      </c>
      <c r="B349" s="2098">
        <v>320.27999999999997</v>
      </c>
      <c r="C349" s="2109" t="s">
        <v>751</v>
      </c>
      <c r="D349" s="2100"/>
      <c r="E349" s="2113">
        <v>501052</v>
      </c>
      <c r="F349" s="2113">
        <v>501052</v>
      </c>
      <c r="G349" s="2113">
        <v>0</v>
      </c>
      <c r="H349" s="2113">
        <v>0</v>
      </c>
      <c r="I349" s="2113">
        <v>0</v>
      </c>
      <c r="J349" s="2101" t="s">
        <v>752</v>
      </c>
    </row>
    <row r="350" spans="1:10" ht="25.5">
      <c r="A350" s="2097">
        <v>287597</v>
      </c>
      <c r="B350" s="2098">
        <v>415.70299999999997</v>
      </c>
      <c r="C350" s="2109" t="s">
        <v>753</v>
      </c>
      <c r="D350" s="2100"/>
      <c r="E350" s="2113">
        <v>-78370</v>
      </c>
      <c r="F350" s="2113">
        <v>-78370</v>
      </c>
      <c r="G350" s="2113">
        <v>0</v>
      </c>
      <c r="H350" s="2113">
        <v>0</v>
      </c>
      <c r="I350" s="2113">
        <v>0</v>
      </c>
      <c r="J350" s="2101" t="s">
        <v>754</v>
      </c>
    </row>
    <row r="351" spans="1:10" ht="25.5">
      <c r="A351" s="2097">
        <v>286905</v>
      </c>
      <c r="B351" s="2098">
        <v>415.53</v>
      </c>
      <c r="C351" s="2109" t="s">
        <v>1892</v>
      </c>
      <c r="D351" s="2100"/>
      <c r="E351" s="2113">
        <v>-36880</v>
      </c>
      <c r="F351" s="2113">
        <v>-36880</v>
      </c>
      <c r="G351" s="2113">
        <v>0</v>
      </c>
      <c r="H351" s="2113">
        <v>0</v>
      </c>
      <c r="I351" s="2113">
        <v>0</v>
      </c>
      <c r="J351" s="2101" t="s">
        <v>1893</v>
      </c>
    </row>
    <row r="352" spans="1:10" ht="12.75">
      <c r="A352" s="2097">
        <v>287897</v>
      </c>
      <c r="B352" s="2098">
        <v>425.4</v>
      </c>
      <c r="C352" s="2109" t="s">
        <v>755</v>
      </c>
      <c r="D352" s="2100"/>
      <c r="E352" s="2113">
        <v>-3853296</v>
      </c>
      <c r="F352" s="2113">
        <v>-3853296</v>
      </c>
      <c r="G352" s="2113">
        <v>0</v>
      </c>
      <c r="H352" s="2113">
        <v>0</v>
      </c>
      <c r="I352" s="2113">
        <v>0</v>
      </c>
      <c r="J352" s="2101" t="s">
        <v>756</v>
      </c>
    </row>
    <row r="353" spans="1:10" ht="25.5">
      <c r="A353" s="2097">
        <v>287571</v>
      </c>
      <c r="B353" s="2098">
        <v>415.702</v>
      </c>
      <c r="C353" s="2109" t="s">
        <v>757</v>
      </c>
      <c r="D353" s="2100"/>
      <c r="E353" s="2113">
        <v>-193192</v>
      </c>
      <c r="F353" s="2113">
        <v>-193192</v>
      </c>
      <c r="G353" s="2113">
        <v>0</v>
      </c>
      <c r="H353" s="2113">
        <v>0</v>
      </c>
      <c r="I353" s="2113">
        <v>0</v>
      </c>
      <c r="J353" s="2101" t="s">
        <v>758</v>
      </c>
    </row>
    <row r="354" spans="1:10" ht="38.25">
      <c r="A354" s="2097">
        <v>287903</v>
      </c>
      <c r="B354" s="2098">
        <v>415.87900000000002</v>
      </c>
      <c r="C354" s="2109" t="s">
        <v>759</v>
      </c>
      <c r="D354" s="2100"/>
      <c r="E354" s="2113">
        <v>-21050</v>
      </c>
      <c r="F354" s="2113">
        <v>-21050</v>
      </c>
      <c r="G354" s="2113">
        <v>0</v>
      </c>
      <c r="H354" s="2113">
        <v>0</v>
      </c>
      <c r="I354" s="2113">
        <v>0</v>
      </c>
      <c r="J354" s="2101" t="s">
        <v>760</v>
      </c>
    </row>
    <row r="355" spans="1:10" ht="38.25">
      <c r="A355" s="2097">
        <v>287977</v>
      </c>
      <c r="B355" s="2098">
        <v>415.88499999999999</v>
      </c>
      <c r="C355" s="2109" t="s">
        <v>761</v>
      </c>
      <c r="D355" s="2100"/>
      <c r="E355" s="2113">
        <v>-26525</v>
      </c>
      <c r="F355" s="2113">
        <v>-26525</v>
      </c>
      <c r="G355" s="2113">
        <v>0</v>
      </c>
      <c r="H355" s="2113">
        <v>0</v>
      </c>
      <c r="I355" s="2113">
        <v>0</v>
      </c>
      <c r="J355" s="2101" t="s">
        <v>762</v>
      </c>
    </row>
    <row r="356" spans="1:10" ht="12.75">
      <c r="A356" s="2097">
        <v>287919</v>
      </c>
      <c r="B356" s="2098">
        <v>425.10500000000002</v>
      </c>
      <c r="C356" s="2109" t="s">
        <v>763</v>
      </c>
      <c r="D356" s="2100"/>
      <c r="E356" s="2113">
        <v>-266633</v>
      </c>
      <c r="F356" s="2113">
        <v>-266633</v>
      </c>
      <c r="G356" s="2113">
        <v>0</v>
      </c>
      <c r="H356" s="2113">
        <v>0</v>
      </c>
      <c r="I356" s="2113">
        <v>0</v>
      </c>
      <c r="J356" s="2101" t="s">
        <v>764</v>
      </c>
    </row>
    <row r="357" spans="1:10" ht="25.5">
      <c r="A357" s="2097">
        <v>286910</v>
      </c>
      <c r="B357" s="2098">
        <v>415.2</v>
      </c>
      <c r="C357" s="2109" t="s">
        <v>1894</v>
      </c>
      <c r="D357" s="2100"/>
      <c r="E357" s="2113">
        <v>-11996</v>
      </c>
      <c r="F357" s="2113">
        <v>-11996</v>
      </c>
      <c r="G357" s="2113">
        <v>0</v>
      </c>
      <c r="H357" s="2113">
        <v>0</v>
      </c>
      <c r="I357" s="2113">
        <v>0</v>
      </c>
      <c r="J357" s="2101" t="s">
        <v>1895</v>
      </c>
    </row>
    <row r="358" spans="1:10" ht="25.5">
      <c r="A358" s="2097">
        <v>287942</v>
      </c>
      <c r="B358" s="2098">
        <v>430.11200000000002</v>
      </c>
      <c r="C358" s="2109" t="s">
        <v>765</v>
      </c>
      <c r="D358" s="2100"/>
      <c r="E358" s="2113">
        <v>-201696</v>
      </c>
      <c r="F358" s="2113">
        <v>-201696</v>
      </c>
      <c r="G358" s="2113">
        <v>0</v>
      </c>
      <c r="H358" s="2113">
        <v>0</v>
      </c>
      <c r="I358" s="2113">
        <v>0</v>
      </c>
      <c r="J358" s="2101" t="s">
        <v>445</v>
      </c>
    </row>
    <row r="359" spans="1:10" ht="12.75">
      <c r="A359" s="2097">
        <v>287972</v>
      </c>
      <c r="B359" s="2098">
        <v>320.28500000000003</v>
      </c>
      <c r="C359" s="2109" t="s">
        <v>766</v>
      </c>
      <c r="D359" s="2100"/>
      <c r="E359" s="2113">
        <v>-212004</v>
      </c>
      <c r="F359" s="2113">
        <v>0</v>
      </c>
      <c r="G359" s="2113">
        <v>0</v>
      </c>
      <c r="H359" s="2113">
        <v>0</v>
      </c>
      <c r="I359" s="2113">
        <v>-212004</v>
      </c>
      <c r="J359" s="2101" t="s">
        <v>767</v>
      </c>
    </row>
    <row r="360" spans="1:10" ht="25.5">
      <c r="A360" s="2097">
        <v>287675</v>
      </c>
      <c r="B360" s="2098">
        <v>740.1</v>
      </c>
      <c r="C360" s="2109" t="s">
        <v>768</v>
      </c>
      <c r="D360" s="2100"/>
      <c r="E360" s="2113">
        <v>-1119888</v>
      </c>
      <c r="F360" s="2113">
        <v>-1119888</v>
      </c>
      <c r="G360" s="2113">
        <v>0</v>
      </c>
      <c r="H360" s="2113">
        <v>0</v>
      </c>
      <c r="I360" s="2113">
        <v>0</v>
      </c>
      <c r="J360" s="2101" t="s">
        <v>769</v>
      </c>
    </row>
    <row r="361" spans="1:10" ht="51">
      <c r="A361" s="2097">
        <v>287864</v>
      </c>
      <c r="B361" s="2098">
        <v>415.85199999999998</v>
      </c>
      <c r="C361" s="2109" t="s">
        <v>772</v>
      </c>
      <c r="D361" s="2100"/>
      <c r="E361" s="2113">
        <v>-12719</v>
      </c>
      <c r="F361" s="2113">
        <v>-12719</v>
      </c>
      <c r="G361" s="2113">
        <v>0</v>
      </c>
      <c r="H361" s="2113">
        <v>0</v>
      </c>
      <c r="I361" s="2113">
        <v>0</v>
      </c>
      <c r="J361" s="2101" t="s">
        <v>773</v>
      </c>
    </row>
    <row r="362" spans="1:10" ht="25.5">
      <c r="A362" s="2097">
        <v>287858</v>
      </c>
      <c r="B362" s="2098">
        <v>415.67599999999999</v>
      </c>
      <c r="C362" s="2109" t="s">
        <v>774</v>
      </c>
      <c r="D362" s="2100"/>
      <c r="E362" s="2113">
        <v>-36421</v>
      </c>
      <c r="F362" s="2113">
        <v>-36421</v>
      </c>
      <c r="G362" s="2113">
        <v>0</v>
      </c>
      <c r="H362" s="2113">
        <v>0</v>
      </c>
      <c r="I362" s="2113">
        <v>0</v>
      </c>
      <c r="J362" s="2101" t="s">
        <v>775</v>
      </c>
    </row>
    <row r="363" spans="1:10" ht="25.5">
      <c r="A363" s="2097">
        <v>287996</v>
      </c>
      <c r="B363" s="2098">
        <v>415.67500000000001</v>
      </c>
      <c r="C363" s="2109" t="s">
        <v>776</v>
      </c>
      <c r="D363" s="2100"/>
      <c r="E363" s="2113">
        <v>-105685</v>
      </c>
      <c r="F363" s="2113">
        <v>-105685</v>
      </c>
      <c r="G363" s="2113">
        <v>0</v>
      </c>
      <c r="H363" s="2113">
        <v>0</v>
      </c>
      <c r="I363" s="2113">
        <v>0</v>
      </c>
      <c r="J363" s="2101" t="s">
        <v>777</v>
      </c>
    </row>
    <row r="364" spans="1:10" ht="12.75">
      <c r="A364" s="2097">
        <v>287601</v>
      </c>
      <c r="B364" s="2098">
        <v>415.67700000000002</v>
      </c>
      <c r="C364" s="2109" t="s">
        <v>778</v>
      </c>
      <c r="D364" s="2100"/>
      <c r="E364" s="2113">
        <v>-16918</v>
      </c>
      <c r="F364" s="2113">
        <v>-16918</v>
      </c>
      <c r="G364" s="2113">
        <v>0</v>
      </c>
      <c r="H364" s="2113">
        <v>0</v>
      </c>
      <c r="I364" s="2113">
        <v>0</v>
      </c>
      <c r="J364" s="2101" t="s">
        <v>779</v>
      </c>
    </row>
    <row r="365" spans="1:10" ht="38.25">
      <c r="A365" s="2097">
        <v>287978</v>
      </c>
      <c r="B365" s="2098">
        <v>415.90600000000001</v>
      </c>
      <c r="C365" s="2109" t="s">
        <v>780</v>
      </c>
      <c r="D365" s="2100"/>
      <c r="E365" s="2113">
        <v>-28299</v>
      </c>
      <c r="F365" s="2113">
        <v>-28299</v>
      </c>
      <c r="G365" s="2113">
        <v>0</v>
      </c>
      <c r="H365" s="2113">
        <v>0</v>
      </c>
      <c r="I365" s="2113">
        <v>0</v>
      </c>
      <c r="J365" s="2101" t="s">
        <v>2342</v>
      </c>
    </row>
    <row r="366" spans="1:10" ht="25.5">
      <c r="A366" s="2097">
        <v>287887</v>
      </c>
      <c r="B366" s="2098">
        <v>415.88099999999997</v>
      </c>
      <c r="C366" s="2109" t="s">
        <v>781</v>
      </c>
      <c r="D366" s="2100"/>
      <c r="E366" s="2113">
        <v>-255342</v>
      </c>
      <c r="F366" s="2113">
        <v>-255342</v>
      </c>
      <c r="G366" s="2113">
        <v>0</v>
      </c>
      <c r="H366" s="2113">
        <v>0</v>
      </c>
      <c r="I366" s="2113">
        <v>0</v>
      </c>
      <c r="J366" s="2101" t="s">
        <v>2343</v>
      </c>
    </row>
    <row r="367" spans="1:10" ht="38.25">
      <c r="A367" s="2097">
        <v>287888</v>
      </c>
      <c r="B367" s="2098">
        <v>415.88200000000001</v>
      </c>
      <c r="C367" s="2109" t="s">
        <v>782</v>
      </c>
      <c r="D367" s="2100"/>
      <c r="E367" s="2113">
        <v>-11760</v>
      </c>
      <c r="F367" s="2113">
        <v>-11760</v>
      </c>
      <c r="G367" s="2113">
        <v>0</v>
      </c>
      <c r="H367" s="2113">
        <v>0</v>
      </c>
      <c r="I367" s="2113">
        <v>0</v>
      </c>
      <c r="J367" s="2101" t="s">
        <v>783</v>
      </c>
    </row>
    <row r="368" spans="1:10" ht="25.5">
      <c r="A368" s="2097">
        <v>287889</v>
      </c>
      <c r="B368" s="2098">
        <v>415.88299999999998</v>
      </c>
      <c r="C368" s="2109" t="s">
        <v>784</v>
      </c>
      <c r="D368" s="2100"/>
      <c r="E368" s="2113">
        <v>-187897</v>
      </c>
      <c r="F368" s="2113">
        <v>-187897</v>
      </c>
      <c r="G368" s="2113">
        <v>0</v>
      </c>
      <c r="H368" s="2113">
        <v>0</v>
      </c>
      <c r="I368" s="2113">
        <v>0</v>
      </c>
      <c r="J368" s="2101" t="s">
        <v>785</v>
      </c>
    </row>
    <row r="369" spans="1:10" ht="25.5">
      <c r="A369" s="2097">
        <v>287871</v>
      </c>
      <c r="B369" s="2098">
        <v>415.86599999999999</v>
      </c>
      <c r="C369" s="2109" t="s">
        <v>786</v>
      </c>
      <c r="D369" s="2100"/>
      <c r="E369" s="2113">
        <v>-1260259</v>
      </c>
      <c r="F369" s="2113">
        <v>-1260259</v>
      </c>
      <c r="G369" s="2113">
        <v>0</v>
      </c>
      <c r="H369" s="2113">
        <v>0</v>
      </c>
      <c r="I369" s="2113">
        <v>0</v>
      </c>
      <c r="J369" s="2101" t="s">
        <v>787</v>
      </c>
    </row>
    <row r="370" spans="1:10" ht="12.75">
      <c r="A370" s="2097">
        <v>287971</v>
      </c>
      <c r="B370" s="2098">
        <v>415.86799999999999</v>
      </c>
      <c r="C370" s="2109" t="s">
        <v>864</v>
      </c>
      <c r="D370" s="2100"/>
      <c r="E370" s="2113">
        <v>-2393394</v>
      </c>
      <c r="F370" s="2113">
        <v>-2393394</v>
      </c>
      <c r="G370" s="2113">
        <v>0</v>
      </c>
      <c r="H370" s="2113">
        <v>0</v>
      </c>
      <c r="I370" s="2113">
        <v>0</v>
      </c>
      <c r="J370" s="2101" t="s">
        <v>865</v>
      </c>
    </row>
    <row r="371" spans="1:10" ht="51">
      <c r="A371" s="2097">
        <v>287927</v>
      </c>
      <c r="B371" s="2098">
        <v>100.11</v>
      </c>
      <c r="C371" s="2109" t="s">
        <v>1896</v>
      </c>
      <c r="D371" s="2100"/>
      <c r="E371" s="2113">
        <v>-8913</v>
      </c>
      <c r="F371" s="2113">
        <v>-8913</v>
      </c>
      <c r="G371" s="2113">
        <v>0</v>
      </c>
      <c r="H371" s="2113">
        <v>0</v>
      </c>
      <c r="I371" s="2113">
        <v>0</v>
      </c>
      <c r="J371" s="2101" t="s">
        <v>823</v>
      </c>
    </row>
    <row r="372" spans="1:10" ht="25.5">
      <c r="A372" s="2097">
        <v>287960</v>
      </c>
      <c r="B372" s="2098">
        <v>415.85500000000002</v>
      </c>
      <c r="C372" s="2109" t="s">
        <v>788</v>
      </c>
      <c r="D372" s="2100"/>
      <c r="E372" s="2113">
        <v>-535843</v>
      </c>
      <c r="F372" s="2113">
        <v>-535843</v>
      </c>
      <c r="G372" s="2113">
        <v>0</v>
      </c>
      <c r="H372" s="2113">
        <v>0</v>
      </c>
      <c r="I372" s="2113">
        <v>0</v>
      </c>
      <c r="J372" s="2101" t="s">
        <v>2344</v>
      </c>
    </row>
    <row r="373" spans="1:10" ht="25.5">
      <c r="A373" s="2097">
        <v>286911</v>
      </c>
      <c r="B373" s="2098">
        <v>415.43</v>
      </c>
      <c r="C373" s="2109" t="s">
        <v>1897</v>
      </c>
      <c r="D373" s="2100"/>
      <c r="E373" s="2113">
        <v>112508</v>
      </c>
      <c r="F373" s="2113">
        <v>112508</v>
      </c>
      <c r="G373" s="2113">
        <v>0</v>
      </c>
      <c r="H373" s="2113">
        <v>0</v>
      </c>
      <c r="I373" s="2113">
        <v>0</v>
      </c>
      <c r="J373" s="2101" t="s">
        <v>2345</v>
      </c>
    </row>
    <row r="374" spans="1:10" ht="25.5">
      <c r="A374" s="2097">
        <v>286906</v>
      </c>
      <c r="B374" s="2098">
        <v>415.53100000000001</v>
      </c>
      <c r="C374" s="2109" t="s">
        <v>866</v>
      </c>
      <c r="D374" s="2100"/>
      <c r="E374" s="2113">
        <v>-2163621</v>
      </c>
      <c r="F374" s="2113">
        <v>-2163621</v>
      </c>
      <c r="G374" s="2113">
        <v>0</v>
      </c>
      <c r="H374" s="2113">
        <v>0</v>
      </c>
      <c r="I374" s="2113">
        <v>0</v>
      </c>
      <c r="J374" s="2101" t="s">
        <v>867</v>
      </c>
    </row>
    <row r="375" spans="1:10" ht="25.5">
      <c r="A375" s="2097">
        <v>287899</v>
      </c>
      <c r="B375" s="2098">
        <v>415.87799999999999</v>
      </c>
      <c r="C375" s="2109" t="s">
        <v>789</v>
      </c>
      <c r="D375" s="2100"/>
      <c r="E375" s="2113">
        <v>-129080</v>
      </c>
      <c r="F375" s="2113">
        <v>-129080</v>
      </c>
      <c r="G375" s="2113">
        <v>0</v>
      </c>
      <c r="H375" s="2113">
        <v>0</v>
      </c>
      <c r="I375" s="2113">
        <v>0</v>
      </c>
      <c r="J375" s="2101" t="s">
        <v>790</v>
      </c>
    </row>
    <row r="376" spans="1:10" ht="12.75">
      <c r="A376" s="2097">
        <v>287906</v>
      </c>
      <c r="B376" s="2098">
        <v>415.863</v>
      </c>
      <c r="C376" s="2109" t="s">
        <v>791</v>
      </c>
      <c r="D376" s="2100"/>
      <c r="E376" s="2113">
        <v>-408955</v>
      </c>
      <c r="F376" s="2113">
        <v>-408955</v>
      </c>
      <c r="G376" s="2113">
        <v>0</v>
      </c>
      <c r="H376" s="2113">
        <v>0</v>
      </c>
      <c r="I376" s="2113">
        <v>0</v>
      </c>
      <c r="J376" s="2101" t="s">
        <v>792</v>
      </c>
    </row>
    <row r="377" spans="1:10" ht="51">
      <c r="A377" s="2097">
        <v>287939</v>
      </c>
      <c r="B377" s="2098">
        <v>415.11500000000001</v>
      </c>
      <c r="C377" s="2109" t="s">
        <v>868</v>
      </c>
      <c r="D377" s="2100"/>
      <c r="E377" s="2113">
        <v>2393394</v>
      </c>
      <c r="F377" s="2113">
        <v>2393394</v>
      </c>
      <c r="G377" s="2113">
        <v>0</v>
      </c>
      <c r="H377" s="2113">
        <v>0</v>
      </c>
      <c r="I377" s="2113">
        <v>0</v>
      </c>
      <c r="J377" s="2101" t="s">
        <v>869</v>
      </c>
    </row>
    <row r="378" spans="1:10" ht="25.5">
      <c r="A378" s="2097">
        <v>287639</v>
      </c>
      <c r="B378" s="2098">
        <v>415.51</v>
      </c>
      <c r="C378" s="2109" t="s">
        <v>793</v>
      </c>
      <c r="D378" s="2100"/>
      <c r="E378" s="2113">
        <v>-26739</v>
      </c>
      <c r="F378" s="2113">
        <v>-26739</v>
      </c>
      <c r="G378" s="2113">
        <v>0</v>
      </c>
      <c r="H378" s="2113">
        <v>0</v>
      </c>
      <c r="I378" s="2113">
        <v>0</v>
      </c>
      <c r="J378" s="2101" t="s">
        <v>794</v>
      </c>
    </row>
    <row r="379" spans="1:10" ht="25.5">
      <c r="A379" s="2097">
        <v>287857</v>
      </c>
      <c r="B379" s="2098">
        <v>415.54500000000002</v>
      </c>
      <c r="C379" s="2109" t="s">
        <v>795</v>
      </c>
      <c r="D379" s="2100"/>
      <c r="E379" s="2113">
        <v>844</v>
      </c>
      <c r="F379" s="2113">
        <v>844</v>
      </c>
      <c r="G379" s="2113">
        <v>0</v>
      </c>
      <c r="H379" s="2113">
        <v>0</v>
      </c>
      <c r="I379" s="2113">
        <v>0</v>
      </c>
      <c r="J379" s="2101" t="s">
        <v>2346</v>
      </c>
    </row>
    <row r="380" spans="1:10" ht="25.5">
      <c r="A380" s="2097">
        <v>286907</v>
      </c>
      <c r="B380" s="2098">
        <v>415.53199999999998</v>
      </c>
      <c r="C380" s="2109" t="s">
        <v>870</v>
      </c>
      <c r="D380" s="2100"/>
      <c r="E380" s="2113">
        <v>-590078</v>
      </c>
      <c r="F380" s="2113">
        <v>-590078</v>
      </c>
      <c r="G380" s="2113">
        <v>0</v>
      </c>
      <c r="H380" s="2113">
        <v>0</v>
      </c>
      <c r="I380" s="2113">
        <v>0</v>
      </c>
      <c r="J380" s="2101" t="s">
        <v>871</v>
      </c>
    </row>
    <row r="381" spans="1:10" ht="25.5">
      <c r="A381" s="2097">
        <v>287848</v>
      </c>
      <c r="B381" s="2098">
        <v>320.28100000000001</v>
      </c>
      <c r="C381" s="2109" t="s">
        <v>796</v>
      </c>
      <c r="D381" s="2100"/>
      <c r="E381" s="2113">
        <v>-1592384</v>
      </c>
      <c r="F381" s="2113">
        <v>-1592384</v>
      </c>
      <c r="G381" s="2113">
        <v>0</v>
      </c>
      <c r="H381" s="2113">
        <v>0</v>
      </c>
      <c r="I381" s="2113">
        <v>0</v>
      </c>
      <c r="J381" s="2101" t="s">
        <v>797</v>
      </c>
    </row>
    <row r="382" spans="1:10" ht="25.5">
      <c r="A382" s="2097">
        <v>287933</v>
      </c>
      <c r="B382" s="2098">
        <v>320.28199999999998</v>
      </c>
      <c r="C382" s="2109" t="s">
        <v>798</v>
      </c>
      <c r="D382" s="2100"/>
      <c r="E382" s="2113">
        <v>-307906</v>
      </c>
      <c r="F382" s="2113">
        <v>-307906</v>
      </c>
      <c r="G382" s="2113">
        <v>0</v>
      </c>
      <c r="H382" s="2113">
        <v>0</v>
      </c>
      <c r="I382" s="2113">
        <v>0</v>
      </c>
      <c r="J382" s="2101" t="s">
        <v>2317</v>
      </c>
    </row>
    <row r="383" spans="1:10" ht="25.5">
      <c r="A383" s="2097">
        <v>287934</v>
      </c>
      <c r="B383" s="2098">
        <v>320.28300000000002</v>
      </c>
      <c r="C383" s="2109" t="s">
        <v>799</v>
      </c>
      <c r="D383" s="2100"/>
      <c r="E383" s="2113">
        <v>-5469</v>
      </c>
      <c r="F383" s="2113">
        <v>-5469</v>
      </c>
      <c r="G383" s="2113">
        <v>0</v>
      </c>
      <c r="H383" s="2113">
        <v>0</v>
      </c>
      <c r="I383" s="2113">
        <v>0</v>
      </c>
      <c r="J383" s="2101" t="s">
        <v>2318</v>
      </c>
    </row>
    <row r="384" spans="1:10" ht="25.5">
      <c r="A384" s="2097">
        <v>287917</v>
      </c>
      <c r="B384" s="2098">
        <v>705.45100000000002</v>
      </c>
      <c r="C384" s="2109" t="s">
        <v>800</v>
      </c>
      <c r="D384" s="2100"/>
      <c r="E384" s="2113">
        <v>-750685</v>
      </c>
      <c r="F384" s="2113">
        <v>-750685</v>
      </c>
      <c r="G384" s="2113">
        <v>0</v>
      </c>
      <c r="H384" s="2113">
        <v>0</v>
      </c>
      <c r="I384" s="2113">
        <v>0</v>
      </c>
      <c r="J384" s="2101" t="s">
        <v>433</v>
      </c>
    </row>
    <row r="385" spans="1:10" ht="38.25">
      <c r="A385" s="2097">
        <v>287649</v>
      </c>
      <c r="B385" s="2098">
        <v>730.17</v>
      </c>
      <c r="C385" s="2109" t="s">
        <v>801</v>
      </c>
      <c r="D385" s="2100"/>
      <c r="E385" s="2113">
        <v>-23548525</v>
      </c>
      <c r="F385" s="2113">
        <v>-23548525</v>
      </c>
      <c r="G385" s="2113">
        <v>0</v>
      </c>
      <c r="H385" s="2113">
        <v>0</v>
      </c>
      <c r="I385" s="2113">
        <v>0</v>
      </c>
      <c r="J385" s="2101" t="s">
        <v>802</v>
      </c>
    </row>
    <row r="386" spans="1:10" ht="25.5">
      <c r="A386" s="2097">
        <v>287886</v>
      </c>
      <c r="B386" s="2098">
        <v>415.83699999999999</v>
      </c>
      <c r="C386" s="2109" t="s">
        <v>803</v>
      </c>
      <c r="D386" s="2100"/>
      <c r="E386" s="2113">
        <v>-19362370</v>
      </c>
      <c r="F386" s="2113">
        <v>-19362370</v>
      </c>
      <c r="G386" s="2113">
        <v>0</v>
      </c>
      <c r="H386" s="2113">
        <v>0</v>
      </c>
      <c r="I386" s="2113">
        <v>0</v>
      </c>
      <c r="J386" s="2101" t="s">
        <v>804</v>
      </c>
    </row>
    <row r="387" spans="1:10" ht="12.75">
      <c r="A387" s="2107" t="s">
        <v>805</v>
      </c>
      <c r="B387" s="2098"/>
      <c r="C387" s="2109"/>
      <c r="D387" s="2100"/>
      <c r="E387" s="2113">
        <v>0</v>
      </c>
      <c r="F387" s="2113">
        <v>0</v>
      </c>
      <c r="G387" s="2113">
        <v>0</v>
      </c>
      <c r="H387" s="2113">
        <v>0</v>
      </c>
      <c r="I387" s="2113">
        <v>0</v>
      </c>
      <c r="J387" s="2101">
        <v>0</v>
      </c>
    </row>
    <row r="388" spans="1:10" ht="25.5">
      <c r="A388" s="2097">
        <v>287650</v>
      </c>
      <c r="B388" s="2098">
        <v>205.1</v>
      </c>
      <c r="C388" s="2109" t="s">
        <v>806</v>
      </c>
      <c r="D388" s="2100"/>
      <c r="E388" s="2113">
        <v>-27155</v>
      </c>
      <c r="F388" s="2113">
        <v>-27155</v>
      </c>
      <c r="G388" s="2113">
        <v>0</v>
      </c>
      <c r="H388" s="2113">
        <v>0</v>
      </c>
      <c r="I388" s="2113">
        <v>0</v>
      </c>
      <c r="J388" s="2101" t="s">
        <v>2347</v>
      </c>
    </row>
    <row r="389" spans="1:10" ht="25.5">
      <c r="A389" s="2097">
        <v>287936</v>
      </c>
      <c r="B389" s="2098">
        <v>205.02500000000001</v>
      </c>
      <c r="C389" s="2109" t="s">
        <v>1898</v>
      </c>
      <c r="D389" s="2100"/>
      <c r="E389" s="2113">
        <v>-89756</v>
      </c>
      <c r="F389" s="2113">
        <v>-89756</v>
      </c>
      <c r="G389" s="2113">
        <v>0</v>
      </c>
      <c r="H389" s="2113">
        <v>0</v>
      </c>
      <c r="I389" s="2113">
        <v>0</v>
      </c>
      <c r="J389" s="2101" t="s">
        <v>1899</v>
      </c>
    </row>
    <row r="390" spans="1:10" ht="38.25">
      <c r="A390" s="2097">
        <v>287661</v>
      </c>
      <c r="B390" s="2098">
        <v>425.36</v>
      </c>
      <c r="C390" s="2109" t="s">
        <v>807</v>
      </c>
      <c r="D390" s="2100"/>
      <c r="E390" s="2113">
        <v>-742255</v>
      </c>
      <c r="F390" s="2113">
        <v>-742255</v>
      </c>
      <c r="G390" s="2113">
        <v>0</v>
      </c>
      <c r="H390" s="2113">
        <v>0</v>
      </c>
      <c r="I390" s="2113">
        <v>0</v>
      </c>
      <c r="J390" s="2101" t="s">
        <v>808</v>
      </c>
    </row>
    <row r="391" spans="1:10" ht="25.5">
      <c r="A391" s="2097">
        <v>286909</v>
      </c>
      <c r="B391" s="2098">
        <v>720.81500000000005</v>
      </c>
      <c r="C391" s="2109" t="s">
        <v>872</v>
      </c>
      <c r="D391" s="2100"/>
      <c r="E391" s="2113">
        <v>0</v>
      </c>
      <c r="F391" s="2113">
        <v>0</v>
      </c>
      <c r="G391" s="2113">
        <v>0</v>
      </c>
      <c r="H391" s="2113">
        <v>0</v>
      </c>
      <c r="I391" s="2113">
        <v>0</v>
      </c>
      <c r="J391" s="2101" t="s">
        <v>873</v>
      </c>
    </row>
    <row r="392" spans="1:10" ht="38.25">
      <c r="A392" s="2097">
        <v>287656</v>
      </c>
      <c r="B392" s="2098">
        <v>425.28</v>
      </c>
      <c r="C392" s="2109" t="s">
        <v>809</v>
      </c>
      <c r="D392" s="2100"/>
      <c r="E392" s="2113">
        <v>0</v>
      </c>
      <c r="F392" s="2113">
        <v>0</v>
      </c>
      <c r="G392" s="2113">
        <v>0</v>
      </c>
      <c r="H392" s="2113">
        <v>0</v>
      </c>
      <c r="I392" s="2113">
        <v>0</v>
      </c>
      <c r="J392" s="2101" t="s">
        <v>810</v>
      </c>
    </row>
    <row r="393" spans="1:10" ht="25.5">
      <c r="A393" s="2097">
        <v>287669</v>
      </c>
      <c r="B393" s="2098">
        <v>210.18</v>
      </c>
      <c r="C393" s="2109" t="s">
        <v>811</v>
      </c>
      <c r="D393" s="2100"/>
      <c r="E393" s="2113">
        <v>-95975</v>
      </c>
      <c r="F393" s="2113">
        <v>-95975</v>
      </c>
      <c r="G393" s="2113">
        <v>0</v>
      </c>
      <c r="H393" s="2113">
        <v>0</v>
      </c>
      <c r="I393" s="2113">
        <v>0</v>
      </c>
      <c r="J393" s="2101" t="s">
        <v>812</v>
      </c>
    </row>
    <row r="394" spans="1:10" ht="12.75">
      <c r="A394" s="2097">
        <v>287907</v>
      </c>
      <c r="B394" s="2098">
        <v>210.185</v>
      </c>
      <c r="C394" s="2109" t="s">
        <v>874</v>
      </c>
      <c r="D394" s="2100"/>
      <c r="E394" s="2113">
        <v>0</v>
      </c>
      <c r="F394" s="2113">
        <v>0</v>
      </c>
      <c r="G394" s="2113">
        <v>0</v>
      </c>
      <c r="H394" s="2113">
        <v>0</v>
      </c>
      <c r="I394" s="2113">
        <v>0</v>
      </c>
      <c r="J394" s="2101" t="s">
        <v>875</v>
      </c>
    </row>
    <row r="395" spans="1:10" ht="25.5">
      <c r="A395" s="2097">
        <v>287665</v>
      </c>
      <c r="B395" s="2098">
        <v>210.13</v>
      </c>
      <c r="C395" s="2109" t="s">
        <v>813</v>
      </c>
      <c r="D395" s="2100"/>
      <c r="E395" s="2113">
        <v>-79123</v>
      </c>
      <c r="F395" s="2113">
        <v>-79123</v>
      </c>
      <c r="G395" s="2113">
        <v>0</v>
      </c>
      <c r="H395" s="2113">
        <v>0</v>
      </c>
      <c r="I395" s="2113">
        <v>0</v>
      </c>
      <c r="J395" s="2101" t="s">
        <v>814</v>
      </c>
    </row>
    <row r="396" spans="1:10" ht="25.5">
      <c r="A396" s="2097">
        <v>287662</v>
      </c>
      <c r="B396" s="2098">
        <v>210.1</v>
      </c>
      <c r="C396" s="2109" t="s">
        <v>815</v>
      </c>
      <c r="D396" s="2100"/>
      <c r="E396" s="2113">
        <v>-261203</v>
      </c>
      <c r="F396" s="2113">
        <v>-261203</v>
      </c>
      <c r="G396" s="2113">
        <v>0</v>
      </c>
      <c r="H396" s="2113">
        <v>0</v>
      </c>
      <c r="I396" s="2113">
        <v>0</v>
      </c>
      <c r="J396" s="2101" t="s">
        <v>816</v>
      </c>
    </row>
    <row r="397" spans="1:10" ht="12.75">
      <c r="A397" s="2097">
        <v>287708</v>
      </c>
      <c r="B397" s="2098">
        <v>210.2</v>
      </c>
      <c r="C397" s="2109" t="s">
        <v>817</v>
      </c>
      <c r="D397" s="2100"/>
      <c r="E397" s="2113">
        <v>-3450433</v>
      </c>
      <c r="F397" s="2113">
        <v>0</v>
      </c>
      <c r="G397" s="2113">
        <v>0</v>
      </c>
      <c r="H397" s="2113">
        <v>-3450433</v>
      </c>
      <c r="I397" s="2113">
        <v>0</v>
      </c>
      <c r="J397" s="2101" t="s">
        <v>818</v>
      </c>
    </row>
    <row r="398" spans="1:10" ht="25.5">
      <c r="A398" s="2097">
        <v>286908</v>
      </c>
      <c r="B398" s="2098">
        <v>210.20099999999999</v>
      </c>
      <c r="C398" s="2109" t="s">
        <v>876</v>
      </c>
      <c r="D398" s="2100"/>
      <c r="E398" s="2113">
        <v>-3391794</v>
      </c>
      <c r="F398" s="2113">
        <v>0</v>
      </c>
      <c r="G398" s="2113">
        <v>0</v>
      </c>
      <c r="H398" s="2113">
        <v>-3391794</v>
      </c>
      <c r="I398" s="2113">
        <v>0</v>
      </c>
      <c r="J398" s="2101" t="s">
        <v>2348</v>
      </c>
    </row>
    <row r="399" spans="1:10" ht="25.5">
      <c r="A399" s="2097">
        <v>287664</v>
      </c>
      <c r="B399" s="2098">
        <v>210.12</v>
      </c>
      <c r="C399" s="2109" t="s">
        <v>819</v>
      </c>
      <c r="D399" s="2100"/>
      <c r="E399" s="2113">
        <v>-771986</v>
      </c>
      <c r="F399" s="2113">
        <v>-771986</v>
      </c>
      <c r="G399" s="2113">
        <v>0</v>
      </c>
      <c r="H399" s="2113">
        <v>0</v>
      </c>
      <c r="I399" s="2113">
        <v>0</v>
      </c>
      <c r="J399" s="2101" t="s">
        <v>820</v>
      </c>
    </row>
    <row r="400" spans="1:10" ht="25.5">
      <c r="A400" s="2097">
        <v>287908</v>
      </c>
      <c r="B400" s="2098">
        <v>210.19</v>
      </c>
      <c r="C400" s="2109" t="s">
        <v>821</v>
      </c>
      <c r="D400" s="2100"/>
      <c r="E400" s="2113">
        <v>-176739</v>
      </c>
      <c r="F400" s="2113">
        <v>-176739</v>
      </c>
      <c r="G400" s="2113">
        <v>0</v>
      </c>
      <c r="H400" s="2113">
        <v>0</v>
      </c>
      <c r="I400" s="2113">
        <v>0</v>
      </c>
      <c r="J400" s="2101" t="s">
        <v>822</v>
      </c>
    </row>
    <row r="401" spans="1:10" ht="38.25">
      <c r="A401" s="2097">
        <v>287289</v>
      </c>
      <c r="B401" s="2098">
        <v>425.13</v>
      </c>
      <c r="C401" s="2109" t="s">
        <v>518</v>
      </c>
      <c r="D401" s="2100"/>
      <c r="E401" s="2113">
        <v>-37177</v>
      </c>
      <c r="F401" s="2113">
        <v>-37177</v>
      </c>
      <c r="G401" s="2113">
        <v>0</v>
      </c>
      <c r="H401" s="2113">
        <v>0</v>
      </c>
      <c r="I401" s="2113">
        <v>0</v>
      </c>
      <c r="J401" s="2101" t="s">
        <v>519</v>
      </c>
    </row>
    <row r="402" spans="1:10" ht="38.25">
      <c r="A402" s="2097">
        <v>287653</v>
      </c>
      <c r="B402" s="2098">
        <v>425.25</v>
      </c>
      <c r="C402" s="2109" t="s">
        <v>824</v>
      </c>
      <c r="D402" s="2100"/>
      <c r="E402" s="2113">
        <v>-4122</v>
      </c>
      <c r="F402" s="2113">
        <v>-4122</v>
      </c>
      <c r="G402" s="2113">
        <v>0</v>
      </c>
      <c r="H402" s="2113">
        <v>0</v>
      </c>
      <c r="I402" s="2113">
        <v>0</v>
      </c>
      <c r="J402" s="2101" t="s">
        <v>810</v>
      </c>
    </row>
    <row r="403" spans="1:10" ht="25.5">
      <c r="A403" s="2097">
        <v>287770</v>
      </c>
      <c r="B403" s="2098">
        <v>120.205</v>
      </c>
      <c r="C403" s="2109" t="s">
        <v>825</v>
      </c>
      <c r="D403" s="2100"/>
      <c r="E403" s="2113">
        <v>-1103468</v>
      </c>
      <c r="F403" s="2113">
        <v>-1103468</v>
      </c>
      <c r="G403" s="2113">
        <v>0</v>
      </c>
      <c r="H403" s="2113">
        <v>0</v>
      </c>
      <c r="I403" s="2113">
        <v>0</v>
      </c>
      <c r="J403" s="2101" t="s">
        <v>826</v>
      </c>
    </row>
    <row r="404" spans="1:10" ht="51">
      <c r="A404" s="2097">
        <v>287859</v>
      </c>
      <c r="B404" s="2098">
        <v>910.93499999999995</v>
      </c>
      <c r="C404" s="2109" t="s">
        <v>877</v>
      </c>
      <c r="D404" s="2100"/>
      <c r="E404" s="2113">
        <v>-209674</v>
      </c>
      <c r="F404" s="2113">
        <v>0</v>
      </c>
      <c r="G404" s="2113">
        <v>0</v>
      </c>
      <c r="H404" s="2113">
        <v>0</v>
      </c>
      <c r="I404" s="2113">
        <v>-209674</v>
      </c>
      <c r="J404" s="2101" t="s">
        <v>878</v>
      </c>
    </row>
    <row r="405" spans="1:10" ht="12.75">
      <c r="A405" s="2097">
        <v>287217</v>
      </c>
      <c r="B405" s="2098">
        <v>910.93700000000001</v>
      </c>
      <c r="C405" s="2109" t="s">
        <v>506</v>
      </c>
      <c r="D405" s="2100"/>
      <c r="E405" s="2113">
        <v>-107930</v>
      </c>
      <c r="F405" s="2113">
        <v>0</v>
      </c>
      <c r="G405" s="2113">
        <v>0</v>
      </c>
      <c r="H405" s="2113">
        <v>0</v>
      </c>
      <c r="I405" s="2113">
        <v>-107930</v>
      </c>
      <c r="J405" s="2101" t="s">
        <v>507</v>
      </c>
    </row>
    <row r="406" spans="1:10" ht="25.5">
      <c r="A406" s="2097">
        <v>287966</v>
      </c>
      <c r="B406" s="2098">
        <v>415.834</v>
      </c>
      <c r="C406" s="2109" t="s">
        <v>827</v>
      </c>
      <c r="D406" s="2100"/>
      <c r="E406" s="2113">
        <v>-1792457</v>
      </c>
      <c r="F406" s="2113">
        <v>-1792457</v>
      </c>
      <c r="G406" s="2113">
        <v>0</v>
      </c>
      <c r="H406" s="2113">
        <v>0</v>
      </c>
      <c r="I406" s="2113">
        <v>0</v>
      </c>
      <c r="J406" s="2101" t="s">
        <v>828</v>
      </c>
    </row>
    <row r="407" spans="1:10" ht="12.75">
      <c r="A407" s="2097">
        <v>287492</v>
      </c>
      <c r="B407" s="2098" t="s">
        <v>515</v>
      </c>
      <c r="C407" s="2109" t="s">
        <v>829</v>
      </c>
      <c r="D407" s="2100"/>
      <c r="E407" s="2113">
        <v>-74524</v>
      </c>
      <c r="F407" s="2113">
        <v>-74524</v>
      </c>
      <c r="G407" s="2113">
        <v>0</v>
      </c>
      <c r="H407" s="2113">
        <v>0</v>
      </c>
      <c r="I407" s="2113">
        <v>0</v>
      </c>
      <c r="J407" s="2101" t="s">
        <v>830</v>
      </c>
    </row>
    <row r="408" spans="1:10" s="533" customFormat="1" ht="12.75">
      <c r="A408" s="2423" t="s">
        <v>560</v>
      </c>
      <c r="B408" s="2424"/>
      <c r="C408" s="2424"/>
      <c r="D408" s="2182"/>
      <c r="E408" s="2151">
        <v>2</v>
      </c>
      <c r="F408" s="2151">
        <f>E408</f>
        <v>2</v>
      </c>
      <c r="G408" s="2151">
        <v>0</v>
      </c>
      <c r="H408" s="2151">
        <v>0</v>
      </c>
      <c r="I408" s="2151">
        <v>0</v>
      </c>
      <c r="J408" s="2183"/>
    </row>
    <row r="409" spans="1:10" s="566" customFormat="1" ht="12.75">
      <c r="A409" s="2125" t="s">
        <v>831</v>
      </c>
      <c r="B409" s="2126"/>
      <c r="C409" s="2121"/>
      <c r="D409" s="2157"/>
      <c r="E409" s="2158">
        <f>SUBTOTAL(9,E307:E408)</f>
        <v>-285789510</v>
      </c>
      <c r="F409" s="2158">
        <f>SUBTOTAL(9,F307:F408)</f>
        <v>-278417675</v>
      </c>
      <c r="G409" s="2158">
        <f>SUBTOTAL(9,G307:G408)</f>
        <v>0</v>
      </c>
      <c r="H409" s="2158">
        <f>SUBTOTAL(9,H307:H408)</f>
        <v>-6842227</v>
      </c>
      <c r="I409" s="2158">
        <f>SUBTOTAL(9,I307:I408)</f>
        <v>-529608</v>
      </c>
      <c r="J409" s="2132"/>
    </row>
    <row r="410" spans="1:10" s="566" customFormat="1" ht="12.75">
      <c r="A410" s="2125" t="s">
        <v>562</v>
      </c>
      <c r="B410" s="2126"/>
      <c r="C410" s="2121"/>
      <c r="D410" s="2157"/>
      <c r="E410" s="2184">
        <f>E371</f>
        <v>-8913</v>
      </c>
      <c r="F410" s="2184">
        <f t="shared" ref="F410:I410" si="2">F371</f>
        <v>-8913</v>
      </c>
      <c r="G410" s="2184">
        <f t="shared" si="2"/>
        <v>0</v>
      </c>
      <c r="H410" s="2184">
        <f t="shared" si="2"/>
        <v>0</v>
      </c>
      <c r="I410" s="2184">
        <f t="shared" si="2"/>
        <v>0</v>
      </c>
      <c r="J410" s="2132"/>
    </row>
    <row r="411" spans="1:10" s="566" customFormat="1" ht="12.75">
      <c r="A411" s="2125" t="s">
        <v>563</v>
      </c>
      <c r="B411" s="2126"/>
      <c r="C411" s="2121"/>
      <c r="D411" s="2157"/>
      <c r="E411" s="2184">
        <v>0</v>
      </c>
      <c r="F411" s="2184">
        <v>0</v>
      </c>
      <c r="G411" s="2184">
        <v>0</v>
      </c>
      <c r="H411" s="2184">
        <v>0</v>
      </c>
      <c r="I411" s="2184">
        <v>0</v>
      </c>
      <c r="J411" s="2132"/>
    </row>
    <row r="412" spans="1:10" s="566" customFormat="1" ht="12.75">
      <c r="A412" s="2185" t="s">
        <v>115</v>
      </c>
      <c r="B412" s="2186"/>
      <c r="C412" s="2130"/>
      <c r="D412" s="2187"/>
      <c r="E412" s="2188">
        <f>SUM(E409-E410-E411)</f>
        <v>-285780597</v>
      </c>
      <c r="F412" s="2188">
        <f>SUM(F409-F410-F411)</f>
        <v>-278408762</v>
      </c>
      <c r="G412" s="2188">
        <f>SUM(G409-G410-G411)</f>
        <v>0</v>
      </c>
      <c r="H412" s="2188">
        <f>SUM(H409-H410-H411)</f>
        <v>-6842227</v>
      </c>
      <c r="I412" s="2188">
        <f>SUM(I409-I410-I411)</f>
        <v>-529608</v>
      </c>
      <c r="J412" s="2132"/>
    </row>
    <row r="413" spans="1:10" s="566" customFormat="1" ht="12.75">
      <c r="A413" s="545"/>
      <c r="B413" s="545"/>
      <c r="C413" s="2189"/>
      <c r="D413" s="568"/>
      <c r="E413" s="569"/>
      <c r="F413" s="569"/>
      <c r="G413" s="569"/>
      <c r="H413" s="569"/>
      <c r="I413" s="521"/>
      <c r="J413" s="565"/>
    </row>
    <row r="414" spans="1:10" s="566" customFormat="1" ht="12.75">
      <c r="A414" s="545"/>
      <c r="B414" s="545"/>
      <c r="C414" s="2135" t="s">
        <v>832</v>
      </c>
      <c r="D414" s="2160"/>
      <c r="E414" s="2161"/>
      <c r="F414" s="2161"/>
      <c r="G414" s="2162"/>
      <c r="H414" s="2163"/>
      <c r="I414" s="521"/>
      <c r="J414" s="565"/>
    </row>
    <row r="415" spans="1:10" s="566" customFormat="1" ht="25.5">
      <c r="A415" s="545"/>
      <c r="B415" s="545"/>
      <c r="C415" s="2190" t="s">
        <v>565</v>
      </c>
      <c r="D415" s="570"/>
      <c r="E415" s="521"/>
      <c r="F415" s="521"/>
      <c r="G415" s="521"/>
      <c r="H415" s="571"/>
      <c r="I415" s="521"/>
      <c r="J415" s="565"/>
    </row>
    <row r="416" spans="1:10" s="566" customFormat="1" ht="12.75">
      <c r="A416" s="545"/>
      <c r="B416" s="545"/>
      <c r="C416" s="526" t="s">
        <v>566</v>
      </c>
      <c r="D416" s="547"/>
      <c r="E416" s="548"/>
      <c r="F416" s="548"/>
      <c r="G416" s="549"/>
      <c r="H416" s="550"/>
      <c r="I416" s="521"/>
      <c r="J416" s="565"/>
    </row>
    <row r="417" spans="1:10" s="566" customFormat="1" ht="12.75">
      <c r="A417" s="545"/>
      <c r="B417" s="545"/>
      <c r="C417" s="526" t="s">
        <v>567</v>
      </c>
      <c r="D417" s="547"/>
      <c r="E417" s="548"/>
      <c r="F417" s="548"/>
      <c r="G417" s="549"/>
      <c r="H417" s="550"/>
      <c r="I417" s="521"/>
      <c r="J417" s="565"/>
    </row>
    <row r="418" spans="1:10" s="566" customFormat="1" ht="12.75">
      <c r="A418" s="545"/>
      <c r="B418" s="545"/>
      <c r="C418" s="526" t="s">
        <v>568</v>
      </c>
      <c r="D418" s="547"/>
      <c r="E418" s="548"/>
      <c r="F418" s="548"/>
      <c r="G418" s="548"/>
      <c r="H418" s="572"/>
      <c r="I418" s="573"/>
      <c r="J418" s="565"/>
    </row>
    <row r="419" spans="1:10" s="566" customFormat="1" ht="29.25" customHeight="1">
      <c r="A419" s="545"/>
      <c r="B419" s="545"/>
      <c r="C419" s="2425" t="s">
        <v>569</v>
      </c>
      <c r="D419" s="2426"/>
      <c r="E419" s="2426"/>
      <c r="F419" s="2426"/>
      <c r="G419" s="2426"/>
      <c r="H419" s="2427"/>
      <c r="I419" s="521"/>
      <c r="J419" s="565"/>
    </row>
    <row r="420" spans="1:10">
      <c r="A420" s="554"/>
      <c r="B420" s="554"/>
      <c r="C420" s="558"/>
      <c r="D420" s="574"/>
      <c r="E420" s="575"/>
      <c r="F420" s="575"/>
      <c r="G420" s="575"/>
      <c r="H420" s="575"/>
      <c r="I420" s="558"/>
    </row>
    <row r="421" spans="1:10">
      <c r="A421" s="554"/>
      <c r="B421" s="554"/>
      <c r="C421" s="558"/>
      <c r="D421" s="574"/>
      <c r="E421" s="577"/>
      <c r="F421" s="577"/>
      <c r="G421" s="575"/>
      <c r="H421" s="575"/>
      <c r="I421" s="558"/>
    </row>
    <row r="422" spans="1:10">
      <c r="A422" s="554"/>
      <c r="B422" s="554"/>
      <c r="C422" s="558"/>
      <c r="D422" s="574"/>
      <c r="E422" s="577"/>
      <c r="F422" s="577"/>
      <c r="G422" s="575"/>
      <c r="H422" s="575"/>
      <c r="I422" s="558"/>
    </row>
    <row r="423" spans="1:10">
      <c r="A423" s="554"/>
      <c r="B423" s="554"/>
      <c r="C423" s="558"/>
      <c r="D423" s="574"/>
      <c r="E423" s="577"/>
      <c r="F423" s="577"/>
      <c r="G423" s="575"/>
      <c r="H423" s="575"/>
      <c r="I423" s="558"/>
    </row>
    <row r="424" spans="1:10">
      <c r="A424" s="554"/>
      <c r="B424" s="554"/>
      <c r="C424" s="558"/>
      <c r="D424" s="574"/>
      <c r="E424" s="577"/>
      <c r="F424" s="577"/>
      <c r="G424" s="575"/>
      <c r="H424" s="575"/>
      <c r="I424" s="558"/>
    </row>
    <row r="425" spans="1:10">
      <c r="A425" s="554"/>
      <c r="B425" s="554"/>
      <c r="C425" s="558"/>
      <c r="D425" s="574"/>
      <c r="E425" s="577"/>
      <c r="F425" s="577"/>
      <c r="G425" s="575"/>
      <c r="H425" s="575"/>
      <c r="I425" s="558"/>
    </row>
    <row r="426" spans="1:10">
      <c r="A426" s="554"/>
      <c r="B426" s="554"/>
      <c r="C426" s="558"/>
      <c r="D426" s="574"/>
      <c r="E426" s="577"/>
      <c r="F426" s="577"/>
      <c r="G426" s="575"/>
      <c r="H426" s="575"/>
      <c r="I426" s="558"/>
    </row>
    <row r="427" spans="1:10">
      <c r="A427" s="554"/>
      <c r="B427" s="554"/>
      <c r="C427" s="558"/>
      <c r="D427" s="574"/>
      <c r="E427" s="577"/>
      <c r="F427" s="577"/>
      <c r="G427" s="575"/>
      <c r="H427" s="575"/>
      <c r="I427" s="558"/>
    </row>
    <row r="428" spans="1:10">
      <c r="A428" s="554"/>
      <c r="B428" s="554"/>
      <c r="C428" s="558"/>
      <c r="D428" s="574"/>
      <c r="E428" s="577"/>
      <c r="F428" s="577"/>
      <c r="G428" s="575"/>
      <c r="H428" s="575"/>
      <c r="I428" s="558"/>
    </row>
    <row r="429" spans="1:10">
      <c r="A429" s="558"/>
      <c r="B429" s="558"/>
      <c r="C429" s="558"/>
      <c r="D429" s="574"/>
      <c r="E429" s="577"/>
      <c r="F429" s="577"/>
      <c r="G429" s="575"/>
      <c r="H429" s="575"/>
      <c r="I429" s="558"/>
    </row>
    <row r="430" spans="1:10">
      <c r="A430" s="554"/>
      <c r="B430" s="554"/>
      <c r="C430" s="558"/>
      <c r="D430" s="574"/>
      <c r="E430" s="577"/>
      <c r="F430" s="577"/>
      <c r="G430" s="575"/>
      <c r="H430" s="575"/>
      <c r="I430" s="558"/>
    </row>
    <row r="431" spans="1:10">
      <c r="A431" s="558"/>
      <c r="B431" s="558"/>
      <c r="C431" s="558"/>
      <c r="D431" s="574"/>
      <c r="E431" s="577"/>
      <c r="F431" s="577"/>
      <c r="G431" s="575"/>
      <c r="H431" s="575"/>
      <c r="I431" s="558"/>
    </row>
    <row r="432" spans="1:10">
      <c r="A432" s="554"/>
      <c r="B432" s="554"/>
      <c r="C432" s="558"/>
      <c r="D432" s="574"/>
      <c r="E432" s="575"/>
      <c r="F432" s="575"/>
      <c r="G432" s="575"/>
      <c r="H432" s="575"/>
      <c r="I432" s="558"/>
    </row>
    <row r="433" spans="1:9">
      <c r="A433" s="554"/>
      <c r="B433" s="554"/>
      <c r="C433" s="558"/>
      <c r="D433" s="574"/>
      <c r="E433" s="575"/>
      <c r="F433" s="575"/>
      <c r="G433" s="575"/>
      <c r="H433" s="575"/>
      <c r="I433" s="558"/>
    </row>
    <row r="434" spans="1:9">
      <c r="A434" s="554"/>
      <c r="B434" s="554"/>
      <c r="C434" s="558"/>
      <c r="D434" s="574"/>
      <c r="E434" s="575"/>
      <c r="F434" s="575"/>
      <c r="G434" s="575"/>
      <c r="H434" s="575"/>
      <c r="I434" s="558"/>
    </row>
    <row r="435" spans="1:9">
      <c r="A435" s="554"/>
      <c r="B435" s="554"/>
      <c r="C435" s="558"/>
      <c r="D435" s="574"/>
      <c r="E435" s="575"/>
      <c r="F435" s="575"/>
      <c r="G435" s="575"/>
      <c r="H435" s="575"/>
      <c r="I435" s="558"/>
    </row>
    <row r="436" spans="1:9">
      <c r="A436" s="554"/>
      <c r="B436" s="554"/>
      <c r="C436" s="558"/>
      <c r="D436" s="574"/>
      <c r="E436" s="575"/>
      <c r="F436" s="575"/>
      <c r="G436" s="575"/>
      <c r="H436" s="575"/>
      <c r="I436" s="558"/>
    </row>
    <row r="437" spans="1:9">
      <c r="A437" s="554"/>
      <c r="B437" s="554"/>
      <c r="C437" s="558"/>
      <c r="D437" s="574"/>
      <c r="E437" s="575"/>
      <c r="F437" s="575"/>
      <c r="G437" s="575"/>
      <c r="H437" s="575"/>
      <c r="I437" s="558"/>
    </row>
    <row r="438" spans="1:9">
      <c r="A438" s="554"/>
      <c r="B438" s="554"/>
      <c r="C438" s="558"/>
      <c r="D438" s="574"/>
      <c r="E438" s="575"/>
      <c r="F438" s="575"/>
      <c r="G438" s="575"/>
      <c r="H438" s="575"/>
      <c r="I438" s="558"/>
    </row>
    <row r="439" spans="1:9">
      <c r="A439" s="554"/>
      <c r="B439" s="554"/>
      <c r="C439" s="558"/>
      <c r="D439" s="574"/>
      <c r="E439" s="575"/>
      <c r="F439" s="575"/>
      <c r="G439" s="575"/>
      <c r="H439" s="575"/>
      <c r="I439" s="558"/>
    </row>
    <row r="440" spans="1:9">
      <c r="A440" s="554"/>
      <c r="B440" s="554"/>
      <c r="C440" s="558"/>
      <c r="D440" s="574"/>
      <c r="E440" s="575"/>
      <c r="F440" s="575"/>
      <c r="G440" s="575"/>
      <c r="H440" s="575"/>
      <c r="I440" s="558"/>
    </row>
    <row r="441" spans="1:9">
      <c r="A441" s="554"/>
      <c r="B441" s="554"/>
      <c r="C441" s="558"/>
      <c r="D441" s="574"/>
      <c r="E441" s="575"/>
      <c r="F441" s="575"/>
      <c r="G441" s="575"/>
      <c r="H441" s="575"/>
      <c r="I441" s="558"/>
    </row>
    <row r="442" spans="1:9">
      <c r="A442" s="554"/>
      <c r="B442" s="554"/>
      <c r="C442" s="558"/>
      <c r="D442" s="574"/>
      <c r="E442" s="575"/>
      <c r="F442" s="575"/>
      <c r="G442" s="575"/>
      <c r="H442" s="575"/>
      <c r="I442" s="558"/>
    </row>
    <row r="443" spans="1:9">
      <c r="A443" s="554"/>
      <c r="B443" s="554"/>
      <c r="C443" s="558"/>
      <c r="D443" s="574"/>
      <c r="E443" s="575"/>
      <c r="F443" s="575"/>
      <c r="G443" s="575"/>
      <c r="H443" s="575"/>
      <c r="I443" s="558"/>
    </row>
    <row r="444" spans="1:9">
      <c r="A444" s="554"/>
      <c r="B444" s="554"/>
      <c r="C444" s="558"/>
      <c r="D444" s="574"/>
      <c r="E444" s="575"/>
      <c r="F444" s="575"/>
      <c r="G444" s="575"/>
      <c r="H444" s="575"/>
      <c r="I444" s="558"/>
    </row>
    <row r="445" spans="1:9">
      <c r="A445" s="554"/>
      <c r="B445" s="554"/>
      <c r="C445" s="558"/>
      <c r="D445" s="574"/>
      <c r="E445" s="575"/>
      <c r="F445" s="575"/>
      <c r="G445" s="575"/>
      <c r="H445" s="575"/>
      <c r="I445" s="558"/>
    </row>
    <row r="446" spans="1:9">
      <c r="A446" s="554"/>
      <c r="B446" s="554"/>
      <c r="C446" s="558"/>
      <c r="D446" s="574"/>
      <c r="E446" s="575"/>
      <c r="F446" s="575"/>
      <c r="G446" s="575"/>
      <c r="H446" s="575"/>
      <c r="I446" s="558"/>
    </row>
    <row r="447" spans="1:9">
      <c r="A447" s="554"/>
      <c r="B447" s="554"/>
      <c r="C447" s="558"/>
      <c r="D447" s="574"/>
      <c r="E447" s="575"/>
      <c r="F447" s="575"/>
      <c r="G447" s="575"/>
      <c r="H447" s="575"/>
      <c r="I447" s="558"/>
    </row>
    <row r="448" spans="1:9">
      <c r="A448" s="554"/>
      <c r="B448" s="554"/>
      <c r="C448" s="558"/>
      <c r="D448" s="574"/>
      <c r="E448" s="575"/>
      <c r="F448" s="575"/>
      <c r="G448" s="575"/>
      <c r="H448" s="575"/>
      <c r="I448" s="558"/>
    </row>
    <row r="449" spans="1:9">
      <c r="A449" s="554"/>
      <c r="B449" s="554"/>
      <c r="C449" s="558"/>
      <c r="D449" s="574"/>
      <c r="E449" s="575"/>
      <c r="F449" s="575"/>
      <c r="G449" s="575"/>
      <c r="H449" s="575"/>
      <c r="I449" s="558"/>
    </row>
    <row r="450" spans="1:9">
      <c r="A450" s="554"/>
      <c r="B450" s="554"/>
      <c r="C450" s="558"/>
      <c r="D450" s="574"/>
      <c r="E450" s="575"/>
      <c r="F450" s="575"/>
      <c r="G450" s="575"/>
      <c r="H450" s="575"/>
      <c r="I450" s="558"/>
    </row>
    <row r="451" spans="1:9">
      <c r="A451" s="554"/>
      <c r="B451" s="554"/>
      <c r="C451" s="558"/>
      <c r="D451" s="574"/>
      <c r="E451" s="575"/>
      <c r="F451" s="575"/>
      <c r="G451" s="575"/>
      <c r="H451" s="575"/>
      <c r="I451" s="558"/>
    </row>
    <row r="452" spans="1:9">
      <c r="A452" s="554"/>
      <c r="B452" s="554"/>
      <c r="C452" s="558"/>
      <c r="D452" s="574"/>
      <c r="E452" s="575"/>
      <c r="F452" s="575"/>
      <c r="G452" s="575"/>
      <c r="H452" s="575"/>
      <c r="I452" s="558"/>
    </row>
    <row r="453" spans="1:9">
      <c r="A453" s="554"/>
      <c r="B453" s="554"/>
      <c r="C453" s="558"/>
      <c r="D453" s="574"/>
      <c r="E453" s="575"/>
      <c r="F453" s="575"/>
      <c r="G453" s="575"/>
      <c r="H453" s="575"/>
      <c r="I453" s="558"/>
    </row>
    <row r="454" spans="1:9">
      <c r="A454" s="554"/>
      <c r="B454" s="554"/>
      <c r="C454" s="558"/>
      <c r="D454" s="574"/>
      <c r="E454" s="575"/>
      <c r="F454" s="575"/>
      <c r="G454" s="575"/>
      <c r="H454" s="575"/>
      <c r="I454" s="558"/>
    </row>
    <row r="455" spans="1:9">
      <c r="A455" s="554"/>
      <c r="B455" s="554"/>
      <c r="C455" s="558"/>
      <c r="D455" s="574"/>
      <c r="E455" s="575"/>
      <c r="F455" s="575"/>
      <c r="G455" s="575"/>
      <c r="H455" s="575"/>
      <c r="I455" s="558"/>
    </row>
    <row r="456" spans="1:9">
      <c r="A456" s="554"/>
      <c r="B456" s="554"/>
      <c r="C456" s="558"/>
      <c r="D456" s="574"/>
      <c r="E456" s="575"/>
      <c r="F456" s="575"/>
      <c r="G456" s="575"/>
      <c r="H456" s="575"/>
      <c r="I456" s="558"/>
    </row>
    <row r="457" spans="1:9">
      <c r="A457" s="554"/>
      <c r="B457" s="554"/>
      <c r="C457" s="558"/>
      <c r="D457" s="574"/>
      <c r="E457" s="575"/>
      <c r="F457" s="575"/>
      <c r="G457" s="575"/>
      <c r="H457" s="575"/>
      <c r="I457" s="558"/>
    </row>
    <row r="458" spans="1:9">
      <c r="A458" s="554"/>
      <c r="B458" s="554"/>
      <c r="C458" s="558"/>
      <c r="D458" s="574"/>
      <c r="E458" s="575"/>
      <c r="F458" s="575"/>
      <c r="G458" s="575"/>
      <c r="H458" s="575"/>
      <c r="I458" s="558"/>
    </row>
    <row r="459" spans="1:9">
      <c r="A459" s="554"/>
      <c r="B459" s="554"/>
      <c r="C459" s="558"/>
      <c r="D459" s="574"/>
      <c r="E459" s="575"/>
      <c r="F459" s="575"/>
      <c r="G459" s="575"/>
      <c r="H459" s="575"/>
      <c r="I459" s="558"/>
    </row>
    <row r="460" spans="1:9">
      <c r="A460" s="554"/>
      <c r="B460" s="554"/>
      <c r="C460" s="558"/>
      <c r="D460" s="574"/>
      <c r="E460" s="575"/>
      <c r="F460" s="575"/>
      <c r="G460" s="575"/>
      <c r="H460" s="575"/>
      <c r="I460" s="558"/>
    </row>
    <row r="461" spans="1:9">
      <c r="A461" s="554"/>
      <c r="B461" s="554"/>
      <c r="C461" s="558"/>
      <c r="D461" s="574"/>
      <c r="E461" s="575"/>
      <c r="F461" s="575"/>
      <c r="G461" s="575"/>
      <c r="H461" s="575"/>
      <c r="I461" s="558"/>
    </row>
    <row r="462" spans="1:9">
      <c r="A462" s="554"/>
      <c r="B462" s="554"/>
      <c r="C462" s="558"/>
      <c r="D462" s="574"/>
      <c r="E462" s="575"/>
      <c r="F462" s="575"/>
      <c r="G462" s="575"/>
      <c r="H462" s="575"/>
      <c r="I462" s="558"/>
    </row>
    <row r="463" spans="1:9">
      <c r="A463" s="554"/>
      <c r="B463" s="554"/>
      <c r="C463" s="558"/>
      <c r="D463" s="574"/>
      <c r="E463" s="575"/>
      <c r="F463" s="575"/>
      <c r="G463" s="575"/>
      <c r="H463" s="575"/>
      <c r="I463" s="558"/>
    </row>
    <row r="464" spans="1:9">
      <c r="A464" s="554"/>
      <c r="B464" s="554"/>
      <c r="C464" s="558"/>
      <c r="D464" s="574"/>
      <c r="E464" s="575"/>
      <c r="F464" s="575"/>
      <c r="G464" s="575"/>
      <c r="H464" s="575"/>
      <c r="I464" s="558"/>
    </row>
    <row r="465" spans="1:9">
      <c r="A465" s="554"/>
      <c r="B465" s="554"/>
      <c r="C465" s="558"/>
      <c r="D465" s="574"/>
      <c r="E465" s="575"/>
      <c r="F465" s="575"/>
      <c r="G465" s="575"/>
      <c r="H465" s="575"/>
      <c r="I465" s="558"/>
    </row>
    <row r="466" spans="1:9">
      <c r="A466" s="554"/>
      <c r="B466" s="554"/>
      <c r="C466" s="558"/>
      <c r="D466" s="574"/>
      <c r="E466" s="575"/>
      <c r="F466" s="575"/>
      <c r="G466" s="575"/>
      <c r="H466" s="575"/>
      <c r="I466" s="558"/>
    </row>
    <row r="467" spans="1:9">
      <c r="A467" s="554"/>
      <c r="B467" s="554"/>
      <c r="C467" s="558"/>
      <c r="D467" s="574"/>
      <c r="E467" s="575"/>
      <c r="F467" s="575"/>
      <c r="G467" s="575"/>
      <c r="H467" s="575"/>
      <c r="I467" s="558"/>
    </row>
    <row r="468" spans="1:9">
      <c r="A468" s="554"/>
      <c r="B468" s="554"/>
      <c r="C468" s="558"/>
      <c r="D468" s="574"/>
      <c r="E468" s="575"/>
      <c r="F468" s="575"/>
      <c r="G468" s="575"/>
      <c r="H468" s="575"/>
      <c r="I468" s="558"/>
    </row>
    <row r="469" spans="1:9">
      <c r="A469" s="554"/>
      <c r="B469" s="554"/>
      <c r="C469" s="558"/>
      <c r="D469" s="574"/>
      <c r="E469" s="575"/>
      <c r="F469" s="575"/>
      <c r="G469" s="575"/>
      <c r="H469" s="575"/>
      <c r="I469" s="558"/>
    </row>
    <row r="470" spans="1:9">
      <c r="A470" s="554"/>
      <c r="B470" s="554"/>
      <c r="C470" s="558"/>
      <c r="D470" s="574"/>
      <c r="E470" s="575"/>
      <c r="F470" s="575"/>
      <c r="G470" s="575"/>
      <c r="H470" s="575"/>
      <c r="I470" s="558"/>
    </row>
    <row r="471" spans="1:9">
      <c r="A471" s="554"/>
      <c r="B471" s="554"/>
      <c r="C471" s="558"/>
      <c r="D471" s="574"/>
      <c r="E471" s="575"/>
      <c r="F471" s="575"/>
      <c r="G471" s="575"/>
      <c r="H471" s="575"/>
      <c r="I471" s="558"/>
    </row>
    <row r="472" spans="1:9">
      <c r="A472" s="554"/>
      <c r="B472" s="554"/>
      <c r="C472" s="558"/>
      <c r="D472" s="574"/>
      <c r="E472" s="575"/>
      <c r="F472" s="575"/>
      <c r="G472" s="575"/>
      <c r="H472" s="575"/>
      <c r="I472" s="558"/>
    </row>
    <row r="473" spans="1:9">
      <c r="A473" s="554"/>
      <c r="B473" s="554"/>
      <c r="C473" s="558"/>
      <c r="D473" s="574"/>
      <c r="E473" s="575"/>
      <c r="F473" s="575"/>
      <c r="G473" s="575"/>
      <c r="H473" s="575"/>
      <c r="I473" s="558"/>
    </row>
    <row r="474" spans="1:9">
      <c r="A474" s="554"/>
      <c r="B474" s="554"/>
      <c r="C474" s="558"/>
      <c r="D474" s="574"/>
      <c r="E474" s="575"/>
      <c r="F474" s="575"/>
      <c r="G474" s="575"/>
      <c r="H474" s="575"/>
      <c r="I474" s="558"/>
    </row>
    <row r="475" spans="1:9">
      <c r="A475" s="554"/>
      <c r="B475" s="554"/>
      <c r="C475" s="558"/>
      <c r="D475" s="574"/>
      <c r="E475" s="575"/>
      <c r="F475" s="575"/>
      <c r="G475" s="575"/>
      <c r="H475" s="575"/>
      <c r="I475" s="558"/>
    </row>
    <row r="476" spans="1:9">
      <c r="A476" s="554"/>
      <c r="B476" s="554"/>
      <c r="C476" s="558"/>
      <c r="D476" s="574"/>
      <c r="E476" s="575"/>
      <c r="F476" s="575"/>
      <c r="G476" s="575"/>
      <c r="H476" s="575"/>
      <c r="I476" s="558"/>
    </row>
    <row r="477" spans="1:9">
      <c r="A477" s="554"/>
      <c r="B477" s="554"/>
      <c r="C477" s="558"/>
      <c r="D477" s="574"/>
      <c r="E477" s="575"/>
      <c r="F477" s="575"/>
      <c r="G477" s="575"/>
      <c r="H477" s="575"/>
      <c r="I477" s="558"/>
    </row>
    <row r="478" spans="1:9">
      <c r="A478" s="554"/>
      <c r="B478" s="554"/>
      <c r="C478" s="558"/>
      <c r="D478" s="574"/>
      <c r="E478" s="575"/>
      <c r="F478" s="575"/>
      <c r="G478" s="575"/>
      <c r="H478" s="575"/>
      <c r="I478" s="558"/>
    </row>
    <row r="479" spans="1:9">
      <c r="A479" s="554"/>
      <c r="B479" s="554"/>
      <c r="C479" s="558"/>
      <c r="D479" s="574"/>
      <c r="E479" s="575"/>
      <c r="F479" s="575"/>
      <c r="G479" s="575"/>
      <c r="H479" s="575"/>
      <c r="I479" s="558"/>
    </row>
    <row r="480" spans="1:9">
      <c r="A480" s="554"/>
      <c r="B480" s="554"/>
      <c r="C480" s="558"/>
      <c r="D480" s="574"/>
      <c r="E480" s="575"/>
      <c r="F480" s="575"/>
      <c r="G480" s="575"/>
      <c r="H480" s="575"/>
      <c r="I480" s="558"/>
    </row>
    <row r="481" spans="1:9">
      <c r="A481" s="554"/>
      <c r="B481" s="554"/>
      <c r="C481" s="558"/>
      <c r="D481" s="574"/>
      <c r="E481" s="575"/>
      <c r="F481" s="575"/>
      <c r="G481" s="575"/>
      <c r="H481" s="575"/>
      <c r="I481" s="558"/>
    </row>
    <row r="482" spans="1:9">
      <c r="A482" s="554"/>
      <c r="B482" s="554"/>
      <c r="C482" s="558"/>
      <c r="D482" s="574"/>
      <c r="E482" s="575"/>
      <c r="F482" s="575"/>
      <c r="G482" s="575"/>
      <c r="H482" s="575"/>
      <c r="I482" s="558"/>
    </row>
    <row r="483" spans="1:9">
      <c r="A483" s="554"/>
      <c r="B483" s="554"/>
      <c r="C483" s="558"/>
      <c r="D483" s="574"/>
      <c r="E483" s="575"/>
      <c r="F483" s="575"/>
      <c r="G483" s="575"/>
      <c r="H483" s="575"/>
      <c r="I483" s="558"/>
    </row>
    <row r="484" spans="1:9">
      <c r="A484" s="554"/>
      <c r="B484" s="554"/>
      <c r="C484" s="558"/>
      <c r="D484" s="574"/>
      <c r="E484" s="575"/>
      <c r="F484" s="575"/>
      <c r="G484" s="575"/>
      <c r="H484" s="575"/>
      <c r="I484" s="558"/>
    </row>
    <row r="485" spans="1:9">
      <c r="A485" s="554"/>
      <c r="B485" s="554"/>
      <c r="C485" s="558"/>
      <c r="D485" s="574"/>
      <c r="E485" s="575"/>
      <c r="F485" s="575"/>
      <c r="G485" s="575"/>
      <c r="H485" s="575"/>
      <c r="I485" s="558"/>
    </row>
    <row r="486" spans="1:9">
      <c r="A486" s="554"/>
      <c r="B486" s="554"/>
      <c r="C486" s="558"/>
      <c r="D486" s="574"/>
      <c r="E486" s="575"/>
      <c r="F486" s="575"/>
      <c r="G486" s="575"/>
      <c r="H486" s="575"/>
      <c r="I486" s="558"/>
    </row>
    <row r="487" spans="1:9">
      <c r="A487" s="554"/>
      <c r="B487" s="554"/>
      <c r="C487" s="558"/>
      <c r="D487" s="574"/>
      <c r="E487" s="575"/>
      <c r="F487" s="575"/>
      <c r="G487" s="575"/>
      <c r="H487" s="575"/>
      <c r="I487" s="558"/>
    </row>
    <row r="488" spans="1:9">
      <c r="A488" s="554"/>
      <c r="B488" s="554"/>
      <c r="C488" s="558"/>
      <c r="D488" s="574"/>
      <c r="E488" s="575"/>
      <c r="F488" s="575"/>
      <c r="G488" s="575"/>
      <c r="H488" s="575"/>
      <c r="I488" s="558"/>
    </row>
    <row r="489" spans="1:9">
      <c r="A489" s="554"/>
      <c r="B489" s="554"/>
      <c r="C489" s="558"/>
      <c r="D489" s="574"/>
      <c r="E489" s="575"/>
      <c r="F489" s="575"/>
      <c r="G489" s="575"/>
      <c r="H489" s="575"/>
      <c r="I489" s="558"/>
    </row>
    <row r="490" spans="1:9">
      <c r="A490" s="554"/>
      <c r="B490" s="554"/>
      <c r="C490" s="558"/>
      <c r="D490" s="574"/>
      <c r="E490" s="575"/>
      <c r="F490" s="575"/>
      <c r="G490" s="575"/>
      <c r="H490" s="575"/>
      <c r="I490" s="558"/>
    </row>
    <row r="491" spans="1:9">
      <c r="A491" s="554"/>
      <c r="B491" s="554"/>
      <c r="C491" s="558"/>
      <c r="D491" s="574"/>
      <c r="E491" s="575"/>
      <c r="F491" s="575"/>
      <c r="G491" s="575"/>
      <c r="H491" s="575"/>
      <c r="I491" s="558"/>
    </row>
    <row r="492" spans="1:9">
      <c r="A492" s="554"/>
      <c r="B492" s="554"/>
      <c r="C492" s="558"/>
      <c r="D492" s="574"/>
      <c r="E492" s="575"/>
      <c r="F492" s="575"/>
      <c r="G492" s="575"/>
      <c r="H492" s="575"/>
      <c r="I492" s="558"/>
    </row>
    <row r="493" spans="1:9">
      <c r="A493" s="554"/>
      <c r="B493" s="554"/>
      <c r="C493" s="558"/>
      <c r="D493" s="574"/>
      <c r="E493" s="575"/>
      <c r="F493" s="575"/>
      <c r="G493" s="575"/>
      <c r="H493" s="575"/>
      <c r="I493" s="558"/>
    </row>
    <row r="494" spans="1:9">
      <c r="A494" s="554"/>
      <c r="B494" s="554"/>
      <c r="C494" s="558"/>
      <c r="D494" s="574"/>
      <c r="E494" s="575"/>
      <c r="F494" s="575"/>
      <c r="G494" s="575"/>
      <c r="H494" s="575"/>
      <c r="I494" s="558"/>
    </row>
    <row r="495" spans="1:9">
      <c r="A495" s="554"/>
      <c r="B495" s="554"/>
      <c r="C495" s="558"/>
      <c r="D495" s="574"/>
      <c r="E495" s="575"/>
      <c r="F495" s="575"/>
      <c r="G495" s="575"/>
      <c r="H495" s="575"/>
      <c r="I495" s="558"/>
    </row>
    <row r="496" spans="1:9">
      <c r="A496" s="554"/>
      <c r="B496" s="554"/>
      <c r="C496" s="558"/>
      <c r="D496" s="574"/>
      <c r="E496" s="575"/>
      <c r="F496" s="575"/>
      <c r="G496" s="575"/>
      <c r="H496" s="575"/>
      <c r="I496" s="558"/>
    </row>
    <row r="497" spans="1:9">
      <c r="A497" s="554"/>
      <c r="B497" s="554"/>
      <c r="C497" s="558"/>
      <c r="D497" s="574"/>
      <c r="E497" s="575"/>
      <c r="F497" s="575"/>
      <c r="G497" s="575"/>
      <c r="H497" s="575"/>
      <c r="I497" s="558"/>
    </row>
    <row r="498" spans="1:9">
      <c r="A498" s="554"/>
      <c r="B498" s="554"/>
      <c r="C498" s="558"/>
      <c r="D498" s="574"/>
      <c r="E498" s="575"/>
      <c r="F498" s="575"/>
      <c r="G498" s="575"/>
      <c r="H498" s="575"/>
      <c r="I498" s="558"/>
    </row>
    <row r="499" spans="1:9">
      <c r="A499" s="554"/>
      <c r="B499" s="554"/>
      <c r="C499" s="558"/>
      <c r="D499" s="574"/>
      <c r="E499" s="575"/>
      <c r="F499" s="575"/>
      <c r="G499" s="575"/>
      <c r="H499" s="575"/>
      <c r="I499" s="558"/>
    </row>
    <row r="500" spans="1:9">
      <c r="A500" s="554"/>
      <c r="B500" s="554"/>
      <c r="C500" s="558"/>
      <c r="D500" s="574"/>
      <c r="E500" s="575"/>
      <c r="F500" s="575"/>
      <c r="G500" s="575"/>
      <c r="H500" s="575"/>
      <c r="I500" s="558"/>
    </row>
    <row r="501" spans="1:9">
      <c r="A501" s="554"/>
      <c r="B501" s="554"/>
      <c r="C501" s="558"/>
      <c r="D501" s="574"/>
      <c r="E501" s="575"/>
      <c r="F501" s="575"/>
      <c r="G501" s="575"/>
      <c r="H501" s="575"/>
      <c r="I501" s="558"/>
    </row>
    <row r="502" spans="1:9">
      <c r="A502" s="554"/>
      <c r="B502" s="554"/>
      <c r="C502" s="558"/>
      <c r="D502" s="574"/>
      <c r="E502" s="575"/>
      <c r="F502" s="575"/>
      <c r="G502" s="575"/>
      <c r="H502" s="575"/>
      <c r="I502" s="558"/>
    </row>
    <row r="503" spans="1:9">
      <c r="A503" s="554"/>
      <c r="B503" s="554"/>
      <c r="C503" s="558"/>
      <c r="D503" s="574"/>
      <c r="E503" s="575"/>
      <c r="F503" s="575"/>
      <c r="G503" s="575"/>
      <c r="H503" s="575"/>
      <c r="I503" s="558"/>
    </row>
    <row r="504" spans="1:9">
      <c r="A504" s="554"/>
      <c r="B504" s="554"/>
      <c r="C504" s="558"/>
      <c r="D504" s="574"/>
      <c r="E504" s="575"/>
      <c r="F504" s="575"/>
      <c r="G504" s="575"/>
      <c r="H504" s="575"/>
      <c r="I504" s="558"/>
    </row>
    <row r="505" spans="1:9">
      <c r="A505" s="554"/>
      <c r="B505" s="554"/>
      <c r="C505" s="558"/>
      <c r="D505" s="574"/>
      <c r="E505" s="575"/>
      <c r="F505" s="575"/>
      <c r="G505" s="575"/>
      <c r="H505" s="575"/>
      <c r="I505" s="558"/>
    </row>
    <row r="506" spans="1:9">
      <c r="A506" s="554"/>
      <c r="B506" s="554"/>
      <c r="C506" s="558"/>
      <c r="D506" s="574"/>
      <c r="E506" s="575"/>
      <c r="F506" s="575"/>
      <c r="G506" s="575"/>
      <c r="H506" s="575"/>
      <c r="I506" s="558"/>
    </row>
    <row r="507" spans="1:9">
      <c r="A507" s="554"/>
      <c r="B507" s="554"/>
      <c r="C507" s="558"/>
      <c r="D507" s="574"/>
      <c r="E507" s="575"/>
      <c r="F507" s="575"/>
      <c r="G507" s="575"/>
      <c r="H507" s="575"/>
      <c r="I507" s="558"/>
    </row>
    <row r="508" spans="1:9">
      <c r="A508" s="554"/>
      <c r="B508" s="554"/>
      <c r="C508" s="558"/>
      <c r="D508" s="574"/>
      <c r="E508" s="575"/>
      <c r="F508" s="575"/>
      <c r="G508" s="575"/>
      <c r="H508" s="575"/>
      <c r="I508" s="558"/>
    </row>
    <row r="509" spans="1:9">
      <c r="A509" s="554"/>
      <c r="B509" s="554"/>
      <c r="C509" s="558"/>
      <c r="D509" s="574"/>
      <c r="E509" s="575"/>
      <c r="F509" s="575"/>
      <c r="G509" s="575"/>
      <c r="H509" s="575"/>
      <c r="I509" s="558"/>
    </row>
    <row r="510" spans="1:9">
      <c r="A510" s="554"/>
      <c r="B510" s="554"/>
      <c r="C510" s="558"/>
      <c r="D510" s="574"/>
      <c r="E510" s="575"/>
      <c r="F510" s="575"/>
      <c r="G510" s="575"/>
      <c r="H510" s="575"/>
      <c r="I510" s="558"/>
    </row>
    <row r="511" spans="1:9">
      <c r="A511" s="554"/>
      <c r="B511" s="554"/>
      <c r="C511" s="558"/>
      <c r="D511" s="574"/>
      <c r="E511" s="575"/>
      <c r="F511" s="575"/>
      <c r="G511" s="575"/>
      <c r="H511" s="575"/>
      <c r="I511" s="558"/>
    </row>
    <row r="512" spans="1:9">
      <c r="A512" s="554"/>
      <c r="B512" s="554"/>
      <c r="C512" s="558"/>
      <c r="D512" s="574"/>
      <c r="E512" s="575"/>
      <c r="F512" s="575"/>
      <c r="G512" s="575"/>
      <c r="H512" s="575"/>
      <c r="I512" s="558"/>
    </row>
    <row r="513" spans="1:9">
      <c r="A513" s="554"/>
      <c r="B513" s="554"/>
      <c r="C513" s="558"/>
      <c r="D513" s="574"/>
      <c r="E513" s="575"/>
      <c r="F513" s="575"/>
      <c r="G513" s="575"/>
      <c r="H513" s="575"/>
      <c r="I513" s="558"/>
    </row>
    <row r="514" spans="1:9">
      <c r="A514" s="554"/>
      <c r="B514" s="554"/>
      <c r="C514" s="558"/>
      <c r="D514" s="574"/>
      <c r="E514" s="575"/>
      <c r="F514" s="575"/>
      <c r="G514" s="575"/>
      <c r="H514" s="575"/>
      <c r="I514" s="558"/>
    </row>
    <row r="515" spans="1:9">
      <c r="A515" s="554"/>
      <c r="B515" s="554"/>
      <c r="C515" s="558"/>
      <c r="D515" s="574"/>
      <c r="E515" s="575"/>
      <c r="F515" s="575"/>
      <c r="G515" s="575"/>
      <c r="H515" s="575"/>
      <c r="I515" s="558"/>
    </row>
    <row r="516" spans="1:9">
      <c r="A516" s="554"/>
      <c r="B516" s="554"/>
      <c r="C516" s="558"/>
      <c r="D516" s="574"/>
      <c r="E516" s="575"/>
      <c r="F516" s="575"/>
      <c r="G516" s="575"/>
      <c r="H516" s="575"/>
      <c r="I516" s="558"/>
    </row>
    <row r="517" spans="1:9">
      <c r="A517" s="554"/>
      <c r="B517" s="554"/>
      <c r="C517" s="558"/>
      <c r="D517" s="574"/>
      <c r="E517" s="575"/>
      <c r="F517" s="575"/>
      <c r="G517" s="575"/>
      <c r="H517" s="575"/>
      <c r="I517" s="558"/>
    </row>
    <row r="518" spans="1:9">
      <c r="A518" s="554"/>
      <c r="B518" s="554"/>
      <c r="C518" s="558"/>
      <c r="D518" s="574"/>
      <c r="E518" s="575"/>
      <c r="F518" s="575"/>
      <c r="G518" s="575"/>
      <c r="H518" s="575"/>
      <c r="I518" s="558"/>
    </row>
    <row r="519" spans="1:9">
      <c r="A519" s="554"/>
      <c r="B519" s="554"/>
      <c r="C519" s="558"/>
      <c r="D519" s="574"/>
      <c r="E519" s="575"/>
      <c r="F519" s="575"/>
      <c r="G519" s="575"/>
      <c r="H519" s="575"/>
      <c r="I519" s="558"/>
    </row>
    <row r="520" spans="1:9">
      <c r="A520" s="554"/>
      <c r="B520" s="554"/>
      <c r="C520" s="558"/>
      <c r="D520" s="574"/>
      <c r="E520" s="575"/>
      <c r="F520" s="575"/>
      <c r="G520" s="575"/>
      <c r="H520" s="575"/>
      <c r="I520" s="558"/>
    </row>
    <row r="521" spans="1:9">
      <c r="A521" s="554"/>
      <c r="B521" s="554"/>
      <c r="C521" s="558"/>
      <c r="D521" s="574"/>
      <c r="E521" s="575"/>
      <c r="F521" s="575"/>
      <c r="G521" s="575"/>
      <c r="H521" s="575"/>
      <c r="I521" s="558"/>
    </row>
    <row r="522" spans="1:9">
      <c r="A522" s="554"/>
      <c r="B522" s="554"/>
      <c r="C522" s="558"/>
      <c r="D522" s="574"/>
      <c r="E522" s="575"/>
      <c r="F522" s="575"/>
      <c r="G522" s="575"/>
      <c r="H522" s="575"/>
      <c r="I522" s="558"/>
    </row>
    <row r="523" spans="1:9">
      <c r="A523" s="554"/>
      <c r="B523" s="554"/>
      <c r="C523" s="558"/>
      <c r="D523" s="574"/>
      <c r="E523" s="575"/>
      <c r="F523" s="575"/>
      <c r="G523" s="575"/>
      <c r="H523" s="575"/>
      <c r="I523" s="558"/>
    </row>
    <row r="524" spans="1:9">
      <c r="A524" s="554"/>
      <c r="B524" s="554"/>
      <c r="C524" s="558"/>
      <c r="D524" s="574"/>
      <c r="E524" s="575"/>
      <c r="F524" s="575"/>
      <c r="G524" s="575"/>
      <c r="H524" s="575"/>
      <c r="I524" s="558"/>
    </row>
    <row r="525" spans="1:9">
      <c r="A525" s="554"/>
      <c r="B525" s="554"/>
      <c r="C525" s="558"/>
      <c r="D525" s="574"/>
      <c r="E525" s="575"/>
      <c r="F525" s="575"/>
      <c r="G525" s="575"/>
      <c r="H525" s="575"/>
      <c r="I525" s="558"/>
    </row>
    <row r="526" spans="1:9">
      <c r="A526" s="554"/>
      <c r="B526" s="554"/>
      <c r="C526" s="558"/>
      <c r="D526" s="574"/>
      <c r="E526" s="575"/>
      <c r="F526" s="575"/>
      <c r="G526" s="575"/>
      <c r="H526" s="575"/>
      <c r="I526" s="558"/>
    </row>
    <row r="527" spans="1:9">
      <c r="A527" s="554"/>
      <c r="B527" s="554"/>
      <c r="C527" s="558"/>
      <c r="D527" s="574"/>
      <c r="E527" s="575"/>
      <c r="F527" s="575"/>
      <c r="G527" s="575"/>
      <c r="H527" s="575"/>
      <c r="I527" s="558"/>
    </row>
    <row r="528" spans="1:9">
      <c r="A528" s="554"/>
      <c r="B528" s="554"/>
      <c r="C528" s="558"/>
      <c r="D528" s="574"/>
      <c r="E528" s="575"/>
      <c r="F528" s="575"/>
      <c r="G528" s="575"/>
      <c r="H528" s="575"/>
      <c r="I528" s="558"/>
    </row>
    <row r="529" spans="1:9">
      <c r="A529" s="554"/>
      <c r="B529" s="554"/>
      <c r="C529" s="558"/>
      <c r="D529" s="574"/>
      <c r="E529" s="575"/>
      <c r="F529" s="575"/>
      <c r="G529" s="575"/>
      <c r="H529" s="575"/>
      <c r="I529" s="558"/>
    </row>
    <row r="530" spans="1:9">
      <c r="A530" s="554"/>
      <c r="B530" s="554"/>
      <c r="C530" s="558"/>
      <c r="D530" s="574"/>
      <c r="E530" s="575"/>
      <c r="F530" s="575"/>
      <c r="G530" s="575"/>
      <c r="H530" s="575"/>
      <c r="I530" s="558"/>
    </row>
    <row r="531" spans="1:9">
      <c r="A531" s="554"/>
      <c r="B531" s="554"/>
      <c r="C531" s="558"/>
      <c r="D531" s="574"/>
      <c r="E531" s="575"/>
      <c r="F531" s="575"/>
      <c r="G531" s="575"/>
      <c r="H531" s="575"/>
      <c r="I531" s="558"/>
    </row>
    <row r="532" spans="1:9">
      <c r="A532" s="554"/>
      <c r="B532" s="554"/>
      <c r="C532" s="558"/>
      <c r="D532" s="574"/>
      <c r="E532" s="575"/>
      <c r="F532" s="575"/>
      <c r="G532" s="575"/>
      <c r="H532" s="575"/>
      <c r="I532" s="558"/>
    </row>
    <row r="533" spans="1:9">
      <c r="A533" s="554"/>
      <c r="B533" s="554"/>
      <c r="C533" s="558"/>
      <c r="D533" s="574"/>
      <c r="E533" s="575"/>
      <c r="F533" s="575"/>
      <c r="G533" s="575"/>
      <c r="H533" s="575"/>
      <c r="I533" s="558"/>
    </row>
    <row r="534" spans="1:9">
      <c r="A534" s="554"/>
      <c r="B534" s="554"/>
      <c r="C534" s="558"/>
      <c r="D534" s="574"/>
      <c r="E534" s="575"/>
      <c r="F534" s="575"/>
      <c r="G534" s="575"/>
      <c r="H534" s="575"/>
      <c r="I534" s="558"/>
    </row>
    <row r="535" spans="1:9">
      <c r="A535" s="554"/>
      <c r="B535" s="554"/>
      <c r="C535" s="558"/>
      <c r="D535" s="574"/>
      <c r="E535" s="575"/>
      <c r="F535" s="575"/>
      <c r="G535" s="575"/>
      <c r="H535" s="575"/>
      <c r="I535" s="558"/>
    </row>
    <row r="536" spans="1:9">
      <c r="A536" s="554"/>
      <c r="B536" s="554"/>
      <c r="C536" s="558"/>
      <c r="D536" s="574"/>
      <c r="E536" s="575"/>
      <c r="F536" s="575"/>
      <c r="G536" s="575"/>
      <c r="H536" s="575"/>
      <c r="I536" s="558"/>
    </row>
    <row r="537" spans="1:9">
      <c r="A537" s="554"/>
      <c r="B537" s="554"/>
      <c r="C537" s="558"/>
      <c r="D537" s="574"/>
      <c r="E537" s="575"/>
      <c r="F537" s="575"/>
      <c r="G537" s="575"/>
      <c r="H537" s="575"/>
      <c r="I537" s="558"/>
    </row>
    <row r="538" spans="1:9">
      <c r="A538" s="554"/>
      <c r="B538" s="554"/>
      <c r="C538" s="558"/>
      <c r="D538" s="574"/>
      <c r="E538" s="575"/>
      <c r="F538" s="575"/>
      <c r="G538" s="575"/>
      <c r="H538" s="575"/>
      <c r="I538" s="558"/>
    </row>
    <row r="539" spans="1:9">
      <c r="A539" s="554"/>
      <c r="B539" s="554"/>
      <c r="C539" s="558"/>
      <c r="D539" s="574"/>
      <c r="E539" s="575"/>
      <c r="F539" s="575"/>
      <c r="G539" s="575"/>
      <c r="H539" s="575"/>
      <c r="I539" s="558"/>
    </row>
    <row r="540" spans="1:9">
      <c r="A540" s="554"/>
      <c r="B540" s="554"/>
      <c r="C540" s="558"/>
      <c r="D540" s="574"/>
      <c r="E540" s="575"/>
      <c r="F540" s="575"/>
      <c r="G540" s="575"/>
      <c r="H540" s="575"/>
      <c r="I540" s="558"/>
    </row>
    <row r="541" spans="1:9">
      <c r="A541" s="554"/>
      <c r="B541" s="554"/>
      <c r="C541" s="558"/>
      <c r="D541" s="574"/>
      <c r="E541" s="575"/>
      <c r="F541" s="575"/>
      <c r="G541" s="575"/>
      <c r="H541" s="575"/>
      <c r="I541" s="558"/>
    </row>
    <row r="542" spans="1:9">
      <c r="A542" s="554"/>
      <c r="B542" s="554"/>
      <c r="C542" s="558"/>
      <c r="D542" s="574"/>
      <c r="E542" s="575"/>
      <c r="F542" s="575"/>
      <c r="G542" s="575"/>
      <c r="H542" s="575"/>
      <c r="I542" s="558"/>
    </row>
    <row r="543" spans="1:9">
      <c r="A543" s="554"/>
      <c r="B543" s="554"/>
      <c r="C543" s="558"/>
      <c r="D543" s="574"/>
      <c r="E543" s="575"/>
      <c r="F543" s="575"/>
      <c r="G543" s="575"/>
      <c r="H543" s="575"/>
      <c r="I543" s="558"/>
    </row>
    <row r="544" spans="1:9">
      <c r="A544" s="554"/>
      <c r="B544" s="554"/>
      <c r="C544" s="558"/>
      <c r="D544" s="574"/>
      <c r="E544" s="575"/>
      <c r="F544" s="575"/>
      <c r="G544" s="575"/>
      <c r="H544" s="575"/>
      <c r="I544" s="558"/>
    </row>
    <row r="545" spans="1:9">
      <c r="A545" s="554"/>
      <c r="B545" s="554"/>
      <c r="C545" s="558"/>
      <c r="D545" s="574"/>
      <c r="E545" s="575"/>
      <c r="F545" s="575"/>
      <c r="G545" s="575"/>
      <c r="H545" s="575"/>
      <c r="I545" s="558"/>
    </row>
    <row r="546" spans="1:9">
      <c r="A546" s="554"/>
      <c r="B546" s="554"/>
      <c r="C546" s="558"/>
      <c r="D546" s="574"/>
      <c r="E546" s="575"/>
      <c r="F546" s="575"/>
      <c r="G546" s="575"/>
      <c r="H546" s="575"/>
      <c r="I546" s="558"/>
    </row>
    <row r="547" spans="1:9">
      <c r="A547" s="554"/>
      <c r="B547" s="554"/>
      <c r="C547" s="558"/>
      <c r="D547" s="574"/>
      <c r="E547" s="575"/>
      <c r="F547" s="575"/>
      <c r="G547" s="575"/>
      <c r="H547" s="575"/>
      <c r="I547" s="558"/>
    </row>
    <row r="548" spans="1:9">
      <c r="A548" s="554"/>
      <c r="B548" s="554"/>
      <c r="C548" s="558"/>
      <c r="D548" s="574"/>
      <c r="E548" s="575"/>
      <c r="F548" s="575"/>
      <c r="G548" s="575"/>
      <c r="H548" s="575"/>
      <c r="I548" s="558"/>
    </row>
    <row r="549" spans="1:9">
      <c r="A549" s="554"/>
      <c r="B549" s="554"/>
      <c r="C549" s="558"/>
      <c r="D549" s="574"/>
      <c r="E549" s="575"/>
      <c r="F549" s="575"/>
      <c r="G549" s="575"/>
      <c r="H549" s="575"/>
      <c r="I549" s="558"/>
    </row>
    <row r="550" spans="1:9">
      <c r="A550" s="554"/>
      <c r="B550" s="554"/>
      <c r="C550" s="558"/>
      <c r="D550" s="574"/>
      <c r="E550" s="575"/>
      <c r="F550" s="575"/>
      <c r="G550" s="575"/>
      <c r="H550" s="575"/>
      <c r="I550" s="558"/>
    </row>
    <row r="551" spans="1:9">
      <c r="A551" s="554"/>
      <c r="B551" s="554"/>
      <c r="C551" s="558"/>
      <c r="D551" s="574"/>
      <c r="E551" s="575"/>
      <c r="F551" s="575"/>
      <c r="G551" s="575"/>
      <c r="H551" s="575"/>
      <c r="I551" s="558"/>
    </row>
    <row r="552" spans="1:9">
      <c r="A552" s="554"/>
      <c r="B552" s="554"/>
      <c r="C552" s="558"/>
      <c r="D552" s="574"/>
      <c r="E552" s="575"/>
      <c r="F552" s="575"/>
      <c r="G552" s="575"/>
      <c r="H552" s="575"/>
      <c r="I552" s="558"/>
    </row>
    <row r="553" spans="1:9">
      <c r="A553" s="554"/>
      <c r="B553" s="554"/>
      <c r="C553" s="558"/>
      <c r="D553" s="574"/>
      <c r="E553" s="575"/>
      <c r="F553" s="575"/>
      <c r="G553" s="575"/>
      <c r="H553" s="575"/>
      <c r="I553" s="558"/>
    </row>
    <row r="554" spans="1:9">
      <c r="A554" s="554"/>
      <c r="B554" s="554"/>
      <c r="C554" s="558"/>
      <c r="D554" s="574"/>
      <c r="E554" s="575"/>
      <c r="F554" s="575"/>
      <c r="G554" s="575"/>
      <c r="H554" s="575"/>
      <c r="I554" s="558"/>
    </row>
    <row r="555" spans="1:9">
      <c r="A555" s="554"/>
      <c r="B555" s="554"/>
      <c r="C555" s="558"/>
      <c r="D555" s="574"/>
      <c r="E555" s="575"/>
      <c r="F555" s="575"/>
      <c r="G555" s="575"/>
      <c r="H555" s="575"/>
      <c r="I555" s="558"/>
    </row>
    <row r="556" spans="1:9">
      <c r="A556" s="554"/>
      <c r="B556" s="554"/>
      <c r="C556" s="558"/>
      <c r="D556" s="574"/>
      <c r="E556" s="575"/>
      <c r="F556" s="575"/>
      <c r="G556" s="575"/>
      <c r="H556" s="575"/>
      <c r="I556" s="558"/>
    </row>
    <row r="557" spans="1:9">
      <c r="A557" s="554"/>
      <c r="B557" s="554"/>
      <c r="C557" s="558"/>
      <c r="D557" s="574"/>
      <c r="E557" s="575"/>
      <c r="F557" s="575"/>
      <c r="G557" s="575"/>
      <c r="H557" s="575"/>
      <c r="I557" s="558"/>
    </row>
    <row r="558" spans="1:9">
      <c r="A558" s="554"/>
      <c r="B558" s="554"/>
      <c r="C558" s="558"/>
      <c r="D558" s="574"/>
      <c r="E558" s="575"/>
      <c r="F558" s="575"/>
      <c r="G558" s="575"/>
      <c r="H558" s="575"/>
      <c r="I558" s="558"/>
    </row>
    <row r="559" spans="1:9">
      <c r="A559" s="554"/>
      <c r="B559" s="554"/>
      <c r="C559" s="558"/>
      <c r="D559" s="574"/>
      <c r="E559" s="575"/>
      <c r="F559" s="575"/>
      <c r="G559" s="575"/>
      <c r="H559" s="575"/>
      <c r="I559" s="558"/>
    </row>
    <row r="560" spans="1:9">
      <c r="A560" s="554"/>
      <c r="B560" s="554"/>
      <c r="C560" s="558"/>
      <c r="D560" s="574"/>
      <c r="E560" s="575"/>
      <c r="F560" s="575"/>
      <c r="G560" s="575"/>
      <c r="H560" s="575"/>
      <c r="I560" s="558"/>
    </row>
    <row r="561" spans="1:9">
      <c r="A561" s="554"/>
      <c r="B561" s="554"/>
      <c r="C561" s="558"/>
      <c r="D561" s="574"/>
      <c r="E561" s="575"/>
      <c r="F561" s="575"/>
      <c r="G561" s="575"/>
      <c r="H561" s="575"/>
      <c r="I561" s="558"/>
    </row>
    <row r="562" spans="1:9">
      <c r="A562" s="554"/>
      <c r="B562" s="554"/>
      <c r="C562" s="558"/>
      <c r="D562" s="574"/>
      <c r="E562" s="575"/>
      <c r="F562" s="575"/>
      <c r="G562" s="575"/>
      <c r="H562" s="575"/>
      <c r="I562" s="558"/>
    </row>
    <row r="563" spans="1:9">
      <c r="A563" s="554"/>
      <c r="B563" s="554"/>
      <c r="C563" s="558"/>
      <c r="D563" s="574"/>
      <c r="E563" s="575"/>
      <c r="F563" s="575"/>
      <c r="G563" s="575"/>
      <c r="H563" s="575"/>
      <c r="I563" s="558"/>
    </row>
    <row r="564" spans="1:9">
      <c r="A564" s="554"/>
      <c r="B564" s="554"/>
      <c r="C564" s="558"/>
      <c r="D564" s="574"/>
      <c r="E564" s="575"/>
      <c r="F564" s="575"/>
      <c r="G564" s="575"/>
      <c r="H564" s="575"/>
      <c r="I564" s="558"/>
    </row>
    <row r="565" spans="1:9">
      <c r="A565" s="554"/>
      <c r="B565" s="554"/>
      <c r="C565" s="558"/>
      <c r="D565" s="574"/>
      <c r="E565" s="575"/>
      <c r="F565" s="575"/>
      <c r="G565" s="575"/>
      <c r="H565" s="575"/>
      <c r="I565" s="558"/>
    </row>
    <row r="566" spans="1:9">
      <c r="A566" s="554"/>
      <c r="B566" s="554"/>
      <c r="C566" s="558"/>
      <c r="D566" s="574"/>
      <c r="E566" s="575"/>
      <c r="F566" s="575"/>
      <c r="G566" s="575"/>
      <c r="H566" s="575"/>
      <c r="I566" s="558"/>
    </row>
    <row r="567" spans="1:9">
      <c r="A567" s="554"/>
      <c r="B567" s="554"/>
      <c r="C567" s="558"/>
      <c r="D567" s="574"/>
      <c r="E567" s="575"/>
      <c r="F567" s="575"/>
      <c r="G567" s="575"/>
      <c r="H567" s="575"/>
      <c r="I567" s="558"/>
    </row>
    <row r="568" spans="1:9">
      <c r="A568" s="554"/>
      <c r="B568" s="554"/>
      <c r="C568" s="558"/>
      <c r="D568" s="574"/>
      <c r="E568" s="575"/>
      <c r="F568" s="575"/>
      <c r="G568" s="575"/>
      <c r="H568" s="575"/>
      <c r="I568" s="558"/>
    </row>
    <row r="569" spans="1:9">
      <c r="A569" s="554"/>
      <c r="B569" s="554"/>
      <c r="C569" s="558"/>
      <c r="D569" s="574"/>
      <c r="E569" s="575"/>
      <c r="F569" s="575"/>
      <c r="G569" s="575"/>
      <c r="H569" s="575"/>
      <c r="I569" s="558"/>
    </row>
    <row r="570" spans="1:9">
      <c r="A570" s="554"/>
      <c r="B570" s="554"/>
      <c r="C570" s="558"/>
      <c r="D570" s="574"/>
      <c r="E570" s="575"/>
      <c r="F570" s="575"/>
      <c r="G570" s="575"/>
      <c r="H570" s="575"/>
      <c r="I570" s="558"/>
    </row>
    <row r="571" spans="1:9">
      <c r="A571" s="554"/>
      <c r="B571" s="554"/>
      <c r="C571" s="558"/>
      <c r="D571" s="574"/>
      <c r="E571" s="575"/>
      <c r="F571" s="575"/>
      <c r="G571" s="575"/>
      <c r="H571" s="575"/>
      <c r="I571" s="558"/>
    </row>
    <row r="572" spans="1:9">
      <c r="A572" s="554"/>
      <c r="B572" s="554"/>
      <c r="C572" s="558"/>
      <c r="D572" s="574"/>
      <c r="E572" s="575"/>
      <c r="F572" s="575"/>
      <c r="G572" s="575"/>
      <c r="H572" s="575"/>
      <c r="I572" s="558"/>
    </row>
    <row r="573" spans="1:9">
      <c r="A573" s="554"/>
      <c r="B573" s="554"/>
      <c r="C573" s="558"/>
      <c r="D573" s="574"/>
      <c r="E573" s="575"/>
      <c r="F573" s="575"/>
      <c r="G573" s="575"/>
      <c r="H573" s="575"/>
      <c r="I573" s="558"/>
    </row>
    <row r="574" spans="1:9">
      <c r="A574" s="554"/>
      <c r="B574" s="554"/>
      <c r="C574" s="558"/>
      <c r="D574" s="574"/>
      <c r="E574" s="575"/>
      <c r="F574" s="575"/>
      <c r="G574" s="575"/>
      <c r="H574" s="575"/>
      <c r="I574" s="558"/>
    </row>
    <row r="575" spans="1:9">
      <c r="A575" s="554"/>
      <c r="B575" s="554"/>
      <c r="C575" s="558"/>
      <c r="D575" s="574"/>
      <c r="E575" s="575"/>
      <c r="F575" s="575"/>
      <c r="G575" s="575"/>
      <c r="H575" s="575"/>
      <c r="I575" s="558"/>
    </row>
    <row r="576" spans="1:9">
      <c r="A576" s="554"/>
      <c r="B576" s="554"/>
      <c r="C576" s="558"/>
      <c r="D576" s="574"/>
      <c r="E576" s="575"/>
      <c r="F576" s="575"/>
      <c r="G576" s="575"/>
      <c r="H576" s="575"/>
      <c r="I576" s="558"/>
    </row>
    <row r="577" spans="1:9">
      <c r="A577" s="554"/>
      <c r="B577" s="554"/>
      <c r="C577" s="558"/>
      <c r="D577" s="574"/>
      <c r="E577" s="575"/>
      <c r="F577" s="575"/>
      <c r="G577" s="575"/>
      <c r="H577" s="575"/>
      <c r="I577" s="558"/>
    </row>
    <row r="578" spans="1:9">
      <c r="A578" s="554"/>
      <c r="B578" s="554"/>
      <c r="C578" s="558"/>
      <c r="D578" s="574"/>
      <c r="E578" s="575"/>
      <c r="F578" s="575"/>
      <c r="G578" s="575"/>
      <c r="H578" s="575"/>
      <c r="I578" s="558"/>
    </row>
    <row r="579" spans="1:9">
      <c r="A579" s="554"/>
      <c r="B579" s="554"/>
      <c r="C579" s="558"/>
      <c r="D579" s="574"/>
      <c r="E579" s="575"/>
      <c r="F579" s="575"/>
      <c r="G579" s="575"/>
      <c r="H579" s="575"/>
      <c r="I579" s="558"/>
    </row>
    <row r="580" spans="1:9">
      <c r="A580" s="554"/>
      <c r="B580" s="554"/>
      <c r="C580" s="558"/>
      <c r="D580" s="574"/>
      <c r="E580" s="575"/>
      <c r="F580" s="575"/>
      <c r="G580" s="575"/>
      <c r="H580" s="575"/>
      <c r="I580" s="558"/>
    </row>
    <row r="581" spans="1:9">
      <c r="A581" s="554"/>
      <c r="B581" s="554"/>
      <c r="C581" s="558"/>
      <c r="D581" s="574"/>
      <c r="E581" s="575"/>
      <c r="F581" s="575"/>
      <c r="G581" s="575"/>
      <c r="H581" s="575"/>
      <c r="I581" s="558"/>
    </row>
    <row r="582" spans="1:9">
      <c r="A582" s="554"/>
      <c r="B582" s="554"/>
      <c r="C582" s="558"/>
      <c r="D582" s="574"/>
      <c r="E582" s="575"/>
      <c r="F582" s="575"/>
      <c r="G582" s="575"/>
      <c r="H582" s="575"/>
      <c r="I582" s="558"/>
    </row>
    <row r="583" spans="1:9">
      <c r="A583" s="554"/>
      <c r="B583" s="554"/>
      <c r="C583" s="558"/>
      <c r="D583" s="574"/>
      <c r="E583" s="575"/>
      <c r="F583" s="575"/>
      <c r="G583" s="575"/>
      <c r="H583" s="575"/>
      <c r="I583" s="558"/>
    </row>
    <row r="584" spans="1:9">
      <c r="A584" s="554"/>
      <c r="B584" s="554"/>
      <c r="C584" s="558"/>
      <c r="D584" s="574"/>
      <c r="E584" s="575"/>
      <c r="F584" s="575"/>
      <c r="G584" s="575"/>
      <c r="H584" s="575"/>
      <c r="I584" s="558"/>
    </row>
    <row r="585" spans="1:9">
      <c r="A585" s="554"/>
      <c r="B585" s="554"/>
      <c r="C585" s="558"/>
      <c r="D585" s="574"/>
      <c r="E585" s="575"/>
      <c r="F585" s="575"/>
      <c r="G585" s="575"/>
      <c r="H585" s="575"/>
      <c r="I585" s="558"/>
    </row>
    <row r="586" spans="1:9">
      <c r="A586" s="554"/>
      <c r="B586" s="554"/>
      <c r="C586" s="558"/>
      <c r="D586" s="574"/>
      <c r="E586" s="575"/>
      <c r="F586" s="575"/>
      <c r="G586" s="575"/>
      <c r="H586" s="575"/>
      <c r="I586" s="558"/>
    </row>
    <row r="587" spans="1:9">
      <c r="A587" s="554"/>
      <c r="B587" s="554"/>
      <c r="C587" s="558"/>
      <c r="D587" s="574"/>
      <c r="E587" s="575"/>
      <c r="F587" s="575"/>
      <c r="G587" s="575"/>
      <c r="H587" s="575"/>
      <c r="I587" s="558"/>
    </row>
    <row r="588" spans="1:9">
      <c r="A588" s="554"/>
      <c r="B588" s="554"/>
      <c r="C588" s="558"/>
      <c r="D588" s="574"/>
      <c r="E588" s="575"/>
      <c r="F588" s="575"/>
      <c r="G588" s="575"/>
      <c r="H588" s="575"/>
      <c r="I588" s="558"/>
    </row>
    <row r="589" spans="1:9">
      <c r="A589" s="554"/>
      <c r="B589" s="554"/>
      <c r="C589" s="558"/>
      <c r="D589" s="574"/>
      <c r="E589" s="575"/>
      <c r="F589" s="575"/>
      <c r="G589" s="575"/>
      <c r="H589" s="575"/>
      <c r="I589" s="558"/>
    </row>
    <row r="590" spans="1:9">
      <c r="A590" s="554"/>
      <c r="B590" s="554"/>
      <c r="C590" s="558"/>
      <c r="D590" s="574"/>
      <c r="E590" s="575"/>
      <c r="F590" s="575"/>
      <c r="G590" s="575"/>
      <c r="H590" s="575"/>
      <c r="I590" s="558"/>
    </row>
    <row r="591" spans="1:9">
      <c r="A591" s="554"/>
      <c r="B591" s="554"/>
      <c r="C591" s="558"/>
      <c r="D591" s="574"/>
      <c r="E591" s="575"/>
      <c r="F591" s="575"/>
      <c r="G591" s="575"/>
      <c r="H591" s="575"/>
      <c r="I591" s="558"/>
    </row>
    <row r="592" spans="1:9">
      <c r="A592" s="554"/>
      <c r="B592" s="554"/>
      <c r="C592" s="558"/>
      <c r="D592" s="574"/>
      <c r="E592" s="575"/>
      <c r="F592" s="575"/>
      <c r="G592" s="575"/>
      <c r="H592" s="575"/>
      <c r="I592" s="558"/>
    </row>
    <row r="593" spans="1:9">
      <c r="A593" s="554"/>
      <c r="B593" s="554"/>
      <c r="C593" s="558"/>
      <c r="D593" s="574"/>
      <c r="E593" s="575"/>
      <c r="F593" s="575"/>
      <c r="G593" s="575"/>
      <c r="H593" s="575"/>
      <c r="I593" s="558"/>
    </row>
    <row r="594" spans="1:9">
      <c r="A594" s="554"/>
      <c r="B594" s="554"/>
      <c r="C594" s="558"/>
      <c r="D594" s="574"/>
      <c r="E594" s="575"/>
      <c r="F594" s="575"/>
      <c r="G594" s="575"/>
      <c r="H594" s="575"/>
      <c r="I594" s="558"/>
    </row>
    <row r="595" spans="1:9">
      <c r="A595" s="554"/>
      <c r="B595" s="554"/>
      <c r="C595" s="558"/>
      <c r="D595" s="574"/>
      <c r="E595" s="575"/>
      <c r="F595" s="575"/>
      <c r="G595" s="575"/>
      <c r="H595" s="575"/>
      <c r="I595" s="558"/>
    </row>
    <row r="596" spans="1:9">
      <c r="A596" s="554"/>
      <c r="B596" s="554"/>
      <c r="C596" s="558"/>
      <c r="D596" s="574"/>
      <c r="E596" s="575"/>
      <c r="F596" s="575"/>
      <c r="G596" s="575"/>
      <c r="H596" s="575"/>
      <c r="I596" s="558"/>
    </row>
    <row r="597" spans="1:9">
      <c r="A597" s="554"/>
      <c r="B597" s="554"/>
      <c r="C597" s="558"/>
      <c r="D597" s="574"/>
      <c r="E597" s="575"/>
      <c r="F597" s="575"/>
      <c r="G597" s="575"/>
      <c r="H597" s="575"/>
      <c r="I597" s="558"/>
    </row>
    <row r="598" spans="1:9">
      <c r="A598" s="554"/>
      <c r="B598" s="554"/>
      <c r="C598" s="558"/>
      <c r="D598" s="574"/>
      <c r="E598" s="575"/>
      <c r="F598" s="575"/>
      <c r="G598" s="575"/>
      <c r="H598" s="575"/>
      <c r="I598" s="558"/>
    </row>
    <row r="599" spans="1:9">
      <c r="A599" s="554"/>
      <c r="B599" s="554"/>
      <c r="C599" s="558"/>
      <c r="D599" s="574"/>
      <c r="E599" s="575"/>
      <c r="F599" s="575"/>
      <c r="G599" s="575"/>
      <c r="H599" s="575"/>
      <c r="I599" s="558"/>
    </row>
    <row r="600" spans="1:9">
      <c r="A600" s="554"/>
      <c r="B600" s="554"/>
      <c r="C600" s="558"/>
      <c r="D600" s="574"/>
      <c r="E600" s="575"/>
      <c r="F600" s="575"/>
      <c r="G600" s="575"/>
      <c r="H600" s="575"/>
      <c r="I600" s="558"/>
    </row>
    <row r="601" spans="1:9">
      <c r="A601" s="554"/>
      <c r="B601" s="554"/>
      <c r="C601" s="558"/>
      <c r="D601" s="574"/>
      <c r="E601" s="575"/>
      <c r="F601" s="575"/>
      <c r="G601" s="575"/>
      <c r="H601" s="575"/>
      <c r="I601" s="558"/>
    </row>
    <row r="602" spans="1:9">
      <c r="A602" s="554"/>
      <c r="B602" s="554"/>
      <c r="C602" s="558"/>
      <c r="D602" s="574"/>
      <c r="E602" s="575"/>
      <c r="F602" s="575"/>
      <c r="G602" s="575"/>
      <c r="H602" s="575"/>
      <c r="I602" s="558"/>
    </row>
    <row r="603" spans="1:9">
      <c r="A603" s="554"/>
      <c r="B603" s="554"/>
      <c r="C603" s="558"/>
      <c r="D603" s="574"/>
      <c r="E603" s="575"/>
      <c r="F603" s="575"/>
      <c r="G603" s="575"/>
      <c r="H603" s="575"/>
      <c r="I603" s="558"/>
    </row>
    <row r="604" spans="1:9">
      <c r="A604" s="554"/>
      <c r="B604" s="554"/>
      <c r="C604" s="558"/>
      <c r="D604" s="574"/>
      <c r="E604" s="575"/>
      <c r="F604" s="575"/>
      <c r="G604" s="575"/>
      <c r="H604" s="575"/>
      <c r="I604" s="558"/>
    </row>
    <row r="605" spans="1:9">
      <c r="A605" s="554"/>
      <c r="B605" s="554"/>
      <c r="C605" s="558"/>
      <c r="D605" s="574"/>
      <c r="E605" s="575"/>
      <c r="F605" s="575"/>
      <c r="G605" s="575"/>
      <c r="H605" s="575"/>
      <c r="I605" s="558"/>
    </row>
    <row r="606" spans="1:9">
      <c r="A606" s="554"/>
      <c r="B606" s="554"/>
      <c r="C606" s="558"/>
      <c r="D606" s="574"/>
      <c r="E606" s="575"/>
      <c r="F606" s="575"/>
      <c r="G606" s="575"/>
      <c r="H606" s="575"/>
      <c r="I606" s="558"/>
    </row>
    <row r="607" spans="1:9">
      <c r="A607" s="554"/>
      <c r="B607" s="554"/>
      <c r="C607" s="558"/>
      <c r="D607" s="574"/>
      <c r="E607" s="575"/>
      <c r="F607" s="575"/>
      <c r="G607" s="575"/>
      <c r="H607" s="575"/>
      <c r="I607" s="558"/>
    </row>
    <row r="608" spans="1:9">
      <c r="A608" s="554"/>
      <c r="B608" s="554"/>
      <c r="C608" s="558"/>
      <c r="D608" s="574"/>
      <c r="E608" s="575"/>
      <c r="F608" s="575"/>
      <c r="G608" s="575"/>
      <c r="H608" s="575"/>
      <c r="I608" s="558"/>
    </row>
    <row r="609" spans="1:9">
      <c r="A609" s="554"/>
      <c r="B609" s="554"/>
      <c r="C609" s="558"/>
      <c r="D609" s="574"/>
      <c r="E609" s="575"/>
      <c r="F609" s="575"/>
      <c r="G609" s="575"/>
      <c r="H609" s="575"/>
      <c r="I609" s="558"/>
    </row>
    <row r="610" spans="1:9">
      <c r="A610" s="554"/>
      <c r="B610" s="554"/>
      <c r="C610" s="558"/>
      <c r="D610" s="574"/>
      <c r="E610" s="575"/>
      <c r="F610" s="575"/>
      <c r="G610" s="575"/>
      <c r="H610" s="575"/>
      <c r="I610" s="558"/>
    </row>
    <row r="611" spans="1:9">
      <c r="A611" s="554"/>
      <c r="B611" s="554"/>
      <c r="C611" s="558"/>
      <c r="D611" s="574"/>
      <c r="E611" s="575"/>
      <c r="F611" s="575"/>
      <c r="G611" s="575"/>
      <c r="H611" s="575"/>
      <c r="I611" s="558"/>
    </row>
    <row r="612" spans="1:9">
      <c r="A612" s="554"/>
      <c r="B612" s="554"/>
      <c r="C612" s="558"/>
      <c r="D612" s="574"/>
      <c r="E612" s="575"/>
      <c r="F612" s="575"/>
      <c r="G612" s="575"/>
      <c r="H612" s="575"/>
      <c r="I612" s="558"/>
    </row>
    <row r="613" spans="1:9">
      <c r="A613" s="554"/>
      <c r="B613" s="554"/>
      <c r="C613" s="558"/>
      <c r="D613" s="574"/>
      <c r="E613" s="575"/>
      <c r="F613" s="575"/>
      <c r="G613" s="575"/>
      <c r="H613" s="575"/>
      <c r="I613" s="558"/>
    </row>
    <row r="614" spans="1:9">
      <c r="A614" s="554"/>
      <c r="B614" s="554"/>
      <c r="C614" s="558"/>
      <c r="D614" s="574"/>
      <c r="E614" s="575"/>
      <c r="F614" s="575"/>
      <c r="G614" s="575"/>
      <c r="H614" s="575"/>
      <c r="I614" s="558"/>
    </row>
    <row r="615" spans="1:9">
      <c r="A615" s="554"/>
      <c r="B615" s="554"/>
      <c r="C615" s="558"/>
      <c r="D615" s="574"/>
      <c r="E615" s="575"/>
      <c r="F615" s="575"/>
      <c r="G615" s="575"/>
      <c r="H615" s="575"/>
      <c r="I615" s="558"/>
    </row>
    <row r="616" spans="1:9">
      <c r="A616" s="554"/>
      <c r="B616" s="554"/>
      <c r="C616" s="558"/>
      <c r="D616" s="574"/>
      <c r="E616" s="575"/>
      <c r="F616" s="575"/>
      <c r="G616" s="575"/>
      <c r="H616" s="575"/>
      <c r="I616" s="558"/>
    </row>
    <row r="617" spans="1:9">
      <c r="A617" s="554"/>
      <c r="B617" s="554"/>
      <c r="C617" s="558"/>
      <c r="D617" s="574"/>
      <c r="E617" s="575"/>
      <c r="F617" s="575"/>
      <c r="G617" s="575"/>
      <c r="H617" s="575"/>
      <c r="I617" s="558"/>
    </row>
    <row r="618" spans="1:9">
      <c r="A618" s="554"/>
      <c r="B618" s="554"/>
      <c r="C618" s="558"/>
      <c r="D618" s="574"/>
      <c r="E618" s="575"/>
      <c r="F618" s="575"/>
      <c r="G618" s="575"/>
      <c r="H618" s="575"/>
      <c r="I618" s="558"/>
    </row>
    <row r="619" spans="1:9">
      <c r="A619" s="554"/>
      <c r="B619" s="554"/>
      <c r="C619" s="558"/>
      <c r="D619" s="574"/>
      <c r="E619" s="575"/>
      <c r="F619" s="575"/>
      <c r="G619" s="575"/>
      <c r="H619" s="575"/>
      <c r="I619" s="558"/>
    </row>
    <row r="620" spans="1:9">
      <c r="A620" s="554"/>
      <c r="B620" s="554"/>
      <c r="C620" s="558"/>
      <c r="D620" s="574"/>
      <c r="E620" s="575"/>
      <c r="F620" s="575"/>
      <c r="G620" s="575"/>
      <c r="H620" s="575"/>
      <c r="I620" s="558"/>
    </row>
    <row r="621" spans="1:9">
      <c r="A621" s="554"/>
      <c r="B621" s="554"/>
      <c r="C621" s="558"/>
      <c r="D621" s="574"/>
      <c r="E621" s="575"/>
      <c r="F621" s="575"/>
      <c r="G621" s="575"/>
      <c r="H621" s="575"/>
      <c r="I621" s="558"/>
    </row>
    <row r="622" spans="1:9">
      <c r="A622" s="554"/>
      <c r="B622" s="554"/>
      <c r="C622" s="558"/>
      <c r="D622" s="574"/>
      <c r="E622" s="575"/>
      <c r="F622" s="575"/>
      <c r="G622" s="575"/>
      <c r="H622" s="575"/>
      <c r="I622" s="558"/>
    </row>
    <row r="623" spans="1:9">
      <c r="A623" s="554"/>
      <c r="B623" s="554"/>
      <c r="C623" s="558"/>
      <c r="D623" s="574"/>
      <c r="E623" s="575"/>
      <c r="F623" s="575"/>
      <c r="G623" s="575"/>
      <c r="H623" s="575"/>
      <c r="I623" s="558"/>
    </row>
    <row r="624" spans="1:9">
      <c r="A624" s="554"/>
      <c r="B624" s="554"/>
      <c r="C624" s="558"/>
      <c r="D624" s="574"/>
      <c r="E624" s="575"/>
      <c r="F624" s="575"/>
      <c r="G624" s="575"/>
      <c r="H624" s="575"/>
      <c r="I624" s="558"/>
    </row>
    <row r="625" spans="1:9">
      <c r="A625" s="554"/>
      <c r="B625" s="554"/>
      <c r="C625" s="558"/>
      <c r="D625" s="574"/>
      <c r="E625" s="575"/>
      <c r="F625" s="575"/>
      <c r="G625" s="575"/>
      <c r="H625" s="575"/>
      <c r="I625" s="558"/>
    </row>
    <row r="626" spans="1:9">
      <c r="A626" s="554"/>
      <c r="B626" s="554"/>
      <c r="C626" s="558"/>
      <c r="D626" s="574"/>
      <c r="E626" s="575"/>
      <c r="F626" s="575"/>
      <c r="G626" s="575"/>
      <c r="H626" s="575"/>
      <c r="I626" s="558"/>
    </row>
    <row r="627" spans="1:9">
      <c r="A627" s="554"/>
      <c r="B627" s="554"/>
      <c r="C627" s="558"/>
      <c r="D627" s="574"/>
      <c r="E627" s="575"/>
      <c r="F627" s="575"/>
      <c r="G627" s="575"/>
      <c r="H627" s="575"/>
      <c r="I627" s="558"/>
    </row>
    <row r="628" spans="1:9">
      <c r="A628" s="554"/>
      <c r="B628" s="554"/>
      <c r="C628" s="558"/>
      <c r="D628" s="574"/>
      <c r="E628" s="575"/>
      <c r="F628" s="575"/>
      <c r="G628" s="575"/>
      <c r="H628" s="575"/>
      <c r="I628" s="558"/>
    </row>
    <row r="629" spans="1:9">
      <c r="A629" s="554"/>
      <c r="B629" s="554"/>
      <c r="C629" s="558"/>
      <c r="D629" s="574"/>
      <c r="E629" s="575"/>
      <c r="F629" s="575"/>
      <c r="G629" s="575"/>
      <c r="H629" s="575"/>
      <c r="I629" s="558"/>
    </row>
    <row r="630" spans="1:9">
      <c r="A630" s="554"/>
      <c r="B630" s="554"/>
      <c r="C630" s="558"/>
      <c r="D630" s="574"/>
      <c r="E630" s="575"/>
      <c r="F630" s="575"/>
      <c r="G630" s="575"/>
      <c r="H630" s="575"/>
      <c r="I630" s="558"/>
    </row>
    <row r="631" spans="1:9">
      <c r="A631" s="554"/>
      <c r="B631" s="554"/>
      <c r="C631" s="558"/>
      <c r="D631" s="574"/>
      <c r="E631" s="575"/>
      <c r="F631" s="575"/>
      <c r="G631" s="575"/>
      <c r="H631" s="575"/>
      <c r="I631" s="558"/>
    </row>
    <row r="632" spans="1:9">
      <c r="A632" s="554"/>
      <c r="B632" s="554"/>
      <c r="C632" s="558"/>
      <c r="D632" s="574"/>
      <c r="E632" s="575"/>
      <c r="F632" s="575"/>
      <c r="G632" s="575"/>
      <c r="H632" s="575"/>
      <c r="I632" s="558"/>
    </row>
    <row r="633" spans="1:9">
      <c r="A633" s="554"/>
      <c r="B633" s="554"/>
      <c r="C633" s="558"/>
      <c r="D633" s="574"/>
      <c r="E633" s="575"/>
      <c r="F633" s="575"/>
      <c r="G633" s="575"/>
      <c r="H633" s="575"/>
      <c r="I633" s="558"/>
    </row>
    <row r="634" spans="1:9">
      <c r="A634" s="554"/>
      <c r="B634" s="554"/>
      <c r="C634" s="558"/>
      <c r="D634" s="574"/>
      <c r="E634" s="575"/>
      <c r="F634" s="575"/>
      <c r="G634" s="575"/>
      <c r="H634" s="575"/>
      <c r="I634" s="558"/>
    </row>
    <row r="635" spans="1:9">
      <c r="A635" s="554"/>
      <c r="B635" s="554"/>
      <c r="C635" s="558"/>
      <c r="D635" s="574"/>
      <c r="E635" s="575"/>
      <c r="F635" s="575"/>
      <c r="G635" s="575"/>
      <c r="H635" s="575"/>
      <c r="I635" s="558"/>
    </row>
    <row r="636" spans="1:9">
      <c r="A636" s="554"/>
      <c r="B636" s="554"/>
      <c r="C636" s="558"/>
      <c r="D636" s="574"/>
      <c r="E636" s="575"/>
      <c r="F636" s="575"/>
      <c r="G636" s="575"/>
      <c r="H636" s="575"/>
      <c r="I636" s="558"/>
    </row>
    <row r="637" spans="1:9">
      <c r="A637" s="554"/>
      <c r="B637" s="554"/>
      <c r="C637" s="558"/>
      <c r="D637" s="574"/>
      <c r="E637" s="575"/>
      <c r="F637" s="575"/>
      <c r="G637" s="575"/>
      <c r="H637" s="575"/>
      <c r="I637" s="558"/>
    </row>
    <row r="638" spans="1:9">
      <c r="A638" s="554"/>
      <c r="B638" s="554"/>
      <c r="C638" s="558"/>
      <c r="D638" s="574"/>
      <c r="E638" s="575"/>
      <c r="F638" s="575"/>
      <c r="G638" s="575"/>
      <c r="H638" s="575"/>
      <c r="I638" s="558"/>
    </row>
    <row r="639" spans="1:9">
      <c r="A639" s="554"/>
      <c r="B639" s="554"/>
      <c r="C639" s="558"/>
      <c r="D639" s="574"/>
      <c r="E639" s="575"/>
      <c r="F639" s="575"/>
      <c r="G639" s="575"/>
      <c r="H639" s="575"/>
      <c r="I639" s="558"/>
    </row>
    <row r="640" spans="1:9">
      <c r="A640" s="554"/>
      <c r="B640" s="554"/>
      <c r="C640" s="558"/>
      <c r="D640" s="574"/>
      <c r="E640" s="575"/>
      <c r="F640" s="575"/>
      <c r="G640" s="575"/>
      <c r="H640" s="575"/>
      <c r="I640" s="558"/>
    </row>
    <row r="641" spans="1:9">
      <c r="A641" s="554"/>
      <c r="B641" s="554"/>
      <c r="C641" s="558"/>
      <c r="D641" s="574"/>
      <c r="E641" s="575"/>
      <c r="F641" s="575"/>
      <c r="G641" s="575"/>
      <c r="H641" s="575"/>
      <c r="I641" s="558"/>
    </row>
    <row r="642" spans="1:9">
      <c r="A642" s="554"/>
      <c r="B642" s="554"/>
      <c r="C642" s="558"/>
      <c r="D642" s="574"/>
      <c r="E642" s="575"/>
      <c r="F642" s="575"/>
      <c r="G642" s="575"/>
      <c r="H642" s="575"/>
      <c r="I642" s="558"/>
    </row>
    <row r="643" spans="1:9">
      <c r="A643" s="554"/>
      <c r="B643" s="554"/>
      <c r="C643" s="558"/>
      <c r="D643" s="574"/>
      <c r="E643" s="575"/>
      <c r="F643" s="575"/>
      <c r="G643" s="575"/>
      <c r="H643" s="575"/>
      <c r="I643" s="558"/>
    </row>
    <row r="644" spans="1:9">
      <c r="A644" s="554"/>
      <c r="B644" s="554"/>
      <c r="C644" s="558"/>
      <c r="D644" s="574"/>
      <c r="E644" s="575"/>
      <c r="F644" s="575"/>
      <c r="G644" s="575"/>
      <c r="H644" s="575"/>
      <c r="I644" s="558"/>
    </row>
    <row r="645" spans="1:9">
      <c r="A645" s="554"/>
      <c r="B645" s="554"/>
      <c r="C645" s="558"/>
      <c r="D645" s="574"/>
      <c r="E645" s="575"/>
      <c r="F645" s="575"/>
      <c r="G645" s="575"/>
      <c r="H645" s="575"/>
      <c r="I645" s="558"/>
    </row>
    <row r="646" spans="1:9">
      <c r="A646" s="554"/>
      <c r="B646" s="554"/>
      <c r="C646" s="558"/>
      <c r="D646" s="574"/>
      <c r="E646" s="575"/>
      <c r="F646" s="575"/>
      <c r="G646" s="575"/>
      <c r="H646" s="575"/>
      <c r="I646" s="558"/>
    </row>
    <row r="647" spans="1:9">
      <c r="A647" s="554"/>
      <c r="B647" s="554"/>
      <c r="C647" s="558"/>
      <c r="D647" s="574"/>
      <c r="E647" s="575"/>
      <c r="F647" s="575"/>
      <c r="G647" s="575"/>
      <c r="H647" s="575"/>
      <c r="I647" s="558"/>
    </row>
    <row r="648" spans="1:9">
      <c r="A648" s="554"/>
      <c r="B648" s="554"/>
      <c r="C648" s="558"/>
      <c r="D648" s="574"/>
      <c r="E648" s="575"/>
      <c r="F648" s="575"/>
      <c r="G648" s="575"/>
      <c r="H648" s="575"/>
      <c r="I648" s="558"/>
    </row>
    <row r="649" spans="1:9">
      <c r="A649" s="554"/>
      <c r="B649" s="554"/>
      <c r="C649" s="558"/>
      <c r="D649" s="574"/>
      <c r="E649" s="575"/>
      <c r="F649" s="575"/>
      <c r="G649" s="575"/>
      <c r="H649" s="575"/>
      <c r="I649" s="558"/>
    </row>
    <row r="650" spans="1:9">
      <c r="A650" s="554"/>
      <c r="B650" s="554"/>
      <c r="C650" s="558"/>
      <c r="D650" s="574"/>
      <c r="E650" s="575"/>
      <c r="F650" s="575"/>
      <c r="G650" s="575"/>
      <c r="H650" s="575"/>
      <c r="I650" s="558"/>
    </row>
    <row r="651" spans="1:9">
      <c r="A651" s="554"/>
      <c r="B651" s="554"/>
      <c r="C651" s="558"/>
      <c r="D651" s="574"/>
      <c r="E651" s="575"/>
      <c r="F651" s="575"/>
      <c r="G651" s="575"/>
      <c r="H651" s="575"/>
      <c r="I651" s="558"/>
    </row>
    <row r="652" spans="1:9">
      <c r="A652" s="554"/>
      <c r="B652" s="554"/>
      <c r="C652" s="558"/>
      <c r="D652" s="574"/>
      <c r="E652" s="575"/>
      <c r="F652" s="575"/>
      <c r="G652" s="575"/>
      <c r="H652" s="575"/>
      <c r="I652" s="558"/>
    </row>
    <row r="653" spans="1:9">
      <c r="A653" s="554"/>
      <c r="B653" s="554"/>
      <c r="C653" s="558"/>
      <c r="D653" s="574"/>
      <c r="E653" s="575"/>
      <c r="F653" s="575"/>
      <c r="G653" s="575"/>
      <c r="H653" s="575"/>
      <c r="I653" s="558"/>
    </row>
    <row r="654" spans="1:9">
      <c r="A654" s="554"/>
      <c r="B654" s="554"/>
      <c r="C654" s="558"/>
      <c r="D654" s="574"/>
      <c r="E654" s="575"/>
      <c r="F654" s="575"/>
      <c r="G654" s="575"/>
      <c r="H654" s="575"/>
      <c r="I654" s="558"/>
    </row>
    <row r="655" spans="1:9">
      <c r="A655" s="554"/>
      <c r="B655" s="554"/>
      <c r="C655" s="558"/>
      <c r="D655" s="574"/>
      <c r="E655" s="575"/>
      <c r="F655" s="575"/>
      <c r="G655" s="575"/>
      <c r="H655" s="575"/>
      <c r="I655" s="558"/>
    </row>
    <row r="656" spans="1:9">
      <c r="A656" s="554"/>
      <c r="B656" s="554"/>
      <c r="C656" s="558"/>
      <c r="D656" s="574"/>
      <c r="E656" s="575"/>
      <c r="F656" s="575"/>
      <c r="G656" s="575"/>
      <c r="H656" s="575"/>
      <c r="I656" s="558"/>
    </row>
    <row r="657" spans="1:9">
      <c r="A657" s="554"/>
      <c r="B657" s="554"/>
      <c r="C657" s="558"/>
      <c r="D657" s="574"/>
      <c r="E657" s="575"/>
      <c r="F657" s="575"/>
      <c r="G657" s="575"/>
      <c r="H657" s="575"/>
      <c r="I657" s="558"/>
    </row>
    <row r="658" spans="1:9">
      <c r="A658" s="554"/>
      <c r="B658" s="554"/>
      <c r="C658" s="558"/>
      <c r="D658" s="574"/>
      <c r="E658" s="575"/>
      <c r="F658" s="575"/>
      <c r="G658" s="575"/>
      <c r="H658" s="575"/>
      <c r="I658" s="558"/>
    </row>
    <row r="659" spans="1:9">
      <c r="A659" s="554"/>
      <c r="B659" s="554"/>
      <c r="C659" s="558"/>
      <c r="D659" s="574"/>
      <c r="E659" s="575"/>
      <c r="F659" s="575"/>
      <c r="G659" s="575"/>
      <c r="H659" s="575"/>
      <c r="I659" s="558"/>
    </row>
    <row r="660" spans="1:9">
      <c r="A660" s="554"/>
      <c r="B660" s="554"/>
      <c r="C660" s="558"/>
      <c r="D660" s="574"/>
      <c r="E660" s="575"/>
      <c r="F660" s="575"/>
      <c r="G660" s="575"/>
      <c r="H660" s="575"/>
      <c r="I660" s="558"/>
    </row>
    <row r="661" spans="1:9">
      <c r="A661" s="554"/>
      <c r="B661" s="554"/>
      <c r="C661" s="558"/>
      <c r="D661" s="574"/>
      <c r="E661" s="575"/>
      <c r="F661" s="575"/>
      <c r="G661" s="575"/>
      <c r="H661" s="575"/>
      <c r="I661" s="558"/>
    </row>
    <row r="662" spans="1:9">
      <c r="A662" s="554"/>
      <c r="B662" s="554"/>
      <c r="C662" s="558"/>
      <c r="D662" s="574"/>
      <c r="E662" s="575"/>
      <c r="F662" s="575"/>
      <c r="G662" s="575"/>
      <c r="H662" s="575"/>
      <c r="I662" s="558"/>
    </row>
    <row r="663" spans="1:9">
      <c r="A663" s="554"/>
      <c r="B663" s="554"/>
      <c r="C663" s="558"/>
      <c r="D663" s="574"/>
      <c r="E663" s="575"/>
      <c r="F663" s="575"/>
      <c r="G663" s="575"/>
      <c r="H663" s="575"/>
      <c r="I663" s="558"/>
    </row>
    <row r="664" spans="1:9">
      <c r="A664" s="554"/>
      <c r="B664" s="554"/>
      <c r="C664" s="558"/>
      <c r="D664" s="574"/>
      <c r="E664" s="575"/>
      <c r="F664" s="575"/>
      <c r="G664" s="575"/>
      <c r="H664" s="575"/>
      <c r="I664" s="558"/>
    </row>
    <row r="665" spans="1:9">
      <c r="A665" s="554"/>
      <c r="B665" s="554"/>
      <c r="C665" s="558"/>
      <c r="D665" s="574"/>
      <c r="E665" s="575"/>
      <c r="F665" s="575"/>
      <c r="G665" s="575"/>
      <c r="H665" s="575"/>
      <c r="I665" s="558"/>
    </row>
    <row r="666" spans="1:9">
      <c r="A666" s="554"/>
      <c r="B666" s="554"/>
      <c r="C666" s="558"/>
      <c r="D666" s="574"/>
      <c r="E666" s="575"/>
      <c r="F666" s="575"/>
      <c r="G666" s="575"/>
      <c r="H666" s="575"/>
      <c r="I666" s="558"/>
    </row>
    <row r="667" spans="1:9">
      <c r="A667" s="554"/>
      <c r="B667" s="554"/>
      <c r="C667" s="558"/>
      <c r="D667" s="574"/>
      <c r="E667" s="575"/>
      <c r="F667" s="575"/>
      <c r="G667" s="575"/>
      <c r="H667" s="575"/>
      <c r="I667" s="558"/>
    </row>
    <row r="668" spans="1:9">
      <c r="A668" s="554"/>
      <c r="B668" s="554"/>
      <c r="C668" s="558"/>
      <c r="D668" s="574"/>
      <c r="E668" s="575"/>
      <c r="F668" s="575"/>
      <c r="G668" s="575"/>
      <c r="H668" s="575"/>
      <c r="I668" s="558"/>
    </row>
    <row r="669" spans="1:9">
      <c r="A669" s="554"/>
      <c r="B669" s="554"/>
      <c r="C669" s="558"/>
      <c r="D669" s="574"/>
      <c r="E669" s="575"/>
      <c r="F669" s="575"/>
      <c r="G669" s="575"/>
      <c r="H669" s="575"/>
      <c r="I669" s="558"/>
    </row>
    <row r="670" spans="1:9">
      <c r="A670" s="554"/>
      <c r="B670" s="554"/>
      <c r="C670" s="558"/>
      <c r="D670" s="574"/>
      <c r="E670" s="575"/>
      <c r="F670" s="575"/>
      <c r="G670" s="575"/>
      <c r="H670" s="575"/>
      <c r="I670" s="558"/>
    </row>
    <row r="671" spans="1:9">
      <c r="A671" s="554"/>
      <c r="B671" s="554"/>
      <c r="C671" s="558"/>
      <c r="D671" s="574"/>
      <c r="E671" s="575"/>
      <c r="F671" s="575"/>
      <c r="G671" s="575"/>
      <c r="H671" s="575"/>
      <c r="I671" s="558"/>
    </row>
    <row r="672" spans="1:9">
      <c r="A672" s="554"/>
      <c r="B672" s="554"/>
      <c r="C672" s="558"/>
      <c r="D672" s="574"/>
      <c r="E672" s="575"/>
      <c r="F672" s="575"/>
      <c r="G672" s="575"/>
      <c r="H672" s="575"/>
      <c r="I672" s="558"/>
    </row>
    <row r="673" spans="1:9">
      <c r="A673" s="554"/>
      <c r="B673" s="554"/>
      <c r="C673" s="558"/>
      <c r="D673" s="574"/>
      <c r="E673" s="575"/>
      <c r="F673" s="575"/>
      <c r="G673" s="575"/>
      <c r="H673" s="575"/>
      <c r="I673" s="558"/>
    </row>
    <row r="674" spans="1:9">
      <c r="A674" s="554"/>
      <c r="B674" s="554"/>
      <c r="C674" s="558"/>
      <c r="D674" s="574"/>
      <c r="E674" s="575"/>
      <c r="F674" s="575"/>
      <c r="G674" s="575"/>
      <c r="H674" s="575"/>
      <c r="I674" s="558"/>
    </row>
    <row r="675" spans="1:9">
      <c r="A675" s="554"/>
      <c r="B675" s="554"/>
      <c r="C675" s="558"/>
      <c r="D675" s="574"/>
      <c r="E675" s="575"/>
      <c r="F675" s="575"/>
      <c r="G675" s="575"/>
      <c r="H675" s="575"/>
      <c r="I675" s="558"/>
    </row>
    <row r="676" spans="1:9">
      <c r="A676" s="554"/>
      <c r="B676" s="554"/>
      <c r="C676" s="558"/>
      <c r="D676" s="574"/>
      <c r="E676" s="575"/>
      <c r="F676" s="575"/>
      <c r="G676" s="575"/>
      <c r="H676" s="575"/>
      <c r="I676" s="558"/>
    </row>
    <row r="677" spans="1:9">
      <c r="A677" s="554"/>
      <c r="B677" s="554"/>
      <c r="C677" s="558"/>
      <c r="D677" s="574"/>
      <c r="E677" s="575"/>
      <c r="F677" s="575"/>
      <c r="G677" s="575"/>
      <c r="H677" s="575"/>
      <c r="I677" s="558"/>
    </row>
    <row r="678" spans="1:9">
      <c r="A678" s="554"/>
      <c r="B678" s="554"/>
      <c r="C678" s="558"/>
      <c r="D678" s="574"/>
      <c r="E678" s="575"/>
      <c r="F678" s="575"/>
      <c r="G678" s="575"/>
      <c r="H678" s="575"/>
      <c r="I678" s="558"/>
    </row>
    <row r="679" spans="1:9">
      <c r="A679" s="554"/>
      <c r="B679" s="554"/>
      <c r="C679" s="558"/>
      <c r="D679" s="574"/>
      <c r="E679" s="575"/>
      <c r="F679" s="575"/>
      <c r="G679" s="575"/>
      <c r="H679" s="575"/>
      <c r="I679" s="558"/>
    </row>
    <row r="680" spans="1:9">
      <c r="A680" s="554"/>
      <c r="B680" s="554"/>
      <c r="C680" s="558"/>
      <c r="D680" s="574"/>
      <c r="E680" s="575"/>
      <c r="F680" s="575"/>
      <c r="G680" s="575"/>
      <c r="H680" s="575"/>
      <c r="I680" s="558"/>
    </row>
    <row r="681" spans="1:9">
      <c r="A681" s="554"/>
      <c r="B681" s="554"/>
      <c r="C681" s="558"/>
      <c r="D681" s="574"/>
      <c r="E681" s="575"/>
      <c r="F681" s="575"/>
      <c r="G681" s="575"/>
      <c r="H681" s="575"/>
      <c r="I681" s="558"/>
    </row>
    <row r="682" spans="1:9">
      <c r="A682" s="554"/>
      <c r="B682" s="554"/>
      <c r="C682" s="558"/>
      <c r="D682" s="574"/>
      <c r="E682" s="575"/>
      <c r="F682" s="575"/>
      <c r="G682" s="575"/>
      <c r="H682" s="575"/>
      <c r="I682" s="558"/>
    </row>
    <row r="683" spans="1:9">
      <c r="A683" s="554"/>
      <c r="B683" s="554"/>
      <c r="C683" s="558"/>
      <c r="D683" s="574"/>
      <c r="E683" s="575"/>
      <c r="F683" s="575"/>
      <c r="G683" s="575"/>
      <c r="H683" s="575"/>
      <c r="I683" s="558"/>
    </row>
    <row r="684" spans="1:9">
      <c r="A684" s="554"/>
      <c r="B684" s="554"/>
      <c r="C684" s="558"/>
      <c r="D684" s="574"/>
      <c r="E684" s="575"/>
      <c r="F684" s="575"/>
      <c r="G684" s="575"/>
      <c r="H684" s="575"/>
      <c r="I684" s="558"/>
    </row>
    <row r="685" spans="1:9">
      <c r="A685" s="554"/>
      <c r="B685" s="554"/>
      <c r="C685" s="558"/>
      <c r="D685" s="574"/>
      <c r="E685" s="575"/>
      <c r="F685" s="575"/>
      <c r="G685" s="575"/>
      <c r="H685" s="575"/>
      <c r="I685" s="558"/>
    </row>
    <row r="686" spans="1:9">
      <c r="A686" s="554"/>
      <c r="B686" s="554"/>
      <c r="C686" s="558"/>
      <c r="D686" s="574"/>
      <c r="E686" s="575"/>
      <c r="F686" s="575"/>
      <c r="G686" s="575"/>
      <c r="H686" s="575"/>
      <c r="I686" s="558"/>
    </row>
    <row r="687" spans="1:9">
      <c r="A687" s="554"/>
      <c r="B687" s="554"/>
      <c r="C687" s="558"/>
      <c r="D687" s="574"/>
      <c r="E687" s="575"/>
      <c r="F687" s="575"/>
      <c r="G687" s="575"/>
      <c r="H687" s="575"/>
      <c r="I687" s="558"/>
    </row>
    <row r="688" spans="1:9">
      <c r="A688" s="554"/>
      <c r="B688" s="554"/>
      <c r="C688" s="558"/>
      <c r="D688" s="574"/>
      <c r="E688" s="575"/>
      <c r="F688" s="575"/>
      <c r="G688" s="575"/>
      <c r="H688" s="575"/>
      <c r="I688" s="558"/>
    </row>
    <row r="689" spans="1:9">
      <c r="A689" s="554"/>
      <c r="B689" s="554"/>
      <c r="C689" s="558"/>
      <c r="D689" s="574"/>
      <c r="E689" s="575"/>
      <c r="F689" s="575"/>
      <c r="G689" s="575"/>
      <c r="H689" s="575"/>
      <c r="I689" s="558"/>
    </row>
    <row r="690" spans="1:9">
      <c r="A690" s="554"/>
      <c r="B690" s="554"/>
      <c r="C690" s="558"/>
      <c r="D690" s="574"/>
      <c r="E690" s="575"/>
      <c r="F690" s="575"/>
      <c r="G690" s="575"/>
      <c r="H690" s="575"/>
      <c r="I690" s="558"/>
    </row>
    <row r="691" spans="1:9">
      <c r="A691" s="554"/>
      <c r="B691" s="554"/>
      <c r="C691" s="558"/>
      <c r="D691" s="574"/>
      <c r="E691" s="575"/>
      <c r="F691" s="575"/>
      <c r="G691" s="575"/>
      <c r="H691" s="575"/>
      <c r="I691" s="558"/>
    </row>
    <row r="692" spans="1:9">
      <c r="A692" s="554"/>
      <c r="B692" s="554"/>
      <c r="C692" s="558"/>
      <c r="D692" s="574"/>
      <c r="E692" s="575"/>
      <c r="F692" s="575"/>
      <c r="G692" s="575"/>
      <c r="H692" s="575"/>
      <c r="I692" s="558"/>
    </row>
    <row r="693" spans="1:9">
      <c r="A693" s="554"/>
      <c r="B693" s="554"/>
      <c r="C693" s="558"/>
      <c r="D693" s="574"/>
      <c r="E693" s="575"/>
      <c r="F693" s="575"/>
      <c r="G693" s="575"/>
      <c r="H693" s="575"/>
      <c r="I693" s="558"/>
    </row>
    <row r="694" spans="1:9">
      <c r="A694" s="554"/>
      <c r="B694" s="554"/>
      <c r="C694" s="558"/>
      <c r="D694" s="574"/>
      <c r="E694" s="575"/>
      <c r="F694" s="575"/>
      <c r="G694" s="575"/>
      <c r="H694" s="575"/>
      <c r="I694" s="558"/>
    </row>
    <row r="695" spans="1:9">
      <c r="A695" s="554"/>
      <c r="B695" s="554"/>
      <c r="C695" s="558"/>
      <c r="D695" s="574"/>
      <c r="E695" s="575"/>
      <c r="F695" s="575"/>
      <c r="G695" s="575"/>
      <c r="H695" s="575"/>
      <c r="I695" s="558"/>
    </row>
    <row r="696" spans="1:9">
      <c r="A696" s="554"/>
      <c r="B696" s="554"/>
      <c r="C696" s="558"/>
      <c r="D696" s="574"/>
      <c r="E696" s="575"/>
      <c r="F696" s="575"/>
      <c r="G696" s="575"/>
      <c r="H696" s="575"/>
      <c r="I696" s="558"/>
    </row>
    <row r="697" spans="1:9">
      <c r="A697" s="554"/>
      <c r="B697" s="554"/>
      <c r="C697" s="558"/>
      <c r="D697" s="574"/>
      <c r="E697" s="575"/>
      <c r="F697" s="575"/>
      <c r="G697" s="575"/>
      <c r="H697" s="575"/>
      <c r="I697" s="558"/>
    </row>
    <row r="698" spans="1:9">
      <c r="A698" s="554"/>
      <c r="B698" s="554"/>
      <c r="C698" s="558"/>
      <c r="D698" s="574"/>
      <c r="E698" s="575"/>
      <c r="F698" s="575"/>
      <c r="G698" s="575"/>
      <c r="H698" s="575"/>
      <c r="I698" s="558"/>
    </row>
    <row r="699" spans="1:9">
      <c r="A699" s="554"/>
      <c r="B699" s="554"/>
      <c r="C699" s="558"/>
      <c r="D699" s="574"/>
      <c r="E699" s="575"/>
      <c r="F699" s="575"/>
      <c r="G699" s="575"/>
      <c r="H699" s="575"/>
      <c r="I699" s="558"/>
    </row>
    <row r="700" spans="1:9">
      <c r="A700" s="554"/>
      <c r="B700" s="554"/>
      <c r="C700" s="558"/>
      <c r="D700" s="574"/>
      <c r="E700" s="575"/>
      <c r="F700" s="575"/>
      <c r="G700" s="575"/>
      <c r="H700" s="575"/>
      <c r="I700" s="558"/>
    </row>
    <row r="701" spans="1:9">
      <c r="A701" s="554"/>
      <c r="B701" s="554"/>
      <c r="C701" s="558"/>
      <c r="D701" s="574"/>
      <c r="E701" s="575"/>
      <c r="F701" s="575"/>
      <c r="G701" s="575"/>
      <c r="H701" s="575"/>
      <c r="I701" s="558"/>
    </row>
    <row r="702" spans="1:9">
      <c r="A702" s="554"/>
      <c r="B702" s="554"/>
      <c r="C702" s="558"/>
      <c r="D702" s="574"/>
      <c r="E702" s="575"/>
      <c r="F702" s="575"/>
      <c r="G702" s="575"/>
      <c r="H702" s="575"/>
      <c r="I702" s="558"/>
    </row>
    <row r="703" spans="1:9">
      <c r="A703" s="554"/>
      <c r="B703" s="554"/>
      <c r="C703" s="558"/>
      <c r="D703" s="574"/>
      <c r="E703" s="575"/>
      <c r="F703" s="575"/>
      <c r="G703" s="575"/>
      <c r="H703" s="575"/>
      <c r="I703" s="558"/>
    </row>
    <row r="704" spans="1:9">
      <c r="A704" s="554"/>
      <c r="B704" s="554"/>
      <c r="C704" s="558"/>
      <c r="D704" s="574"/>
      <c r="E704" s="575"/>
      <c r="F704" s="575"/>
      <c r="G704" s="575"/>
      <c r="H704" s="575"/>
      <c r="I704" s="558"/>
    </row>
    <row r="705" spans="1:9">
      <c r="A705" s="554"/>
      <c r="B705" s="554"/>
      <c r="C705" s="558"/>
      <c r="D705" s="574"/>
      <c r="E705" s="575"/>
      <c r="F705" s="575"/>
      <c r="G705" s="575"/>
      <c r="H705" s="575"/>
      <c r="I705" s="558"/>
    </row>
    <row r="706" spans="1:9">
      <c r="A706" s="554"/>
      <c r="B706" s="554"/>
      <c r="C706" s="558"/>
      <c r="D706" s="574"/>
      <c r="E706" s="575"/>
      <c r="F706" s="575"/>
      <c r="G706" s="575"/>
      <c r="H706" s="575"/>
      <c r="I706" s="558"/>
    </row>
    <row r="707" spans="1:9">
      <c r="A707" s="554"/>
      <c r="B707" s="554"/>
      <c r="C707" s="558"/>
      <c r="D707" s="574"/>
      <c r="E707" s="575"/>
      <c r="F707" s="575"/>
      <c r="G707" s="575"/>
      <c r="H707" s="575"/>
      <c r="I707" s="558"/>
    </row>
    <row r="708" spans="1:9">
      <c r="A708" s="554"/>
      <c r="B708" s="554"/>
      <c r="C708" s="558"/>
      <c r="D708" s="574"/>
      <c r="E708" s="575"/>
      <c r="F708" s="575"/>
      <c r="G708" s="575"/>
      <c r="H708" s="575"/>
      <c r="I708" s="558"/>
    </row>
    <row r="709" spans="1:9">
      <c r="A709" s="554"/>
      <c r="B709" s="554"/>
      <c r="C709" s="558"/>
      <c r="D709" s="574"/>
      <c r="E709" s="575"/>
      <c r="F709" s="575"/>
      <c r="G709" s="575"/>
      <c r="H709" s="575"/>
      <c r="I709" s="558"/>
    </row>
    <row r="710" spans="1:9">
      <c r="A710" s="554"/>
      <c r="B710" s="554"/>
      <c r="C710" s="558"/>
      <c r="D710" s="574"/>
      <c r="E710" s="575"/>
      <c r="F710" s="575"/>
      <c r="G710" s="575"/>
      <c r="H710" s="575"/>
      <c r="I710" s="558"/>
    </row>
    <row r="711" spans="1:9">
      <c r="A711" s="554"/>
      <c r="B711" s="554"/>
      <c r="C711" s="558"/>
      <c r="D711" s="574"/>
      <c r="E711" s="575"/>
      <c r="F711" s="575"/>
      <c r="G711" s="575"/>
      <c r="H711" s="575"/>
      <c r="I711" s="558"/>
    </row>
    <row r="712" spans="1:9">
      <c r="A712" s="554"/>
      <c r="B712" s="554"/>
      <c r="C712" s="558"/>
      <c r="D712" s="574"/>
      <c r="E712" s="575"/>
      <c r="F712" s="575"/>
      <c r="G712" s="575"/>
      <c r="H712" s="575"/>
      <c r="I712" s="558"/>
    </row>
    <row r="713" spans="1:9">
      <c r="A713" s="554"/>
      <c r="B713" s="554"/>
      <c r="C713" s="558"/>
      <c r="D713" s="574"/>
      <c r="E713" s="575"/>
      <c r="F713" s="575"/>
      <c r="G713" s="575"/>
      <c r="H713" s="575"/>
      <c r="I713" s="558"/>
    </row>
    <row r="714" spans="1:9">
      <c r="A714" s="554"/>
      <c r="B714" s="554"/>
      <c r="C714" s="558"/>
      <c r="D714" s="574"/>
      <c r="E714" s="575"/>
      <c r="F714" s="575"/>
      <c r="G714" s="575"/>
      <c r="H714" s="575"/>
      <c r="I714" s="558"/>
    </row>
    <row r="715" spans="1:9">
      <c r="A715" s="554"/>
      <c r="B715" s="554"/>
      <c r="C715" s="558"/>
      <c r="D715" s="574"/>
      <c r="E715" s="575"/>
      <c r="F715" s="575"/>
      <c r="G715" s="575"/>
      <c r="H715" s="575"/>
      <c r="I715" s="558"/>
    </row>
    <row r="716" spans="1:9">
      <c r="A716" s="554"/>
      <c r="B716" s="554"/>
      <c r="C716" s="558"/>
      <c r="D716" s="574"/>
      <c r="E716" s="575"/>
      <c r="F716" s="575"/>
      <c r="G716" s="575"/>
      <c r="H716" s="575"/>
      <c r="I716" s="558"/>
    </row>
    <row r="717" spans="1:9">
      <c r="A717" s="554"/>
      <c r="B717" s="554"/>
      <c r="C717" s="558"/>
      <c r="D717" s="574"/>
      <c r="E717" s="575"/>
      <c r="F717" s="575"/>
      <c r="G717" s="575"/>
      <c r="H717" s="575"/>
      <c r="I717" s="558"/>
    </row>
    <row r="718" spans="1:9">
      <c r="A718" s="554"/>
      <c r="B718" s="554"/>
      <c r="C718" s="558"/>
      <c r="D718" s="574"/>
      <c r="E718" s="575"/>
      <c r="F718" s="575"/>
      <c r="G718" s="575"/>
      <c r="H718" s="575"/>
      <c r="I718" s="558"/>
    </row>
    <row r="719" spans="1:9">
      <c r="A719" s="554"/>
      <c r="B719" s="554"/>
      <c r="C719" s="558"/>
      <c r="D719" s="574"/>
      <c r="E719" s="575"/>
      <c r="F719" s="575"/>
      <c r="G719" s="575"/>
      <c r="H719" s="575"/>
      <c r="I719" s="558"/>
    </row>
    <row r="720" spans="1:9">
      <c r="A720" s="554"/>
      <c r="B720" s="554"/>
      <c r="C720" s="558"/>
      <c r="D720" s="574"/>
      <c r="E720" s="575"/>
      <c r="F720" s="575"/>
      <c r="G720" s="575"/>
      <c r="H720" s="575"/>
      <c r="I720" s="558"/>
    </row>
    <row r="721" spans="1:9">
      <c r="A721" s="554"/>
      <c r="B721" s="554"/>
      <c r="C721" s="558"/>
      <c r="D721" s="574"/>
      <c r="E721" s="575"/>
      <c r="F721" s="575"/>
      <c r="G721" s="575"/>
      <c r="H721" s="575"/>
      <c r="I721" s="558"/>
    </row>
    <row r="722" spans="1:9">
      <c r="A722" s="554"/>
      <c r="B722" s="554"/>
      <c r="C722" s="558"/>
      <c r="D722" s="574"/>
      <c r="E722" s="575"/>
      <c r="F722" s="575"/>
      <c r="G722" s="575"/>
      <c r="H722" s="575"/>
      <c r="I722" s="558"/>
    </row>
    <row r="723" spans="1:9">
      <c r="A723" s="554"/>
      <c r="B723" s="554"/>
      <c r="C723" s="558"/>
      <c r="D723" s="574"/>
      <c r="E723" s="575"/>
      <c r="F723" s="575"/>
      <c r="G723" s="575"/>
      <c r="H723" s="575"/>
      <c r="I723" s="558"/>
    </row>
    <row r="724" spans="1:9">
      <c r="A724" s="554"/>
      <c r="B724" s="554"/>
      <c r="C724" s="558"/>
      <c r="D724" s="574"/>
      <c r="E724" s="575"/>
      <c r="F724" s="575"/>
      <c r="G724" s="575"/>
      <c r="H724" s="575"/>
      <c r="I724" s="558"/>
    </row>
    <row r="725" spans="1:9">
      <c r="A725" s="554"/>
      <c r="B725" s="554"/>
      <c r="C725" s="558"/>
      <c r="D725" s="574"/>
      <c r="E725" s="575"/>
      <c r="F725" s="575"/>
      <c r="G725" s="575"/>
      <c r="H725" s="575"/>
      <c r="I725" s="558"/>
    </row>
    <row r="726" spans="1:9">
      <c r="A726" s="554"/>
      <c r="B726" s="554"/>
      <c r="C726" s="558"/>
      <c r="D726" s="574"/>
      <c r="E726" s="575"/>
      <c r="F726" s="575"/>
      <c r="G726" s="575"/>
      <c r="H726" s="575"/>
      <c r="I726" s="558"/>
    </row>
    <row r="727" spans="1:9">
      <c r="A727" s="554"/>
      <c r="B727" s="554"/>
      <c r="C727" s="558"/>
      <c r="D727" s="574"/>
      <c r="E727" s="575"/>
      <c r="F727" s="575"/>
      <c r="G727" s="575"/>
      <c r="H727" s="575"/>
      <c r="I727" s="558"/>
    </row>
    <row r="728" spans="1:9">
      <c r="A728" s="554"/>
      <c r="B728" s="554"/>
      <c r="C728" s="558"/>
      <c r="D728" s="574"/>
      <c r="E728" s="575"/>
      <c r="F728" s="575"/>
      <c r="G728" s="575"/>
      <c r="H728" s="575"/>
      <c r="I728" s="558"/>
    </row>
    <row r="729" spans="1:9">
      <c r="A729" s="554"/>
      <c r="B729" s="554"/>
      <c r="C729" s="558"/>
      <c r="D729" s="574"/>
      <c r="E729" s="575"/>
      <c r="F729" s="575"/>
      <c r="G729" s="575"/>
      <c r="H729" s="575"/>
      <c r="I729" s="558"/>
    </row>
    <row r="730" spans="1:9">
      <c r="A730" s="554"/>
      <c r="B730" s="554"/>
      <c r="C730" s="558"/>
      <c r="D730" s="574"/>
      <c r="E730" s="575"/>
      <c r="F730" s="575"/>
      <c r="G730" s="575"/>
      <c r="H730" s="575"/>
      <c r="I730" s="558"/>
    </row>
    <row r="731" spans="1:9">
      <c r="A731" s="554"/>
      <c r="B731" s="554"/>
      <c r="C731" s="558"/>
      <c r="D731" s="574"/>
      <c r="E731" s="575"/>
      <c r="F731" s="575"/>
      <c r="G731" s="575"/>
      <c r="H731" s="575"/>
      <c r="I731" s="558"/>
    </row>
    <row r="732" spans="1:9">
      <c r="A732" s="554"/>
      <c r="B732" s="554"/>
      <c r="C732" s="558"/>
      <c r="D732" s="574"/>
      <c r="E732" s="575"/>
      <c r="F732" s="575"/>
      <c r="G732" s="575"/>
      <c r="H732" s="575"/>
      <c r="I732" s="558"/>
    </row>
    <row r="733" spans="1:9">
      <c r="A733" s="554"/>
      <c r="B733" s="554"/>
      <c r="C733" s="558"/>
      <c r="D733" s="574"/>
      <c r="E733" s="575"/>
      <c r="F733" s="575"/>
      <c r="G733" s="575"/>
      <c r="H733" s="575"/>
      <c r="I733" s="558"/>
    </row>
    <row r="734" spans="1:9">
      <c r="A734" s="554"/>
      <c r="B734" s="554"/>
      <c r="C734" s="558"/>
      <c r="D734" s="574"/>
      <c r="E734" s="575"/>
      <c r="F734" s="575"/>
      <c r="G734" s="575"/>
      <c r="H734" s="575"/>
      <c r="I734" s="558"/>
    </row>
    <row r="735" spans="1:9">
      <c r="A735" s="554"/>
      <c r="B735" s="554"/>
      <c r="C735" s="558"/>
      <c r="D735" s="574"/>
      <c r="E735" s="575"/>
      <c r="F735" s="575"/>
      <c r="G735" s="575"/>
      <c r="H735" s="575"/>
      <c r="I735" s="558"/>
    </row>
    <row r="736" spans="1:9">
      <c r="A736" s="554"/>
      <c r="B736" s="554"/>
      <c r="C736" s="558"/>
      <c r="D736" s="574"/>
      <c r="E736" s="575"/>
      <c r="F736" s="575"/>
      <c r="G736" s="575"/>
      <c r="H736" s="575"/>
      <c r="I736" s="558"/>
    </row>
    <row r="737" spans="1:9">
      <c r="A737" s="554"/>
      <c r="B737" s="554"/>
      <c r="C737" s="558"/>
      <c r="D737" s="574"/>
      <c r="E737" s="575"/>
      <c r="F737" s="575"/>
      <c r="G737" s="575"/>
      <c r="H737" s="575"/>
      <c r="I737" s="558"/>
    </row>
    <row r="738" spans="1:9">
      <c r="A738" s="554"/>
      <c r="B738" s="554"/>
      <c r="C738" s="558"/>
      <c r="D738" s="574"/>
      <c r="E738" s="575"/>
      <c r="F738" s="575"/>
      <c r="G738" s="575"/>
      <c r="H738" s="575"/>
      <c r="I738" s="558"/>
    </row>
    <row r="739" spans="1:9">
      <c r="A739" s="554"/>
      <c r="B739" s="554"/>
      <c r="C739" s="558"/>
      <c r="D739" s="574"/>
      <c r="E739" s="575"/>
      <c r="F739" s="575"/>
      <c r="G739" s="575"/>
      <c r="H739" s="575"/>
      <c r="I739" s="558"/>
    </row>
    <row r="740" spans="1:9">
      <c r="A740" s="554"/>
      <c r="B740" s="554"/>
      <c r="C740" s="558"/>
      <c r="D740" s="574"/>
      <c r="E740" s="575"/>
      <c r="F740" s="575"/>
      <c r="G740" s="575"/>
      <c r="H740" s="575"/>
      <c r="I740" s="558"/>
    </row>
    <row r="741" spans="1:9">
      <c r="A741" s="554"/>
      <c r="B741" s="554"/>
      <c r="C741" s="558"/>
      <c r="D741" s="574"/>
      <c r="E741" s="575"/>
      <c r="F741" s="575"/>
      <c r="G741" s="575"/>
      <c r="H741" s="575"/>
      <c r="I741" s="558"/>
    </row>
    <row r="742" spans="1:9">
      <c r="A742" s="554"/>
      <c r="B742" s="554"/>
      <c r="C742" s="558"/>
      <c r="D742" s="574"/>
      <c r="E742" s="575"/>
      <c r="F742" s="575"/>
      <c r="G742" s="575"/>
      <c r="H742" s="575"/>
      <c r="I742" s="558"/>
    </row>
    <row r="743" spans="1:9">
      <c r="A743" s="554"/>
      <c r="B743" s="554"/>
      <c r="C743" s="558"/>
      <c r="D743" s="574"/>
      <c r="E743" s="575"/>
      <c r="F743" s="575"/>
      <c r="G743" s="575"/>
      <c r="H743" s="575"/>
      <c r="I743" s="558"/>
    </row>
    <row r="744" spans="1:9">
      <c r="A744" s="554"/>
      <c r="B744" s="554"/>
      <c r="C744" s="558"/>
      <c r="D744" s="574"/>
      <c r="E744" s="575"/>
      <c r="F744" s="575"/>
      <c r="G744" s="575"/>
      <c r="H744" s="575"/>
      <c r="I744" s="558"/>
    </row>
    <row r="745" spans="1:9">
      <c r="A745" s="554"/>
      <c r="B745" s="554"/>
      <c r="C745" s="558"/>
      <c r="D745" s="574"/>
      <c r="E745" s="575"/>
      <c r="F745" s="575"/>
      <c r="G745" s="575"/>
      <c r="H745" s="575"/>
      <c r="I745" s="558"/>
    </row>
    <row r="746" spans="1:9">
      <c r="A746" s="554"/>
      <c r="B746" s="554"/>
      <c r="C746" s="558"/>
      <c r="D746" s="574"/>
      <c r="E746" s="575"/>
      <c r="F746" s="575"/>
      <c r="G746" s="575"/>
      <c r="H746" s="575"/>
      <c r="I746" s="558"/>
    </row>
    <row r="747" spans="1:9">
      <c r="A747" s="554"/>
      <c r="B747" s="554"/>
      <c r="C747" s="558"/>
      <c r="D747" s="574"/>
      <c r="E747" s="575"/>
      <c r="F747" s="575"/>
      <c r="G747" s="575"/>
      <c r="H747" s="575"/>
      <c r="I747" s="558"/>
    </row>
    <row r="748" spans="1:9">
      <c r="A748" s="554"/>
      <c r="B748" s="554"/>
      <c r="C748" s="558"/>
      <c r="D748" s="574"/>
      <c r="E748" s="575"/>
      <c r="F748" s="575"/>
      <c r="G748" s="575"/>
      <c r="H748" s="575"/>
      <c r="I748" s="558"/>
    </row>
    <row r="749" spans="1:9">
      <c r="A749" s="554"/>
      <c r="B749" s="554"/>
      <c r="C749" s="558"/>
      <c r="D749" s="574"/>
      <c r="E749" s="575"/>
      <c r="F749" s="575"/>
      <c r="G749" s="575"/>
      <c r="H749" s="575"/>
      <c r="I749" s="558"/>
    </row>
    <row r="750" spans="1:9">
      <c r="A750" s="554"/>
      <c r="B750" s="554"/>
      <c r="C750" s="558"/>
      <c r="D750" s="574"/>
      <c r="E750" s="575"/>
      <c r="F750" s="575"/>
      <c r="G750" s="575"/>
      <c r="H750" s="575"/>
      <c r="I750" s="558"/>
    </row>
    <row r="751" spans="1:9">
      <c r="A751" s="554"/>
      <c r="B751" s="554"/>
      <c r="C751" s="558"/>
      <c r="D751" s="574"/>
      <c r="E751" s="575"/>
      <c r="F751" s="575"/>
      <c r="G751" s="575"/>
      <c r="H751" s="575"/>
      <c r="I751" s="558"/>
    </row>
    <row r="752" spans="1:9">
      <c r="A752" s="554"/>
      <c r="B752" s="554"/>
      <c r="C752" s="558"/>
      <c r="D752" s="574"/>
      <c r="E752" s="575"/>
      <c r="F752" s="575"/>
      <c r="G752" s="575"/>
      <c r="H752" s="575"/>
      <c r="I752" s="558"/>
    </row>
    <row r="753" spans="1:9">
      <c r="A753" s="554"/>
      <c r="B753" s="554"/>
      <c r="C753" s="558"/>
      <c r="D753" s="574"/>
      <c r="E753" s="575"/>
      <c r="F753" s="575"/>
      <c r="G753" s="575"/>
      <c r="H753" s="575"/>
      <c r="I753" s="558"/>
    </row>
    <row r="754" spans="1:9">
      <c r="A754" s="554"/>
      <c r="B754" s="554"/>
      <c r="C754" s="558"/>
      <c r="D754" s="574"/>
      <c r="E754" s="575"/>
      <c r="F754" s="575"/>
      <c r="G754" s="575"/>
      <c r="H754" s="575"/>
      <c r="I754" s="558"/>
    </row>
    <row r="755" spans="1:9">
      <c r="A755" s="554"/>
      <c r="B755" s="554"/>
      <c r="C755" s="558"/>
      <c r="D755" s="574"/>
      <c r="E755" s="575"/>
      <c r="F755" s="575"/>
      <c r="G755" s="575"/>
      <c r="H755" s="575"/>
      <c r="I755" s="558"/>
    </row>
    <row r="756" spans="1:9">
      <c r="A756" s="554"/>
      <c r="B756" s="554"/>
      <c r="C756" s="558"/>
      <c r="D756" s="574"/>
      <c r="E756" s="575"/>
      <c r="F756" s="575"/>
      <c r="G756" s="575"/>
      <c r="H756" s="575"/>
      <c r="I756" s="558"/>
    </row>
    <row r="757" spans="1:9">
      <c r="A757" s="554"/>
      <c r="B757" s="554"/>
      <c r="C757" s="558"/>
      <c r="D757" s="574"/>
      <c r="E757" s="575"/>
      <c r="F757" s="575"/>
      <c r="G757" s="575"/>
      <c r="H757" s="575"/>
      <c r="I757" s="558"/>
    </row>
    <row r="758" spans="1:9">
      <c r="A758" s="554"/>
      <c r="B758" s="554"/>
      <c r="C758" s="558"/>
      <c r="D758" s="574"/>
      <c r="E758" s="575"/>
      <c r="F758" s="575"/>
      <c r="G758" s="575"/>
      <c r="H758" s="575"/>
      <c r="I758" s="558"/>
    </row>
    <row r="759" spans="1:9">
      <c r="A759" s="554"/>
      <c r="B759" s="554"/>
      <c r="C759" s="558"/>
      <c r="D759" s="574"/>
      <c r="E759" s="575"/>
      <c r="F759" s="575"/>
      <c r="G759" s="575"/>
      <c r="H759" s="575"/>
      <c r="I759" s="558"/>
    </row>
    <row r="760" spans="1:9">
      <c r="A760" s="554"/>
      <c r="B760" s="554"/>
      <c r="C760" s="558"/>
      <c r="D760" s="574"/>
      <c r="E760" s="575"/>
      <c r="F760" s="575"/>
      <c r="G760" s="575"/>
      <c r="H760" s="575"/>
      <c r="I760" s="558"/>
    </row>
    <row r="761" spans="1:9">
      <c r="A761" s="554"/>
      <c r="B761" s="554"/>
      <c r="C761" s="558"/>
      <c r="D761" s="574"/>
      <c r="E761" s="575"/>
      <c r="F761" s="575"/>
      <c r="G761" s="575"/>
      <c r="H761" s="575"/>
      <c r="I761" s="558"/>
    </row>
    <row r="762" spans="1:9">
      <c r="A762" s="554"/>
      <c r="B762" s="554"/>
      <c r="C762" s="558"/>
      <c r="D762" s="574"/>
      <c r="E762" s="575"/>
      <c r="F762" s="575"/>
      <c r="G762" s="575"/>
      <c r="H762" s="575"/>
      <c r="I762" s="558"/>
    </row>
    <row r="763" spans="1:9">
      <c r="A763" s="554"/>
      <c r="B763" s="554"/>
      <c r="C763" s="558"/>
      <c r="D763" s="574"/>
      <c r="E763" s="575"/>
      <c r="F763" s="575"/>
      <c r="G763" s="575"/>
      <c r="H763" s="575"/>
      <c r="I763" s="558"/>
    </row>
    <row r="764" spans="1:9">
      <c r="A764" s="554"/>
      <c r="B764" s="554"/>
      <c r="C764" s="558"/>
      <c r="D764" s="574"/>
      <c r="E764" s="575"/>
      <c r="F764" s="575"/>
      <c r="G764" s="575"/>
      <c r="H764" s="575"/>
      <c r="I764" s="558"/>
    </row>
    <row r="765" spans="1:9">
      <c r="A765" s="554"/>
      <c r="B765" s="554"/>
      <c r="C765" s="558"/>
      <c r="D765" s="574"/>
      <c r="E765" s="575"/>
      <c r="F765" s="575"/>
      <c r="G765" s="575"/>
      <c r="H765" s="575"/>
      <c r="I765" s="558"/>
    </row>
    <row r="766" spans="1:9">
      <c r="A766" s="554"/>
      <c r="B766" s="554"/>
      <c r="C766" s="558"/>
      <c r="D766" s="574"/>
      <c r="E766" s="575"/>
      <c r="F766" s="575"/>
      <c r="G766" s="575"/>
      <c r="H766" s="575"/>
      <c r="I766" s="558"/>
    </row>
    <row r="767" spans="1:9">
      <c r="A767" s="554"/>
      <c r="B767" s="554"/>
      <c r="C767" s="558"/>
      <c r="D767" s="574"/>
      <c r="E767" s="575"/>
      <c r="F767" s="575"/>
      <c r="G767" s="575"/>
      <c r="H767" s="575"/>
      <c r="I767" s="558"/>
    </row>
    <row r="768" spans="1:9">
      <c r="A768" s="554"/>
      <c r="B768" s="554"/>
      <c r="C768" s="558"/>
      <c r="D768" s="574"/>
      <c r="E768" s="575"/>
      <c r="F768" s="575"/>
      <c r="G768" s="575"/>
      <c r="H768" s="575"/>
      <c r="I768" s="558"/>
    </row>
    <row r="769" spans="1:9">
      <c r="A769" s="554"/>
      <c r="B769" s="554"/>
      <c r="C769" s="558"/>
      <c r="D769" s="574"/>
      <c r="E769" s="575"/>
      <c r="F769" s="575"/>
      <c r="G769" s="575"/>
      <c r="H769" s="575"/>
      <c r="I769" s="558"/>
    </row>
    <row r="770" spans="1:9">
      <c r="A770" s="554"/>
      <c r="B770" s="554"/>
      <c r="C770" s="558"/>
      <c r="D770" s="574"/>
      <c r="E770" s="575"/>
      <c r="F770" s="575"/>
      <c r="G770" s="575"/>
      <c r="H770" s="575"/>
      <c r="I770" s="558"/>
    </row>
    <row r="771" spans="1:9">
      <c r="A771" s="554"/>
      <c r="B771" s="554"/>
      <c r="C771" s="558"/>
      <c r="D771" s="574"/>
      <c r="E771" s="575"/>
      <c r="F771" s="575"/>
      <c r="G771" s="575"/>
      <c r="H771" s="575"/>
      <c r="I771" s="558"/>
    </row>
    <row r="772" spans="1:9">
      <c r="A772" s="554"/>
      <c r="B772" s="554"/>
      <c r="C772" s="558"/>
      <c r="D772" s="574"/>
      <c r="E772" s="575"/>
      <c r="F772" s="575"/>
      <c r="G772" s="575"/>
      <c r="H772" s="575"/>
      <c r="I772" s="558"/>
    </row>
    <row r="773" spans="1:9">
      <c r="A773" s="554"/>
      <c r="B773" s="554"/>
      <c r="C773" s="558"/>
      <c r="D773" s="574"/>
      <c r="E773" s="575"/>
      <c r="F773" s="575"/>
      <c r="G773" s="575"/>
      <c r="H773" s="575"/>
      <c r="I773" s="558"/>
    </row>
    <row r="774" spans="1:9">
      <c r="A774" s="554"/>
      <c r="B774" s="554"/>
      <c r="C774" s="558"/>
      <c r="D774" s="574"/>
      <c r="E774" s="575"/>
      <c r="F774" s="575"/>
      <c r="G774" s="575"/>
      <c r="H774" s="575"/>
      <c r="I774" s="558"/>
    </row>
    <row r="775" spans="1:9">
      <c r="A775" s="554"/>
      <c r="B775" s="554"/>
      <c r="C775" s="558"/>
      <c r="D775" s="574"/>
      <c r="E775" s="575"/>
      <c r="F775" s="575"/>
      <c r="G775" s="575"/>
      <c r="H775" s="575"/>
      <c r="I775" s="558"/>
    </row>
    <row r="776" spans="1:9">
      <c r="A776" s="554"/>
      <c r="B776" s="554"/>
      <c r="C776" s="558"/>
      <c r="D776" s="574"/>
      <c r="E776" s="575"/>
      <c r="F776" s="575"/>
      <c r="G776" s="575"/>
      <c r="H776" s="575"/>
      <c r="I776" s="558"/>
    </row>
    <row r="777" spans="1:9">
      <c r="A777" s="554"/>
      <c r="B777" s="554"/>
      <c r="C777" s="558"/>
      <c r="D777" s="574"/>
      <c r="E777" s="575"/>
      <c r="F777" s="575"/>
      <c r="G777" s="575"/>
      <c r="H777" s="575"/>
      <c r="I777" s="558"/>
    </row>
    <row r="778" spans="1:9">
      <c r="A778" s="554"/>
      <c r="B778" s="554"/>
      <c r="C778" s="558"/>
      <c r="D778" s="574"/>
      <c r="E778" s="575"/>
      <c r="F778" s="575"/>
      <c r="G778" s="575"/>
      <c r="H778" s="575"/>
      <c r="I778" s="558"/>
    </row>
    <row r="779" spans="1:9">
      <c r="A779" s="554"/>
      <c r="B779" s="554"/>
      <c r="C779" s="558"/>
      <c r="D779" s="574"/>
      <c r="E779" s="575"/>
      <c r="F779" s="575"/>
      <c r="G779" s="575"/>
      <c r="H779" s="575"/>
      <c r="I779" s="558"/>
    </row>
    <row r="780" spans="1:9">
      <c r="A780" s="554"/>
      <c r="B780" s="554"/>
      <c r="C780" s="558"/>
      <c r="D780" s="574"/>
      <c r="E780" s="575"/>
      <c r="F780" s="575"/>
      <c r="G780" s="575"/>
      <c r="H780" s="575"/>
      <c r="I780" s="558"/>
    </row>
    <row r="781" spans="1:9">
      <c r="A781" s="554"/>
      <c r="B781" s="554"/>
      <c r="C781" s="558"/>
      <c r="D781" s="574"/>
      <c r="E781" s="575"/>
      <c r="F781" s="575"/>
      <c r="G781" s="575"/>
      <c r="H781" s="575"/>
      <c r="I781" s="558"/>
    </row>
    <row r="782" spans="1:9">
      <c r="A782" s="554"/>
      <c r="B782" s="554"/>
      <c r="C782" s="558"/>
      <c r="D782" s="574"/>
      <c r="E782" s="575"/>
      <c r="F782" s="575"/>
      <c r="G782" s="575"/>
      <c r="H782" s="575"/>
      <c r="I782" s="558"/>
    </row>
    <row r="783" spans="1:9">
      <c r="A783" s="554"/>
      <c r="B783" s="554"/>
      <c r="C783" s="558"/>
      <c r="D783" s="574"/>
      <c r="E783" s="575"/>
      <c r="F783" s="575"/>
      <c r="G783" s="575"/>
      <c r="H783" s="575"/>
      <c r="I783" s="558"/>
    </row>
    <row r="784" spans="1:9">
      <c r="A784" s="554"/>
      <c r="B784" s="554"/>
      <c r="C784" s="558"/>
      <c r="D784" s="574"/>
      <c r="E784" s="575"/>
      <c r="F784" s="575"/>
      <c r="G784" s="575"/>
      <c r="H784" s="575"/>
      <c r="I784" s="558"/>
    </row>
    <row r="785" spans="1:9">
      <c r="A785" s="554"/>
      <c r="B785" s="554"/>
      <c r="C785" s="558"/>
      <c r="D785" s="574"/>
      <c r="E785" s="575"/>
      <c r="F785" s="575"/>
      <c r="G785" s="575"/>
      <c r="H785" s="575"/>
      <c r="I785" s="558"/>
    </row>
    <row r="786" spans="1:9">
      <c r="A786" s="554"/>
      <c r="B786" s="554"/>
      <c r="C786" s="558"/>
      <c r="D786" s="574"/>
      <c r="E786" s="575"/>
      <c r="F786" s="575"/>
      <c r="G786" s="575"/>
      <c r="H786" s="575"/>
      <c r="I786" s="558"/>
    </row>
    <row r="787" spans="1:9">
      <c r="A787" s="554"/>
      <c r="B787" s="554"/>
      <c r="C787" s="558"/>
      <c r="D787" s="574"/>
      <c r="E787" s="575"/>
      <c r="F787" s="575"/>
      <c r="G787" s="575"/>
      <c r="H787" s="575"/>
      <c r="I787" s="558"/>
    </row>
    <row r="788" spans="1:9">
      <c r="A788" s="554"/>
      <c r="B788" s="554"/>
      <c r="C788" s="558"/>
      <c r="D788" s="574"/>
      <c r="E788" s="575"/>
      <c r="F788" s="575"/>
      <c r="G788" s="575"/>
      <c r="H788" s="575"/>
      <c r="I788" s="558"/>
    </row>
    <row r="789" spans="1:9">
      <c r="A789" s="554"/>
      <c r="B789" s="554"/>
      <c r="C789" s="558"/>
      <c r="D789" s="574"/>
      <c r="E789" s="575"/>
      <c r="F789" s="575"/>
      <c r="G789" s="575"/>
      <c r="H789" s="575"/>
      <c r="I789" s="558"/>
    </row>
    <row r="790" spans="1:9">
      <c r="A790" s="554"/>
      <c r="B790" s="554"/>
      <c r="C790" s="558"/>
      <c r="D790" s="574"/>
      <c r="E790" s="575"/>
      <c r="F790" s="575"/>
      <c r="G790" s="575"/>
      <c r="H790" s="575"/>
      <c r="I790" s="558"/>
    </row>
    <row r="791" spans="1:9">
      <c r="A791" s="554"/>
      <c r="B791" s="554"/>
      <c r="C791" s="558"/>
      <c r="D791" s="574"/>
      <c r="E791" s="575"/>
      <c r="F791" s="575"/>
      <c r="G791" s="575"/>
      <c r="H791" s="575"/>
      <c r="I791" s="558"/>
    </row>
    <row r="792" spans="1:9">
      <c r="A792" s="554"/>
      <c r="B792" s="554"/>
      <c r="C792" s="558"/>
      <c r="D792" s="574"/>
      <c r="E792" s="575"/>
      <c r="F792" s="575"/>
      <c r="G792" s="575"/>
      <c r="H792" s="575"/>
      <c r="I792" s="558"/>
    </row>
    <row r="793" spans="1:9">
      <c r="A793" s="554"/>
      <c r="B793" s="554"/>
      <c r="C793" s="558"/>
      <c r="D793" s="574"/>
      <c r="E793" s="575"/>
      <c r="F793" s="575"/>
      <c r="G793" s="575"/>
      <c r="H793" s="575"/>
      <c r="I793" s="558"/>
    </row>
    <row r="794" spans="1:9">
      <c r="A794" s="554"/>
      <c r="B794" s="554"/>
      <c r="C794" s="558"/>
      <c r="D794" s="574"/>
      <c r="E794" s="575"/>
      <c r="F794" s="575"/>
      <c r="G794" s="575"/>
      <c r="H794" s="575"/>
      <c r="I794" s="558"/>
    </row>
    <row r="795" spans="1:9">
      <c r="A795" s="554"/>
      <c r="B795" s="554"/>
      <c r="C795" s="558"/>
      <c r="D795" s="574"/>
      <c r="E795" s="575"/>
      <c r="F795" s="575"/>
      <c r="G795" s="575"/>
      <c r="H795" s="575"/>
      <c r="I795" s="558"/>
    </row>
    <row r="796" spans="1:9">
      <c r="A796" s="554"/>
      <c r="B796" s="554"/>
      <c r="C796" s="558"/>
      <c r="D796" s="574"/>
      <c r="E796" s="575"/>
      <c r="F796" s="575"/>
      <c r="G796" s="575"/>
      <c r="H796" s="575"/>
      <c r="I796" s="558"/>
    </row>
    <row r="797" spans="1:9">
      <c r="A797" s="554"/>
      <c r="B797" s="554"/>
      <c r="C797" s="558"/>
      <c r="D797" s="574"/>
      <c r="E797" s="575"/>
      <c r="F797" s="575"/>
      <c r="G797" s="575"/>
      <c r="H797" s="575"/>
      <c r="I797" s="558"/>
    </row>
    <row r="798" spans="1:9">
      <c r="A798" s="554"/>
      <c r="B798" s="554"/>
      <c r="C798" s="558"/>
      <c r="D798" s="574"/>
      <c r="E798" s="575"/>
      <c r="F798" s="575"/>
      <c r="G798" s="575"/>
      <c r="H798" s="575"/>
      <c r="I798" s="558"/>
    </row>
    <row r="799" spans="1:9">
      <c r="A799" s="554"/>
      <c r="B799" s="554"/>
      <c r="C799" s="558"/>
      <c r="D799" s="574"/>
      <c r="E799" s="575"/>
      <c r="F799" s="575"/>
      <c r="G799" s="575"/>
      <c r="H799" s="575"/>
      <c r="I799" s="558"/>
    </row>
    <row r="800" spans="1:9">
      <c r="A800" s="554"/>
      <c r="B800" s="554"/>
      <c r="C800" s="558"/>
      <c r="D800" s="574"/>
      <c r="E800" s="575"/>
      <c r="F800" s="575"/>
      <c r="G800" s="575"/>
      <c r="H800" s="575"/>
      <c r="I800" s="558"/>
    </row>
    <row r="801" spans="1:9">
      <c r="A801" s="554"/>
      <c r="B801" s="554"/>
      <c r="C801" s="558"/>
      <c r="D801" s="574"/>
      <c r="E801" s="575"/>
      <c r="F801" s="575"/>
      <c r="G801" s="575"/>
      <c r="H801" s="575"/>
      <c r="I801" s="558"/>
    </row>
  </sheetData>
  <mergeCells count="6">
    <mergeCell ref="A408:C408"/>
    <mergeCell ref="C419:H419"/>
    <mergeCell ref="C177:H177"/>
    <mergeCell ref="C199:H199"/>
    <mergeCell ref="C203:H203"/>
    <mergeCell ref="C295:H295"/>
  </mergeCells>
  <pageMargins left="0.7" right="0.7" top="0.75" bottom="0.75" header="0.3" footer="0.3"/>
  <pageSetup scale="4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27"/>
  <sheetViews>
    <sheetView topLeftCell="E1" workbookViewId="0">
      <selection activeCell="J19" sqref="J19"/>
    </sheetView>
  </sheetViews>
  <sheetFormatPr defaultRowHeight="14.25"/>
  <cols>
    <col min="1" max="2" width="10.85546875" style="517" customWidth="1"/>
    <col min="3" max="3" width="59.140625" style="578" customWidth="1"/>
    <col min="4" max="4" width="18.5703125" style="474" customWidth="1"/>
    <col min="5" max="8" width="18.5703125" style="2191" customWidth="1"/>
    <col min="9" max="9" width="18.5703125" style="578" customWidth="1"/>
    <col min="10" max="10" width="80.5703125" style="474" customWidth="1"/>
    <col min="11" max="11" width="14" style="474" bestFit="1" customWidth="1"/>
    <col min="12" max="12" width="15.140625" style="474" bestFit="1" customWidth="1"/>
    <col min="13" max="13" width="17.28515625" style="474" bestFit="1" customWidth="1"/>
    <col min="14" max="14" width="15" style="474" bestFit="1" customWidth="1"/>
    <col min="15" max="16384" width="9.140625" style="474"/>
  </cols>
  <sheetData>
    <row r="1" spans="1:14" ht="18">
      <c r="A1" s="471" t="s">
        <v>2</v>
      </c>
      <c r="B1" s="471"/>
      <c r="C1" s="472"/>
      <c r="D1" s="473"/>
      <c r="E1" s="473"/>
      <c r="F1" s="473"/>
      <c r="G1" s="473"/>
      <c r="H1" s="473"/>
      <c r="I1" s="473"/>
      <c r="J1" s="473"/>
    </row>
    <row r="2" spans="1:14" ht="15.75">
      <c r="A2" s="475" t="s">
        <v>570</v>
      </c>
      <c r="B2" s="475"/>
      <c r="C2" s="476"/>
      <c r="D2" s="477"/>
      <c r="E2" s="477"/>
      <c r="F2" s="477"/>
      <c r="G2" s="477"/>
      <c r="H2" s="477"/>
      <c r="I2" s="477"/>
      <c r="J2" s="477"/>
    </row>
    <row r="3" spans="1:14">
      <c r="A3" s="478" t="s">
        <v>833</v>
      </c>
      <c r="B3" s="479"/>
      <c r="C3" s="480"/>
      <c r="D3" s="481"/>
      <c r="E3" s="481"/>
      <c r="F3" s="481"/>
      <c r="G3" s="481"/>
      <c r="H3" s="481"/>
      <c r="I3" s="480"/>
      <c r="J3" s="478"/>
    </row>
    <row r="4" spans="1:14" s="487" customFormat="1" ht="15">
      <c r="A4" s="482"/>
      <c r="B4" s="482"/>
      <c r="C4" s="508"/>
      <c r="D4" s="484"/>
      <c r="E4" s="485"/>
      <c r="F4" s="485"/>
      <c r="G4" s="485"/>
      <c r="H4" s="486"/>
      <c r="I4" s="485"/>
      <c r="J4" s="486"/>
    </row>
    <row r="5" spans="1:14" s="487" customFormat="1" ht="15">
      <c r="A5" s="482"/>
      <c r="B5" s="482"/>
      <c r="C5" s="508"/>
      <c r="D5" s="484"/>
      <c r="E5" s="486"/>
      <c r="F5" s="486"/>
      <c r="G5" s="486"/>
      <c r="H5" s="486"/>
      <c r="I5" s="486"/>
      <c r="J5" s="486"/>
    </row>
    <row r="6" spans="1:14" s="487" customFormat="1" ht="32.25" thickBot="1">
      <c r="A6" s="488" t="s">
        <v>287</v>
      </c>
      <c r="B6" s="488"/>
      <c r="C6" s="488" t="s">
        <v>288</v>
      </c>
      <c r="D6" s="489" t="s">
        <v>316</v>
      </c>
      <c r="E6" s="490" t="s">
        <v>337</v>
      </c>
      <c r="F6" s="490" t="s">
        <v>338</v>
      </c>
      <c r="G6" s="490" t="s">
        <v>339</v>
      </c>
      <c r="H6" s="489" t="s">
        <v>340</v>
      </c>
      <c r="I6" s="489" t="s">
        <v>341</v>
      </c>
      <c r="J6" s="490" t="s">
        <v>342</v>
      </c>
    </row>
    <row r="7" spans="1:14" s="487" customFormat="1" ht="15.75">
      <c r="A7" s="491"/>
      <c r="B7" s="491"/>
      <c r="C7" s="491" t="s">
        <v>343</v>
      </c>
      <c r="D7" s="492" t="s">
        <v>344</v>
      </c>
      <c r="E7" s="492"/>
      <c r="F7" s="492"/>
      <c r="G7" s="492" t="s">
        <v>345</v>
      </c>
      <c r="H7" s="492" t="s">
        <v>346</v>
      </c>
      <c r="I7" s="492" t="s">
        <v>347</v>
      </c>
      <c r="J7" s="492" t="s">
        <v>348</v>
      </c>
    </row>
    <row r="8" spans="1:14">
      <c r="A8" s="482"/>
      <c r="B8" s="482"/>
      <c r="C8" s="508"/>
      <c r="D8" s="493"/>
      <c r="E8" s="494"/>
      <c r="F8" s="494"/>
      <c r="G8" s="494"/>
      <c r="H8" s="494"/>
      <c r="I8" s="494"/>
      <c r="J8" s="493"/>
    </row>
    <row r="9" spans="1:14">
      <c r="A9" s="482"/>
      <c r="B9" s="482"/>
      <c r="C9" s="508"/>
      <c r="D9" s="493"/>
      <c r="E9" s="494"/>
      <c r="F9" s="494"/>
      <c r="G9" s="494"/>
      <c r="H9" s="494"/>
      <c r="I9" s="494"/>
      <c r="J9" s="493"/>
    </row>
    <row r="10" spans="1:14">
      <c r="A10" s="495">
        <v>1</v>
      </c>
      <c r="B10" s="496"/>
      <c r="C10" s="508" t="s">
        <v>349</v>
      </c>
      <c r="D10" s="497" t="s">
        <v>350</v>
      </c>
      <c r="E10" s="498">
        <f>E274</f>
        <v>-2717738923</v>
      </c>
      <c r="F10" s="498">
        <f>F274</f>
        <v>-1835331407</v>
      </c>
      <c r="G10" s="498">
        <f>+G274</f>
        <v>-751809087</v>
      </c>
      <c r="H10" s="498">
        <f>+H274</f>
        <v>18068243</v>
      </c>
      <c r="I10" s="498">
        <f>+I274</f>
        <v>-148666672</v>
      </c>
      <c r="J10" s="499"/>
    </row>
    <row r="11" spans="1:14">
      <c r="A11" s="496">
        <f t="shared" ref="A11:A19" si="0">A10+1</f>
        <v>2</v>
      </c>
      <c r="B11" s="496"/>
      <c r="C11" s="508" t="s">
        <v>351</v>
      </c>
      <c r="D11" s="497" t="s">
        <v>352</v>
      </c>
      <c r="E11" s="498">
        <f>E196</f>
        <v>-174829838</v>
      </c>
      <c r="F11" s="498">
        <f>F196</f>
        <v>-174829838</v>
      </c>
      <c r="G11" s="498">
        <f>G196</f>
        <v>0</v>
      </c>
      <c r="H11" s="498">
        <f>H196</f>
        <v>0</v>
      </c>
      <c r="I11" s="498">
        <f>I196</f>
        <v>0</v>
      </c>
      <c r="J11" s="499"/>
    </row>
    <row r="12" spans="1:14">
      <c r="A12" s="496">
        <f t="shared" si="0"/>
        <v>3</v>
      </c>
      <c r="B12" s="496"/>
      <c r="C12" s="508" t="s">
        <v>353</v>
      </c>
      <c r="D12" s="497" t="s">
        <v>354</v>
      </c>
      <c r="E12" s="498">
        <f>E399</f>
        <v>-297165105</v>
      </c>
      <c r="F12" s="498">
        <f>F399</f>
        <v>-289049083</v>
      </c>
      <c r="G12" s="498">
        <f>+G399</f>
        <v>0</v>
      </c>
      <c r="H12" s="498">
        <f>+H399</f>
        <v>-6932740</v>
      </c>
      <c r="I12" s="498">
        <f>+I399</f>
        <v>-1183282</v>
      </c>
      <c r="J12" s="499"/>
    </row>
    <row r="13" spans="1:14">
      <c r="A13" s="496">
        <f t="shared" si="0"/>
        <v>4</v>
      </c>
      <c r="B13" s="496"/>
      <c r="C13" s="508" t="s">
        <v>355</v>
      </c>
      <c r="D13" s="497" t="s">
        <v>356</v>
      </c>
      <c r="E13" s="500">
        <f>E170</f>
        <v>831227995</v>
      </c>
      <c r="F13" s="500">
        <f>F170</f>
        <v>808836219</v>
      </c>
      <c r="G13" s="500">
        <f>+G170</f>
        <v>527179</v>
      </c>
      <c r="H13" s="500">
        <f>+H170</f>
        <v>0</v>
      </c>
      <c r="I13" s="500">
        <f>+I170</f>
        <v>21864597</v>
      </c>
      <c r="J13" s="499"/>
    </row>
    <row r="14" spans="1:14" ht="14.25" customHeight="1">
      <c r="A14" s="496">
        <f t="shared" si="0"/>
        <v>5</v>
      </c>
      <c r="B14" s="496"/>
      <c r="C14" s="508" t="s">
        <v>357</v>
      </c>
      <c r="D14" s="499" t="s">
        <v>358</v>
      </c>
      <c r="E14" s="498">
        <f>SUM(E10:E13)</f>
        <v>-2358505871</v>
      </c>
      <c r="F14" s="498">
        <f>SUM(F10:F13)</f>
        <v>-1490374109</v>
      </c>
      <c r="G14" s="498">
        <f>SUM(G10:G13)</f>
        <v>-751281908</v>
      </c>
      <c r="H14" s="498">
        <f>SUM(H10:H13)</f>
        <v>11135503</v>
      </c>
      <c r="I14" s="498">
        <f>SUM(I10:I13)</f>
        <v>-127985357</v>
      </c>
      <c r="J14" s="499"/>
      <c r="K14" s="2432"/>
      <c r="L14" s="574"/>
      <c r="M14" s="574"/>
      <c r="N14" s="574"/>
    </row>
    <row r="15" spans="1:14" ht="14.25" customHeight="1">
      <c r="A15" s="496">
        <f t="shared" si="0"/>
        <v>6</v>
      </c>
      <c r="B15" s="496"/>
      <c r="C15" s="508" t="s">
        <v>359</v>
      </c>
      <c r="D15" s="497" t="s">
        <v>360</v>
      </c>
      <c r="E15" s="494"/>
      <c r="F15" s="494"/>
      <c r="G15" s="501">
        <v>1</v>
      </c>
      <c r="H15" s="501">
        <f>Allocator.net.plant</f>
        <v>0.27227320599025778</v>
      </c>
      <c r="I15" s="501">
        <f>Allocator.wages.salary</f>
        <v>8.414504158513228E-2</v>
      </c>
      <c r="J15" s="493"/>
      <c r="K15" s="2432"/>
      <c r="L15" s="574"/>
      <c r="M15" s="574"/>
      <c r="N15" s="574"/>
    </row>
    <row r="16" spans="1:14">
      <c r="A16" s="496">
        <f t="shared" si="0"/>
        <v>7</v>
      </c>
      <c r="B16" s="496"/>
      <c r="C16" s="508" t="s">
        <v>361</v>
      </c>
      <c r="D16" s="497" t="str">
        <f>"Line "&amp;A14&amp;" * Allocator"</f>
        <v>Line 5 * Allocator</v>
      </c>
      <c r="E16" s="502"/>
      <c r="F16" s="502"/>
      <c r="G16" s="498">
        <f>G14</f>
        <v>-751281908</v>
      </c>
      <c r="H16" s="498">
        <f>H15*H14</f>
        <v>3031899.1021241336</v>
      </c>
      <c r="I16" s="498">
        <f>I15*I14</f>
        <v>-10769333.187053001</v>
      </c>
      <c r="J16" s="503"/>
      <c r="K16" s="2432"/>
      <c r="L16" s="2207"/>
      <c r="M16" s="2207"/>
      <c r="N16" s="2207"/>
    </row>
    <row r="17" spans="1:14">
      <c r="A17" s="496">
        <f t="shared" si="0"/>
        <v>8</v>
      </c>
      <c r="B17" s="496"/>
      <c r="C17" s="508" t="s">
        <v>834</v>
      </c>
      <c r="D17" s="497" t="s">
        <v>362</v>
      </c>
      <c r="E17" s="497"/>
      <c r="F17" s="497"/>
      <c r="H17" s="498"/>
      <c r="I17" s="498"/>
      <c r="J17" s="2192">
        <f>SUM(G16:I16)</f>
        <v>-759019342.08492887</v>
      </c>
      <c r="K17" s="569"/>
      <c r="L17" s="2208"/>
      <c r="M17" s="2209"/>
      <c r="N17" s="2208"/>
    </row>
    <row r="18" spans="1:14">
      <c r="A18" s="496">
        <f t="shared" si="0"/>
        <v>9</v>
      </c>
      <c r="B18" s="482"/>
      <c r="C18" s="508" t="s">
        <v>835</v>
      </c>
      <c r="D18" s="493"/>
      <c r="E18" s="494"/>
      <c r="F18" s="494"/>
      <c r="G18" s="2240">
        <f>'Att 1 - ADIT'!G16</f>
        <v>-1140285246</v>
      </c>
      <c r="H18" s="2240">
        <f>'Att 1 - ADIT'!H16</f>
        <v>3700095.9401462707</v>
      </c>
      <c r="I18" s="2240">
        <f>'Att 1 - ADIT'!I16</f>
        <v>-19042725.858392838</v>
      </c>
      <c r="J18" s="498">
        <f>'Att 1 - ADIT'!J19</f>
        <v>-1155627875.9182467</v>
      </c>
      <c r="K18" s="569"/>
      <c r="L18" s="2208"/>
      <c r="M18" s="2209"/>
      <c r="N18" s="2208"/>
    </row>
    <row r="19" spans="1:14" ht="15">
      <c r="A19" s="496">
        <f t="shared" si="0"/>
        <v>10</v>
      </c>
      <c r="B19" s="508"/>
      <c r="C19" s="2193" t="s">
        <v>836</v>
      </c>
      <c r="D19" s="493" t="str">
        <f>"Line "&amp;A17&amp;" for Projection and average of Lines "&amp;A17&amp;" &amp; "&amp;A18&amp;" for True-Up"</f>
        <v>Line 8 for Projection and average of Lines 8 &amp; 9 for True-Up</v>
      </c>
      <c r="E19" s="494"/>
      <c r="F19" s="494"/>
      <c r="H19" s="498"/>
      <c r="I19" s="498"/>
      <c r="J19" s="2210">
        <f>IF(Toggle=Projection,J17,IF(Toggle=True_up,AVERAGE(J17:J18),"Set Toggle!"))</f>
        <v>-957323609.00158787</v>
      </c>
      <c r="K19" s="574"/>
      <c r="L19" s="2208"/>
      <c r="M19" s="2209"/>
      <c r="N19" s="2208"/>
    </row>
    <row r="20" spans="1:14">
      <c r="A20" s="482"/>
      <c r="B20" s="482"/>
      <c r="D20" s="493"/>
      <c r="E20" s="494"/>
      <c r="F20" s="494"/>
      <c r="G20" s="494"/>
      <c r="H20" s="494"/>
      <c r="I20" s="494"/>
      <c r="J20" s="487"/>
      <c r="K20" s="498"/>
    </row>
    <row r="21" spans="1:14" ht="12.75">
      <c r="A21" s="506"/>
      <c r="B21" s="506"/>
      <c r="C21" s="506"/>
      <c r="D21" s="487"/>
      <c r="E21" s="506"/>
      <c r="F21" s="506"/>
      <c r="G21" s="506"/>
      <c r="H21" s="506"/>
      <c r="I21" s="506"/>
      <c r="J21" s="487"/>
    </row>
    <row r="22" spans="1:14" ht="15">
      <c r="A22" s="507" t="s">
        <v>364</v>
      </c>
      <c r="B22" s="507"/>
      <c r="C22" s="508"/>
      <c r="D22" s="493"/>
      <c r="E22" s="494"/>
      <c r="F22" s="494"/>
      <c r="G22" s="494"/>
      <c r="H22" s="494"/>
      <c r="I22" s="508"/>
      <c r="J22" s="487"/>
    </row>
    <row r="23" spans="1:14" ht="15">
      <c r="A23" s="507" t="s">
        <v>365</v>
      </c>
      <c r="B23" s="507"/>
      <c r="C23" s="508"/>
      <c r="D23" s="493"/>
      <c r="E23" s="494"/>
      <c r="F23" s="494"/>
      <c r="G23" s="494"/>
      <c r="H23" s="494"/>
      <c r="I23" s="508"/>
      <c r="J23" s="487"/>
    </row>
    <row r="24" spans="1:14" ht="15">
      <c r="A24" s="482"/>
      <c r="B24" s="482"/>
      <c r="C24" s="509"/>
      <c r="D24" s="510"/>
      <c r="E24" s="510"/>
      <c r="F24" s="510"/>
      <c r="G24" s="510"/>
      <c r="H24" s="510"/>
      <c r="I24" s="508"/>
      <c r="J24" s="487"/>
    </row>
    <row r="25" spans="1:14" ht="15">
      <c r="A25" s="507" t="s">
        <v>366</v>
      </c>
      <c r="B25" s="507"/>
      <c r="C25" s="508"/>
      <c r="D25" s="493"/>
      <c r="E25" s="494"/>
      <c r="F25" s="494"/>
      <c r="G25" s="494"/>
      <c r="H25" s="511"/>
      <c r="I25" s="508"/>
      <c r="J25" s="487"/>
    </row>
    <row r="26" spans="1:14" ht="15">
      <c r="A26" s="491"/>
      <c r="B26" s="491"/>
      <c r="C26" s="512" t="s">
        <v>234</v>
      </c>
      <c r="D26" s="513"/>
      <c r="E26" s="512" t="s">
        <v>237</v>
      </c>
      <c r="F26" s="512" t="s">
        <v>239</v>
      </c>
      <c r="G26" s="512" t="s">
        <v>240</v>
      </c>
      <c r="H26" s="512" t="s">
        <v>242</v>
      </c>
      <c r="I26" s="512" t="s">
        <v>244</v>
      </c>
      <c r="J26" s="512" t="s">
        <v>246</v>
      </c>
    </row>
    <row r="27" spans="1:14" s="487" customFormat="1">
      <c r="A27" s="482"/>
      <c r="B27" s="482"/>
      <c r="C27" s="578"/>
      <c r="D27" s="504"/>
      <c r="E27" s="506"/>
      <c r="F27" s="514" t="s">
        <v>367</v>
      </c>
      <c r="G27" s="506"/>
      <c r="H27" s="514"/>
      <c r="I27" s="514"/>
      <c r="J27" s="504"/>
    </row>
    <row r="28" spans="1:14" s="487" customFormat="1">
      <c r="A28" s="578"/>
      <c r="B28" s="578"/>
      <c r="C28" s="578"/>
      <c r="D28" s="504"/>
      <c r="E28" s="514" t="s">
        <v>115</v>
      </c>
      <c r="F28" s="514" t="s">
        <v>368</v>
      </c>
      <c r="G28" s="514" t="s">
        <v>369</v>
      </c>
      <c r="H28" s="514" t="s">
        <v>370</v>
      </c>
      <c r="I28" s="514" t="s">
        <v>371</v>
      </c>
      <c r="J28" s="504"/>
    </row>
    <row r="29" spans="1:14" s="487" customFormat="1" ht="15">
      <c r="A29" s="507" t="s">
        <v>288</v>
      </c>
      <c r="B29" s="507"/>
      <c r="C29" s="515" t="s">
        <v>372</v>
      </c>
      <c r="D29" s="515"/>
      <c r="E29" s="514" t="s">
        <v>373</v>
      </c>
      <c r="F29" s="514" t="s">
        <v>374</v>
      </c>
      <c r="G29" s="514" t="s">
        <v>374</v>
      </c>
      <c r="H29" s="514" t="s">
        <v>374</v>
      </c>
      <c r="I29" s="514" t="s">
        <v>374</v>
      </c>
      <c r="J29" s="516" t="s">
        <v>375</v>
      </c>
    </row>
    <row r="30" spans="1:14">
      <c r="D30" s="504"/>
      <c r="E30" s="506"/>
      <c r="F30" s="506"/>
      <c r="G30" s="506"/>
      <c r="H30" s="506"/>
      <c r="I30" s="506"/>
      <c r="J30" s="504"/>
    </row>
    <row r="31" spans="1:14" ht="15">
      <c r="A31" s="2102" t="s">
        <v>376</v>
      </c>
      <c r="B31" s="2103"/>
      <c r="C31" s="2103"/>
      <c r="D31" s="2104"/>
      <c r="E31" s="2105"/>
      <c r="F31" s="2105"/>
      <c r="G31" s="2105"/>
      <c r="H31" s="2105"/>
      <c r="I31" s="2105"/>
      <c r="J31" s="2106"/>
    </row>
    <row r="32" spans="1:14" ht="12.75">
      <c r="A32" s="2107" t="s">
        <v>377</v>
      </c>
      <c r="B32" s="2108"/>
      <c r="C32" s="2109"/>
      <c r="D32" s="2110"/>
      <c r="E32" s="2111"/>
      <c r="F32" s="2111"/>
      <c r="G32" s="2111"/>
      <c r="H32" s="2111"/>
      <c r="I32" s="2111"/>
      <c r="J32" s="2112"/>
    </row>
    <row r="33" spans="1:10" ht="25.5">
      <c r="A33" s="2097">
        <v>287414</v>
      </c>
      <c r="B33" s="2098">
        <v>505.7</v>
      </c>
      <c r="C33" s="2099" t="s">
        <v>837</v>
      </c>
      <c r="D33" s="2100"/>
      <c r="E33" s="2113">
        <v>27772</v>
      </c>
      <c r="F33" s="2113">
        <v>0</v>
      </c>
      <c r="G33" s="2113">
        <v>0</v>
      </c>
      <c r="H33" s="2113">
        <v>0</v>
      </c>
      <c r="I33" s="2113">
        <f>E33</f>
        <v>27772</v>
      </c>
      <c r="J33" s="2101" t="s">
        <v>838</v>
      </c>
    </row>
    <row r="34" spans="1:10" ht="25.5">
      <c r="A34" s="2097">
        <v>287220</v>
      </c>
      <c r="B34" s="2098">
        <v>720.56</v>
      </c>
      <c r="C34" s="2099" t="s">
        <v>2045</v>
      </c>
      <c r="D34" s="2100"/>
      <c r="E34" s="2113">
        <v>28303872</v>
      </c>
      <c r="F34" s="2113">
        <f>E34</f>
        <v>28303872</v>
      </c>
      <c r="G34" s="2113">
        <v>0</v>
      </c>
      <c r="H34" s="2113">
        <v>0</v>
      </c>
      <c r="I34" s="2113">
        <v>0</v>
      </c>
      <c r="J34" s="2101" t="s">
        <v>379</v>
      </c>
    </row>
    <row r="35" spans="1:10" ht="25.5">
      <c r="A35" s="2097">
        <v>287300</v>
      </c>
      <c r="B35" s="2098">
        <v>920.18200000000002</v>
      </c>
      <c r="C35" s="2099" t="s">
        <v>380</v>
      </c>
      <c r="D35" s="2100"/>
      <c r="E35" s="2113">
        <v>5402412</v>
      </c>
      <c r="F35" s="2113">
        <v>0</v>
      </c>
      <c r="G35" s="2113">
        <v>0</v>
      </c>
      <c r="H35" s="2113">
        <v>0</v>
      </c>
      <c r="I35" s="2113">
        <f t="shared" ref="I35:I40" si="1">E35</f>
        <v>5402412</v>
      </c>
      <c r="J35" s="2101" t="s">
        <v>381</v>
      </c>
    </row>
    <row r="36" spans="1:10" ht="30">
      <c r="A36" s="2097">
        <v>287323</v>
      </c>
      <c r="B36" s="2098">
        <v>505.4</v>
      </c>
      <c r="C36" s="2099" t="s">
        <v>382</v>
      </c>
      <c r="D36" s="2100"/>
      <c r="E36" s="2113">
        <v>3071</v>
      </c>
      <c r="F36" s="2113">
        <v>0</v>
      </c>
      <c r="G36" s="2113">
        <v>0</v>
      </c>
      <c r="H36" s="2113">
        <v>0</v>
      </c>
      <c r="I36" s="2113">
        <f t="shared" si="1"/>
        <v>3071</v>
      </c>
      <c r="J36" s="2114" t="s">
        <v>383</v>
      </c>
    </row>
    <row r="37" spans="1:10" ht="15">
      <c r="A37" s="2097">
        <v>287324</v>
      </c>
      <c r="B37" s="2098">
        <v>720.2</v>
      </c>
      <c r="C37" s="2099" t="s">
        <v>2046</v>
      </c>
      <c r="D37" s="2100"/>
      <c r="E37" s="2113">
        <v>2473185</v>
      </c>
      <c r="F37" s="2113">
        <v>0</v>
      </c>
      <c r="G37" s="2113">
        <v>0</v>
      </c>
      <c r="H37" s="2113">
        <v>0</v>
      </c>
      <c r="I37" s="2113">
        <f t="shared" si="1"/>
        <v>2473185</v>
      </c>
      <c r="J37" s="2101" t="s">
        <v>385</v>
      </c>
    </row>
    <row r="38" spans="1:10" ht="45">
      <c r="A38" s="2097">
        <v>287326</v>
      </c>
      <c r="B38" s="2098">
        <v>720.5</v>
      </c>
      <c r="C38" s="2099" t="s">
        <v>386</v>
      </c>
      <c r="D38" s="2100"/>
      <c r="E38" s="2113">
        <v>157578</v>
      </c>
      <c r="F38" s="2113">
        <v>0</v>
      </c>
      <c r="G38" s="2113">
        <v>0</v>
      </c>
      <c r="H38" s="2113">
        <v>0</v>
      </c>
      <c r="I38" s="2113">
        <f t="shared" si="1"/>
        <v>157578</v>
      </c>
      <c r="J38" s="2114" t="s">
        <v>387</v>
      </c>
    </row>
    <row r="39" spans="1:10" ht="25.5">
      <c r="A39" s="2097">
        <v>287327</v>
      </c>
      <c r="B39" s="2098">
        <v>720.3</v>
      </c>
      <c r="C39" s="2099" t="s">
        <v>2047</v>
      </c>
      <c r="D39" s="2100"/>
      <c r="E39" s="2113">
        <v>397298</v>
      </c>
      <c r="F39" s="2113">
        <f>E39</f>
        <v>397298</v>
      </c>
      <c r="G39" s="2113">
        <v>0</v>
      </c>
      <c r="H39" s="2113">
        <v>0</v>
      </c>
      <c r="I39" s="2113">
        <v>0</v>
      </c>
      <c r="J39" s="2101" t="s">
        <v>389</v>
      </c>
    </row>
    <row r="40" spans="1:10" ht="30">
      <c r="A40" s="2097">
        <v>287332</v>
      </c>
      <c r="B40" s="2098">
        <v>505.6</v>
      </c>
      <c r="C40" s="2099" t="s">
        <v>390</v>
      </c>
      <c r="D40" s="2100"/>
      <c r="E40" s="2113">
        <v>6227380</v>
      </c>
      <c r="F40" s="2113">
        <v>0</v>
      </c>
      <c r="G40" s="2113">
        <v>0</v>
      </c>
      <c r="H40" s="2113">
        <v>0</v>
      </c>
      <c r="I40" s="2113">
        <f t="shared" si="1"/>
        <v>6227380</v>
      </c>
      <c r="J40" s="2114" t="s">
        <v>391</v>
      </c>
    </row>
    <row r="41" spans="1:10" ht="25.5">
      <c r="A41" s="2097">
        <v>287373</v>
      </c>
      <c r="B41" s="2098">
        <v>910.58</v>
      </c>
      <c r="C41" s="2099" t="s">
        <v>2048</v>
      </c>
      <c r="D41" s="2100"/>
      <c r="E41" s="2113">
        <v>610677</v>
      </c>
      <c r="F41" s="2113">
        <v>0</v>
      </c>
      <c r="G41" s="2113">
        <v>0</v>
      </c>
      <c r="H41" s="2113">
        <v>0</v>
      </c>
      <c r="I41" s="2113">
        <f>E41</f>
        <v>610677</v>
      </c>
      <c r="J41" s="2101" t="s">
        <v>393</v>
      </c>
    </row>
    <row r="42" spans="1:10" ht="15">
      <c r="A42" s="2097">
        <v>287399</v>
      </c>
      <c r="B42" s="2098">
        <v>920.15</v>
      </c>
      <c r="C42" s="2099" t="s">
        <v>2049</v>
      </c>
      <c r="D42" s="2100"/>
      <c r="E42" s="2113">
        <v>6962522</v>
      </c>
      <c r="F42" s="2113">
        <v>0</v>
      </c>
      <c r="G42" s="2113">
        <v>0</v>
      </c>
      <c r="H42" s="2113">
        <v>0</v>
      </c>
      <c r="I42" s="2113">
        <f>E42</f>
        <v>6962522</v>
      </c>
      <c r="J42" s="2101" t="s">
        <v>395</v>
      </c>
    </row>
    <row r="43" spans="1:10" ht="38.25">
      <c r="A43" s="2097">
        <v>287447</v>
      </c>
      <c r="B43" s="2098">
        <v>720.83</v>
      </c>
      <c r="C43" s="2099" t="s">
        <v>396</v>
      </c>
      <c r="D43" s="2100"/>
      <c r="E43" s="2113">
        <v>2615031</v>
      </c>
      <c r="F43" s="2113">
        <v>0</v>
      </c>
      <c r="G43" s="2113">
        <v>0</v>
      </c>
      <c r="H43" s="2113">
        <v>0</v>
      </c>
      <c r="I43" s="2113">
        <f>E43</f>
        <v>2615031</v>
      </c>
      <c r="J43" s="2101" t="s">
        <v>397</v>
      </c>
    </row>
    <row r="44" spans="1:10" ht="12.75">
      <c r="A44" s="2097">
        <v>287460</v>
      </c>
      <c r="B44" s="2098">
        <v>720.8</v>
      </c>
      <c r="C44" s="2115" t="s">
        <v>398</v>
      </c>
      <c r="D44" s="2100"/>
      <c r="E44" s="2113">
        <v>18536580</v>
      </c>
      <c r="F44" s="2113">
        <f>E44</f>
        <v>18536580</v>
      </c>
      <c r="G44" s="2113">
        <v>0</v>
      </c>
      <c r="H44" s="2113">
        <v>0</v>
      </c>
      <c r="I44" s="2113">
        <v>0</v>
      </c>
      <c r="J44" s="2101" t="s">
        <v>399</v>
      </c>
    </row>
    <row r="45" spans="1:10" ht="15">
      <c r="A45" s="2097">
        <v>287462</v>
      </c>
      <c r="B45" s="2098">
        <v>720.82</v>
      </c>
      <c r="C45" s="2099" t="s">
        <v>401</v>
      </c>
      <c r="D45" s="2100"/>
      <c r="E45" s="2113">
        <v>13672129</v>
      </c>
      <c r="F45" s="2113">
        <f>E45</f>
        <v>13672129</v>
      </c>
      <c r="G45" s="2113">
        <v>0</v>
      </c>
      <c r="H45" s="2113">
        <v>0</v>
      </c>
      <c r="I45" s="2113">
        <v>0</v>
      </c>
      <c r="J45" s="2101" t="s">
        <v>402</v>
      </c>
    </row>
    <row r="46" spans="1:10" ht="12.75">
      <c r="A46" s="2107" t="s">
        <v>403</v>
      </c>
      <c r="B46" s="2108"/>
      <c r="C46" s="2109"/>
      <c r="D46" s="2100"/>
      <c r="E46" s="2116"/>
      <c r="F46" s="2116"/>
      <c r="G46" s="2116"/>
      <c r="H46" s="2116"/>
      <c r="I46" s="2116"/>
      <c r="J46" s="2101"/>
    </row>
    <row r="47" spans="1:10" ht="25.5">
      <c r="A47" s="2097">
        <v>287336</v>
      </c>
      <c r="B47" s="2098">
        <v>730.12</v>
      </c>
      <c r="C47" s="2099" t="s">
        <v>2050</v>
      </c>
      <c r="D47" s="2100"/>
      <c r="E47" s="2116">
        <v>15548329</v>
      </c>
      <c r="F47" s="2113">
        <f>E47</f>
        <v>15548329</v>
      </c>
      <c r="G47" s="2113">
        <v>0</v>
      </c>
      <c r="H47" s="2113">
        <v>0</v>
      </c>
      <c r="I47" s="2113">
        <v>0</v>
      </c>
      <c r="J47" s="2101" t="s">
        <v>405</v>
      </c>
    </row>
    <row r="48" spans="1:10" ht="25.5">
      <c r="A48" s="2097">
        <v>287249</v>
      </c>
      <c r="B48" s="2098">
        <v>415.839</v>
      </c>
      <c r="C48" s="2109" t="s">
        <v>406</v>
      </c>
      <c r="D48" s="2100"/>
      <c r="E48" s="2116">
        <v>17521790</v>
      </c>
      <c r="F48" s="2113">
        <f>E48</f>
        <v>17521790</v>
      </c>
      <c r="G48" s="2113">
        <v>0</v>
      </c>
      <c r="H48" s="2113">
        <v>0</v>
      </c>
      <c r="I48" s="2113">
        <v>0</v>
      </c>
      <c r="J48" s="2101" t="s">
        <v>407</v>
      </c>
    </row>
    <row r="49" spans="1:10" ht="12.75">
      <c r="A49" s="2107" t="s">
        <v>408</v>
      </c>
      <c r="B49" s="2108"/>
      <c r="C49" s="2109"/>
      <c r="D49" s="2100"/>
      <c r="E49" s="2116"/>
      <c r="F49" s="2116"/>
      <c r="G49" s="2116"/>
      <c r="H49" s="2116"/>
      <c r="I49" s="2116"/>
      <c r="J49" s="2101"/>
    </row>
    <row r="50" spans="1:10" ht="38.25">
      <c r="A50" s="2097">
        <v>287051</v>
      </c>
      <c r="B50" s="2211" t="s">
        <v>1863</v>
      </c>
      <c r="C50" s="2099" t="s">
        <v>1864</v>
      </c>
      <c r="D50" s="2100"/>
      <c r="E50" s="2116">
        <v>1774469</v>
      </c>
      <c r="F50" s="2113">
        <f>E50</f>
        <v>1774469</v>
      </c>
      <c r="G50" s="2113">
        <v>0</v>
      </c>
      <c r="H50" s="2113">
        <v>0</v>
      </c>
      <c r="I50" s="2113">
        <v>0</v>
      </c>
      <c r="J50" s="2101" t="s">
        <v>2051</v>
      </c>
    </row>
    <row r="51" spans="1:10" ht="38.25">
      <c r="A51" s="2097">
        <v>287052</v>
      </c>
      <c r="B51" s="2098">
        <v>705.34100000000001</v>
      </c>
      <c r="C51" s="2099" t="s">
        <v>1865</v>
      </c>
      <c r="D51" s="2100"/>
      <c r="E51" s="2116">
        <v>198629</v>
      </c>
      <c r="F51" s="2113">
        <f t="shared" ref="F51:F73" si="2">E51</f>
        <v>198629</v>
      </c>
      <c r="G51" s="2113">
        <v>0</v>
      </c>
      <c r="H51" s="2113">
        <v>0</v>
      </c>
      <c r="I51" s="2113">
        <v>0</v>
      </c>
      <c r="J51" s="2101" t="s">
        <v>2052</v>
      </c>
    </row>
    <row r="52" spans="1:10" ht="38.25">
      <c r="A52" s="2097">
        <v>287053</v>
      </c>
      <c r="B52" s="2098">
        <v>705.34199999999998</v>
      </c>
      <c r="C52" s="2099" t="s">
        <v>1866</v>
      </c>
      <c r="D52" s="2100"/>
      <c r="E52" s="2116">
        <v>12527831</v>
      </c>
      <c r="F52" s="2113">
        <f t="shared" si="2"/>
        <v>12527831</v>
      </c>
      <c r="G52" s="2113">
        <v>0</v>
      </c>
      <c r="H52" s="2113">
        <v>0</v>
      </c>
      <c r="I52" s="2113">
        <v>0</v>
      </c>
      <c r="J52" s="2101" t="s">
        <v>2053</v>
      </c>
    </row>
    <row r="53" spans="1:10" ht="38.25">
      <c r="A53" s="2097">
        <v>287054</v>
      </c>
      <c r="B53" s="2098">
        <v>705.34299999999996</v>
      </c>
      <c r="C53" s="2099" t="s">
        <v>1867</v>
      </c>
      <c r="D53" s="2100"/>
      <c r="E53" s="2116">
        <v>162012</v>
      </c>
      <c r="F53" s="2113">
        <f t="shared" si="2"/>
        <v>162012</v>
      </c>
      <c r="G53" s="2113">
        <v>0</v>
      </c>
      <c r="H53" s="2113">
        <v>0</v>
      </c>
      <c r="I53" s="2113">
        <v>0</v>
      </c>
      <c r="J53" s="2101" t="s">
        <v>2054</v>
      </c>
    </row>
    <row r="54" spans="1:10" ht="38.25">
      <c r="A54" s="2097">
        <v>287055</v>
      </c>
      <c r="B54" s="2098">
        <v>705.34400000000005</v>
      </c>
      <c r="C54" s="2099" t="s">
        <v>1868</v>
      </c>
      <c r="D54" s="2100"/>
      <c r="E54" s="2116">
        <v>2205980</v>
      </c>
      <c r="F54" s="2113">
        <f t="shared" si="2"/>
        <v>2205980</v>
      </c>
      <c r="G54" s="2113">
        <v>0</v>
      </c>
      <c r="H54" s="2113">
        <v>0</v>
      </c>
      <c r="I54" s="2113">
        <v>0</v>
      </c>
      <c r="J54" s="2101" t="s">
        <v>2055</v>
      </c>
    </row>
    <row r="55" spans="1:10" ht="38.25">
      <c r="A55" s="2097">
        <v>287056</v>
      </c>
      <c r="B55" s="2098">
        <v>705.34500000000003</v>
      </c>
      <c r="C55" s="2099" t="s">
        <v>1869</v>
      </c>
      <c r="D55" s="2100"/>
      <c r="E55" s="2116">
        <v>572721</v>
      </c>
      <c r="F55" s="2113">
        <f t="shared" si="2"/>
        <v>572721</v>
      </c>
      <c r="G55" s="2113">
        <v>0</v>
      </c>
      <c r="H55" s="2113">
        <v>0</v>
      </c>
      <c r="I55" s="2113">
        <v>0</v>
      </c>
      <c r="J55" s="2101" t="s">
        <v>2056</v>
      </c>
    </row>
    <row r="56" spans="1:10" ht="25.5">
      <c r="A56" s="2097">
        <v>287061</v>
      </c>
      <c r="B56" s="2098">
        <v>705.346</v>
      </c>
      <c r="C56" s="2099" t="s">
        <v>2057</v>
      </c>
      <c r="D56" s="2100"/>
      <c r="E56" s="2116">
        <v>819472</v>
      </c>
      <c r="F56" s="2113">
        <f t="shared" si="2"/>
        <v>819472</v>
      </c>
      <c r="G56" s="2113">
        <v>0</v>
      </c>
      <c r="H56" s="2113">
        <v>0</v>
      </c>
      <c r="I56" s="2113">
        <v>0</v>
      </c>
      <c r="J56" s="2101" t="s">
        <v>2058</v>
      </c>
    </row>
    <row r="57" spans="1:10" ht="25.5">
      <c r="A57" s="2097">
        <v>287062</v>
      </c>
      <c r="B57" s="2098">
        <v>705.34699999999998</v>
      </c>
      <c r="C57" s="2099" t="s">
        <v>2059</v>
      </c>
      <c r="D57" s="2100"/>
      <c r="E57" s="2116">
        <v>1872929</v>
      </c>
      <c r="F57" s="2113">
        <f t="shared" si="2"/>
        <v>1872929</v>
      </c>
      <c r="G57" s="2113">
        <v>0</v>
      </c>
      <c r="H57" s="2113">
        <v>0</v>
      </c>
      <c r="I57" s="2113">
        <v>0</v>
      </c>
      <c r="J57" s="2101" t="s">
        <v>2060</v>
      </c>
    </row>
    <row r="58" spans="1:10" ht="25.5">
      <c r="A58" s="2097">
        <v>287063</v>
      </c>
      <c r="B58" s="2098">
        <v>705.34799999999996</v>
      </c>
      <c r="C58" s="2099" t="s">
        <v>2061</v>
      </c>
      <c r="D58" s="2100"/>
      <c r="E58" s="2116">
        <v>9606196</v>
      </c>
      <c r="F58" s="2113">
        <f t="shared" si="2"/>
        <v>9606196</v>
      </c>
      <c r="G58" s="2113">
        <v>0</v>
      </c>
      <c r="H58" s="2113">
        <v>0</v>
      </c>
      <c r="I58" s="2113">
        <v>0</v>
      </c>
      <c r="J58" s="2101" t="s">
        <v>2062</v>
      </c>
    </row>
    <row r="59" spans="1:10" ht="25.5">
      <c r="A59" s="2097">
        <v>287064</v>
      </c>
      <c r="B59" s="2098">
        <v>705.34900000000005</v>
      </c>
      <c r="C59" s="2099" t="s">
        <v>2063</v>
      </c>
      <c r="D59" s="2100"/>
      <c r="E59" s="2116">
        <v>17165823</v>
      </c>
      <c r="F59" s="2113">
        <f t="shared" si="2"/>
        <v>17165823</v>
      </c>
      <c r="G59" s="2113">
        <v>0</v>
      </c>
      <c r="H59" s="2113">
        <v>0</v>
      </c>
      <c r="I59" s="2113">
        <v>0</v>
      </c>
      <c r="J59" s="2101" t="s">
        <v>2064</v>
      </c>
    </row>
    <row r="60" spans="1:10" ht="25.5">
      <c r="A60" s="2097">
        <v>287065</v>
      </c>
      <c r="B60" s="2098">
        <v>705.35</v>
      </c>
      <c r="C60" s="2099" t="s">
        <v>2065</v>
      </c>
      <c r="D60" s="2100"/>
      <c r="E60" s="2116">
        <v>2624129</v>
      </c>
      <c r="F60" s="2113">
        <f t="shared" si="2"/>
        <v>2624129</v>
      </c>
      <c r="G60" s="2113">
        <v>0</v>
      </c>
      <c r="H60" s="2113">
        <v>0</v>
      </c>
      <c r="I60" s="2113">
        <v>0</v>
      </c>
      <c r="J60" s="2101" t="s">
        <v>2066</v>
      </c>
    </row>
    <row r="61" spans="1:10" ht="25.5">
      <c r="A61" s="2097">
        <v>287066</v>
      </c>
      <c r="B61" s="2098">
        <v>705.351</v>
      </c>
      <c r="C61" s="2099" t="s">
        <v>2067</v>
      </c>
      <c r="D61" s="2100"/>
      <c r="E61" s="2116">
        <v>5950126</v>
      </c>
      <c r="F61" s="2113">
        <f t="shared" si="2"/>
        <v>5950126</v>
      </c>
      <c r="G61" s="2113">
        <v>0</v>
      </c>
      <c r="H61" s="2113">
        <v>0</v>
      </c>
      <c r="I61" s="2113">
        <v>0</v>
      </c>
      <c r="J61" s="2101" t="s">
        <v>2068</v>
      </c>
    </row>
    <row r="62" spans="1:10" ht="38.25">
      <c r="A62" s="2097">
        <v>287111</v>
      </c>
      <c r="B62" s="2098">
        <v>705.28700000000003</v>
      </c>
      <c r="C62" s="2099" t="s">
        <v>2069</v>
      </c>
      <c r="D62" s="2100"/>
      <c r="E62" s="2116">
        <v>8843563</v>
      </c>
      <c r="F62" s="2113">
        <f t="shared" si="2"/>
        <v>8843563</v>
      </c>
      <c r="G62" s="2113">
        <v>0</v>
      </c>
      <c r="H62" s="2113">
        <v>0</v>
      </c>
      <c r="I62" s="2113">
        <v>0</v>
      </c>
      <c r="J62" s="2101" t="s">
        <v>2070</v>
      </c>
    </row>
    <row r="63" spans="1:10" ht="38.25">
      <c r="A63" s="2097">
        <v>287112</v>
      </c>
      <c r="B63" s="2098">
        <v>705.28800000000001</v>
      </c>
      <c r="C63" s="2099" t="s">
        <v>2071</v>
      </c>
      <c r="D63" s="2100"/>
      <c r="E63" s="2116">
        <v>22969779</v>
      </c>
      <c r="F63" s="2113">
        <f t="shared" si="2"/>
        <v>22969779</v>
      </c>
      <c r="G63" s="2113">
        <v>0</v>
      </c>
      <c r="H63" s="2113">
        <v>0</v>
      </c>
      <c r="I63" s="2113">
        <v>0</v>
      </c>
      <c r="J63" s="2101" t="s">
        <v>2072</v>
      </c>
    </row>
    <row r="64" spans="1:10" ht="38.25">
      <c r="A64" s="2097">
        <v>287113</v>
      </c>
      <c r="B64" s="2098">
        <v>705.28899999999999</v>
      </c>
      <c r="C64" s="2099" t="s">
        <v>2073</v>
      </c>
      <c r="D64" s="2100"/>
      <c r="E64" s="2116">
        <v>100330266</v>
      </c>
      <c r="F64" s="2113">
        <f t="shared" si="2"/>
        <v>100330266</v>
      </c>
      <c r="G64" s="2113">
        <v>0</v>
      </c>
      <c r="H64" s="2113">
        <v>0</v>
      </c>
      <c r="I64" s="2113">
        <v>0</v>
      </c>
      <c r="J64" s="2101" t="s">
        <v>2074</v>
      </c>
    </row>
    <row r="65" spans="1:10" ht="38.25">
      <c r="A65" s="2097">
        <v>287114</v>
      </c>
      <c r="B65" s="2098">
        <v>705.29</v>
      </c>
      <c r="C65" s="2099" t="s">
        <v>2075</v>
      </c>
      <c r="D65" s="2100"/>
      <c r="E65" s="2116">
        <v>24203327</v>
      </c>
      <c r="F65" s="2113">
        <f t="shared" si="2"/>
        <v>24203327</v>
      </c>
      <c r="G65" s="2113">
        <v>0</v>
      </c>
      <c r="H65" s="2113">
        <v>0</v>
      </c>
      <c r="I65" s="2113">
        <v>0</v>
      </c>
      <c r="J65" s="2101" t="s">
        <v>2076</v>
      </c>
    </row>
    <row r="66" spans="1:10" ht="38.25">
      <c r="A66" s="2097">
        <v>287115</v>
      </c>
      <c r="B66" s="2098">
        <v>705.29100000000005</v>
      </c>
      <c r="C66" s="2099" t="s">
        <v>2077</v>
      </c>
      <c r="D66" s="2100"/>
      <c r="E66" s="2116">
        <v>56221284</v>
      </c>
      <c r="F66" s="2113">
        <f t="shared" si="2"/>
        <v>56221284</v>
      </c>
      <c r="G66" s="2113">
        <v>0</v>
      </c>
      <c r="H66" s="2113">
        <v>0</v>
      </c>
      <c r="I66" s="2113">
        <v>0</v>
      </c>
      <c r="J66" s="2101" t="s">
        <v>2078</v>
      </c>
    </row>
    <row r="67" spans="1:10" ht="38.25">
      <c r="A67" s="2097">
        <v>287116</v>
      </c>
      <c r="B67" s="2098">
        <v>705.29200000000003</v>
      </c>
      <c r="C67" s="2099" t="s">
        <v>2079</v>
      </c>
      <c r="D67" s="2100"/>
      <c r="E67" s="2116">
        <v>177211110</v>
      </c>
      <c r="F67" s="2113">
        <f t="shared" si="2"/>
        <v>177211110</v>
      </c>
      <c r="G67" s="2113">
        <v>0</v>
      </c>
      <c r="H67" s="2113">
        <v>0</v>
      </c>
      <c r="I67" s="2113">
        <v>0</v>
      </c>
      <c r="J67" s="2101" t="s">
        <v>2080</v>
      </c>
    </row>
    <row r="68" spans="1:10" ht="38.25">
      <c r="A68" s="2097">
        <v>287121</v>
      </c>
      <c r="B68" s="2098">
        <v>705.29399999999998</v>
      </c>
      <c r="C68" s="2099" t="s">
        <v>2081</v>
      </c>
      <c r="D68" s="2100"/>
      <c r="E68" s="2116">
        <v>1033880</v>
      </c>
      <c r="F68" s="2113">
        <f t="shared" si="2"/>
        <v>1033880</v>
      </c>
      <c r="G68" s="2113">
        <v>0</v>
      </c>
      <c r="H68" s="2113">
        <v>0</v>
      </c>
      <c r="I68" s="2113">
        <v>0</v>
      </c>
      <c r="J68" s="2101" t="s">
        <v>2082</v>
      </c>
    </row>
    <row r="69" spans="1:10" ht="38.25">
      <c r="A69" s="2097">
        <v>287122</v>
      </c>
      <c r="B69" s="2098">
        <v>705.29499999999996</v>
      </c>
      <c r="C69" s="2099" t="s">
        <v>2083</v>
      </c>
      <c r="D69" s="2100"/>
      <c r="E69" s="2116">
        <v>3720223</v>
      </c>
      <c r="F69" s="2113">
        <f t="shared" si="2"/>
        <v>3720223</v>
      </c>
      <c r="G69" s="2113">
        <v>0</v>
      </c>
      <c r="H69" s="2113">
        <v>0</v>
      </c>
      <c r="I69" s="2113">
        <v>0</v>
      </c>
      <c r="J69" s="2101" t="s">
        <v>2084</v>
      </c>
    </row>
    <row r="70" spans="1:10" ht="38.25">
      <c r="A70" s="2097">
        <v>287124</v>
      </c>
      <c r="B70" s="2098">
        <v>705.29600000000005</v>
      </c>
      <c r="C70" s="2099" t="s">
        <v>2085</v>
      </c>
      <c r="D70" s="2100"/>
      <c r="E70" s="2116">
        <v>6444285</v>
      </c>
      <c r="F70" s="2113">
        <f t="shared" si="2"/>
        <v>6444285</v>
      </c>
      <c r="G70" s="2113">
        <v>0</v>
      </c>
      <c r="H70" s="2113">
        <v>0</v>
      </c>
      <c r="I70" s="2113">
        <v>0</v>
      </c>
      <c r="J70" s="2101" t="s">
        <v>2086</v>
      </c>
    </row>
    <row r="71" spans="1:10" ht="38.25">
      <c r="A71" s="2097">
        <v>287125</v>
      </c>
      <c r="B71" s="2098">
        <v>705.29700000000003</v>
      </c>
      <c r="C71" s="2099" t="s">
        <v>2087</v>
      </c>
      <c r="D71" s="2100"/>
      <c r="E71" s="2116">
        <v>13062075</v>
      </c>
      <c r="F71" s="2113">
        <f t="shared" si="2"/>
        <v>13062075</v>
      </c>
      <c r="G71" s="2113">
        <v>0</v>
      </c>
      <c r="H71" s="2113">
        <v>0</v>
      </c>
      <c r="I71" s="2113">
        <v>0</v>
      </c>
      <c r="J71" s="2101" t="s">
        <v>2088</v>
      </c>
    </row>
    <row r="72" spans="1:10" ht="38.25">
      <c r="A72" s="2097">
        <v>287126</v>
      </c>
      <c r="B72" s="2098">
        <v>705.298</v>
      </c>
      <c r="C72" s="2099" t="s">
        <v>2089</v>
      </c>
      <c r="D72" s="2100"/>
      <c r="E72" s="2116">
        <v>5867251</v>
      </c>
      <c r="F72" s="2113">
        <f t="shared" si="2"/>
        <v>5867251</v>
      </c>
      <c r="G72" s="2113">
        <v>0</v>
      </c>
      <c r="H72" s="2113">
        <v>0</v>
      </c>
      <c r="I72" s="2113">
        <v>0</v>
      </c>
      <c r="J72" s="2101" t="s">
        <v>2090</v>
      </c>
    </row>
    <row r="73" spans="1:10" ht="114.75">
      <c r="A73" s="2097">
        <v>287184</v>
      </c>
      <c r="B73" s="2098">
        <v>705.60500000000002</v>
      </c>
      <c r="C73" s="2099" t="s">
        <v>1876</v>
      </c>
      <c r="D73" s="2100"/>
      <c r="E73" s="2116">
        <v>743995</v>
      </c>
      <c r="F73" s="2113">
        <f t="shared" si="2"/>
        <v>743995</v>
      </c>
      <c r="G73" s="2113">
        <v>0</v>
      </c>
      <c r="H73" s="2113">
        <v>0</v>
      </c>
      <c r="I73" s="2113">
        <v>0</v>
      </c>
      <c r="J73" s="2101" t="s">
        <v>1877</v>
      </c>
    </row>
    <row r="74" spans="1:10" ht="38.25">
      <c r="A74" s="2097">
        <v>287188</v>
      </c>
      <c r="B74" s="2098" t="s">
        <v>839</v>
      </c>
      <c r="C74" s="2109" t="s">
        <v>840</v>
      </c>
      <c r="D74" s="2100"/>
      <c r="E74" s="2116">
        <v>-57682274</v>
      </c>
      <c r="F74" s="2116">
        <f>E74</f>
        <v>-57682274</v>
      </c>
      <c r="G74" s="2116">
        <v>0</v>
      </c>
      <c r="H74" s="2116">
        <v>0</v>
      </c>
      <c r="I74" s="2116">
        <v>0</v>
      </c>
      <c r="J74" s="2101" t="s">
        <v>2091</v>
      </c>
    </row>
    <row r="75" spans="1:10" ht="25.5">
      <c r="A75" s="2097">
        <v>287190</v>
      </c>
      <c r="B75" s="2098">
        <v>100.122</v>
      </c>
      <c r="C75" s="2117" t="s">
        <v>841</v>
      </c>
      <c r="D75" s="2100"/>
      <c r="E75" s="2116">
        <v>1576465</v>
      </c>
      <c r="F75" s="2116">
        <f>E75</f>
        <v>1576465</v>
      </c>
      <c r="G75" s="2116">
        <v>0</v>
      </c>
      <c r="H75" s="2116">
        <v>0</v>
      </c>
      <c r="I75" s="2116">
        <v>0</v>
      </c>
      <c r="J75" s="2101" t="s">
        <v>2092</v>
      </c>
    </row>
    <row r="76" spans="1:10" ht="38.25">
      <c r="A76" s="2097">
        <v>287191</v>
      </c>
      <c r="B76" s="2098">
        <v>705.28</v>
      </c>
      <c r="C76" s="2109" t="s">
        <v>2093</v>
      </c>
      <c r="D76" s="2100"/>
      <c r="E76" s="2116">
        <v>272759</v>
      </c>
      <c r="F76" s="2116">
        <f t="shared" ref="F76:F80" si="3">E76</f>
        <v>272759</v>
      </c>
      <c r="G76" s="2116">
        <v>0</v>
      </c>
      <c r="H76" s="2116">
        <v>0</v>
      </c>
      <c r="I76" s="2116">
        <v>0</v>
      </c>
      <c r="J76" s="2101" t="s">
        <v>843</v>
      </c>
    </row>
    <row r="77" spans="1:10" ht="45">
      <c r="A77" s="2097">
        <v>287192</v>
      </c>
      <c r="B77" s="2098">
        <v>705.28099999999995</v>
      </c>
      <c r="C77" s="2109" t="s">
        <v>2094</v>
      </c>
      <c r="D77" s="2100"/>
      <c r="E77" s="2116">
        <v>363042</v>
      </c>
      <c r="F77" s="2116">
        <f t="shared" si="3"/>
        <v>363042</v>
      </c>
      <c r="G77" s="2116">
        <v>0</v>
      </c>
      <c r="H77" s="2116">
        <v>0</v>
      </c>
      <c r="I77" s="2116">
        <v>0</v>
      </c>
      <c r="J77" s="2114" t="s">
        <v>845</v>
      </c>
    </row>
    <row r="78" spans="1:10" ht="41.25" customHeight="1">
      <c r="A78" s="2097">
        <v>287195</v>
      </c>
      <c r="B78" s="2098">
        <v>705.28399999999999</v>
      </c>
      <c r="C78" s="2109" t="s">
        <v>2095</v>
      </c>
      <c r="D78" s="2100"/>
      <c r="E78" s="2116">
        <v>326187</v>
      </c>
      <c r="F78" s="2116">
        <f t="shared" si="3"/>
        <v>326187</v>
      </c>
      <c r="G78" s="2116">
        <v>0</v>
      </c>
      <c r="H78" s="2116">
        <v>0</v>
      </c>
      <c r="I78" s="2116">
        <v>0</v>
      </c>
      <c r="J78" s="2114" t="s">
        <v>849</v>
      </c>
    </row>
    <row r="79" spans="1:10" ht="45">
      <c r="A79" s="2097">
        <v>287196</v>
      </c>
      <c r="B79" s="2098">
        <v>705.28499999999997</v>
      </c>
      <c r="C79" s="2109" t="s">
        <v>2096</v>
      </c>
      <c r="D79" s="2100"/>
      <c r="E79" s="2116">
        <v>2939674</v>
      </c>
      <c r="F79" s="2116">
        <f t="shared" si="3"/>
        <v>2939674</v>
      </c>
      <c r="G79" s="2116">
        <v>0</v>
      </c>
      <c r="H79" s="2116">
        <v>0</v>
      </c>
      <c r="I79" s="2116">
        <v>0</v>
      </c>
      <c r="J79" s="2114" t="s">
        <v>851</v>
      </c>
    </row>
    <row r="80" spans="1:10" ht="30">
      <c r="A80" s="2097">
        <v>287198</v>
      </c>
      <c r="B80" s="2098">
        <v>320.279</v>
      </c>
      <c r="C80" s="2117" t="s">
        <v>853</v>
      </c>
      <c r="D80" s="2100"/>
      <c r="E80" s="2116">
        <v>4512773</v>
      </c>
      <c r="F80" s="2116">
        <f t="shared" si="3"/>
        <v>4512773</v>
      </c>
      <c r="G80" s="2116">
        <v>0</v>
      </c>
      <c r="H80" s="2116">
        <v>0</v>
      </c>
      <c r="I80" s="2116">
        <v>0</v>
      </c>
      <c r="J80" s="2114" t="s">
        <v>854</v>
      </c>
    </row>
    <row r="81" spans="1:10" ht="15">
      <c r="A81" s="2097">
        <v>287200</v>
      </c>
      <c r="B81" s="2098">
        <v>705.26700000000005</v>
      </c>
      <c r="C81" s="2117" t="s">
        <v>855</v>
      </c>
      <c r="D81" s="2100"/>
      <c r="E81" s="2116">
        <v>4427455</v>
      </c>
      <c r="F81" s="2116">
        <f>E81</f>
        <v>4427455</v>
      </c>
      <c r="G81" s="2116">
        <v>0</v>
      </c>
      <c r="H81" s="2116">
        <v>0</v>
      </c>
      <c r="I81" s="2116">
        <v>0</v>
      </c>
      <c r="J81" s="2101" t="s">
        <v>856</v>
      </c>
    </row>
    <row r="82" spans="1:10" ht="38.25">
      <c r="A82" s="2097">
        <v>287206</v>
      </c>
      <c r="B82" s="2098" t="s">
        <v>409</v>
      </c>
      <c r="C82" s="2109" t="s">
        <v>410</v>
      </c>
      <c r="D82" s="2100"/>
      <c r="E82" s="2116">
        <v>9747596</v>
      </c>
      <c r="F82" s="2113">
        <f>E82</f>
        <v>9747596</v>
      </c>
      <c r="G82" s="2113">
        <v>0</v>
      </c>
      <c r="H82" s="2113">
        <v>0</v>
      </c>
      <c r="I82" s="2113">
        <v>0</v>
      </c>
      <c r="J82" s="2101" t="s">
        <v>411</v>
      </c>
    </row>
    <row r="83" spans="1:10" ht="40.5" customHeight="1">
      <c r="A83" s="2097">
        <v>287209</v>
      </c>
      <c r="B83" s="2098">
        <v>705.26599999999996</v>
      </c>
      <c r="C83" s="2109" t="s">
        <v>412</v>
      </c>
      <c r="D83" s="2100"/>
      <c r="E83" s="2116">
        <v>156804</v>
      </c>
      <c r="F83" s="2113">
        <f t="shared" ref="F83:F128" si="4">E83</f>
        <v>156804</v>
      </c>
      <c r="G83" s="2113">
        <v>0</v>
      </c>
      <c r="H83" s="2113">
        <v>0</v>
      </c>
      <c r="I83" s="2113">
        <v>0</v>
      </c>
      <c r="J83" s="2101" t="s">
        <v>413</v>
      </c>
    </row>
    <row r="84" spans="1:10" ht="51">
      <c r="A84" s="2097">
        <v>287212</v>
      </c>
      <c r="B84" s="2098">
        <v>705.245</v>
      </c>
      <c r="C84" s="2109" t="s">
        <v>414</v>
      </c>
      <c r="D84" s="2100"/>
      <c r="E84" s="2116">
        <v>1364948</v>
      </c>
      <c r="F84" s="2113">
        <f t="shared" si="4"/>
        <v>1364948</v>
      </c>
      <c r="G84" s="2113">
        <v>0</v>
      </c>
      <c r="H84" s="2113">
        <v>0</v>
      </c>
      <c r="I84" s="2113">
        <v>0</v>
      </c>
      <c r="J84" s="2101" t="s">
        <v>415</v>
      </c>
    </row>
    <row r="85" spans="1:10" ht="38.25">
      <c r="A85" s="2097">
        <v>287213</v>
      </c>
      <c r="B85" s="2098">
        <v>425.38099999999997</v>
      </c>
      <c r="C85" s="2099" t="s">
        <v>416</v>
      </c>
      <c r="D85" s="2100"/>
      <c r="E85" s="2116">
        <v>710943</v>
      </c>
      <c r="F85" s="2113">
        <f t="shared" si="4"/>
        <v>710943</v>
      </c>
      <c r="G85" s="2116">
        <v>0</v>
      </c>
      <c r="H85" s="2116">
        <v>0</v>
      </c>
      <c r="I85" s="2116">
        <v>0</v>
      </c>
      <c r="J85" s="2118" t="s">
        <v>417</v>
      </c>
    </row>
    <row r="86" spans="1:10" ht="63.75">
      <c r="A86" s="2097">
        <v>287225</v>
      </c>
      <c r="B86" s="2098">
        <v>605.10299999999995</v>
      </c>
      <c r="C86" s="2099" t="s">
        <v>2097</v>
      </c>
      <c r="D86" s="2100"/>
      <c r="E86" s="2116">
        <v>-62340</v>
      </c>
      <c r="F86" s="2113">
        <f t="shared" si="4"/>
        <v>-62340</v>
      </c>
      <c r="G86" s="2116">
        <v>0</v>
      </c>
      <c r="H86" s="2116">
        <v>0</v>
      </c>
      <c r="I86" s="2116">
        <v>0</v>
      </c>
      <c r="J86" s="2118" t="s">
        <v>419</v>
      </c>
    </row>
    <row r="87" spans="1:10" ht="15">
      <c r="A87" s="2097">
        <v>287227</v>
      </c>
      <c r="B87" s="2098">
        <v>705.53099999999995</v>
      </c>
      <c r="C87" s="2099" t="s">
        <v>420</v>
      </c>
      <c r="D87" s="2100"/>
      <c r="E87" s="2116">
        <v>5294611</v>
      </c>
      <c r="F87" s="2113">
        <f t="shared" si="4"/>
        <v>5294611</v>
      </c>
      <c r="G87" s="2116">
        <v>0</v>
      </c>
      <c r="H87" s="2116">
        <v>0</v>
      </c>
      <c r="I87" s="2116">
        <v>0</v>
      </c>
      <c r="J87" s="2118" t="s">
        <v>2098</v>
      </c>
    </row>
    <row r="88" spans="1:10" ht="15">
      <c r="A88" s="2097">
        <v>287229</v>
      </c>
      <c r="B88" s="2098">
        <v>705.52700000000004</v>
      </c>
      <c r="C88" s="2099" t="s">
        <v>421</v>
      </c>
      <c r="D88" s="2100"/>
      <c r="E88" s="2116">
        <v>153231</v>
      </c>
      <c r="F88" s="2113">
        <f t="shared" si="4"/>
        <v>153231</v>
      </c>
      <c r="G88" s="2116">
        <v>0</v>
      </c>
      <c r="H88" s="2116">
        <v>0</v>
      </c>
      <c r="I88" s="2116">
        <v>0</v>
      </c>
      <c r="J88" s="2118" t="s">
        <v>2099</v>
      </c>
    </row>
    <row r="89" spans="1:10" ht="15">
      <c r="A89" s="2097">
        <v>287231</v>
      </c>
      <c r="B89" s="2098">
        <v>705.51900000000001</v>
      </c>
      <c r="C89" s="2099" t="s">
        <v>423</v>
      </c>
      <c r="D89" s="2100"/>
      <c r="E89" s="2116">
        <v>2148707</v>
      </c>
      <c r="F89" s="2113">
        <f t="shared" si="4"/>
        <v>2148707</v>
      </c>
      <c r="G89" s="2116">
        <v>0</v>
      </c>
      <c r="H89" s="2116">
        <v>0</v>
      </c>
      <c r="I89" s="2116">
        <v>0</v>
      </c>
      <c r="J89" s="2118" t="s">
        <v>424</v>
      </c>
    </row>
    <row r="90" spans="1:10" ht="25.5">
      <c r="A90" s="2097">
        <v>287233</v>
      </c>
      <c r="B90" s="2098">
        <v>705.51499999999999</v>
      </c>
      <c r="C90" s="2099" t="s">
        <v>2100</v>
      </c>
      <c r="D90" s="2100"/>
      <c r="E90" s="2116">
        <v>8835150</v>
      </c>
      <c r="F90" s="2113">
        <f t="shared" si="4"/>
        <v>8835150</v>
      </c>
      <c r="G90" s="2116">
        <v>0</v>
      </c>
      <c r="H90" s="2116">
        <v>0</v>
      </c>
      <c r="I90" s="2116">
        <v>0</v>
      </c>
      <c r="J90" s="2118" t="s">
        <v>427</v>
      </c>
    </row>
    <row r="91" spans="1:10" ht="38.25">
      <c r="A91" s="2097">
        <v>287237</v>
      </c>
      <c r="B91" s="2098">
        <v>705.755</v>
      </c>
      <c r="C91" s="2099" t="s">
        <v>428</v>
      </c>
      <c r="D91" s="2100"/>
      <c r="E91" s="2116">
        <v>26525</v>
      </c>
      <c r="F91" s="2113">
        <f t="shared" si="4"/>
        <v>26525</v>
      </c>
      <c r="G91" s="2116">
        <v>0</v>
      </c>
      <c r="H91" s="2116">
        <v>0</v>
      </c>
      <c r="I91" s="2116">
        <v>0</v>
      </c>
      <c r="J91" s="2118" t="s">
        <v>2101</v>
      </c>
    </row>
    <row r="92" spans="1:10" ht="25.5">
      <c r="A92" s="2097">
        <v>287238</v>
      </c>
      <c r="B92" s="2098">
        <v>705.42</v>
      </c>
      <c r="C92" s="2099" t="s">
        <v>2102</v>
      </c>
      <c r="D92" s="2100"/>
      <c r="E92" s="2116">
        <v>823309</v>
      </c>
      <c r="F92" s="2113">
        <f t="shared" si="4"/>
        <v>823309</v>
      </c>
      <c r="G92" s="2116">
        <v>0</v>
      </c>
      <c r="H92" s="2116">
        <v>0</v>
      </c>
      <c r="I92" s="2116">
        <v>0</v>
      </c>
      <c r="J92" s="2118" t="s">
        <v>430</v>
      </c>
    </row>
    <row r="93" spans="1:10" ht="15" customHeight="1">
      <c r="A93" s="2097">
        <v>287253</v>
      </c>
      <c r="B93" s="2098">
        <v>705.4</v>
      </c>
      <c r="C93" s="2099" t="s">
        <v>2103</v>
      </c>
      <c r="D93" s="2100"/>
      <c r="E93" s="2116">
        <v>2430606</v>
      </c>
      <c r="F93" s="2113">
        <f t="shared" si="4"/>
        <v>2430606</v>
      </c>
      <c r="G93" s="2116"/>
      <c r="H93" s="2116"/>
      <c r="I93" s="2116"/>
      <c r="J93" s="2101" t="s">
        <v>432</v>
      </c>
    </row>
    <row r="94" spans="1:10" ht="25.5">
      <c r="A94" s="2097">
        <v>287257</v>
      </c>
      <c r="B94" s="2098">
        <v>705.45299999999997</v>
      </c>
      <c r="C94" s="2099" t="s">
        <v>2104</v>
      </c>
      <c r="D94" s="2100"/>
      <c r="E94" s="2116">
        <v>218749</v>
      </c>
      <c r="F94" s="2113">
        <f t="shared" si="4"/>
        <v>218749</v>
      </c>
      <c r="G94" s="2116">
        <v>0</v>
      </c>
      <c r="H94" s="2116">
        <v>0</v>
      </c>
      <c r="I94" s="2116">
        <v>0</v>
      </c>
      <c r="J94" s="2101" t="s">
        <v>435</v>
      </c>
    </row>
    <row r="95" spans="1:10" ht="13.5" customHeight="1">
      <c r="A95" s="2097">
        <v>287258</v>
      </c>
      <c r="B95" s="2098">
        <v>705.45399999999995</v>
      </c>
      <c r="C95" s="2099" t="s">
        <v>2105</v>
      </c>
      <c r="D95" s="2100"/>
      <c r="E95" s="2116">
        <v>2003553</v>
      </c>
      <c r="F95" s="2113">
        <f t="shared" si="4"/>
        <v>2003553</v>
      </c>
      <c r="G95" s="2116">
        <v>0</v>
      </c>
      <c r="H95" s="2116">
        <v>0</v>
      </c>
      <c r="I95" s="2116">
        <v>0</v>
      </c>
      <c r="J95" s="2101" t="s">
        <v>437</v>
      </c>
    </row>
    <row r="96" spans="1:10" ht="25.5">
      <c r="A96" s="2097">
        <v>287259</v>
      </c>
      <c r="B96" s="2098">
        <v>705.45500000000004</v>
      </c>
      <c r="C96" s="2109" t="s">
        <v>438</v>
      </c>
      <c r="D96" s="2100"/>
      <c r="E96" s="2116">
        <v>275600</v>
      </c>
      <c r="F96" s="2113">
        <f>E96</f>
        <v>275600</v>
      </c>
      <c r="G96" s="2116">
        <v>0</v>
      </c>
      <c r="H96" s="2116">
        <v>0</v>
      </c>
      <c r="I96" s="2116">
        <v>0</v>
      </c>
      <c r="J96" s="2101" t="s">
        <v>439</v>
      </c>
    </row>
    <row r="97" spans="1:10" ht="25.5">
      <c r="A97" s="2097">
        <v>287262</v>
      </c>
      <c r="B97" s="2098">
        <v>100.1</v>
      </c>
      <c r="C97" s="2109" t="s">
        <v>440</v>
      </c>
      <c r="D97" s="2100"/>
      <c r="E97" s="2116">
        <v>342815</v>
      </c>
      <c r="F97" s="2113">
        <f t="shared" si="4"/>
        <v>342815</v>
      </c>
      <c r="G97" s="2116">
        <v>0</v>
      </c>
      <c r="H97" s="2116">
        <v>0</v>
      </c>
      <c r="I97" s="2116">
        <v>0</v>
      </c>
      <c r="J97" s="2101" t="s">
        <v>441</v>
      </c>
    </row>
    <row r="98" spans="1:10" ht="25.5">
      <c r="A98" s="2097">
        <v>287268</v>
      </c>
      <c r="B98" s="2098">
        <v>415.70600000000002</v>
      </c>
      <c r="C98" s="2099" t="s">
        <v>2106</v>
      </c>
      <c r="D98" s="2100"/>
      <c r="E98" s="2116">
        <v>308848</v>
      </c>
      <c r="F98" s="2113">
        <f t="shared" si="4"/>
        <v>308848</v>
      </c>
      <c r="G98" s="2116">
        <v>0</v>
      </c>
      <c r="H98" s="2116">
        <v>0</v>
      </c>
      <c r="I98" s="2116">
        <v>0</v>
      </c>
      <c r="J98" s="2101" t="s">
        <v>443</v>
      </c>
    </row>
    <row r="99" spans="1:10" ht="45">
      <c r="A99" s="2097">
        <v>287271</v>
      </c>
      <c r="B99" s="2098">
        <v>705.33600000000001</v>
      </c>
      <c r="C99" s="2099" t="s">
        <v>2107</v>
      </c>
      <c r="D99" s="2100"/>
      <c r="E99" s="2116">
        <v>159534</v>
      </c>
      <c r="F99" s="2113">
        <f t="shared" si="4"/>
        <v>159534</v>
      </c>
      <c r="G99" s="2116">
        <v>0</v>
      </c>
      <c r="H99" s="2116">
        <v>0</v>
      </c>
      <c r="I99" s="2116">
        <v>0</v>
      </c>
      <c r="J99" s="2114" t="s">
        <v>2108</v>
      </c>
    </row>
    <row r="100" spans="1:10" ht="30">
      <c r="A100" s="2097">
        <v>287272</v>
      </c>
      <c r="B100" s="2098">
        <v>705.33699999999999</v>
      </c>
      <c r="C100" s="2099" t="s">
        <v>2109</v>
      </c>
      <c r="D100" s="2100"/>
      <c r="E100" s="2116">
        <v>15151</v>
      </c>
      <c r="F100" s="2113">
        <f t="shared" si="4"/>
        <v>15151</v>
      </c>
      <c r="G100" s="2116">
        <v>0</v>
      </c>
      <c r="H100" s="2116">
        <v>0</v>
      </c>
      <c r="I100" s="2116">
        <v>0</v>
      </c>
      <c r="J100" s="2114" t="s">
        <v>2110</v>
      </c>
    </row>
    <row r="101" spans="1:10" ht="14.25" customHeight="1">
      <c r="A101" s="2097">
        <v>287274</v>
      </c>
      <c r="B101" s="2098">
        <v>705.26099999999997</v>
      </c>
      <c r="C101" s="2099" t="s">
        <v>2111</v>
      </c>
      <c r="D101" s="2100"/>
      <c r="E101" s="2116">
        <v>5566</v>
      </c>
      <c r="F101" s="2113">
        <f t="shared" si="4"/>
        <v>5566</v>
      </c>
      <c r="G101" s="2116">
        <v>0</v>
      </c>
      <c r="H101" s="2116">
        <v>0</v>
      </c>
      <c r="I101" s="2116">
        <v>0</v>
      </c>
      <c r="J101" s="2114" t="s">
        <v>2112</v>
      </c>
    </row>
    <row r="102" spans="1:10" ht="30">
      <c r="A102" s="2097">
        <v>287284</v>
      </c>
      <c r="B102" s="2098">
        <v>610.14700000000005</v>
      </c>
      <c r="C102" s="2109" t="s">
        <v>444</v>
      </c>
      <c r="D102" s="2100"/>
      <c r="E102" s="2116">
        <v>428560</v>
      </c>
      <c r="F102" s="2113">
        <f t="shared" si="4"/>
        <v>428560</v>
      </c>
      <c r="G102" s="2116">
        <v>0</v>
      </c>
      <c r="H102" s="2116">
        <v>0</v>
      </c>
      <c r="I102" s="2116">
        <v>0</v>
      </c>
      <c r="J102" s="2114" t="s">
        <v>2113</v>
      </c>
    </row>
    <row r="103" spans="1:10" ht="45">
      <c r="A103" s="2097">
        <v>287299</v>
      </c>
      <c r="B103" s="2098">
        <v>705.26499999999999</v>
      </c>
      <c r="C103" s="2099" t="s">
        <v>2114</v>
      </c>
      <c r="D103" s="2100"/>
      <c r="E103" s="2116">
        <v>927477</v>
      </c>
      <c r="F103" s="2113">
        <f t="shared" si="4"/>
        <v>927477</v>
      </c>
      <c r="G103" s="2116">
        <v>0</v>
      </c>
      <c r="H103" s="2116">
        <v>0</v>
      </c>
      <c r="I103" s="2116">
        <v>0</v>
      </c>
      <c r="J103" s="2114" t="s">
        <v>447</v>
      </c>
    </row>
    <row r="104" spans="1:10" ht="25.5">
      <c r="A104" s="2097">
        <v>287304</v>
      </c>
      <c r="B104" s="2098">
        <v>610.14599999999996</v>
      </c>
      <c r="C104" s="2109" t="s">
        <v>448</v>
      </c>
      <c r="D104" s="2100"/>
      <c r="E104" s="2116">
        <v>-71776</v>
      </c>
      <c r="F104" s="2113">
        <f t="shared" si="4"/>
        <v>-71776</v>
      </c>
      <c r="G104" s="2116">
        <v>0</v>
      </c>
      <c r="H104" s="2116">
        <v>0</v>
      </c>
      <c r="I104" s="2116">
        <v>0</v>
      </c>
      <c r="J104" s="2101" t="s">
        <v>449</v>
      </c>
    </row>
    <row r="105" spans="1:10" ht="25.5">
      <c r="A105" s="2097">
        <v>287312</v>
      </c>
      <c r="B105" s="2098">
        <v>105.402</v>
      </c>
      <c r="C105" s="2109" t="s">
        <v>450</v>
      </c>
      <c r="D105" s="2100"/>
      <c r="E105" s="2116">
        <v>152347</v>
      </c>
      <c r="F105" s="2113">
        <f t="shared" si="4"/>
        <v>152347</v>
      </c>
      <c r="G105" s="2116">
        <v>0</v>
      </c>
      <c r="H105" s="2116">
        <v>0</v>
      </c>
      <c r="I105" s="2116">
        <v>0</v>
      </c>
      <c r="J105" s="2101" t="s">
        <v>451</v>
      </c>
    </row>
    <row r="106" spans="1:10" ht="25.5">
      <c r="A106" s="2097">
        <v>287374</v>
      </c>
      <c r="B106" s="2098">
        <v>100.105</v>
      </c>
      <c r="C106" s="2109" t="s">
        <v>453</v>
      </c>
      <c r="D106" s="2100"/>
      <c r="E106" s="2116">
        <v>292186</v>
      </c>
      <c r="F106" s="2113">
        <f t="shared" si="4"/>
        <v>292186</v>
      </c>
      <c r="G106" s="2116">
        <v>0</v>
      </c>
      <c r="H106" s="2116">
        <v>0</v>
      </c>
      <c r="I106" s="2116">
        <v>0</v>
      </c>
      <c r="J106" s="2101" t="s">
        <v>454</v>
      </c>
    </row>
    <row r="107" spans="1:10" ht="25.5">
      <c r="A107" s="2097">
        <v>287389</v>
      </c>
      <c r="B107" s="2098">
        <v>610.14499999999998</v>
      </c>
      <c r="C107" s="2099" t="s">
        <v>2115</v>
      </c>
      <c r="D107" s="2100"/>
      <c r="E107" s="2116">
        <v>5053830</v>
      </c>
      <c r="F107" s="2113">
        <f t="shared" si="4"/>
        <v>5053830</v>
      </c>
      <c r="G107" s="2116">
        <v>0</v>
      </c>
      <c r="H107" s="2116">
        <v>0</v>
      </c>
      <c r="I107" s="2116">
        <v>0</v>
      </c>
      <c r="J107" s="2118" t="s">
        <v>2113</v>
      </c>
    </row>
    <row r="108" spans="1:10" ht="38.25">
      <c r="A108" s="2097">
        <v>287441</v>
      </c>
      <c r="B108" s="2098">
        <v>605.1</v>
      </c>
      <c r="C108" s="2099" t="s">
        <v>2116</v>
      </c>
      <c r="D108" s="2100"/>
      <c r="E108" s="2116">
        <v>1304405</v>
      </c>
      <c r="F108" s="2113">
        <f t="shared" si="4"/>
        <v>1304405</v>
      </c>
      <c r="G108" s="2116">
        <v>0</v>
      </c>
      <c r="H108" s="2116">
        <v>0</v>
      </c>
      <c r="I108" s="2116">
        <v>0</v>
      </c>
      <c r="J108" s="2101" t="s">
        <v>457</v>
      </c>
    </row>
    <row r="109" spans="1:10" ht="30">
      <c r="A109" s="2097">
        <v>287445</v>
      </c>
      <c r="B109" s="2098">
        <v>610.14200000000005</v>
      </c>
      <c r="C109" s="2099" t="s">
        <v>458</v>
      </c>
      <c r="D109" s="2100"/>
      <c r="E109" s="2116">
        <v>382875</v>
      </c>
      <c r="F109" s="2113">
        <f t="shared" si="4"/>
        <v>382875</v>
      </c>
      <c r="G109" s="2116">
        <v>0</v>
      </c>
      <c r="H109" s="2116">
        <v>0</v>
      </c>
      <c r="I109" s="2116">
        <v>0</v>
      </c>
      <c r="J109" s="2114" t="s">
        <v>459</v>
      </c>
    </row>
    <row r="110" spans="1:10" ht="30">
      <c r="A110" s="2097">
        <v>287453</v>
      </c>
      <c r="B110" s="2098">
        <v>610.14300000000003</v>
      </c>
      <c r="C110" s="2099" t="s">
        <v>460</v>
      </c>
      <c r="D110" s="2100"/>
      <c r="E110" s="2116">
        <v>-239688</v>
      </c>
      <c r="F110" s="2113">
        <f t="shared" si="4"/>
        <v>-239688</v>
      </c>
      <c r="G110" s="2116">
        <v>0</v>
      </c>
      <c r="H110" s="2116">
        <v>0</v>
      </c>
      <c r="I110" s="2116">
        <v>0</v>
      </c>
      <c r="J110" s="2114" t="s">
        <v>459</v>
      </c>
    </row>
    <row r="111" spans="1:10" ht="45">
      <c r="A111" s="2097">
        <v>287473</v>
      </c>
      <c r="B111" s="2098">
        <v>705.27</v>
      </c>
      <c r="C111" s="2099" t="s">
        <v>461</v>
      </c>
      <c r="D111" s="2100"/>
      <c r="E111" s="2116">
        <v>600042</v>
      </c>
      <c r="F111" s="2113">
        <f t="shared" si="4"/>
        <v>600042</v>
      </c>
      <c r="G111" s="2116">
        <v>0</v>
      </c>
      <c r="H111" s="2116">
        <v>0</v>
      </c>
      <c r="I111" s="2116">
        <v>0</v>
      </c>
      <c r="J111" s="2114" t="s">
        <v>462</v>
      </c>
    </row>
    <row r="112" spans="1:10" ht="45">
      <c r="A112" s="2097">
        <v>287474</v>
      </c>
      <c r="B112" s="2098">
        <v>705.27099999999996</v>
      </c>
      <c r="C112" s="2099" t="s">
        <v>463</v>
      </c>
      <c r="D112" s="2100"/>
      <c r="E112" s="2116">
        <v>133389</v>
      </c>
      <c r="F112" s="2113">
        <f t="shared" si="4"/>
        <v>133389</v>
      </c>
      <c r="G112" s="2116">
        <v>0</v>
      </c>
      <c r="H112" s="2116">
        <v>0</v>
      </c>
      <c r="I112" s="2116">
        <v>0</v>
      </c>
      <c r="J112" s="2114" t="s">
        <v>462</v>
      </c>
    </row>
    <row r="113" spans="1:10" ht="45">
      <c r="A113" s="2097">
        <v>287475</v>
      </c>
      <c r="B113" s="2098">
        <v>705.27200000000005</v>
      </c>
      <c r="C113" s="2099" t="s">
        <v>464</v>
      </c>
      <c r="D113" s="2100"/>
      <c r="E113" s="2116">
        <v>66708</v>
      </c>
      <c r="F113" s="2113">
        <f t="shared" si="4"/>
        <v>66708</v>
      </c>
      <c r="G113" s="2116">
        <v>0</v>
      </c>
      <c r="H113" s="2116">
        <v>0</v>
      </c>
      <c r="I113" s="2116">
        <v>0</v>
      </c>
      <c r="J113" s="2114" t="s">
        <v>462</v>
      </c>
    </row>
    <row r="114" spans="1:10" ht="45">
      <c r="A114" s="2097">
        <v>287476</v>
      </c>
      <c r="B114" s="2098">
        <v>705.27300000000002</v>
      </c>
      <c r="C114" s="2099" t="s">
        <v>465</v>
      </c>
      <c r="D114" s="2100"/>
      <c r="E114" s="2116">
        <v>2130025</v>
      </c>
      <c r="F114" s="2113">
        <f t="shared" si="4"/>
        <v>2130025</v>
      </c>
      <c r="G114" s="2116">
        <v>0</v>
      </c>
      <c r="H114" s="2116">
        <v>0</v>
      </c>
      <c r="I114" s="2116">
        <v>0</v>
      </c>
      <c r="J114" s="2114" t="s">
        <v>462</v>
      </c>
    </row>
    <row r="115" spans="1:10" ht="45">
      <c r="A115" s="2097">
        <v>287477</v>
      </c>
      <c r="B115" s="2098">
        <v>705.274</v>
      </c>
      <c r="C115" s="2099" t="s">
        <v>466</v>
      </c>
      <c r="D115" s="2100"/>
      <c r="E115" s="2116">
        <v>72164</v>
      </c>
      <c r="F115" s="2113">
        <f t="shared" si="4"/>
        <v>72164</v>
      </c>
      <c r="G115" s="2116">
        <v>0</v>
      </c>
      <c r="H115" s="2116">
        <v>0</v>
      </c>
      <c r="I115" s="2116">
        <v>0</v>
      </c>
      <c r="J115" s="2114" t="s">
        <v>462</v>
      </c>
    </row>
    <row r="116" spans="1:10" ht="45">
      <c r="A116" s="2097">
        <v>287478</v>
      </c>
      <c r="B116" s="2098">
        <v>705.27499999999998</v>
      </c>
      <c r="C116" s="2099" t="s">
        <v>467</v>
      </c>
      <c r="D116" s="2100"/>
      <c r="E116" s="2116">
        <v>160437</v>
      </c>
      <c r="F116" s="2113">
        <f t="shared" si="4"/>
        <v>160437</v>
      </c>
      <c r="G116" s="2116">
        <v>0</v>
      </c>
      <c r="H116" s="2116">
        <v>0</v>
      </c>
      <c r="I116" s="2116">
        <v>0</v>
      </c>
      <c r="J116" s="2114" t="s">
        <v>468</v>
      </c>
    </row>
    <row r="117" spans="1:10" ht="30">
      <c r="A117" s="2097">
        <v>287486</v>
      </c>
      <c r="B117" s="2098">
        <v>415.92599999999999</v>
      </c>
      <c r="C117" s="2099" t="s">
        <v>2117</v>
      </c>
      <c r="D117" s="2100"/>
      <c r="E117" s="2116">
        <v>1604984</v>
      </c>
      <c r="F117" s="2113">
        <f t="shared" si="4"/>
        <v>1604984</v>
      </c>
      <c r="G117" s="2116">
        <v>0</v>
      </c>
      <c r="H117" s="2116">
        <v>0</v>
      </c>
      <c r="I117" s="2116">
        <v>0</v>
      </c>
      <c r="J117" s="2114" t="s">
        <v>470</v>
      </c>
    </row>
    <row r="118" spans="1:10" ht="25.5">
      <c r="A118" s="2097">
        <v>287487</v>
      </c>
      <c r="B118" s="2098">
        <v>415.92700000000002</v>
      </c>
      <c r="C118" s="2099" t="s">
        <v>2118</v>
      </c>
      <c r="D118" s="2100"/>
      <c r="E118" s="2116">
        <v>-1635</v>
      </c>
      <c r="F118" s="2113">
        <f t="shared" si="4"/>
        <v>-1635</v>
      </c>
      <c r="G118" s="2116">
        <v>0</v>
      </c>
      <c r="H118" s="2116">
        <v>0</v>
      </c>
      <c r="I118" s="2116">
        <v>0</v>
      </c>
      <c r="J118" s="2101" t="s">
        <v>471</v>
      </c>
    </row>
    <row r="119" spans="1:10" ht="12.75">
      <c r="A119" s="2107" t="s">
        <v>472</v>
      </c>
      <c r="B119" s="2098"/>
      <c r="C119" s="2109"/>
      <c r="D119" s="2100"/>
      <c r="E119" s="2116"/>
      <c r="F119" s="2113"/>
      <c r="G119" s="2116"/>
      <c r="H119" s="2116"/>
      <c r="I119" s="2116"/>
      <c r="J119" s="2101"/>
    </row>
    <row r="120" spans="1:10" ht="12.75">
      <c r="A120" s="2097">
        <v>287280</v>
      </c>
      <c r="B120" s="2119" t="s">
        <v>473</v>
      </c>
      <c r="C120" s="2109"/>
      <c r="D120" s="2100"/>
      <c r="E120" s="2116">
        <v>154143</v>
      </c>
      <c r="F120" s="2113">
        <f t="shared" si="4"/>
        <v>154143</v>
      </c>
      <c r="G120" s="2116">
        <v>0</v>
      </c>
      <c r="H120" s="2116">
        <v>0</v>
      </c>
      <c r="I120" s="2116">
        <v>0</v>
      </c>
      <c r="J120" s="2101" t="s">
        <v>474</v>
      </c>
    </row>
    <row r="121" spans="1:10" ht="15">
      <c r="A121" s="2097">
        <v>287437</v>
      </c>
      <c r="B121" s="2237" t="s">
        <v>2119</v>
      </c>
      <c r="C121" s="2109"/>
      <c r="D121" s="2100"/>
      <c r="E121" s="2116">
        <v>65128541</v>
      </c>
      <c r="F121" s="2113">
        <f t="shared" si="4"/>
        <v>65128541</v>
      </c>
      <c r="G121" s="2116">
        <v>0</v>
      </c>
      <c r="H121" s="2116">
        <v>0</v>
      </c>
      <c r="I121" s="2116">
        <v>0</v>
      </c>
      <c r="J121" s="2101" t="s">
        <v>476</v>
      </c>
    </row>
    <row r="122" spans="1:10" ht="25.5">
      <c r="A122" s="2097">
        <v>287449</v>
      </c>
      <c r="B122" s="2119" t="s">
        <v>477</v>
      </c>
      <c r="C122" s="2109"/>
      <c r="D122" s="2100"/>
      <c r="E122" s="2116">
        <v>-13709364</v>
      </c>
      <c r="F122" s="2113">
        <f t="shared" si="4"/>
        <v>-13709364</v>
      </c>
      <c r="G122" s="2116">
        <v>0</v>
      </c>
      <c r="H122" s="2116">
        <v>0</v>
      </c>
      <c r="I122" s="2116">
        <v>0</v>
      </c>
      <c r="J122" s="2101" t="s">
        <v>478</v>
      </c>
    </row>
    <row r="123" spans="1:10" ht="12.75">
      <c r="A123" s="2097">
        <v>287371</v>
      </c>
      <c r="B123" s="2119" t="s">
        <v>479</v>
      </c>
      <c r="C123" s="2109"/>
      <c r="D123" s="2100"/>
      <c r="E123" s="2116">
        <v>1233359</v>
      </c>
      <c r="F123" s="2113">
        <f t="shared" si="4"/>
        <v>1233359</v>
      </c>
      <c r="G123" s="2116">
        <v>0</v>
      </c>
      <c r="H123" s="2116">
        <v>0</v>
      </c>
      <c r="I123" s="2116">
        <v>0</v>
      </c>
      <c r="J123" s="2118" t="s">
        <v>480</v>
      </c>
    </row>
    <row r="124" spans="1:10" ht="12.75">
      <c r="A124" s="2097">
        <v>287491</v>
      </c>
      <c r="B124" s="2119" t="s">
        <v>481</v>
      </c>
      <c r="C124" s="2109"/>
      <c r="D124" s="2100"/>
      <c r="E124" s="2116">
        <v>975823</v>
      </c>
      <c r="F124" s="2113">
        <f t="shared" si="4"/>
        <v>975823</v>
      </c>
      <c r="G124" s="2116">
        <v>0</v>
      </c>
      <c r="H124" s="2116">
        <v>0</v>
      </c>
      <c r="I124" s="2116">
        <v>0</v>
      </c>
      <c r="J124" s="2101" t="s">
        <v>482</v>
      </c>
    </row>
    <row r="125" spans="1:10" ht="12.75">
      <c r="A125" s="2097">
        <v>287497</v>
      </c>
      <c r="B125" s="2119" t="s">
        <v>483</v>
      </c>
      <c r="C125" s="2109"/>
      <c r="D125" s="2100"/>
      <c r="E125" s="2116">
        <v>217417</v>
      </c>
      <c r="F125" s="2113">
        <f t="shared" si="4"/>
        <v>217417</v>
      </c>
      <c r="G125" s="2116">
        <v>0</v>
      </c>
      <c r="H125" s="2116">
        <v>0</v>
      </c>
      <c r="I125" s="2116">
        <v>0</v>
      </c>
      <c r="J125" s="2118" t="s">
        <v>484</v>
      </c>
    </row>
    <row r="126" spans="1:10" ht="12.75">
      <c r="A126" s="2097">
        <v>287494</v>
      </c>
      <c r="B126" s="2119" t="s">
        <v>485</v>
      </c>
      <c r="C126" s="2109"/>
      <c r="D126" s="2100"/>
      <c r="E126" s="2116">
        <v>15765223</v>
      </c>
      <c r="F126" s="2113">
        <f t="shared" si="4"/>
        <v>15765223</v>
      </c>
      <c r="G126" s="2116">
        <v>0</v>
      </c>
      <c r="H126" s="2116">
        <v>0</v>
      </c>
      <c r="I126" s="2116">
        <v>0</v>
      </c>
      <c r="J126" s="2101" t="s">
        <v>486</v>
      </c>
    </row>
    <row r="127" spans="1:10" ht="12.75">
      <c r="A127" s="2097">
        <v>287269</v>
      </c>
      <c r="B127" s="2119" t="s">
        <v>487</v>
      </c>
      <c r="C127" s="2109"/>
      <c r="D127" s="2100"/>
      <c r="E127" s="2116">
        <v>261772</v>
      </c>
      <c r="F127" s="2113">
        <f t="shared" si="4"/>
        <v>261772</v>
      </c>
      <c r="G127" s="2116">
        <v>0</v>
      </c>
      <c r="H127" s="2116">
        <v>0</v>
      </c>
      <c r="I127" s="2116">
        <v>0</v>
      </c>
      <c r="J127" s="2101" t="s">
        <v>488</v>
      </c>
    </row>
    <row r="128" spans="1:10" ht="12.75">
      <c r="A128" s="2097">
        <v>287281</v>
      </c>
      <c r="B128" s="2119" t="s">
        <v>489</v>
      </c>
      <c r="C128" s="2109"/>
      <c r="D128" s="2100"/>
      <c r="E128" s="2116">
        <v>271106</v>
      </c>
      <c r="F128" s="2113">
        <f t="shared" si="4"/>
        <v>271106</v>
      </c>
      <c r="G128" s="2116">
        <v>0</v>
      </c>
      <c r="H128" s="2116">
        <v>0</v>
      </c>
      <c r="I128" s="2116">
        <v>0</v>
      </c>
      <c r="J128" s="2101" t="s">
        <v>490</v>
      </c>
    </row>
    <row r="129" spans="1:10" ht="12.75">
      <c r="A129" s="2107" t="s">
        <v>491</v>
      </c>
      <c r="B129" s="2098"/>
      <c r="C129" s="2109"/>
      <c r="D129" s="2100"/>
      <c r="E129" s="2116"/>
      <c r="F129" s="2116"/>
      <c r="G129" s="2116"/>
      <c r="H129" s="2116"/>
      <c r="I129" s="2116"/>
      <c r="J129" s="2101"/>
    </row>
    <row r="130" spans="1:10" ht="15">
      <c r="A130" s="2097">
        <v>287341</v>
      </c>
      <c r="B130" s="2119">
        <v>910.53</v>
      </c>
      <c r="C130" s="2099" t="s">
        <v>2120</v>
      </c>
      <c r="D130" s="2100"/>
      <c r="E130" s="2116">
        <v>2941690</v>
      </c>
      <c r="F130" s="2113">
        <f>E130</f>
        <v>2941690</v>
      </c>
      <c r="G130" s="2116">
        <v>0</v>
      </c>
      <c r="H130" s="2116">
        <v>0</v>
      </c>
      <c r="I130" s="2116">
        <v>0</v>
      </c>
      <c r="J130" s="2101" t="s">
        <v>494</v>
      </c>
    </row>
    <row r="131" spans="1:10" ht="12.75">
      <c r="A131" s="2107" t="s">
        <v>495</v>
      </c>
      <c r="B131" s="2098"/>
      <c r="C131" s="2109"/>
      <c r="D131" s="2100"/>
      <c r="E131" s="2116"/>
      <c r="F131" s="2116"/>
      <c r="G131" s="2116"/>
      <c r="H131" s="2116"/>
      <c r="I131" s="2116"/>
      <c r="J131" s="2101"/>
    </row>
    <row r="132" spans="1:10" ht="12.75">
      <c r="A132" s="2097">
        <v>287339</v>
      </c>
      <c r="B132" s="2119">
        <v>105.4</v>
      </c>
      <c r="C132" s="2109" t="s">
        <v>496</v>
      </c>
      <c r="D132" s="2100"/>
      <c r="E132" s="2116">
        <v>60936151</v>
      </c>
      <c r="F132" s="2113">
        <f>E132</f>
        <v>60936151</v>
      </c>
      <c r="G132" s="2116">
        <v>0</v>
      </c>
      <c r="H132" s="2116">
        <v>0</v>
      </c>
      <c r="I132" s="2116">
        <v>0</v>
      </c>
      <c r="J132" s="2101" t="s">
        <v>497</v>
      </c>
    </row>
    <row r="133" spans="1:10" ht="12.75">
      <c r="A133" s="2107" t="s">
        <v>498</v>
      </c>
      <c r="B133" s="2108"/>
      <c r="C133" s="2109"/>
      <c r="D133" s="2100"/>
      <c r="E133" s="2116"/>
      <c r="F133" s="2116"/>
      <c r="G133" s="2116"/>
      <c r="H133" s="2116"/>
      <c r="I133" s="2116"/>
      <c r="J133" s="2101"/>
    </row>
    <row r="134" spans="1:10" ht="25.5">
      <c r="A134" s="2097">
        <v>287100</v>
      </c>
      <c r="B134" s="2117" t="s">
        <v>515</v>
      </c>
      <c r="C134" s="2109" t="s">
        <v>857</v>
      </c>
      <c r="D134" s="2100"/>
      <c r="E134" s="2116">
        <v>-12730201</v>
      </c>
      <c r="F134" s="2116">
        <f>E134</f>
        <v>-12730201</v>
      </c>
      <c r="G134" s="2116">
        <v>0</v>
      </c>
      <c r="H134" s="2116">
        <v>0</v>
      </c>
      <c r="I134" s="2116">
        <v>0</v>
      </c>
      <c r="J134" s="2101" t="s">
        <v>858</v>
      </c>
    </row>
    <row r="135" spans="1:10" ht="25.5">
      <c r="A135" s="2097">
        <v>287181</v>
      </c>
      <c r="B135" s="2238" t="s">
        <v>2121</v>
      </c>
      <c r="C135" s="2099" t="s">
        <v>2122</v>
      </c>
      <c r="D135" s="2100"/>
      <c r="E135" s="2116">
        <v>1501308</v>
      </c>
      <c r="F135" s="2116">
        <f>+E135</f>
        <v>1501308</v>
      </c>
      <c r="G135" s="2116">
        <v>0</v>
      </c>
      <c r="H135" s="2116">
        <v>0</v>
      </c>
      <c r="I135" s="2116">
        <v>0</v>
      </c>
      <c r="J135" s="2101" t="s">
        <v>2123</v>
      </c>
    </row>
    <row r="136" spans="1:10" ht="25.5">
      <c r="A136" s="2097">
        <v>287182</v>
      </c>
      <c r="B136" s="2238" t="s">
        <v>2124</v>
      </c>
      <c r="C136" s="2099" t="s">
        <v>2125</v>
      </c>
      <c r="D136" s="2100"/>
      <c r="E136" s="2116">
        <v>4820466</v>
      </c>
      <c r="F136" s="2116">
        <f>+E136</f>
        <v>4820466</v>
      </c>
      <c r="G136" s="2116">
        <v>0</v>
      </c>
      <c r="H136" s="2116">
        <v>0</v>
      </c>
      <c r="I136" s="2116">
        <v>0</v>
      </c>
      <c r="J136" s="2101" t="s">
        <v>2126</v>
      </c>
    </row>
    <row r="137" spans="1:10" ht="25.5">
      <c r="A137" s="2097">
        <v>287183</v>
      </c>
      <c r="B137" s="2238" t="s">
        <v>2127</v>
      </c>
      <c r="C137" s="2099" t="s">
        <v>2128</v>
      </c>
      <c r="D137" s="2100"/>
      <c r="E137" s="2116">
        <v>2933696</v>
      </c>
      <c r="F137" s="2116">
        <f t="shared" ref="F137" si="5">E137</f>
        <v>2933696</v>
      </c>
      <c r="G137" s="2116">
        <v>0</v>
      </c>
      <c r="H137" s="2116">
        <v>0</v>
      </c>
      <c r="I137" s="2116">
        <v>0</v>
      </c>
      <c r="J137" s="2101" t="s">
        <v>2129</v>
      </c>
    </row>
    <row r="138" spans="1:10" ht="38.25">
      <c r="A138" s="2097">
        <v>287199</v>
      </c>
      <c r="B138" s="2098">
        <v>220.101</v>
      </c>
      <c r="C138" s="2117" t="s">
        <v>859</v>
      </c>
      <c r="D138" s="2100"/>
      <c r="E138" s="2116">
        <v>-40763</v>
      </c>
      <c r="F138" s="2116">
        <f>E138</f>
        <v>-40763</v>
      </c>
      <c r="G138" s="2116">
        <v>0</v>
      </c>
      <c r="H138" s="2116">
        <v>0</v>
      </c>
      <c r="I138" s="2116">
        <v>0</v>
      </c>
      <c r="J138" s="2101" t="s">
        <v>2130</v>
      </c>
    </row>
    <row r="139" spans="1:10" ht="15">
      <c r="A139" s="2097">
        <v>287211</v>
      </c>
      <c r="B139" s="2098">
        <v>425.226</v>
      </c>
      <c r="C139" s="2099" t="s">
        <v>500</v>
      </c>
      <c r="D139" s="2100"/>
      <c r="E139" s="2116">
        <v>218670</v>
      </c>
      <c r="F139" s="2113">
        <f t="shared" ref="F139:F150" si="6">E139</f>
        <v>218670</v>
      </c>
      <c r="G139" s="2116">
        <v>0</v>
      </c>
      <c r="H139" s="2116">
        <v>0</v>
      </c>
      <c r="I139" s="2116">
        <v>0</v>
      </c>
      <c r="J139" s="2101" t="s">
        <v>501</v>
      </c>
    </row>
    <row r="140" spans="1:10" ht="15">
      <c r="A140" s="2097">
        <v>287214</v>
      </c>
      <c r="B140" s="2098">
        <v>910.245</v>
      </c>
      <c r="C140" s="2099" t="s">
        <v>2131</v>
      </c>
      <c r="D140" s="2100"/>
      <c r="E140" s="2116">
        <v>266405</v>
      </c>
      <c r="F140" s="2113">
        <f t="shared" si="6"/>
        <v>266405</v>
      </c>
      <c r="G140" s="2116">
        <v>0</v>
      </c>
      <c r="H140" s="2116">
        <v>0</v>
      </c>
      <c r="I140" s="2116">
        <v>0</v>
      </c>
      <c r="J140" s="2101" t="s">
        <v>503</v>
      </c>
    </row>
    <row r="141" spans="1:10" ht="15">
      <c r="A141" s="2097">
        <v>287216</v>
      </c>
      <c r="B141" s="2098">
        <v>605.71500000000003</v>
      </c>
      <c r="C141" s="2099" t="s">
        <v>2132</v>
      </c>
      <c r="D141" s="2100"/>
      <c r="E141" s="2116">
        <v>1637226</v>
      </c>
      <c r="F141" s="2113">
        <f t="shared" si="6"/>
        <v>1637226</v>
      </c>
      <c r="G141" s="2116">
        <v>0</v>
      </c>
      <c r="H141" s="2116">
        <v>0</v>
      </c>
      <c r="I141" s="2116">
        <v>0</v>
      </c>
      <c r="J141" s="2101" t="s">
        <v>505</v>
      </c>
    </row>
    <row r="142" spans="1:10" ht="25.5">
      <c r="A142" s="2097">
        <v>287219</v>
      </c>
      <c r="B142" s="2098">
        <v>715.81</v>
      </c>
      <c r="C142" s="2099" t="s">
        <v>2133</v>
      </c>
      <c r="D142" s="2100"/>
      <c r="E142" s="2116">
        <v>80270</v>
      </c>
      <c r="F142" s="2113">
        <f t="shared" si="6"/>
        <v>80270</v>
      </c>
      <c r="G142" s="2116">
        <v>0</v>
      </c>
      <c r="H142" s="2116">
        <v>0</v>
      </c>
      <c r="I142" s="2116">
        <v>0</v>
      </c>
      <c r="J142" s="2101" t="s">
        <v>510</v>
      </c>
    </row>
    <row r="143" spans="1:10" ht="25.5">
      <c r="A143" s="2097">
        <v>287240</v>
      </c>
      <c r="B143" s="2098">
        <v>605.30100000000004</v>
      </c>
      <c r="C143" s="2099" t="s">
        <v>2134</v>
      </c>
      <c r="D143" s="2100"/>
      <c r="E143" s="2116">
        <v>13852972</v>
      </c>
      <c r="F143" s="2113">
        <f t="shared" si="6"/>
        <v>13852972</v>
      </c>
      <c r="G143" s="2116">
        <v>0</v>
      </c>
      <c r="H143" s="2116">
        <v>0</v>
      </c>
      <c r="I143" s="2116">
        <v>0</v>
      </c>
      <c r="J143" s="2101" t="s">
        <v>512</v>
      </c>
    </row>
    <row r="144" spans="1:10" ht="25.5">
      <c r="A144" s="2097">
        <v>287241</v>
      </c>
      <c r="B144" s="2098">
        <v>605.30200000000002</v>
      </c>
      <c r="C144" s="2099" t="s">
        <v>2135</v>
      </c>
      <c r="D144" s="2100"/>
      <c r="E144" s="2116">
        <v>604603</v>
      </c>
      <c r="F144" s="2113">
        <f t="shared" si="6"/>
        <v>604603</v>
      </c>
      <c r="G144" s="2116">
        <v>0</v>
      </c>
      <c r="H144" s="2116">
        <v>0</v>
      </c>
      <c r="I144" s="2116">
        <v>0</v>
      </c>
      <c r="J144" s="2101" t="s">
        <v>514</v>
      </c>
    </row>
    <row r="145" spans="1:10" ht="15">
      <c r="A145" s="2097">
        <v>287270</v>
      </c>
      <c r="B145" s="2098" t="s">
        <v>515</v>
      </c>
      <c r="C145" s="2099" t="s">
        <v>516</v>
      </c>
      <c r="D145" s="2100"/>
      <c r="E145" s="2116">
        <v>-513052</v>
      </c>
      <c r="F145" s="2113">
        <f t="shared" si="6"/>
        <v>-513052</v>
      </c>
      <c r="G145" s="2116">
        <v>0</v>
      </c>
      <c r="H145" s="2116">
        <v>0</v>
      </c>
      <c r="I145" s="2116">
        <v>0</v>
      </c>
      <c r="J145" s="2101" t="s">
        <v>517</v>
      </c>
    </row>
    <row r="146" spans="1:10" ht="25.5">
      <c r="A146" s="2097">
        <v>287290</v>
      </c>
      <c r="B146" s="2098">
        <v>425.15</v>
      </c>
      <c r="C146" s="2109" t="s">
        <v>520</v>
      </c>
      <c r="D146" s="2100"/>
      <c r="E146" s="2116">
        <v>271410</v>
      </c>
      <c r="F146" s="2113">
        <f t="shared" si="6"/>
        <v>271410</v>
      </c>
      <c r="G146" s="2116">
        <v>0</v>
      </c>
      <c r="H146" s="2116">
        <v>0</v>
      </c>
      <c r="I146" s="2116">
        <v>0</v>
      </c>
      <c r="J146" s="2101" t="s">
        <v>521</v>
      </c>
    </row>
    <row r="147" spans="1:10" ht="38.25">
      <c r="A147" s="2097">
        <v>287297</v>
      </c>
      <c r="B147" s="2098">
        <v>505.15499999999997</v>
      </c>
      <c r="C147" s="2099" t="s">
        <v>2136</v>
      </c>
      <c r="D147" s="2100"/>
      <c r="E147" s="2116">
        <v>17279</v>
      </c>
      <c r="F147" s="2113">
        <f t="shared" si="6"/>
        <v>17279</v>
      </c>
      <c r="G147" s="2116">
        <v>0</v>
      </c>
      <c r="H147" s="2116">
        <v>0</v>
      </c>
      <c r="I147" s="2116">
        <v>0</v>
      </c>
      <c r="J147" s="2101" t="s">
        <v>2137</v>
      </c>
    </row>
    <row r="148" spans="1:10" ht="25.5">
      <c r="A148" s="2097">
        <v>287298</v>
      </c>
      <c r="B148" s="2098">
        <v>205.21</v>
      </c>
      <c r="C148" s="2109" t="s">
        <v>523</v>
      </c>
      <c r="D148" s="2100"/>
      <c r="E148" s="2116">
        <v>501567</v>
      </c>
      <c r="F148" s="2113">
        <f t="shared" si="6"/>
        <v>501567</v>
      </c>
      <c r="G148" s="2116">
        <v>0</v>
      </c>
      <c r="H148" s="2116">
        <v>0</v>
      </c>
      <c r="I148" s="2116">
        <v>0</v>
      </c>
      <c r="J148" s="2101" t="s">
        <v>2138</v>
      </c>
    </row>
    <row r="149" spans="1:10" ht="12.75">
      <c r="A149" s="2097">
        <v>287321</v>
      </c>
      <c r="B149" s="2098">
        <v>100.1</v>
      </c>
      <c r="C149" s="2109" t="s">
        <v>524</v>
      </c>
      <c r="D149" s="2100"/>
      <c r="E149" s="2116">
        <v>1287756</v>
      </c>
      <c r="F149" s="2113">
        <f t="shared" si="6"/>
        <v>1287756</v>
      </c>
      <c r="G149" s="2116">
        <v>0</v>
      </c>
      <c r="H149" s="2116">
        <v>0</v>
      </c>
      <c r="I149" s="2116">
        <v>0</v>
      </c>
      <c r="J149" s="2101" t="s">
        <v>525</v>
      </c>
    </row>
    <row r="150" spans="1:10" ht="25.5">
      <c r="A150" s="2097">
        <v>287337</v>
      </c>
      <c r="B150" s="2098">
        <v>715.10500000000002</v>
      </c>
      <c r="C150" s="2109" t="s">
        <v>526</v>
      </c>
      <c r="D150" s="2100"/>
      <c r="E150" s="2116">
        <v>137353</v>
      </c>
      <c r="F150" s="2113">
        <f t="shared" si="6"/>
        <v>137353</v>
      </c>
      <c r="G150" s="2116">
        <v>0</v>
      </c>
      <c r="H150" s="2116">
        <v>0</v>
      </c>
      <c r="I150" s="2116">
        <v>0</v>
      </c>
      <c r="J150" s="2101" t="s">
        <v>527</v>
      </c>
    </row>
    <row r="151" spans="1:10" ht="38.25">
      <c r="A151" s="2097">
        <v>287338</v>
      </c>
      <c r="B151" s="2098">
        <v>415.11</v>
      </c>
      <c r="C151" s="2099" t="s">
        <v>2139</v>
      </c>
      <c r="D151" s="2100"/>
      <c r="E151" s="2116">
        <v>527179</v>
      </c>
      <c r="F151" s="2113">
        <v>0</v>
      </c>
      <c r="G151" s="2116">
        <f>E151</f>
        <v>527179</v>
      </c>
      <c r="H151" s="2116">
        <v>0</v>
      </c>
      <c r="I151" s="2116">
        <v>0</v>
      </c>
      <c r="J151" s="2101" t="s">
        <v>529</v>
      </c>
    </row>
    <row r="152" spans="1:10" ht="30">
      <c r="A152" s="2097">
        <v>287340</v>
      </c>
      <c r="B152" s="2098">
        <v>220.1</v>
      </c>
      <c r="C152" s="2099" t="s">
        <v>530</v>
      </c>
      <c r="D152" s="2100"/>
      <c r="E152" s="2116">
        <v>2279972</v>
      </c>
      <c r="F152" s="2113">
        <f t="shared" ref="F152:F161" si="7">E152</f>
        <v>2279972</v>
      </c>
      <c r="G152" s="2116">
        <v>0</v>
      </c>
      <c r="H152" s="2116">
        <v>0</v>
      </c>
      <c r="I152" s="2116">
        <v>0</v>
      </c>
      <c r="J152" s="2114" t="s">
        <v>531</v>
      </c>
    </row>
    <row r="153" spans="1:10" ht="15">
      <c r="A153" s="2097">
        <v>287354</v>
      </c>
      <c r="B153" s="2098">
        <v>505.15</v>
      </c>
      <c r="C153" s="2099" t="s">
        <v>2140</v>
      </c>
      <c r="D153" s="2100"/>
      <c r="E153" s="2116">
        <v>744516</v>
      </c>
      <c r="F153" s="2113">
        <f t="shared" si="7"/>
        <v>744516</v>
      </c>
      <c r="G153" s="2116">
        <v>0</v>
      </c>
      <c r="H153" s="2116">
        <v>0</v>
      </c>
      <c r="I153" s="2116">
        <v>0</v>
      </c>
      <c r="J153" s="2114" t="s">
        <v>533</v>
      </c>
    </row>
    <row r="154" spans="1:10" ht="15">
      <c r="A154" s="2097">
        <v>287370</v>
      </c>
      <c r="B154" s="2098">
        <v>425.21499999999997</v>
      </c>
      <c r="C154" s="2099" t="s">
        <v>2141</v>
      </c>
      <c r="D154" s="2100"/>
      <c r="E154" s="2116">
        <v>745550</v>
      </c>
      <c r="F154" s="2113">
        <f t="shared" si="7"/>
        <v>745550</v>
      </c>
      <c r="G154" s="2116">
        <v>0</v>
      </c>
      <c r="H154" s="2116">
        <v>0</v>
      </c>
      <c r="I154" s="2116">
        <v>0</v>
      </c>
      <c r="J154" s="2101" t="s">
        <v>535</v>
      </c>
    </row>
    <row r="155" spans="1:10" ht="30">
      <c r="A155" s="2097">
        <v>287391</v>
      </c>
      <c r="B155" s="2098">
        <v>425.32</v>
      </c>
      <c r="C155" s="2099" t="s">
        <v>2142</v>
      </c>
      <c r="D155" s="2100"/>
      <c r="E155" s="2116">
        <v>5680844</v>
      </c>
      <c r="F155" s="2113">
        <f t="shared" si="7"/>
        <v>5680844</v>
      </c>
      <c r="G155" s="2116">
        <v>0</v>
      </c>
      <c r="H155" s="2116">
        <v>0</v>
      </c>
      <c r="I155" s="2116">
        <v>0</v>
      </c>
      <c r="J155" s="2114" t="s">
        <v>537</v>
      </c>
    </row>
    <row r="156" spans="1:10" ht="25.5">
      <c r="A156" s="2097">
        <v>287392</v>
      </c>
      <c r="B156" s="2098">
        <v>425.12</v>
      </c>
      <c r="C156" s="2109" t="s">
        <v>538</v>
      </c>
      <c r="D156" s="2100"/>
      <c r="E156" s="2116">
        <v>4142371</v>
      </c>
      <c r="F156" s="2113">
        <f t="shared" si="7"/>
        <v>4142371</v>
      </c>
      <c r="G156" s="2116">
        <v>0</v>
      </c>
      <c r="H156" s="2116">
        <v>0</v>
      </c>
      <c r="I156" s="2116">
        <v>0</v>
      </c>
      <c r="J156" s="2101" t="s">
        <v>539</v>
      </c>
    </row>
    <row r="157" spans="1:10" ht="25.5">
      <c r="A157" s="2097">
        <v>287393</v>
      </c>
      <c r="B157" s="2098">
        <v>425.11</v>
      </c>
      <c r="C157" s="2099" t="s">
        <v>2143</v>
      </c>
      <c r="D157" s="2100"/>
      <c r="E157" s="2116">
        <v>30548</v>
      </c>
      <c r="F157" s="2113">
        <f t="shared" si="7"/>
        <v>30548</v>
      </c>
      <c r="G157" s="2116">
        <v>0</v>
      </c>
      <c r="H157" s="2116">
        <v>0</v>
      </c>
      <c r="I157" s="2116">
        <v>0</v>
      </c>
      <c r="J157" s="2101" t="s">
        <v>541</v>
      </c>
    </row>
    <row r="158" spans="1:10" ht="15">
      <c r="A158" s="2097">
        <v>287415</v>
      </c>
      <c r="B158" s="2098">
        <v>205.2</v>
      </c>
      <c r="C158" s="2099" t="s">
        <v>542</v>
      </c>
      <c r="D158" s="2100"/>
      <c r="E158" s="2116">
        <v>747577</v>
      </c>
      <c r="F158" s="2113">
        <f t="shared" si="7"/>
        <v>747577</v>
      </c>
      <c r="G158" s="2116">
        <v>0</v>
      </c>
      <c r="H158" s="2116">
        <v>0</v>
      </c>
      <c r="I158" s="2116">
        <v>0</v>
      </c>
      <c r="J158" s="2114" t="s">
        <v>543</v>
      </c>
    </row>
    <row r="159" spans="1:10" ht="12.75">
      <c r="A159" s="2097">
        <v>287417</v>
      </c>
      <c r="B159" s="2098">
        <v>605.71</v>
      </c>
      <c r="C159" s="2109" t="s">
        <v>544</v>
      </c>
      <c r="D159" s="2100"/>
      <c r="E159" s="2116">
        <v>745852</v>
      </c>
      <c r="F159" s="2113">
        <f t="shared" si="7"/>
        <v>745852</v>
      </c>
      <c r="G159" s="2116">
        <v>0</v>
      </c>
      <c r="H159" s="2116">
        <v>0</v>
      </c>
      <c r="I159" s="2116">
        <v>0</v>
      </c>
      <c r="J159" s="2101" t="s">
        <v>545</v>
      </c>
    </row>
    <row r="160" spans="1:10" ht="30">
      <c r="A160" s="2097">
        <v>287430</v>
      </c>
      <c r="B160" s="2098">
        <v>505.125</v>
      </c>
      <c r="C160" s="2099" t="s">
        <v>546</v>
      </c>
      <c r="D160" s="2100"/>
      <c r="E160" s="2116">
        <v>1878947</v>
      </c>
      <c r="F160" s="2113">
        <f t="shared" si="7"/>
        <v>1878947</v>
      </c>
      <c r="G160" s="2116">
        <v>0</v>
      </c>
      <c r="H160" s="2116">
        <v>0</v>
      </c>
      <c r="I160" s="2116">
        <v>0</v>
      </c>
      <c r="J160" s="2114" t="s">
        <v>547</v>
      </c>
    </row>
    <row r="161" spans="1:10" ht="25.5">
      <c r="A161" s="2097">
        <v>287479</v>
      </c>
      <c r="B161" s="2098">
        <v>105.221</v>
      </c>
      <c r="C161" s="2109" t="s">
        <v>548</v>
      </c>
      <c r="D161" s="2100"/>
      <c r="E161" s="2116">
        <v>17437141</v>
      </c>
      <c r="F161" s="2113">
        <f t="shared" si="7"/>
        <v>17437141</v>
      </c>
      <c r="G161" s="2116">
        <v>0</v>
      </c>
      <c r="H161" s="2116">
        <v>0</v>
      </c>
      <c r="I161" s="2116">
        <v>0</v>
      </c>
      <c r="J161" s="2101" t="s">
        <v>549</v>
      </c>
    </row>
    <row r="162" spans="1:10" ht="12.75">
      <c r="A162" s="2097">
        <v>287807</v>
      </c>
      <c r="B162" s="2098" t="s">
        <v>515</v>
      </c>
      <c r="C162" s="2109" t="s">
        <v>552</v>
      </c>
      <c r="D162" s="2100"/>
      <c r="E162" s="2116">
        <v>212438</v>
      </c>
      <c r="F162" s="2113">
        <f>+E162</f>
        <v>212438</v>
      </c>
      <c r="G162" s="2116">
        <v>0</v>
      </c>
      <c r="H162" s="2116">
        <v>0</v>
      </c>
      <c r="I162" s="2116">
        <v>0</v>
      </c>
      <c r="J162" s="2101" t="s">
        <v>553</v>
      </c>
    </row>
    <row r="163" spans="1:10" ht="12.75">
      <c r="A163" s="2097">
        <v>287817</v>
      </c>
      <c r="B163" s="2098" t="s">
        <v>515</v>
      </c>
      <c r="C163" s="2109" t="s">
        <v>554</v>
      </c>
      <c r="D163" s="2100"/>
      <c r="E163" s="2116">
        <v>30138</v>
      </c>
      <c r="F163" s="2113">
        <f>+E163</f>
        <v>30138</v>
      </c>
      <c r="G163" s="2116">
        <v>0</v>
      </c>
      <c r="H163" s="2116">
        <v>0</v>
      </c>
      <c r="I163" s="2116">
        <v>0</v>
      </c>
      <c r="J163" s="2101" t="s">
        <v>555</v>
      </c>
    </row>
    <row r="164" spans="1:10" ht="12.75">
      <c r="A164" s="2097">
        <v>287827</v>
      </c>
      <c r="B164" s="2098" t="s">
        <v>515</v>
      </c>
      <c r="C164" s="2109" t="s">
        <v>556</v>
      </c>
      <c r="D164" s="2100"/>
      <c r="E164" s="2116">
        <v>45926</v>
      </c>
      <c r="F164" s="2113">
        <f>+E164</f>
        <v>45926</v>
      </c>
      <c r="G164" s="2116">
        <v>0</v>
      </c>
      <c r="H164" s="2116">
        <v>0</v>
      </c>
      <c r="I164" s="2116">
        <v>0</v>
      </c>
      <c r="J164" s="2101" t="s">
        <v>557</v>
      </c>
    </row>
    <row r="165" spans="1:10" ht="12.75">
      <c r="A165" s="2097">
        <v>287837</v>
      </c>
      <c r="B165" s="2098" t="s">
        <v>515</v>
      </c>
      <c r="C165" s="2109" t="s">
        <v>558</v>
      </c>
      <c r="D165" s="2100"/>
      <c r="E165" s="2116">
        <v>6518</v>
      </c>
      <c r="F165" s="2113">
        <f>+E165</f>
        <v>6518</v>
      </c>
      <c r="G165" s="2116">
        <v>0</v>
      </c>
      <c r="H165" s="2116">
        <v>0</v>
      </c>
      <c r="I165" s="2116">
        <v>0</v>
      </c>
      <c r="J165" s="2101" t="s">
        <v>559</v>
      </c>
    </row>
    <row r="166" spans="1:10" s="533" customFormat="1" ht="12.75">
      <c r="A166" s="2120" t="s">
        <v>560</v>
      </c>
      <c r="B166" s="2121"/>
      <c r="C166" s="2122"/>
      <c r="D166" s="2123"/>
      <c r="E166" s="2116">
        <v>-5</v>
      </c>
      <c r="F166" s="2116">
        <f>E166</f>
        <v>-5</v>
      </c>
      <c r="G166" s="2116">
        <v>0</v>
      </c>
      <c r="H166" s="2116">
        <v>0</v>
      </c>
      <c r="I166" s="2116">
        <v>0</v>
      </c>
      <c r="J166" s="2124"/>
    </row>
    <row r="167" spans="1:10" ht="12.75">
      <c r="A167" s="2125" t="s">
        <v>561</v>
      </c>
      <c r="B167" s="2126"/>
      <c r="C167" s="2121"/>
      <c r="D167" s="2127"/>
      <c r="E167" s="2105">
        <f>SUM(E32:E166)</f>
        <v>783561636</v>
      </c>
      <c r="F167" s="2105">
        <f>SUM(F32:F166)</f>
        <v>758554829</v>
      </c>
      <c r="G167" s="2105">
        <f>SUM(G32:G166)</f>
        <v>527179</v>
      </c>
      <c r="H167" s="2105">
        <f>SUM(H32:H166)</f>
        <v>0</v>
      </c>
      <c r="I167" s="2105">
        <f>SUM(I32:I166)</f>
        <v>24479628</v>
      </c>
      <c r="J167" s="2105"/>
    </row>
    <row r="168" spans="1:10" ht="12.75">
      <c r="A168" s="2128" t="s">
        <v>562</v>
      </c>
      <c r="B168" s="2129"/>
      <c r="C168" s="2130"/>
      <c r="D168" s="2131"/>
      <c r="E168" s="2116">
        <f>+E97+E106+E149+E74+E75+E76+E77+E78+E79</f>
        <v>-50281390</v>
      </c>
      <c r="F168" s="2116">
        <f t="shared" ref="F168:I168" si="8">+F97+F106+F149+F74+F75+F76+F77+F78+F79</f>
        <v>-50281390</v>
      </c>
      <c r="G168" s="2116">
        <f t="shared" si="8"/>
        <v>0</v>
      </c>
      <c r="H168" s="2116">
        <f t="shared" si="8"/>
        <v>0</v>
      </c>
      <c r="I168" s="2116">
        <f t="shared" si="8"/>
        <v>0</v>
      </c>
      <c r="J168" s="2132"/>
    </row>
    <row r="169" spans="1:10" ht="12.75">
      <c r="A169" s="2133" t="s">
        <v>563</v>
      </c>
      <c r="B169" s="2134"/>
      <c r="C169" s="548"/>
      <c r="D169" s="572"/>
      <c r="E169" s="2116">
        <f>+E43</f>
        <v>2615031</v>
      </c>
      <c r="F169" s="2116">
        <f>+F43</f>
        <v>0</v>
      </c>
      <c r="G169" s="2116">
        <f>+G43</f>
        <v>0</v>
      </c>
      <c r="H169" s="2116">
        <f>+H43</f>
        <v>0</v>
      </c>
      <c r="I169" s="2116">
        <f>+I43</f>
        <v>2615031</v>
      </c>
      <c r="J169" s="2132"/>
    </row>
    <row r="170" spans="1:10" ht="12.75">
      <c r="A170" s="2125" t="s">
        <v>115</v>
      </c>
      <c r="B170" s="2126"/>
      <c r="C170" s="2121"/>
      <c r="D170" s="2127"/>
      <c r="E170" s="2105">
        <f>+E167-E168-E169</f>
        <v>831227995</v>
      </c>
      <c r="F170" s="2105">
        <f>+F167-F168-F169</f>
        <v>808836219</v>
      </c>
      <c r="G170" s="2105">
        <f>+G167-G168-G169</f>
        <v>527179</v>
      </c>
      <c r="H170" s="2105">
        <f>+H167-H168-H169</f>
        <v>0</v>
      </c>
      <c r="I170" s="2105">
        <f>+I167-I168-I169</f>
        <v>21864597</v>
      </c>
      <c r="J170" s="2132"/>
    </row>
    <row r="171" spans="1:10" ht="15">
      <c r="A171" s="519"/>
      <c r="B171" s="519"/>
      <c r="C171" s="520"/>
      <c r="D171" s="520"/>
      <c r="E171" s="521"/>
      <c r="F171" s="522"/>
      <c r="G171" s="521"/>
      <c r="H171" s="523"/>
      <c r="I171" s="524"/>
      <c r="J171" s="525"/>
    </row>
    <row r="172" spans="1:10">
      <c r="A172" s="519"/>
      <c r="B172" s="519"/>
      <c r="C172" s="2135" t="s">
        <v>564</v>
      </c>
      <c r="D172" s="2136"/>
      <c r="E172" s="2136"/>
      <c r="F172" s="2137"/>
      <c r="G172" s="2138"/>
      <c r="H172" s="2139"/>
      <c r="I172" s="525"/>
      <c r="J172" s="487"/>
    </row>
    <row r="173" spans="1:10">
      <c r="A173" s="519"/>
      <c r="B173" s="519"/>
      <c r="C173" s="526" t="s">
        <v>565</v>
      </c>
      <c r="D173" s="2285"/>
      <c r="E173" s="2285"/>
      <c r="F173" s="2285"/>
      <c r="G173" s="2285"/>
      <c r="H173" s="2286"/>
      <c r="I173" s="527"/>
      <c r="J173" s="487"/>
    </row>
    <row r="174" spans="1:10">
      <c r="A174" s="519"/>
      <c r="B174" s="519"/>
      <c r="C174" s="526" t="s">
        <v>566</v>
      </c>
      <c r="D174" s="521"/>
      <c r="E174" s="521"/>
      <c r="F174" s="521"/>
      <c r="G174" s="524"/>
      <c r="H174" s="528"/>
      <c r="I174" s="525"/>
      <c r="J174" s="487"/>
    </row>
    <row r="175" spans="1:10">
      <c r="A175" s="519"/>
      <c r="B175" s="519"/>
      <c r="C175" s="526" t="s">
        <v>567</v>
      </c>
      <c r="D175" s="521"/>
      <c r="E175" s="521"/>
      <c r="F175" s="521"/>
      <c r="G175" s="524"/>
      <c r="H175" s="528"/>
      <c r="I175" s="527"/>
      <c r="J175" s="487"/>
    </row>
    <row r="176" spans="1:10">
      <c r="A176" s="519"/>
      <c r="B176" s="519"/>
      <c r="C176" s="526" t="s">
        <v>568</v>
      </c>
      <c r="D176" s="521"/>
      <c r="E176" s="521"/>
      <c r="F176" s="521"/>
      <c r="G176" s="524"/>
      <c r="H176" s="528"/>
      <c r="I176" s="525"/>
      <c r="J176" s="487"/>
    </row>
    <row r="177" spans="1:10" ht="27" customHeight="1">
      <c r="A177" s="519"/>
      <c r="B177" s="519"/>
      <c r="C177" s="2428" t="s">
        <v>569</v>
      </c>
      <c r="D177" s="2426"/>
      <c r="E177" s="2426"/>
      <c r="F177" s="2426"/>
      <c r="G177" s="2426"/>
      <c r="H177" s="2427"/>
      <c r="I177" s="525"/>
      <c r="J177" s="487"/>
    </row>
    <row r="178" spans="1:10" ht="15" customHeight="1">
      <c r="A178" s="519"/>
      <c r="B178" s="519"/>
      <c r="C178" s="2285"/>
      <c r="D178" s="2285"/>
      <c r="E178" s="2285"/>
      <c r="F178" s="2285"/>
      <c r="G178" s="2285"/>
      <c r="H178" s="2285"/>
      <c r="I178" s="525"/>
      <c r="J178" s="487"/>
    </row>
    <row r="179" spans="1:10" ht="15">
      <c r="A179" s="519"/>
      <c r="B179" s="519"/>
      <c r="C179" s="529"/>
      <c r="D179" s="530"/>
      <c r="E179" s="530"/>
      <c r="F179" s="530"/>
      <c r="G179" s="530"/>
      <c r="H179" s="530"/>
      <c r="I179" s="525"/>
      <c r="J179" s="487"/>
    </row>
    <row r="180" spans="1:10" s="533" customFormat="1" ht="12.75">
      <c r="A180" s="531" t="s">
        <v>2</v>
      </c>
      <c r="B180" s="531"/>
      <c r="C180" s="532"/>
      <c r="D180" s="532"/>
      <c r="E180" s="532"/>
      <c r="F180" s="532"/>
      <c r="G180" s="532"/>
      <c r="H180" s="532"/>
      <c r="I180" s="532"/>
    </row>
    <row r="181" spans="1:10" s="533" customFormat="1" ht="12.75">
      <c r="A181" s="534"/>
      <c r="B181" s="534"/>
      <c r="C181" s="535"/>
      <c r="D181" s="536"/>
      <c r="E181" s="536"/>
      <c r="F181" s="536"/>
      <c r="G181" s="536"/>
      <c r="H181" s="536"/>
      <c r="I181" s="536"/>
    </row>
    <row r="182" spans="1:10" s="533" customFormat="1" ht="12.75">
      <c r="A182" s="537" t="s">
        <v>570</v>
      </c>
      <c r="B182" s="537"/>
      <c r="C182" s="538"/>
      <c r="D182" s="538"/>
      <c r="E182" s="538"/>
      <c r="F182" s="538"/>
      <c r="G182" s="538"/>
      <c r="H182" s="538"/>
      <c r="I182" s="538"/>
    </row>
    <row r="183" spans="1:10" s="533" customFormat="1" ht="15">
      <c r="A183" s="507" t="s">
        <v>571</v>
      </c>
      <c r="B183" s="539"/>
      <c r="C183" s="536"/>
      <c r="D183" s="536"/>
      <c r="E183" s="536"/>
      <c r="F183" s="536"/>
      <c r="G183" s="536"/>
      <c r="H183" s="536"/>
      <c r="I183" s="536"/>
    </row>
    <row r="184" spans="1:10" s="533" customFormat="1" ht="12.75">
      <c r="A184" s="540"/>
      <c r="B184" s="540"/>
      <c r="C184" s="512" t="s">
        <v>234</v>
      </c>
      <c r="D184" s="513"/>
      <c r="E184" s="512" t="s">
        <v>237</v>
      </c>
      <c r="F184" s="512" t="s">
        <v>239</v>
      </c>
      <c r="G184" s="512" t="s">
        <v>240</v>
      </c>
      <c r="H184" s="512" t="s">
        <v>242</v>
      </c>
      <c r="I184" s="512" t="s">
        <v>244</v>
      </c>
      <c r="J184" s="512" t="s">
        <v>246</v>
      </c>
    </row>
    <row r="185" spans="1:10" s="533" customFormat="1" ht="12.75">
      <c r="A185" s="540"/>
      <c r="B185" s="540"/>
      <c r="C185" s="541"/>
      <c r="E185" s="541"/>
      <c r="F185" s="542" t="s">
        <v>367</v>
      </c>
      <c r="G185" s="541"/>
      <c r="H185" s="542"/>
      <c r="I185" s="542"/>
      <c r="J185" s="541"/>
    </row>
    <row r="186" spans="1:10" s="533" customFormat="1" ht="15">
      <c r="A186" s="507"/>
      <c r="B186" s="540"/>
      <c r="C186" s="543"/>
      <c r="E186" s="542" t="s">
        <v>115</v>
      </c>
      <c r="F186" s="542" t="s">
        <v>368</v>
      </c>
      <c r="G186" s="542" t="s">
        <v>369</v>
      </c>
      <c r="H186" s="542" t="s">
        <v>370</v>
      </c>
      <c r="I186" s="542" t="s">
        <v>371</v>
      </c>
      <c r="J186" s="541"/>
    </row>
    <row r="187" spans="1:10" s="533" customFormat="1" ht="12.75">
      <c r="A187" s="540"/>
      <c r="B187" s="540"/>
      <c r="C187" s="521"/>
      <c r="E187" s="542"/>
      <c r="F187" s="542" t="s">
        <v>374</v>
      </c>
      <c r="G187" s="542" t="s">
        <v>374</v>
      </c>
      <c r="H187" s="542" t="s">
        <v>374</v>
      </c>
      <c r="I187" s="542" t="s">
        <v>374</v>
      </c>
      <c r="J187" s="542" t="s">
        <v>375</v>
      </c>
    </row>
    <row r="188" spans="1:10" s="533" customFormat="1" ht="12.75">
      <c r="A188" s="2140" t="s">
        <v>572</v>
      </c>
      <c r="B188" s="2141"/>
      <c r="C188" s="2142"/>
      <c r="D188" s="2142"/>
      <c r="E188" s="2143"/>
      <c r="F188" s="2144"/>
      <c r="G188" s="2144"/>
      <c r="H188" s="2144"/>
      <c r="I188" s="2144"/>
      <c r="J188" s="2145"/>
    </row>
    <row r="189" spans="1:10" s="533" customFormat="1" ht="12.75">
      <c r="A189" s="2146" t="s">
        <v>573</v>
      </c>
      <c r="B189" s="2147"/>
      <c r="C189" s="2148"/>
      <c r="D189" s="2148"/>
      <c r="E189" s="2149"/>
      <c r="F189" s="2111"/>
      <c r="G189" s="2111"/>
      <c r="H189" s="2111"/>
      <c r="I189" s="2111"/>
      <c r="J189" s="2150"/>
    </row>
    <row r="190" spans="1:10" s="533" customFormat="1" ht="12.75">
      <c r="A190" s="2097">
        <v>287960</v>
      </c>
      <c r="B190" s="2098" t="s">
        <v>515</v>
      </c>
      <c r="C190" s="2109" t="s">
        <v>574</v>
      </c>
      <c r="D190" s="2100"/>
      <c r="E190" s="2151">
        <v>-174829838</v>
      </c>
      <c r="F190" s="2116">
        <f>E190</f>
        <v>-174829838</v>
      </c>
      <c r="G190" s="2116">
        <v>0</v>
      </c>
      <c r="H190" s="2116">
        <v>0</v>
      </c>
      <c r="I190" s="2116">
        <v>0</v>
      </c>
      <c r="J190" s="2152" t="s">
        <v>575</v>
      </c>
    </row>
    <row r="191" spans="1:10" s="533" customFormat="1" ht="12.75">
      <c r="A191" s="2153"/>
      <c r="B191" s="2098"/>
      <c r="C191" s="2109"/>
      <c r="D191" s="2100"/>
      <c r="E191" s="2151"/>
      <c r="F191" s="2151"/>
      <c r="G191" s="2151"/>
      <c r="H191" s="2151"/>
      <c r="I191" s="2151"/>
      <c r="J191" s="2152"/>
    </row>
    <row r="192" spans="1:10" s="533" customFormat="1" ht="12.75">
      <c r="A192" s="2154" t="s">
        <v>560</v>
      </c>
      <c r="B192" s="2155"/>
      <c r="C192" s="2155"/>
      <c r="D192" s="2156"/>
      <c r="E192" s="2151">
        <v>0</v>
      </c>
      <c r="F192" s="2151">
        <v>0</v>
      </c>
      <c r="G192" s="2151">
        <v>0</v>
      </c>
      <c r="H192" s="2151">
        <v>0</v>
      </c>
      <c r="I192" s="2151">
        <v>0</v>
      </c>
      <c r="J192" s="2124"/>
    </row>
    <row r="193" spans="1:10" s="533" customFormat="1" ht="12.75">
      <c r="A193" s="2125" t="s">
        <v>666</v>
      </c>
      <c r="B193" s="2126"/>
      <c r="C193" s="2121"/>
      <c r="D193" s="2157"/>
      <c r="E193" s="2158">
        <f>SUM(E190:E192)</f>
        <v>-174829838</v>
      </c>
      <c r="F193" s="2158">
        <f>SUM(F190:F192)</f>
        <v>-174829838</v>
      </c>
      <c r="G193" s="2158">
        <f>SUM(G190:G192)</f>
        <v>0</v>
      </c>
      <c r="H193" s="2158">
        <f>SUM(H190:H192)</f>
        <v>0</v>
      </c>
      <c r="I193" s="2158">
        <f>SUM(I190:I192)</f>
        <v>0</v>
      </c>
      <c r="J193" s="2144"/>
    </row>
    <row r="194" spans="1:10" s="533" customFormat="1" ht="12.75">
      <c r="A194" s="2125" t="s">
        <v>562</v>
      </c>
      <c r="B194" s="2126"/>
      <c r="C194" s="2121"/>
      <c r="D194" s="2157"/>
      <c r="E194" s="2151">
        <v>0</v>
      </c>
      <c r="F194" s="2151">
        <v>0</v>
      </c>
      <c r="G194" s="2151">
        <v>0</v>
      </c>
      <c r="H194" s="2151">
        <v>0</v>
      </c>
      <c r="I194" s="2151">
        <v>0</v>
      </c>
      <c r="J194" s="2124"/>
    </row>
    <row r="195" spans="1:10" s="533" customFormat="1" ht="12.75">
      <c r="A195" s="2125" t="s">
        <v>563</v>
      </c>
      <c r="B195" s="2126"/>
      <c r="C195" s="2121"/>
      <c r="D195" s="2157"/>
      <c r="E195" s="2151">
        <v>0</v>
      </c>
      <c r="F195" s="2151">
        <v>0</v>
      </c>
      <c r="G195" s="2151">
        <v>0</v>
      </c>
      <c r="H195" s="2151">
        <v>0</v>
      </c>
      <c r="I195" s="2151">
        <v>0</v>
      </c>
      <c r="J195" s="2124"/>
    </row>
    <row r="196" spans="1:10" s="533" customFormat="1" ht="12.75">
      <c r="A196" s="2125" t="s">
        <v>115</v>
      </c>
      <c r="B196" s="2126"/>
      <c r="C196" s="2121"/>
      <c r="D196" s="2157"/>
      <c r="E196" s="2158">
        <f>+E193-E194-E195</f>
        <v>-174829838</v>
      </c>
      <c r="F196" s="2158">
        <f>+F193-F194-F195</f>
        <v>-174829838</v>
      </c>
      <c r="G196" s="2158">
        <f>+G193-G194-G195</f>
        <v>0</v>
      </c>
      <c r="H196" s="2158">
        <f>+H193-H194-H195</f>
        <v>0</v>
      </c>
      <c r="I196" s="2159">
        <f>+I193-I194-I195</f>
        <v>0</v>
      </c>
      <c r="J196" s="2124"/>
    </row>
    <row r="197" spans="1:10" ht="15">
      <c r="A197" s="544"/>
      <c r="B197" s="544"/>
      <c r="C197" s="525"/>
      <c r="D197" s="521"/>
      <c r="E197" s="521"/>
      <c r="F197" s="521"/>
      <c r="G197" s="521"/>
      <c r="H197" s="521"/>
      <c r="I197" s="525"/>
      <c r="J197" s="487"/>
    </row>
    <row r="198" spans="1:10" s="533" customFormat="1" ht="12.75">
      <c r="A198" s="545"/>
      <c r="B198" s="545"/>
      <c r="C198" s="2135" t="s">
        <v>576</v>
      </c>
      <c r="D198" s="2160"/>
      <c r="E198" s="2161"/>
      <c r="F198" s="2161"/>
      <c r="G198" s="2162"/>
      <c r="H198" s="2163"/>
      <c r="I198" s="536"/>
    </row>
    <row r="199" spans="1:10" s="533" customFormat="1" ht="12.75" customHeight="1">
      <c r="A199" s="545"/>
      <c r="B199" s="545"/>
      <c r="C199" s="2429" t="s">
        <v>565</v>
      </c>
      <c r="D199" s="2430"/>
      <c r="E199" s="2430"/>
      <c r="F199" s="2430"/>
      <c r="G199" s="2430"/>
      <c r="H199" s="2431"/>
      <c r="I199" s="536"/>
    </row>
    <row r="200" spans="1:10" s="533" customFormat="1" ht="12.75">
      <c r="A200" s="545"/>
      <c r="B200" s="545"/>
      <c r="C200" s="526" t="s">
        <v>566</v>
      </c>
      <c r="D200" s="547"/>
      <c r="E200" s="548"/>
      <c r="F200" s="548"/>
      <c r="G200" s="549"/>
      <c r="H200" s="550"/>
      <c r="I200" s="536"/>
    </row>
    <row r="201" spans="1:10" s="533" customFormat="1" ht="12.75">
      <c r="A201" s="545"/>
      <c r="B201" s="545"/>
      <c r="C201" s="526" t="s">
        <v>567</v>
      </c>
      <c r="D201" s="547"/>
      <c r="E201" s="548"/>
      <c r="F201" s="548"/>
      <c r="G201" s="549"/>
      <c r="H201" s="550"/>
      <c r="I201" s="536"/>
    </row>
    <row r="202" spans="1:10" s="533" customFormat="1" ht="12.75">
      <c r="A202" s="545"/>
      <c r="B202" s="545"/>
      <c r="C202" s="526" t="s">
        <v>568</v>
      </c>
      <c r="D202" s="547"/>
      <c r="E202" s="548"/>
      <c r="F202" s="548"/>
      <c r="G202" s="549"/>
      <c r="H202" s="550"/>
      <c r="I202" s="536"/>
    </row>
    <row r="203" spans="1:10" s="533" customFormat="1" ht="28.5" customHeight="1">
      <c r="A203" s="545"/>
      <c r="B203" s="545"/>
      <c r="C203" s="2428" t="s">
        <v>569</v>
      </c>
      <c r="D203" s="2426"/>
      <c r="E203" s="2426"/>
      <c r="F203" s="2426"/>
      <c r="G203" s="2426"/>
      <c r="H203" s="2427"/>
      <c r="I203" s="551"/>
    </row>
    <row r="204" spans="1:10" s="533" customFormat="1" ht="12.75">
      <c r="A204" s="545"/>
      <c r="B204" s="545"/>
      <c r="C204" s="2285"/>
      <c r="D204" s="2285"/>
      <c r="E204" s="2285"/>
      <c r="F204" s="2285"/>
      <c r="G204" s="2285"/>
      <c r="H204" s="2285"/>
      <c r="I204" s="551"/>
    </row>
    <row r="205" spans="1:10" s="533" customFormat="1" ht="12.75">
      <c r="A205" s="531" t="s">
        <v>2</v>
      </c>
      <c r="B205" s="540"/>
      <c r="C205" s="552"/>
      <c r="D205" s="552"/>
      <c r="E205" s="552"/>
      <c r="F205" s="552"/>
      <c r="G205" s="552"/>
      <c r="H205" s="552"/>
      <c r="I205" s="551"/>
    </row>
    <row r="206" spans="1:10" s="533" customFormat="1" ht="12.75">
      <c r="A206" s="534"/>
      <c r="B206" s="540"/>
      <c r="C206" s="552"/>
      <c r="D206" s="552"/>
      <c r="E206" s="552"/>
      <c r="F206" s="552"/>
      <c r="G206" s="552"/>
      <c r="H206" s="552"/>
      <c r="I206" s="551"/>
    </row>
    <row r="207" spans="1:10" s="533" customFormat="1" ht="12.75">
      <c r="A207" s="537" t="s">
        <v>570</v>
      </c>
      <c r="B207" s="540"/>
      <c r="C207" s="552"/>
      <c r="D207" s="552"/>
      <c r="E207" s="552"/>
      <c r="F207" s="552"/>
      <c r="G207" s="552"/>
      <c r="H207" s="552"/>
      <c r="I207" s="551"/>
    </row>
    <row r="208" spans="1:10" s="533" customFormat="1" ht="12.75">
      <c r="A208" s="540"/>
      <c r="B208" s="540"/>
      <c r="C208" s="552"/>
      <c r="D208" s="552"/>
      <c r="E208" s="552"/>
      <c r="F208" s="552"/>
      <c r="G208" s="552"/>
      <c r="H208" s="552"/>
      <c r="I208" s="551"/>
    </row>
    <row r="209" spans="1:10" ht="15.75">
      <c r="A209" s="507" t="s">
        <v>577</v>
      </c>
      <c r="B209" s="553"/>
      <c r="C209" s="529"/>
      <c r="D209" s="530"/>
      <c r="E209" s="530"/>
      <c r="F209" s="530"/>
      <c r="G209" s="530"/>
      <c r="H209" s="530"/>
      <c r="I209" s="529"/>
      <c r="J209" s="487"/>
    </row>
    <row r="210" spans="1:10" ht="15">
      <c r="A210" s="515"/>
      <c r="B210" s="515"/>
      <c r="C210" s="512" t="s">
        <v>234</v>
      </c>
      <c r="D210" s="513"/>
      <c r="E210" s="512" t="s">
        <v>237</v>
      </c>
      <c r="F210" s="512" t="s">
        <v>239</v>
      </c>
      <c r="G210" s="512" t="s">
        <v>240</v>
      </c>
      <c r="H210" s="512" t="s">
        <v>242</v>
      </c>
      <c r="I210" s="512" t="s">
        <v>244</v>
      </c>
      <c r="J210" s="512" t="s">
        <v>246</v>
      </c>
    </row>
    <row r="211" spans="1:10" ht="15">
      <c r="A211" s="515"/>
      <c r="B211" s="515"/>
      <c r="C211" s="515"/>
      <c r="D211" s="487"/>
      <c r="E211" s="514"/>
      <c r="F211" s="514" t="s">
        <v>367</v>
      </c>
      <c r="G211" s="514"/>
      <c r="H211" s="514"/>
      <c r="I211" s="514"/>
      <c r="J211" s="515"/>
    </row>
    <row r="212" spans="1:10" ht="15">
      <c r="A212" s="507"/>
      <c r="B212" s="507"/>
      <c r="C212" s="515"/>
      <c r="D212" s="487"/>
      <c r="E212" s="514" t="s">
        <v>115</v>
      </c>
      <c r="F212" s="514" t="s">
        <v>368</v>
      </c>
      <c r="G212" s="514" t="s">
        <v>369</v>
      </c>
      <c r="H212" s="514" t="s">
        <v>370</v>
      </c>
      <c r="I212" s="514" t="s">
        <v>371</v>
      </c>
      <c r="J212" s="515"/>
    </row>
    <row r="213" spans="1:10" ht="15">
      <c r="A213" s="515"/>
      <c r="B213" s="515"/>
      <c r="C213" s="515"/>
      <c r="D213" s="487"/>
      <c r="E213" s="514"/>
      <c r="F213" s="514" t="s">
        <v>374</v>
      </c>
      <c r="G213" s="514" t="s">
        <v>374</v>
      </c>
      <c r="H213" s="514" t="s">
        <v>374</v>
      </c>
      <c r="I213" s="514" t="s">
        <v>374</v>
      </c>
      <c r="J213" s="515" t="s">
        <v>375</v>
      </c>
    </row>
    <row r="214" spans="1:10" ht="15">
      <c r="A214" s="2164" t="s">
        <v>578</v>
      </c>
      <c r="B214" s="2165"/>
      <c r="C214" s="2166"/>
      <c r="D214" s="2167"/>
      <c r="E214" s="2168"/>
      <c r="F214" s="2105"/>
      <c r="G214" s="2105"/>
      <c r="H214" s="2105"/>
      <c r="I214" s="2105"/>
      <c r="J214" s="2169"/>
    </row>
    <row r="215" spans="1:10" ht="25.5">
      <c r="A215" s="2097">
        <v>287605</v>
      </c>
      <c r="B215" s="2098">
        <v>105.14700000000001</v>
      </c>
      <c r="C215" s="2115" t="s">
        <v>579</v>
      </c>
      <c r="D215" s="2170"/>
      <c r="E215" s="2116">
        <v>-111999</v>
      </c>
      <c r="F215" s="2116">
        <f>E215</f>
        <v>-111999</v>
      </c>
      <c r="G215" s="2116">
        <v>0</v>
      </c>
      <c r="H215" s="2116">
        <v>0</v>
      </c>
      <c r="I215" s="2116">
        <v>0</v>
      </c>
      <c r="J215" s="2101" t="s">
        <v>580</v>
      </c>
    </row>
    <row r="216" spans="1:10" ht="30">
      <c r="A216" s="2097">
        <v>287599</v>
      </c>
      <c r="B216" s="2098">
        <v>105.16</v>
      </c>
      <c r="C216" s="2115" t="s">
        <v>581</v>
      </c>
      <c r="D216" s="2170"/>
      <c r="E216" s="2116">
        <v>-4396080</v>
      </c>
      <c r="F216" s="2116">
        <f>E216</f>
        <v>-4396080</v>
      </c>
      <c r="G216" s="2116">
        <v>0</v>
      </c>
      <c r="H216" s="2116">
        <v>0</v>
      </c>
      <c r="I216" s="2116">
        <v>0</v>
      </c>
      <c r="J216" s="2114" t="s">
        <v>582</v>
      </c>
    </row>
    <row r="217" spans="1:10" ht="25.5">
      <c r="A217" s="2097">
        <v>287766</v>
      </c>
      <c r="B217" s="2098">
        <v>610.101</v>
      </c>
      <c r="C217" s="2115" t="s">
        <v>583</v>
      </c>
      <c r="D217" s="2170"/>
      <c r="E217" s="2116">
        <v>53209</v>
      </c>
      <c r="F217" s="2116">
        <f>E217</f>
        <v>53209</v>
      </c>
      <c r="G217" s="2116">
        <v>0</v>
      </c>
      <c r="H217" s="2116">
        <v>0</v>
      </c>
      <c r="I217" s="2116">
        <v>0</v>
      </c>
      <c r="J217" s="2152" t="s">
        <v>584</v>
      </c>
    </row>
    <row r="218" spans="1:10" ht="12.75">
      <c r="A218" s="2097">
        <v>287610</v>
      </c>
      <c r="B218" s="2098">
        <v>105.40300000000001</v>
      </c>
      <c r="C218" s="2115" t="s">
        <v>585</v>
      </c>
      <c r="D218" s="2170"/>
      <c r="E218" s="2116">
        <v>-26616545</v>
      </c>
      <c r="F218" s="2116">
        <f>E218</f>
        <v>-26616545</v>
      </c>
      <c r="G218" s="2116">
        <v>0</v>
      </c>
      <c r="H218" s="2116">
        <v>0</v>
      </c>
      <c r="I218" s="2116">
        <v>0</v>
      </c>
      <c r="J218" s="2101" t="s">
        <v>586</v>
      </c>
    </row>
    <row r="219" spans="1:10" ht="12.75">
      <c r="A219" s="2097">
        <v>287605</v>
      </c>
      <c r="B219" s="2098">
        <v>105.142</v>
      </c>
      <c r="C219" s="2115" t="s">
        <v>587</v>
      </c>
      <c r="D219" s="2170"/>
      <c r="E219" s="2116">
        <v>180276646</v>
      </c>
      <c r="F219" s="2116">
        <f>E219</f>
        <v>180276646</v>
      </c>
      <c r="G219" s="2116">
        <v>0</v>
      </c>
      <c r="H219" s="2116">
        <v>0</v>
      </c>
      <c r="I219" s="2116">
        <v>0</v>
      </c>
      <c r="J219" s="2101" t="s">
        <v>588</v>
      </c>
    </row>
    <row r="220" spans="1:10" ht="25.5">
      <c r="A220" s="2097">
        <v>287704</v>
      </c>
      <c r="B220" s="2098">
        <v>105.143</v>
      </c>
      <c r="C220" s="2115" t="s">
        <v>589</v>
      </c>
      <c r="D220" s="2170"/>
      <c r="E220" s="2116">
        <v>-1149249</v>
      </c>
      <c r="F220" s="2116">
        <v>0</v>
      </c>
      <c r="G220" s="2116">
        <v>0</v>
      </c>
      <c r="H220" s="2116">
        <f>E220</f>
        <v>-1149249</v>
      </c>
      <c r="I220" s="2116">
        <v>0</v>
      </c>
      <c r="J220" s="2101" t="s">
        <v>590</v>
      </c>
    </row>
    <row r="221" spans="1:10" ht="12.75">
      <c r="A221" s="2097">
        <v>287605</v>
      </c>
      <c r="B221" s="2098">
        <v>105.12</v>
      </c>
      <c r="C221" s="2115" t="s">
        <v>592</v>
      </c>
      <c r="D221" s="2170"/>
      <c r="E221" s="2116">
        <v>2583224642</v>
      </c>
      <c r="F221" s="2116">
        <f t="shared" ref="F221:F226" si="9">E221</f>
        <v>2583224642</v>
      </c>
      <c r="G221" s="2116">
        <v>0</v>
      </c>
      <c r="H221" s="2116">
        <v>0</v>
      </c>
      <c r="I221" s="2116">
        <v>0</v>
      </c>
      <c r="J221" s="2101" t="s">
        <v>593</v>
      </c>
    </row>
    <row r="222" spans="1:10" ht="12.75">
      <c r="A222" s="2097">
        <v>287605</v>
      </c>
      <c r="B222" s="2098">
        <v>105.47</v>
      </c>
      <c r="C222" s="2115" t="s">
        <v>594</v>
      </c>
      <c r="D222" s="2170"/>
      <c r="E222" s="2116">
        <v>15120345</v>
      </c>
      <c r="F222" s="2116">
        <f t="shared" si="9"/>
        <v>15120345</v>
      </c>
      <c r="G222" s="2116">
        <v>0</v>
      </c>
      <c r="H222" s="2116">
        <v>0</v>
      </c>
      <c r="I222" s="2116">
        <v>0</v>
      </c>
      <c r="J222" s="2101" t="s">
        <v>595</v>
      </c>
    </row>
    <row r="223" spans="1:10" ht="25.5">
      <c r="A223" s="2097">
        <v>287605</v>
      </c>
      <c r="B223" s="2098">
        <v>105.146</v>
      </c>
      <c r="C223" s="2115" t="s">
        <v>596</v>
      </c>
      <c r="D223" s="2170"/>
      <c r="E223" s="2116">
        <v>4409120</v>
      </c>
      <c r="F223" s="2116">
        <f t="shared" si="9"/>
        <v>4409120</v>
      </c>
      <c r="G223" s="2116">
        <v>0</v>
      </c>
      <c r="H223" s="2116">
        <v>0</v>
      </c>
      <c r="I223" s="2116">
        <v>0</v>
      </c>
      <c r="J223" s="2101" t="s">
        <v>597</v>
      </c>
    </row>
    <row r="224" spans="1:10" ht="12.75">
      <c r="A224" s="2097">
        <v>287605</v>
      </c>
      <c r="B224" s="2098">
        <v>105.137</v>
      </c>
      <c r="C224" s="2115" t="s">
        <v>598</v>
      </c>
      <c r="D224" s="2170"/>
      <c r="E224" s="2116">
        <v>-19999540</v>
      </c>
      <c r="F224" s="2116">
        <f t="shared" si="9"/>
        <v>-19999540</v>
      </c>
      <c r="G224" s="2116">
        <v>0</v>
      </c>
      <c r="H224" s="2116">
        <v>0</v>
      </c>
      <c r="I224" s="2116">
        <v>0</v>
      </c>
      <c r="J224" s="2101" t="s">
        <v>599</v>
      </c>
    </row>
    <row r="225" spans="1:10" ht="12.75">
      <c r="A225" s="2097">
        <v>287605</v>
      </c>
      <c r="B225" s="2098">
        <v>105.1</v>
      </c>
      <c r="C225" s="2115" t="s">
        <v>600</v>
      </c>
      <c r="D225" s="2170"/>
      <c r="E225" s="2116">
        <v>24965459</v>
      </c>
      <c r="F225" s="2116">
        <f t="shared" si="9"/>
        <v>24965459</v>
      </c>
      <c r="G225" s="2116">
        <v>0</v>
      </c>
      <c r="H225" s="2116">
        <v>0</v>
      </c>
      <c r="I225" s="2116">
        <v>0</v>
      </c>
      <c r="J225" s="2101" t="s">
        <v>601</v>
      </c>
    </row>
    <row r="226" spans="1:10" ht="25.5">
      <c r="A226" s="2097">
        <v>287605</v>
      </c>
      <c r="B226" s="2098">
        <v>105.101</v>
      </c>
      <c r="C226" s="2115" t="s">
        <v>602</v>
      </c>
      <c r="D226" s="2170"/>
      <c r="E226" s="2116">
        <v>1565135</v>
      </c>
      <c r="F226" s="2116">
        <f t="shared" si="9"/>
        <v>1565135</v>
      </c>
      <c r="G226" s="2116">
        <v>0</v>
      </c>
      <c r="H226" s="2116">
        <v>0</v>
      </c>
      <c r="I226" s="2116">
        <v>0</v>
      </c>
      <c r="J226" s="2101" t="s">
        <v>603</v>
      </c>
    </row>
    <row r="227" spans="1:10" ht="12.75">
      <c r="A227" s="2097">
        <v>287605</v>
      </c>
      <c r="B227" s="2171" t="s">
        <v>515</v>
      </c>
      <c r="C227" s="2109" t="s">
        <v>604</v>
      </c>
      <c r="D227" s="2100"/>
      <c r="E227" s="2151">
        <v>0</v>
      </c>
      <c r="F227" s="2116">
        <v>755854774</v>
      </c>
      <c r="G227" s="2116">
        <f>-F227</f>
        <v>-755854774</v>
      </c>
      <c r="H227" s="2116">
        <v>0</v>
      </c>
      <c r="I227" s="2116">
        <v>0</v>
      </c>
      <c r="J227" s="2101" t="s">
        <v>605</v>
      </c>
    </row>
    <row r="228" spans="1:10" ht="12.75">
      <c r="A228" s="2097">
        <v>287605</v>
      </c>
      <c r="B228" s="2171" t="s">
        <v>515</v>
      </c>
      <c r="C228" s="2109" t="s">
        <v>606</v>
      </c>
      <c r="D228" s="2100"/>
      <c r="E228" s="2151">
        <v>0</v>
      </c>
      <c r="F228" s="2116">
        <v>33254166</v>
      </c>
      <c r="G228" s="2116">
        <v>0</v>
      </c>
      <c r="H228" s="2116">
        <v>0</v>
      </c>
      <c r="I228" s="2116">
        <f>-F228</f>
        <v>-33254166</v>
      </c>
      <c r="J228" s="2101" t="s">
        <v>607</v>
      </c>
    </row>
    <row r="229" spans="1:10" ht="12.75">
      <c r="A229" s="2097">
        <v>287605</v>
      </c>
      <c r="B229" s="2171" t="s">
        <v>515</v>
      </c>
      <c r="C229" s="2109" t="s">
        <v>608</v>
      </c>
      <c r="D229" s="2100"/>
      <c r="E229" s="2151">
        <v>0</v>
      </c>
      <c r="F229" s="2116">
        <v>115595974</v>
      </c>
      <c r="G229" s="2116">
        <v>0</v>
      </c>
      <c r="H229" s="2116">
        <v>0</v>
      </c>
      <c r="I229" s="2116">
        <f t="shared" ref="I229" si="10">-F229</f>
        <v>-115595974</v>
      </c>
      <c r="J229" s="2101" t="s">
        <v>609</v>
      </c>
    </row>
    <row r="230" spans="1:10" ht="25.5">
      <c r="A230" s="2097">
        <v>287608</v>
      </c>
      <c r="B230" s="2098">
        <v>105.22199999999999</v>
      </c>
      <c r="C230" s="2115" t="s">
        <v>610</v>
      </c>
      <c r="D230" s="2170"/>
      <c r="E230" s="2116">
        <v>-1249802</v>
      </c>
      <c r="F230" s="2116">
        <v>0</v>
      </c>
      <c r="G230" s="2116">
        <v>0</v>
      </c>
      <c r="H230" s="2116">
        <f>E230</f>
        <v>-1249802</v>
      </c>
      <c r="I230" s="2116">
        <v>0</v>
      </c>
      <c r="J230" s="2101" t="s">
        <v>549</v>
      </c>
    </row>
    <row r="231" spans="1:10" ht="25.5">
      <c r="A231" s="2097">
        <v>287608</v>
      </c>
      <c r="B231" s="2098">
        <v>105.223</v>
      </c>
      <c r="C231" s="2115" t="s">
        <v>611</v>
      </c>
      <c r="D231" s="2170"/>
      <c r="E231" s="2116">
        <v>554727</v>
      </c>
      <c r="F231" s="2116">
        <v>0</v>
      </c>
      <c r="G231" s="2116">
        <v>0</v>
      </c>
      <c r="H231" s="2116">
        <f>+E231</f>
        <v>554727</v>
      </c>
      <c r="I231" s="2116">
        <v>0</v>
      </c>
      <c r="J231" s="2101" t="s">
        <v>612</v>
      </c>
    </row>
    <row r="232" spans="1:10" ht="25.5">
      <c r="A232" s="2097">
        <v>286922</v>
      </c>
      <c r="B232" s="2098">
        <v>415.73200000000003</v>
      </c>
      <c r="C232" s="2115" t="s">
        <v>2145</v>
      </c>
      <c r="D232" s="2170"/>
      <c r="E232" s="2116">
        <v>6215869</v>
      </c>
      <c r="F232" s="2116">
        <f>+E232</f>
        <v>6215869</v>
      </c>
      <c r="G232" s="2116">
        <v>0</v>
      </c>
      <c r="H232" s="2116">
        <v>0</v>
      </c>
      <c r="I232" s="2116">
        <v>0</v>
      </c>
      <c r="J232" s="2101" t="s">
        <v>2146</v>
      </c>
    </row>
    <row r="233" spans="1:10" ht="30">
      <c r="A233" s="2097">
        <v>287605</v>
      </c>
      <c r="B233" s="2098">
        <v>105.15300000000001</v>
      </c>
      <c r="C233" s="2115" t="s">
        <v>2147</v>
      </c>
      <c r="D233" s="2170"/>
      <c r="E233" s="2116">
        <v>-80270</v>
      </c>
      <c r="F233" s="2116">
        <f t="shared" ref="F233:F244" si="11">E233</f>
        <v>-80270</v>
      </c>
      <c r="G233" s="2116">
        <v>0</v>
      </c>
      <c r="H233" s="2116">
        <v>0</v>
      </c>
      <c r="I233" s="2116">
        <v>0</v>
      </c>
      <c r="J233" s="2114" t="s">
        <v>510</v>
      </c>
    </row>
    <row r="234" spans="1:10" ht="40.5" customHeight="1">
      <c r="A234" s="2097">
        <v>287605</v>
      </c>
      <c r="B234" s="2098">
        <v>105.151</v>
      </c>
      <c r="C234" s="2115" t="s">
        <v>2148</v>
      </c>
      <c r="D234" s="2170"/>
      <c r="E234" s="2116">
        <v>-280477</v>
      </c>
      <c r="F234" s="2116">
        <f t="shared" si="11"/>
        <v>-280477</v>
      </c>
      <c r="G234" s="2116">
        <v>0</v>
      </c>
      <c r="H234" s="2116">
        <v>0</v>
      </c>
      <c r="I234" s="2116">
        <v>0</v>
      </c>
      <c r="J234" s="2114" t="s">
        <v>508</v>
      </c>
    </row>
    <row r="235" spans="1:10" ht="12.75">
      <c r="A235" s="2097">
        <v>287605</v>
      </c>
      <c r="B235" s="2098">
        <v>105.13</v>
      </c>
      <c r="C235" s="2115" t="s">
        <v>617</v>
      </c>
      <c r="D235" s="2170"/>
      <c r="E235" s="2116">
        <v>273504977</v>
      </c>
      <c r="F235" s="2116">
        <f t="shared" si="11"/>
        <v>273504977</v>
      </c>
      <c r="G235" s="2116">
        <v>0</v>
      </c>
      <c r="H235" s="2116">
        <v>0</v>
      </c>
      <c r="I235" s="2116">
        <v>0</v>
      </c>
      <c r="J235" s="2101" t="s">
        <v>618</v>
      </c>
    </row>
    <row r="236" spans="1:10" ht="38.25">
      <c r="A236" s="2097">
        <v>287605</v>
      </c>
      <c r="B236" s="2098">
        <v>105.175</v>
      </c>
      <c r="C236" s="2115" t="s">
        <v>619</v>
      </c>
      <c r="D236" s="2170"/>
      <c r="E236" s="2116">
        <v>-208192051</v>
      </c>
      <c r="F236" s="2116">
        <f t="shared" si="11"/>
        <v>-208192051</v>
      </c>
      <c r="G236" s="2116">
        <v>0</v>
      </c>
      <c r="H236" s="2116">
        <v>0</v>
      </c>
      <c r="I236" s="2116">
        <v>0</v>
      </c>
      <c r="J236" s="2101" t="s">
        <v>620</v>
      </c>
    </row>
    <row r="237" spans="1:10" ht="76.5">
      <c r="A237" s="2097">
        <v>287224</v>
      </c>
      <c r="B237" s="2098">
        <v>145.03</v>
      </c>
      <c r="C237" s="2115" t="s">
        <v>621</v>
      </c>
      <c r="D237" s="2170"/>
      <c r="E237" s="2116">
        <v>2013897</v>
      </c>
      <c r="F237" s="2116">
        <f t="shared" si="11"/>
        <v>2013897</v>
      </c>
      <c r="G237" s="2116">
        <v>0</v>
      </c>
      <c r="H237" s="2116">
        <v>0</v>
      </c>
      <c r="I237" s="2116">
        <v>0</v>
      </c>
      <c r="J237" s="2101" t="s">
        <v>622</v>
      </c>
    </row>
    <row r="238" spans="1:10" ht="51">
      <c r="A238" s="2097">
        <v>287605</v>
      </c>
      <c r="B238" s="2098">
        <v>105.14100000000001</v>
      </c>
      <c r="C238" s="2115" t="s">
        <v>623</v>
      </c>
      <c r="D238" s="2170"/>
      <c r="E238" s="2116">
        <v>-171917417</v>
      </c>
      <c r="F238" s="2116">
        <f t="shared" si="11"/>
        <v>-171917417</v>
      </c>
      <c r="G238" s="2116">
        <v>0</v>
      </c>
      <c r="H238" s="2116">
        <v>0</v>
      </c>
      <c r="I238" s="2116">
        <v>0</v>
      </c>
      <c r="J238" s="2101" t="s">
        <v>624</v>
      </c>
    </row>
    <row r="239" spans="1:10" ht="28.5" customHeight="1">
      <c r="A239" s="2097">
        <v>287607</v>
      </c>
      <c r="B239" s="2098">
        <v>105.117</v>
      </c>
      <c r="C239" s="2115" t="s">
        <v>860</v>
      </c>
      <c r="D239" s="2170"/>
      <c r="E239" s="2116">
        <v>-4835423</v>
      </c>
      <c r="F239" s="2116">
        <f t="shared" si="11"/>
        <v>-4835423</v>
      </c>
      <c r="G239" s="2116">
        <v>0</v>
      </c>
      <c r="H239" s="2116">
        <v>0</v>
      </c>
      <c r="I239" s="2116">
        <v>0</v>
      </c>
      <c r="J239" s="2101" t="s">
        <v>2149</v>
      </c>
    </row>
    <row r="240" spans="1:10" ht="105">
      <c r="A240" s="2097">
        <v>287605</v>
      </c>
      <c r="B240" s="2098">
        <v>105.11499999999999</v>
      </c>
      <c r="C240" s="2115" t="s">
        <v>625</v>
      </c>
      <c r="D240" s="2170"/>
      <c r="E240" s="2116">
        <v>-61884737</v>
      </c>
      <c r="F240" s="2116">
        <f t="shared" si="11"/>
        <v>-61884737</v>
      </c>
      <c r="G240" s="2116">
        <v>0</v>
      </c>
      <c r="H240" s="2116">
        <v>0</v>
      </c>
      <c r="I240" s="2116">
        <v>0</v>
      </c>
      <c r="J240" s="2114" t="s">
        <v>2150</v>
      </c>
    </row>
    <row r="241" spans="1:10" ht="51">
      <c r="A241" s="2097">
        <v>287605</v>
      </c>
      <c r="B241" s="2098">
        <v>105.139</v>
      </c>
      <c r="C241" s="2115" t="s">
        <v>626</v>
      </c>
      <c r="D241" s="2170"/>
      <c r="E241" s="2116">
        <v>-97657175</v>
      </c>
      <c r="F241" s="2116">
        <f t="shared" si="11"/>
        <v>-97657175</v>
      </c>
      <c r="G241" s="2116">
        <v>0</v>
      </c>
      <c r="H241" s="2116">
        <v>0</v>
      </c>
      <c r="I241" s="2116">
        <v>0</v>
      </c>
      <c r="J241" s="2152" t="s">
        <v>624</v>
      </c>
    </row>
    <row r="242" spans="1:10" ht="25.5">
      <c r="A242" s="2097">
        <v>287928</v>
      </c>
      <c r="B242" s="2098">
        <v>425.31</v>
      </c>
      <c r="C242" s="2115" t="s">
        <v>627</v>
      </c>
      <c r="D242" s="2170"/>
      <c r="E242" s="2116">
        <v>-3699347</v>
      </c>
      <c r="F242" s="2116">
        <f t="shared" si="11"/>
        <v>-3699347</v>
      </c>
      <c r="G242" s="2116">
        <v>0</v>
      </c>
      <c r="H242" s="2116">
        <v>0</v>
      </c>
      <c r="I242" s="2116">
        <v>0</v>
      </c>
      <c r="J242" s="2152" t="s">
        <v>628</v>
      </c>
    </row>
    <row r="243" spans="1:10" ht="12.75">
      <c r="A243" s="2097">
        <v>287605</v>
      </c>
      <c r="B243" s="2098">
        <v>105.125</v>
      </c>
      <c r="C243" s="2115" t="s">
        <v>629</v>
      </c>
      <c r="D243" s="2170"/>
      <c r="E243" s="2116">
        <f>-4764239605-E245</f>
        <v>-4784152172</v>
      </c>
      <c r="F243" s="2116">
        <f t="shared" si="11"/>
        <v>-4784152172</v>
      </c>
      <c r="G243" s="2116">
        <v>0</v>
      </c>
      <c r="H243" s="2116">
        <v>0</v>
      </c>
      <c r="I243" s="2116">
        <v>0</v>
      </c>
      <c r="J243" s="2101" t="s">
        <v>630</v>
      </c>
    </row>
    <row r="244" spans="1:10" ht="12.75">
      <c r="A244" s="2097">
        <v>287605</v>
      </c>
      <c r="B244" s="2098">
        <v>105.152</v>
      </c>
      <c r="C244" s="2115" t="s">
        <v>631</v>
      </c>
      <c r="D244" s="2170"/>
      <c r="E244" s="2116">
        <v>-62118620</v>
      </c>
      <c r="F244" s="2116">
        <f t="shared" si="11"/>
        <v>-62118620</v>
      </c>
      <c r="G244" s="2116">
        <v>0</v>
      </c>
      <c r="H244" s="2116">
        <v>0</v>
      </c>
      <c r="I244" s="2116">
        <v>0</v>
      </c>
      <c r="J244" s="2101" t="s">
        <v>632</v>
      </c>
    </row>
    <row r="245" spans="1:10" ht="25.5">
      <c r="A245" s="2097">
        <v>287605</v>
      </c>
      <c r="B245" s="2098">
        <v>105.129</v>
      </c>
      <c r="C245" s="2115" t="s">
        <v>633</v>
      </c>
      <c r="D245" s="2170"/>
      <c r="E245" s="2116">
        <v>19912567</v>
      </c>
      <c r="F245" s="2116">
        <v>0</v>
      </c>
      <c r="G245" s="2116">
        <v>0</v>
      </c>
      <c r="H245" s="2116">
        <f>+E245</f>
        <v>19912567</v>
      </c>
      <c r="I245" s="2116">
        <v>0</v>
      </c>
      <c r="J245" s="2101" t="s">
        <v>634</v>
      </c>
    </row>
    <row r="246" spans="1:10" ht="25.5">
      <c r="A246" s="2097">
        <v>287605</v>
      </c>
      <c r="B246" s="2098">
        <v>105.148</v>
      </c>
      <c r="C246" s="2115" t="s">
        <v>635</v>
      </c>
      <c r="D246" s="2170"/>
      <c r="E246" s="2116">
        <v>-306514</v>
      </c>
      <c r="F246" s="2116">
        <f t="shared" ref="F246:F270" si="12">E246</f>
        <v>-306514</v>
      </c>
      <c r="G246" s="2116">
        <v>0</v>
      </c>
      <c r="H246" s="2116">
        <v>0</v>
      </c>
      <c r="I246" s="2116">
        <v>0</v>
      </c>
      <c r="J246" s="2101" t="s">
        <v>636</v>
      </c>
    </row>
    <row r="247" spans="1:10" ht="12.75">
      <c r="A247" s="2097">
        <v>287929</v>
      </c>
      <c r="B247" s="2098">
        <v>105.46</v>
      </c>
      <c r="C247" s="2115" t="s">
        <v>637</v>
      </c>
      <c r="D247" s="2170"/>
      <c r="E247" s="2116">
        <v>-253053650</v>
      </c>
      <c r="F247" s="2116">
        <f t="shared" si="12"/>
        <v>-253053650</v>
      </c>
      <c r="G247" s="2116">
        <v>0</v>
      </c>
      <c r="H247" s="2116">
        <v>0</v>
      </c>
      <c r="I247" s="2116">
        <v>0</v>
      </c>
      <c r="J247" s="2101" t="s">
        <v>586</v>
      </c>
    </row>
    <row r="248" spans="1:10" ht="30">
      <c r="A248" s="2097">
        <v>286605</v>
      </c>
      <c r="B248" s="2098">
        <v>105.136</v>
      </c>
      <c r="C248" s="2115" t="s">
        <v>861</v>
      </c>
      <c r="D248" s="2170"/>
      <c r="E248" s="2116">
        <v>-383923</v>
      </c>
      <c r="F248" s="2116">
        <f>E248</f>
        <v>-383923</v>
      </c>
      <c r="G248" s="2116">
        <v>0</v>
      </c>
      <c r="H248" s="2116">
        <v>0</v>
      </c>
      <c r="I248" s="2116">
        <v>0</v>
      </c>
      <c r="J248" s="2114" t="s">
        <v>2151</v>
      </c>
    </row>
    <row r="249" spans="1:10" ht="38.25">
      <c r="A249" s="2097">
        <v>287605</v>
      </c>
      <c r="B249" s="2098">
        <v>320.20999999999998</v>
      </c>
      <c r="C249" s="2115" t="s">
        <v>638</v>
      </c>
      <c r="D249" s="2170"/>
      <c r="E249" s="2116">
        <v>-7719946</v>
      </c>
      <c r="F249" s="2116">
        <f t="shared" si="12"/>
        <v>-7719946</v>
      </c>
      <c r="G249" s="2116">
        <v>0</v>
      </c>
      <c r="H249" s="2116">
        <v>0</v>
      </c>
      <c r="I249" s="2116">
        <v>0</v>
      </c>
      <c r="J249" s="2101" t="s">
        <v>639</v>
      </c>
    </row>
    <row r="250" spans="1:10" ht="63.75">
      <c r="A250" s="2097">
        <v>286914</v>
      </c>
      <c r="B250" s="2098">
        <v>415.52499999999998</v>
      </c>
      <c r="C250" s="2115" t="s">
        <v>2152</v>
      </c>
      <c r="D250" s="2170"/>
      <c r="E250" s="2116">
        <v>-132528</v>
      </c>
      <c r="F250" s="2116">
        <f t="shared" si="12"/>
        <v>-132528</v>
      </c>
      <c r="G250" s="2116">
        <v>0</v>
      </c>
      <c r="H250" s="2116">
        <v>0</v>
      </c>
      <c r="I250" s="2116">
        <v>0</v>
      </c>
      <c r="J250" s="2101" t="s">
        <v>2153</v>
      </c>
    </row>
    <row r="251" spans="1:10" ht="51">
      <c r="A251" s="2097">
        <v>287605</v>
      </c>
      <c r="B251" s="2098">
        <v>100.11</v>
      </c>
      <c r="C251" s="2115" t="s">
        <v>640</v>
      </c>
      <c r="D251" s="2170"/>
      <c r="E251" s="2116">
        <v>-25900</v>
      </c>
      <c r="F251" s="2116">
        <f t="shared" si="12"/>
        <v>-25900</v>
      </c>
      <c r="G251" s="2116">
        <v>0</v>
      </c>
      <c r="H251" s="2116">
        <v>0</v>
      </c>
      <c r="I251" s="2116">
        <v>0</v>
      </c>
      <c r="J251" s="2101" t="s">
        <v>641</v>
      </c>
    </row>
    <row r="252" spans="1:10" ht="30">
      <c r="A252" s="2097">
        <v>287605</v>
      </c>
      <c r="B252" s="2098">
        <v>105.158</v>
      </c>
      <c r="C252" s="2115" t="s">
        <v>642</v>
      </c>
      <c r="D252" s="2170"/>
      <c r="E252" s="2116">
        <v>183468</v>
      </c>
      <c r="F252" s="2116">
        <v>0</v>
      </c>
      <c r="G252" s="2116">
        <v>0</v>
      </c>
      <c r="H252" s="2116">
        <v>0</v>
      </c>
      <c r="I252" s="2116">
        <f>E252</f>
        <v>183468</v>
      </c>
      <c r="J252" s="2114" t="s">
        <v>643</v>
      </c>
    </row>
    <row r="253" spans="1:10" ht="30">
      <c r="A253" s="2097">
        <v>287605</v>
      </c>
      <c r="B253" s="2098">
        <v>105.15900000000001</v>
      </c>
      <c r="C253" s="2115" t="s">
        <v>644</v>
      </c>
      <c r="D253" s="2170"/>
      <c r="E253" s="2116">
        <v>4045687</v>
      </c>
      <c r="F253" s="2116">
        <v>0</v>
      </c>
      <c r="G253" s="2116">
        <f>+E253</f>
        <v>4045687</v>
      </c>
      <c r="H253" s="2116">
        <v>0</v>
      </c>
      <c r="I253" s="2116">
        <v>0</v>
      </c>
      <c r="J253" s="2114" t="s">
        <v>643</v>
      </c>
    </row>
    <row r="254" spans="1:10" ht="30">
      <c r="A254" s="2097">
        <v>287605</v>
      </c>
      <c r="B254" s="2098">
        <v>105.15900000000001</v>
      </c>
      <c r="C254" s="2115" t="s">
        <v>1885</v>
      </c>
      <c r="D254" s="2170"/>
      <c r="E254" s="2116">
        <v>166925</v>
      </c>
      <c r="F254" s="2116">
        <f>E254</f>
        <v>166925</v>
      </c>
      <c r="G254" s="2116">
        <v>0</v>
      </c>
      <c r="H254" s="2116">
        <v>0</v>
      </c>
      <c r="I254" s="2116">
        <v>0</v>
      </c>
      <c r="J254" s="2114" t="s">
        <v>643</v>
      </c>
    </row>
    <row r="255" spans="1:10" ht="25.5">
      <c r="A255" s="2097">
        <v>287605</v>
      </c>
      <c r="B255" s="2098">
        <v>105.131</v>
      </c>
      <c r="C255" s="2115" t="s">
        <v>645</v>
      </c>
      <c r="D255" s="2170"/>
      <c r="E255" s="2116">
        <v>174829838</v>
      </c>
      <c r="F255" s="2116">
        <f t="shared" si="12"/>
        <v>174829838</v>
      </c>
      <c r="G255" s="2116">
        <v>0</v>
      </c>
      <c r="H255" s="2116">
        <v>0</v>
      </c>
      <c r="I255" s="2116">
        <v>0</v>
      </c>
      <c r="J255" s="2101" t="s">
        <v>646</v>
      </c>
    </row>
    <row r="256" spans="1:10" ht="38.25">
      <c r="A256" s="2097">
        <v>287605</v>
      </c>
      <c r="B256" s="2098">
        <v>105.14</v>
      </c>
      <c r="C256" s="2115" t="s">
        <v>647</v>
      </c>
      <c r="D256" s="2170"/>
      <c r="E256" s="2116">
        <v>22255287</v>
      </c>
      <c r="F256" s="2116">
        <f t="shared" si="12"/>
        <v>22255287</v>
      </c>
      <c r="G256" s="2116">
        <v>0</v>
      </c>
      <c r="H256" s="2116">
        <v>0</v>
      </c>
      <c r="I256" s="2116">
        <v>0</v>
      </c>
      <c r="J256" s="2101" t="s">
        <v>648</v>
      </c>
    </row>
    <row r="257" spans="1:11" ht="38.25">
      <c r="A257" s="2097">
        <v>287605</v>
      </c>
      <c r="B257" s="2098">
        <v>105.122</v>
      </c>
      <c r="C257" s="2115" t="s">
        <v>649</v>
      </c>
      <c r="D257" s="2170"/>
      <c r="E257" s="2116">
        <v>-417452167</v>
      </c>
      <c r="F257" s="2116">
        <f t="shared" si="12"/>
        <v>-417452167</v>
      </c>
      <c r="G257" s="2116">
        <v>0</v>
      </c>
      <c r="H257" s="2116">
        <v>0</v>
      </c>
      <c r="I257" s="2116">
        <v>0</v>
      </c>
      <c r="J257" s="2101" t="s">
        <v>650</v>
      </c>
    </row>
    <row r="258" spans="1:11" ht="38.25">
      <c r="A258" s="2097">
        <v>287221</v>
      </c>
      <c r="B258" s="2098">
        <v>415.93299999999999</v>
      </c>
      <c r="C258" s="2115" t="s">
        <v>651</v>
      </c>
      <c r="D258" s="2170"/>
      <c r="E258" s="2116">
        <v>-298254</v>
      </c>
      <c r="F258" s="2116">
        <f t="shared" si="12"/>
        <v>-298254</v>
      </c>
      <c r="G258" s="2116">
        <v>0</v>
      </c>
      <c r="H258" s="2116">
        <v>0</v>
      </c>
      <c r="I258" s="2116">
        <v>0</v>
      </c>
      <c r="J258" s="2101" t="s">
        <v>652</v>
      </c>
    </row>
    <row r="259" spans="1:11" ht="38.25" customHeight="1">
      <c r="A259" s="2097">
        <v>287222</v>
      </c>
      <c r="B259" s="2098">
        <v>415.93400000000003</v>
      </c>
      <c r="C259" s="2115" t="s">
        <v>653</v>
      </c>
      <c r="D259" s="2170"/>
      <c r="E259" s="2116">
        <v>-2157491</v>
      </c>
      <c r="F259" s="2116">
        <f t="shared" si="12"/>
        <v>-2157491</v>
      </c>
      <c r="G259" s="2116">
        <v>0</v>
      </c>
      <c r="H259" s="2116">
        <v>0</v>
      </c>
      <c r="I259" s="2116">
        <v>0</v>
      </c>
      <c r="J259" s="2101" t="s">
        <v>654</v>
      </c>
    </row>
    <row r="260" spans="1:11" ht="38.25">
      <c r="A260" s="2097">
        <v>287223</v>
      </c>
      <c r="B260" s="2098">
        <v>415.935</v>
      </c>
      <c r="C260" s="2115" t="s">
        <v>655</v>
      </c>
      <c r="D260" s="2170"/>
      <c r="E260" s="2116">
        <v>-109781</v>
      </c>
      <c r="F260" s="2116">
        <f t="shared" si="12"/>
        <v>-109781</v>
      </c>
      <c r="G260" s="2116">
        <v>0</v>
      </c>
      <c r="H260" s="2116">
        <v>0</v>
      </c>
      <c r="I260" s="2116">
        <v>0</v>
      </c>
      <c r="J260" s="2101" t="s">
        <v>656</v>
      </c>
    </row>
    <row r="261" spans="1:11" ht="25.5">
      <c r="A261" s="2097">
        <v>287189</v>
      </c>
      <c r="B261" s="2098">
        <v>100.122</v>
      </c>
      <c r="C261" s="2115" t="s">
        <v>862</v>
      </c>
      <c r="D261" s="2170"/>
      <c r="E261" s="2116">
        <v>4835423</v>
      </c>
      <c r="F261" s="2116">
        <f t="shared" si="12"/>
        <v>4835423</v>
      </c>
      <c r="G261" s="2116">
        <v>0</v>
      </c>
      <c r="H261" s="2116">
        <v>0</v>
      </c>
      <c r="I261" s="2116">
        <v>0</v>
      </c>
      <c r="J261" s="2101" t="s">
        <v>2092</v>
      </c>
    </row>
    <row r="262" spans="1:11" ht="76.5">
      <c r="A262" s="2097">
        <v>287187</v>
      </c>
      <c r="B262" s="2098">
        <v>100.121</v>
      </c>
      <c r="C262" s="2115" t="s">
        <v>863</v>
      </c>
      <c r="D262" s="2170"/>
      <c r="E262" s="2116">
        <v>-176926379</v>
      </c>
      <c r="F262" s="2116">
        <f t="shared" si="12"/>
        <v>-176926379</v>
      </c>
      <c r="G262" s="2116">
        <v>0</v>
      </c>
      <c r="H262" s="2116">
        <v>0</v>
      </c>
      <c r="I262" s="2116">
        <v>0</v>
      </c>
      <c r="J262" s="2101" t="s">
        <v>2150</v>
      </c>
    </row>
    <row r="263" spans="1:11" ht="12.75">
      <c r="A263" s="2097">
        <v>287313</v>
      </c>
      <c r="B263" s="2098">
        <v>105.45</v>
      </c>
      <c r="C263" s="2115" t="s">
        <v>657</v>
      </c>
      <c r="D263" s="2170"/>
      <c r="E263" s="2116">
        <v>253053650</v>
      </c>
      <c r="F263" s="2116">
        <f t="shared" si="12"/>
        <v>253053650</v>
      </c>
      <c r="G263" s="2116">
        <v>0</v>
      </c>
      <c r="H263" s="2116">
        <v>0</v>
      </c>
      <c r="I263" s="2116">
        <v>0</v>
      </c>
      <c r="J263" s="2101" t="s">
        <v>586</v>
      </c>
    </row>
    <row r="264" spans="1:11" ht="25.5">
      <c r="A264" s="2097">
        <v>286915</v>
      </c>
      <c r="B264" s="2098">
        <v>425.15499999999997</v>
      </c>
      <c r="C264" s="2115" t="s">
        <v>2154</v>
      </c>
      <c r="D264" s="2170"/>
      <c r="E264" s="2116">
        <v>-2990142</v>
      </c>
      <c r="F264" s="2116">
        <f>E264</f>
        <v>-2990142</v>
      </c>
      <c r="G264" s="2116">
        <v>0</v>
      </c>
      <c r="H264" s="2116">
        <v>0</v>
      </c>
      <c r="I264" s="2116">
        <v>0</v>
      </c>
      <c r="J264" s="2101" t="s">
        <v>2155</v>
      </c>
    </row>
    <row r="265" spans="1:11" ht="28.5" customHeight="1">
      <c r="A265" s="2097">
        <v>287605</v>
      </c>
      <c r="B265" s="2098">
        <v>105.13500000000001</v>
      </c>
      <c r="C265" s="2115" t="s">
        <v>658</v>
      </c>
      <c r="D265" s="2170"/>
      <c r="E265" s="2116">
        <v>-2623171</v>
      </c>
      <c r="F265" s="2116">
        <f t="shared" si="12"/>
        <v>-2623171</v>
      </c>
      <c r="G265" s="2116">
        <v>0</v>
      </c>
      <c r="H265" s="2116">
        <v>0</v>
      </c>
      <c r="I265" s="2116">
        <v>0</v>
      </c>
      <c r="J265" s="2101" t="s">
        <v>659</v>
      </c>
    </row>
    <row r="266" spans="1:11" ht="63.75">
      <c r="A266" s="2097">
        <v>287605</v>
      </c>
      <c r="B266" s="2098">
        <v>105.123</v>
      </c>
      <c r="C266" s="2115" t="s">
        <v>660</v>
      </c>
      <c r="D266" s="2170"/>
      <c r="E266" s="2116">
        <v>-157315608</v>
      </c>
      <c r="F266" s="2116">
        <f t="shared" si="12"/>
        <v>-157315608</v>
      </c>
      <c r="G266" s="2116">
        <v>0</v>
      </c>
      <c r="H266" s="2116">
        <v>0</v>
      </c>
      <c r="I266" s="2116">
        <v>0</v>
      </c>
      <c r="J266" s="2101" t="s">
        <v>661</v>
      </c>
    </row>
    <row r="267" spans="1:11" ht="38.25">
      <c r="A267" s="2097">
        <v>287605</v>
      </c>
      <c r="B267" s="2098">
        <v>105.116</v>
      </c>
      <c r="C267" s="2115" t="s">
        <v>662</v>
      </c>
      <c r="D267" s="2170"/>
      <c r="E267" s="2116">
        <v>-8607</v>
      </c>
      <c r="F267" s="2116">
        <f t="shared" si="12"/>
        <v>-8607</v>
      </c>
      <c r="G267" s="2116">
        <v>0</v>
      </c>
      <c r="H267" s="2116">
        <v>0</v>
      </c>
      <c r="I267" s="2116">
        <v>0</v>
      </c>
      <c r="J267" s="2101" t="s">
        <v>663</v>
      </c>
    </row>
    <row r="268" spans="1:11" ht="25.5">
      <c r="A268" s="2097">
        <v>287771</v>
      </c>
      <c r="B268" s="2098">
        <v>110.205</v>
      </c>
      <c r="C268" s="2115" t="s">
        <v>664</v>
      </c>
      <c r="D268" s="2170"/>
      <c r="E268" s="2116">
        <v>147478</v>
      </c>
      <c r="F268" s="2116">
        <f t="shared" si="12"/>
        <v>147478</v>
      </c>
      <c r="G268" s="2116">
        <v>0</v>
      </c>
      <c r="H268" s="2116">
        <v>0</v>
      </c>
      <c r="I268" s="2116">
        <v>0</v>
      </c>
      <c r="J268" s="2101" t="s">
        <v>591</v>
      </c>
    </row>
    <row r="269" spans="1:11" ht="15">
      <c r="A269" s="2097">
        <v>287301</v>
      </c>
      <c r="B269" s="2098">
        <v>105.471</v>
      </c>
      <c r="C269" s="2115" t="s">
        <v>665</v>
      </c>
      <c r="D269" s="2170"/>
      <c r="E269" s="2116">
        <v>8680735</v>
      </c>
      <c r="F269" s="2116">
        <f t="shared" si="12"/>
        <v>8680735</v>
      </c>
      <c r="G269" s="2116">
        <v>0</v>
      </c>
      <c r="H269" s="2116">
        <v>0</v>
      </c>
      <c r="I269" s="2116">
        <v>0</v>
      </c>
      <c r="J269" s="2114" t="s">
        <v>2156</v>
      </c>
      <c r="K269" s="533"/>
    </row>
    <row r="270" spans="1:11" ht="15">
      <c r="A270" s="2154"/>
      <c r="B270" s="2154" t="s">
        <v>560</v>
      </c>
      <c r="C270" s="2165"/>
      <c r="D270" s="2167"/>
      <c r="E270" s="2151">
        <v>2</v>
      </c>
      <c r="F270" s="2151">
        <f t="shared" si="12"/>
        <v>2</v>
      </c>
      <c r="G270" s="2151">
        <v>0</v>
      </c>
      <c r="H270" s="2151">
        <v>0</v>
      </c>
      <c r="I270" s="2151">
        <v>0</v>
      </c>
      <c r="J270" s="2112"/>
      <c r="K270" s="533"/>
    </row>
    <row r="271" spans="1:11" ht="12.75">
      <c r="A271" s="2172" t="s">
        <v>666</v>
      </c>
      <c r="B271" s="2173"/>
      <c r="C271" s="2121"/>
      <c r="D271" s="2157"/>
      <c r="E271" s="2158">
        <f>SUM(E215:E270)</f>
        <v>-2889829879</v>
      </c>
      <c r="F271" s="2158">
        <f>SUM(F215:F270)</f>
        <v>-2007422363</v>
      </c>
      <c r="G271" s="2158">
        <f>SUM(G215:G270)</f>
        <v>-751809087</v>
      </c>
      <c r="H271" s="2158">
        <f>SUM(H215:H270)</f>
        <v>18068243</v>
      </c>
      <c r="I271" s="2158">
        <f>SUM(I215:I270)</f>
        <v>-148666672</v>
      </c>
      <c r="J271" s="2105"/>
    </row>
    <row r="272" spans="1:11" ht="12.75">
      <c r="A272" s="2172" t="s">
        <v>562</v>
      </c>
      <c r="B272" s="2173"/>
      <c r="C272" s="2121"/>
      <c r="D272" s="2157"/>
      <c r="E272" s="2174">
        <f>E261+E262</f>
        <v>-172090956</v>
      </c>
      <c r="F272" s="2174">
        <f>F261+F262</f>
        <v>-172090956</v>
      </c>
      <c r="G272" s="2174">
        <f>G261+G262</f>
        <v>0</v>
      </c>
      <c r="H272" s="2174">
        <f>H261+H262</f>
        <v>0</v>
      </c>
      <c r="I272" s="2174">
        <f>I261+I262</f>
        <v>0</v>
      </c>
      <c r="J272" s="2132"/>
    </row>
    <row r="273" spans="1:11" ht="12.75">
      <c r="A273" s="2175" t="s">
        <v>563</v>
      </c>
      <c r="B273" s="2176"/>
      <c r="C273" s="2161"/>
      <c r="D273" s="2177"/>
      <c r="E273" s="2174">
        <v>0</v>
      </c>
      <c r="F273" s="2174">
        <v>0</v>
      </c>
      <c r="G273" s="2174">
        <v>0</v>
      </c>
      <c r="H273" s="2174">
        <v>0</v>
      </c>
      <c r="I273" s="2174">
        <v>0</v>
      </c>
      <c r="J273" s="2132"/>
    </row>
    <row r="274" spans="1:11" ht="12.75">
      <c r="A274" s="2125" t="s">
        <v>115</v>
      </c>
      <c r="B274" s="2126"/>
      <c r="C274" s="2121"/>
      <c r="D274" s="2157"/>
      <c r="E274" s="2158">
        <f>+E271-E272-E273</f>
        <v>-2717738923</v>
      </c>
      <c r="F274" s="2158">
        <f>+F271-F272-F273</f>
        <v>-1835331407</v>
      </c>
      <c r="G274" s="2158">
        <f>+G271-G272-G273</f>
        <v>-751809087</v>
      </c>
      <c r="H274" s="2158">
        <f>+H271-H272-H273</f>
        <v>18068243</v>
      </c>
      <c r="I274" s="2158">
        <f>+I271-I272-I273</f>
        <v>-148666672</v>
      </c>
      <c r="J274" s="2132"/>
    </row>
    <row r="275" spans="1:11" ht="15">
      <c r="A275" s="554"/>
      <c r="B275" s="554"/>
      <c r="C275" s="544"/>
      <c r="D275" s="555"/>
      <c r="E275" s="556"/>
      <c r="F275" s="556"/>
      <c r="G275" s="557"/>
      <c r="H275" s="557"/>
      <c r="I275" s="525"/>
      <c r="J275" s="487"/>
    </row>
    <row r="276" spans="1:11">
      <c r="A276" s="554"/>
      <c r="B276" s="554"/>
      <c r="C276" s="2135" t="s">
        <v>667</v>
      </c>
      <c r="D276" s="2160"/>
      <c r="E276" s="2161"/>
      <c r="F276" s="2161"/>
      <c r="G276" s="2162"/>
      <c r="H276" s="2163"/>
      <c r="I276" s="525"/>
      <c r="J276" s="487"/>
    </row>
    <row r="277" spans="1:11" ht="25.5">
      <c r="A277" s="554"/>
      <c r="B277" s="554"/>
      <c r="C277" s="2284" t="s">
        <v>565</v>
      </c>
      <c r="D277" s="2285"/>
      <c r="E277" s="2285"/>
      <c r="F277" s="2285"/>
      <c r="G277" s="2285"/>
      <c r="H277" s="2286"/>
      <c r="I277" s="525"/>
      <c r="J277" s="487"/>
    </row>
    <row r="278" spans="1:11">
      <c r="A278" s="554"/>
      <c r="B278" s="554"/>
      <c r="C278" s="526" t="s">
        <v>566</v>
      </c>
      <c r="D278" s="547"/>
      <c r="E278" s="548"/>
      <c r="F278" s="548"/>
      <c r="G278" s="549"/>
      <c r="H278" s="550"/>
      <c r="I278" s="525"/>
      <c r="J278" s="487"/>
    </row>
    <row r="279" spans="1:11">
      <c r="A279" s="554"/>
      <c r="B279" s="554"/>
      <c r="C279" s="526" t="s">
        <v>567</v>
      </c>
      <c r="D279" s="547"/>
      <c r="E279" s="548"/>
      <c r="F279" s="548"/>
      <c r="G279" s="549"/>
      <c r="H279" s="550"/>
      <c r="I279" s="525"/>
      <c r="J279" s="487"/>
    </row>
    <row r="280" spans="1:11">
      <c r="A280" s="554"/>
      <c r="B280" s="554"/>
      <c r="C280" s="526" t="s">
        <v>568</v>
      </c>
      <c r="D280" s="547"/>
      <c r="E280" s="548"/>
      <c r="F280" s="548"/>
      <c r="G280" s="549"/>
      <c r="H280" s="550"/>
      <c r="I280" s="525"/>
      <c r="J280" s="487"/>
    </row>
    <row r="281" spans="1:11" ht="32.25" customHeight="1">
      <c r="A281" s="554"/>
      <c r="B281" s="554"/>
      <c r="C281" s="2428" t="s">
        <v>569</v>
      </c>
      <c r="D281" s="2426"/>
      <c r="E281" s="2426"/>
      <c r="F281" s="2426"/>
      <c r="G281" s="2426"/>
      <c r="H281" s="2427"/>
      <c r="I281" s="558"/>
      <c r="J281" s="487"/>
    </row>
    <row r="282" spans="1:11" s="533" customFormat="1">
      <c r="A282" s="554"/>
      <c r="B282" s="554"/>
      <c r="C282" s="2285"/>
      <c r="D282" s="2285"/>
      <c r="E282" s="2285"/>
      <c r="F282" s="2285"/>
      <c r="G282" s="2285"/>
      <c r="H282" s="2285"/>
      <c r="I282" s="558"/>
      <c r="J282" s="487"/>
      <c r="K282" s="474"/>
    </row>
    <row r="283" spans="1:11" s="533" customFormat="1" ht="15">
      <c r="A283" s="559" t="s">
        <v>2</v>
      </c>
      <c r="B283" s="559"/>
      <c r="C283" s="560"/>
      <c r="D283" s="549"/>
      <c r="E283" s="549"/>
      <c r="F283" s="549"/>
      <c r="G283" s="549"/>
      <c r="H283" s="549"/>
      <c r="I283" s="561"/>
      <c r="J283" s="487"/>
      <c r="K283" s="474"/>
    </row>
    <row r="284" spans="1:11" ht="15">
      <c r="A284" s="562"/>
      <c r="B284" s="562"/>
      <c r="C284" s="562"/>
      <c r="D284" s="563"/>
      <c r="E284" s="563"/>
      <c r="F284" s="563"/>
      <c r="G284" s="563"/>
      <c r="H284" s="563"/>
      <c r="I284" s="562"/>
      <c r="J284" s="487"/>
    </row>
    <row r="285" spans="1:11">
      <c r="A285" s="537" t="s">
        <v>570</v>
      </c>
      <c r="B285" s="554"/>
      <c r="C285" s="558"/>
      <c r="D285" s="547"/>
      <c r="E285" s="548"/>
      <c r="F285" s="548"/>
      <c r="G285" s="548"/>
      <c r="H285" s="564"/>
      <c r="I285" s="525"/>
      <c r="J285" s="487"/>
    </row>
    <row r="286" spans="1:11" ht="15">
      <c r="A286" s="507" t="s">
        <v>668</v>
      </c>
      <c r="B286" s="554"/>
      <c r="C286" s="558"/>
      <c r="D286" s="547"/>
      <c r="E286" s="548"/>
      <c r="F286" s="548"/>
      <c r="G286" s="548"/>
      <c r="H286" s="564"/>
      <c r="I286" s="525"/>
      <c r="J286" s="487"/>
    </row>
    <row r="287" spans="1:11">
      <c r="A287" s="554"/>
      <c r="B287" s="554"/>
      <c r="C287" s="512" t="s">
        <v>234</v>
      </c>
      <c r="D287" s="513"/>
      <c r="E287" s="512" t="s">
        <v>237</v>
      </c>
      <c r="F287" s="512" t="s">
        <v>239</v>
      </c>
      <c r="G287" s="512" t="s">
        <v>240</v>
      </c>
      <c r="H287" s="512" t="s">
        <v>242</v>
      </c>
      <c r="I287" s="512" t="s">
        <v>244</v>
      </c>
      <c r="J287" s="512" t="s">
        <v>246</v>
      </c>
    </row>
    <row r="288" spans="1:11">
      <c r="A288" s="554"/>
      <c r="B288" s="554"/>
      <c r="C288" s="558"/>
      <c r="D288" s="487"/>
      <c r="E288" s="494"/>
      <c r="F288" s="514" t="s">
        <v>367</v>
      </c>
      <c r="G288" s="494"/>
      <c r="H288" s="514"/>
      <c r="I288" s="514"/>
      <c r="J288" s="483"/>
      <c r="K288" s="487"/>
    </row>
    <row r="289" spans="1:11" ht="15">
      <c r="A289" s="507"/>
      <c r="B289" s="554"/>
      <c r="C289" s="544"/>
      <c r="D289" s="487"/>
      <c r="E289" s="514" t="s">
        <v>115</v>
      </c>
      <c r="F289" s="514" t="s">
        <v>368</v>
      </c>
      <c r="G289" s="514" t="s">
        <v>369</v>
      </c>
      <c r="H289" s="514" t="s">
        <v>370</v>
      </c>
      <c r="I289" s="514" t="s">
        <v>371</v>
      </c>
      <c r="J289" s="483"/>
      <c r="K289" s="487"/>
    </row>
    <row r="290" spans="1:11" ht="15">
      <c r="A290" s="554"/>
      <c r="B290" s="554"/>
      <c r="C290" s="558"/>
      <c r="D290" s="487"/>
      <c r="E290" s="514"/>
      <c r="F290" s="514" t="s">
        <v>374</v>
      </c>
      <c r="G290" s="514" t="s">
        <v>374</v>
      </c>
      <c r="H290" s="514" t="s">
        <v>374</v>
      </c>
      <c r="I290" s="514" t="s">
        <v>374</v>
      </c>
      <c r="J290" s="515" t="s">
        <v>375</v>
      </c>
      <c r="K290" s="487"/>
    </row>
    <row r="291" spans="1:11" ht="15">
      <c r="A291" s="2164" t="s">
        <v>669</v>
      </c>
      <c r="B291" s="2165"/>
      <c r="C291" s="2165"/>
      <c r="D291" s="2178"/>
      <c r="E291" s="2179"/>
      <c r="F291" s="2179"/>
      <c r="G291" s="2179"/>
      <c r="H291" s="2179"/>
      <c r="I291" s="2179"/>
      <c r="J291" s="2169"/>
    </row>
    <row r="292" spans="1:11" ht="15">
      <c r="A292" s="2107" t="s">
        <v>670</v>
      </c>
      <c r="B292" s="2180"/>
      <c r="C292" s="2165"/>
      <c r="D292" s="2178"/>
      <c r="E292" s="2179"/>
      <c r="F292" s="2179"/>
      <c r="G292" s="2179"/>
      <c r="H292" s="2179"/>
      <c r="I292" s="2179"/>
      <c r="J292" s="2169"/>
    </row>
    <row r="293" spans="1:11" ht="12.75">
      <c r="A293" s="2097">
        <v>287849</v>
      </c>
      <c r="B293" s="2098">
        <v>415.42399999999998</v>
      </c>
      <c r="C293" s="2115" t="s">
        <v>671</v>
      </c>
      <c r="D293" s="2170"/>
      <c r="E293" s="2116">
        <v>25123884</v>
      </c>
      <c r="F293" s="2116">
        <f>E293</f>
        <v>25123884</v>
      </c>
      <c r="G293" s="2116">
        <v>0</v>
      </c>
      <c r="H293" s="2116">
        <v>0</v>
      </c>
      <c r="I293" s="2116">
        <v>0</v>
      </c>
      <c r="J293" s="2101" t="s">
        <v>672</v>
      </c>
    </row>
    <row r="294" spans="1:11" ht="14.25" customHeight="1">
      <c r="A294" s="2097">
        <v>287841</v>
      </c>
      <c r="B294" s="2098">
        <v>415.411</v>
      </c>
      <c r="C294" s="2115" t="s">
        <v>673</v>
      </c>
      <c r="D294" s="2170"/>
      <c r="E294" s="2116">
        <v>602713</v>
      </c>
      <c r="F294" s="2116">
        <f t="shared" ref="F294:F347" si="13">E294</f>
        <v>602713</v>
      </c>
      <c r="G294" s="2116">
        <v>0</v>
      </c>
      <c r="H294" s="2116">
        <v>0</v>
      </c>
      <c r="I294" s="2116">
        <v>0</v>
      </c>
      <c r="J294" s="2114" t="s">
        <v>674</v>
      </c>
    </row>
    <row r="295" spans="1:11" ht="15">
      <c r="A295" s="2097">
        <v>287842</v>
      </c>
      <c r="B295" s="2098">
        <v>415.41199999999998</v>
      </c>
      <c r="C295" s="2115" t="s">
        <v>675</v>
      </c>
      <c r="D295" s="2170"/>
      <c r="E295" s="2116">
        <v>516176</v>
      </c>
      <c r="F295" s="2116">
        <f t="shared" si="13"/>
        <v>516176</v>
      </c>
      <c r="G295" s="2116">
        <v>0</v>
      </c>
      <c r="H295" s="2116">
        <v>0</v>
      </c>
      <c r="I295" s="2116">
        <v>0</v>
      </c>
      <c r="J295" s="2114" t="s">
        <v>676</v>
      </c>
    </row>
    <row r="296" spans="1:11" ht="15">
      <c r="A296" s="2097">
        <v>287843</v>
      </c>
      <c r="B296" s="2098">
        <v>415.41300000000001</v>
      </c>
      <c r="C296" s="2115" t="s">
        <v>677</v>
      </c>
      <c r="D296" s="2170"/>
      <c r="E296" s="2116">
        <v>2164978</v>
      </c>
      <c r="F296" s="2116">
        <f t="shared" si="13"/>
        <v>2164978</v>
      </c>
      <c r="G296" s="2116">
        <v>0</v>
      </c>
      <c r="H296" s="2116">
        <v>0</v>
      </c>
      <c r="I296" s="2116">
        <v>0</v>
      </c>
      <c r="J296" s="2114" t="s">
        <v>678</v>
      </c>
    </row>
    <row r="297" spans="1:11" ht="15">
      <c r="A297" s="2097">
        <v>287844</v>
      </c>
      <c r="B297" s="2098">
        <v>415.41399999999999</v>
      </c>
      <c r="C297" s="2115" t="s">
        <v>679</v>
      </c>
      <c r="D297" s="2170"/>
      <c r="E297" s="2116">
        <v>967340</v>
      </c>
      <c r="F297" s="2116">
        <f t="shared" si="13"/>
        <v>967340</v>
      </c>
      <c r="G297" s="2116">
        <v>0</v>
      </c>
      <c r="H297" s="2116">
        <v>0</v>
      </c>
      <c r="I297" s="2116">
        <v>0</v>
      </c>
      <c r="J297" s="2114" t="s">
        <v>680</v>
      </c>
    </row>
    <row r="298" spans="1:11" ht="15">
      <c r="A298" s="2097">
        <v>287845</v>
      </c>
      <c r="B298" s="2098">
        <v>415.41500000000002</v>
      </c>
      <c r="C298" s="2115" t="s">
        <v>681</v>
      </c>
      <c r="D298" s="2170"/>
      <c r="E298" s="2116">
        <v>2703364</v>
      </c>
      <c r="F298" s="2116">
        <f t="shared" si="13"/>
        <v>2703364</v>
      </c>
      <c r="G298" s="2116">
        <v>0</v>
      </c>
      <c r="H298" s="2116">
        <v>0</v>
      </c>
      <c r="I298" s="2116">
        <v>0</v>
      </c>
      <c r="J298" s="2114" t="s">
        <v>682</v>
      </c>
    </row>
    <row r="299" spans="1:11" ht="15">
      <c r="A299" s="2097">
        <v>287846</v>
      </c>
      <c r="B299" s="2098">
        <v>415.416</v>
      </c>
      <c r="C299" s="2115" t="s">
        <v>683</v>
      </c>
      <c r="D299" s="2170"/>
      <c r="E299" s="2116">
        <v>609664</v>
      </c>
      <c r="F299" s="2116">
        <f t="shared" si="13"/>
        <v>609664</v>
      </c>
      <c r="G299" s="2116">
        <v>0</v>
      </c>
      <c r="H299" s="2116">
        <v>0</v>
      </c>
      <c r="I299" s="2116">
        <v>0</v>
      </c>
      <c r="J299" s="2114" t="s">
        <v>684</v>
      </c>
    </row>
    <row r="300" spans="1:11" ht="45">
      <c r="A300" s="2097">
        <v>287850</v>
      </c>
      <c r="B300" s="2098">
        <v>415.42500000000001</v>
      </c>
      <c r="C300" s="2115" t="s">
        <v>685</v>
      </c>
      <c r="D300" s="2170"/>
      <c r="E300" s="2116">
        <v>1168493</v>
      </c>
      <c r="F300" s="2116">
        <f t="shared" si="13"/>
        <v>1168493</v>
      </c>
      <c r="G300" s="2116">
        <v>0</v>
      </c>
      <c r="H300" s="2116">
        <v>0</v>
      </c>
      <c r="I300" s="2116">
        <v>0</v>
      </c>
      <c r="J300" s="2114" t="s">
        <v>686</v>
      </c>
    </row>
    <row r="301" spans="1:11" s="487" customFormat="1" ht="45">
      <c r="A301" s="2097">
        <v>287851</v>
      </c>
      <c r="B301" s="2098">
        <v>415.41699999999997</v>
      </c>
      <c r="C301" s="2115" t="s">
        <v>687</v>
      </c>
      <c r="D301" s="2170"/>
      <c r="E301" s="2116">
        <v>443826</v>
      </c>
      <c r="F301" s="2116">
        <f t="shared" si="13"/>
        <v>443826</v>
      </c>
      <c r="G301" s="2116">
        <v>0</v>
      </c>
      <c r="H301" s="2116">
        <v>0</v>
      </c>
      <c r="I301" s="2116">
        <v>0</v>
      </c>
      <c r="J301" s="2114" t="s">
        <v>688</v>
      </c>
      <c r="K301" s="474"/>
    </row>
    <row r="302" spans="1:11" s="487" customFormat="1" ht="45">
      <c r="A302" s="2097">
        <v>287855</v>
      </c>
      <c r="B302" s="2098">
        <v>415.42099999999999</v>
      </c>
      <c r="C302" s="2115" t="s">
        <v>689</v>
      </c>
      <c r="D302" s="2170"/>
      <c r="E302" s="2116">
        <v>1990706</v>
      </c>
      <c r="F302" s="2116">
        <f t="shared" si="13"/>
        <v>1990706</v>
      </c>
      <c r="G302" s="2116">
        <v>0</v>
      </c>
      <c r="H302" s="2116">
        <v>0</v>
      </c>
      <c r="I302" s="2116">
        <v>0</v>
      </c>
      <c r="J302" s="2114" t="s">
        <v>690</v>
      </c>
      <c r="K302" s="474"/>
    </row>
    <row r="303" spans="1:11" s="487" customFormat="1" ht="30">
      <c r="A303" s="2097">
        <v>286921</v>
      </c>
      <c r="B303" s="2098">
        <v>415.73099999999999</v>
      </c>
      <c r="C303" s="2115" t="s">
        <v>2157</v>
      </c>
      <c r="D303" s="2170"/>
      <c r="E303" s="2116">
        <v>510042</v>
      </c>
      <c r="F303" s="2116">
        <f>+E303</f>
        <v>510042</v>
      </c>
      <c r="G303" s="2116">
        <v>0</v>
      </c>
      <c r="H303" s="2116">
        <v>0</v>
      </c>
      <c r="I303" s="2116">
        <v>0</v>
      </c>
      <c r="J303" s="2114" t="s">
        <v>2158</v>
      </c>
      <c r="K303" s="474"/>
    </row>
    <row r="304" spans="1:11" ht="30">
      <c r="A304" s="2097">
        <v>287747</v>
      </c>
      <c r="B304" s="2098">
        <v>705.24</v>
      </c>
      <c r="C304" s="2115" t="s">
        <v>691</v>
      </c>
      <c r="D304" s="2170"/>
      <c r="E304" s="2116">
        <v>-2376</v>
      </c>
      <c r="F304" s="2116">
        <f t="shared" si="13"/>
        <v>-2376</v>
      </c>
      <c r="G304" s="2116">
        <v>0</v>
      </c>
      <c r="H304" s="2116">
        <v>0</v>
      </c>
      <c r="I304" s="2116">
        <v>0</v>
      </c>
      <c r="J304" s="2114" t="s">
        <v>692</v>
      </c>
    </row>
    <row r="305" spans="1:10" ht="25.5">
      <c r="A305" s="2097">
        <v>287642</v>
      </c>
      <c r="B305" s="2098">
        <v>105.401</v>
      </c>
      <c r="C305" s="2115" t="s">
        <v>693</v>
      </c>
      <c r="D305" s="2170"/>
      <c r="E305" s="2116">
        <v>-34471952</v>
      </c>
      <c r="F305" s="2116">
        <f t="shared" si="13"/>
        <v>-34471952</v>
      </c>
      <c r="G305" s="2116">
        <v>0</v>
      </c>
      <c r="H305" s="2116">
        <v>0</v>
      </c>
      <c r="I305" s="2116">
        <v>0</v>
      </c>
      <c r="J305" s="2101" t="s">
        <v>694</v>
      </c>
    </row>
    <row r="306" spans="1:10" ht="60">
      <c r="A306" s="2097">
        <v>287911</v>
      </c>
      <c r="B306" s="2098">
        <v>415.69900000000001</v>
      </c>
      <c r="C306" s="2115" t="s">
        <v>695</v>
      </c>
      <c r="D306" s="2170"/>
      <c r="E306" s="2116">
        <v>-2101010</v>
      </c>
      <c r="F306" s="2116">
        <f>E306</f>
        <v>-2101010</v>
      </c>
      <c r="G306" s="2116">
        <v>0</v>
      </c>
      <c r="H306" s="2116">
        <v>0</v>
      </c>
      <c r="I306" s="2116">
        <v>0</v>
      </c>
      <c r="J306" s="2114" t="s">
        <v>696</v>
      </c>
    </row>
    <row r="307" spans="1:10" ht="45">
      <c r="A307" s="2097">
        <v>287914</v>
      </c>
      <c r="B307" s="2098">
        <v>715.721</v>
      </c>
      <c r="C307" s="2115" t="s">
        <v>2159</v>
      </c>
      <c r="D307" s="2170"/>
      <c r="E307" s="2116">
        <v>-48507</v>
      </c>
      <c r="F307" s="2116">
        <f>E307</f>
        <v>-48507</v>
      </c>
      <c r="G307" s="2116">
        <v>0</v>
      </c>
      <c r="H307" s="2116">
        <v>0</v>
      </c>
      <c r="I307" s="2116">
        <v>0</v>
      </c>
      <c r="J307" s="2114" t="s">
        <v>2160</v>
      </c>
    </row>
    <row r="308" spans="1:10" ht="30">
      <c r="A308" s="2097">
        <v>287997</v>
      </c>
      <c r="B308" s="2098">
        <v>415.86200000000002</v>
      </c>
      <c r="C308" s="2115" t="s">
        <v>697</v>
      </c>
      <c r="D308" s="2170"/>
      <c r="E308" s="2116">
        <v>-49962</v>
      </c>
      <c r="F308" s="2116">
        <f t="shared" ref="F308:F311" si="14">E308</f>
        <v>-49962</v>
      </c>
      <c r="G308" s="2116">
        <v>0</v>
      </c>
      <c r="H308" s="2116">
        <v>0</v>
      </c>
      <c r="I308" s="2116">
        <v>0</v>
      </c>
      <c r="J308" s="2114" t="s">
        <v>698</v>
      </c>
    </row>
    <row r="309" spans="1:10" ht="30">
      <c r="A309" s="2097">
        <v>287935</v>
      </c>
      <c r="B309" s="2098">
        <v>415.93599999999998</v>
      </c>
      <c r="C309" s="2115" t="s">
        <v>699</v>
      </c>
      <c r="D309" s="2170"/>
      <c r="E309" s="2116">
        <v>-847911</v>
      </c>
      <c r="F309" s="2116">
        <f>E309</f>
        <v>-847911</v>
      </c>
      <c r="G309" s="2116">
        <v>0</v>
      </c>
      <c r="H309" s="2116">
        <v>0</v>
      </c>
      <c r="I309" s="2116">
        <v>0</v>
      </c>
      <c r="J309" s="2114" t="s">
        <v>700</v>
      </c>
    </row>
    <row r="310" spans="1:10" ht="30">
      <c r="A310" s="2097">
        <v>286901</v>
      </c>
      <c r="B310" s="2098">
        <v>415.93799999999999</v>
      </c>
      <c r="C310" s="2115" t="s">
        <v>701</v>
      </c>
      <c r="D310" s="2170"/>
      <c r="E310" s="2116">
        <v>12797</v>
      </c>
      <c r="F310" s="2116">
        <f t="shared" si="14"/>
        <v>12797</v>
      </c>
      <c r="G310" s="2116">
        <v>0</v>
      </c>
      <c r="H310" s="2116">
        <v>0</v>
      </c>
      <c r="I310" s="2116">
        <v>0</v>
      </c>
      <c r="J310" s="2114" t="s">
        <v>702</v>
      </c>
    </row>
    <row r="311" spans="1:10" ht="30">
      <c r="A311" s="2097">
        <v>286900</v>
      </c>
      <c r="B311" s="2098">
        <v>415.93700000000001</v>
      </c>
      <c r="C311" s="2115" t="s">
        <v>703</v>
      </c>
      <c r="D311" s="2170"/>
      <c r="E311" s="2116">
        <v>68301</v>
      </c>
      <c r="F311" s="2116">
        <f t="shared" si="14"/>
        <v>68301</v>
      </c>
      <c r="G311" s="2116">
        <v>0</v>
      </c>
      <c r="H311" s="2116">
        <v>0</v>
      </c>
      <c r="I311" s="2116">
        <v>0</v>
      </c>
      <c r="J311" s="2114" t="s">
        <v>704</v>
      </c>
    </row>
    <row r="312" spans="1:10" ht="25.5">
      <c r="A312" s="2097">
        <v>287984</v>
      </c>
      <c r="B312" s="2098">
        <v>415.923</v>
      </c>
      <c r="C312" s="2115" t="s">
        <v>705</v>
      </c>
      <c r="D312" s="2170"/>
      <c r="E312" s="2116">
        <v>-117681</v>
      </c>
      <c r="F312" s="2116">
        <f>E312</f>
        <v>-117681</v>
      </c>
      <c r="G312" s="2116">
        <v>0</v>
      </c>
      <c r="H312" s="2116">
        <v>0</v>
      </c>
      <c r="I312" s="2116">
        <v>0</v>
      </c>
      <c r="J312" s="2101" t="s">
        <v>706</v>
      </c>
    </row>
    <row r="313" spans="1:10" ht="25.5" customHeight="1">
      <c r="A313" s="2097">
        <v>287985</v>
      </c>
      <c r="B313" s="2098">
        <v>415.92399999999998</v>
      </c>
      <c r="C313" s="2115" t="s">
        <v>707</v>
      </c>
      <c r="D313" s="2170"/>
      <c r="E313" s="2116">
        <v>-846920</v>
      </c>
      <c r="F313" s="2116">
        <f>E313</f>
        <v>-846920</v>
      </c>
      <c r="G313" s="2116">
        <v>0</v>
      </c>
      <c r="H313" s="2116">
        <v>0</v>
      </c>
      <c r="I313" s="2116">
        <v>0</v>
      </c>
      <c r="J313" s="2101" t="s">
        <v>708</v>
      </c>
    </row>
    <row r="314" spans="1:10" ht="25.5">
      <c r="A314" s="2097">
        <v>287986</v>
      </c>
      <c r="B314" s="2098">
        <v>415.92500000000001</v>
      </c>
      <c r="C314" s="2115" t="s">
        <v>709</v>
      </c>
      <c r="D314" s="2170"/>
      <c r="E314" s="2116">
        <v>-284759</v>
      </c>
      <c r="F314" s="2116">
        <f>E314</f>
        <v>-284759</v>
      </c>
      <c r="G314" s="2116">
        <v>0</v>
      </c>
      <c r="H314" s="2116">
        <v>0</v>
      </c>
      <c r="I314" s="2116">
        <v>0</v>
      </c>
      <c r="J314" s="2101" t="s">
        <v>710</v>
      </c>
    </row>
    <row r="315" spans="1:10" ht="25.5">
      <c r="A315" s="2097">
        <v>286920</v>
      </c>
      <c r="B315" s="2098">
        <v>415.72500000000002</v>
      </c>
      <c r="C315" s="2115" t="s">
        <v>2161</v>
      </c>
      <c r="D315" s="2170"/>
      <c r="E315" s="2116">
        <v>-6776576</v>
      </c>
      <c r="F315" s="2116">
        <f>+E315</f>
        <v>-6776576</v>
      </c>
      <c r="G315" s="2116">
        <v>0</v>
      </c>
      <c r="H315" s="2116">
        <v>0</v>
      </c>
      <c r="I315" s="2116">
        <v>0</v>
      </c>
      <c r="J315" s="2101" t="s">
        <v>2162</v>
      </c>
    </row>
    <row r="316" spans="1:10" ht="25.5">
      <c r="A316" s="2097">
        <v>286913</v>
      </c>
      <c r="B316" s="2098">
        <v>415.72</v>
      </c>
      <c r="C316" s="2115" t="s">
        <v>2163</v>
      </c>
      <c r="D316" s="2170"/>
      <c r="E316" s="2116">
        <v>-122373</v>
      </c>
      <c r="F316" s="2116">
        <f t="shared" ref="F316" si="15">E316</f>
        <v>-122373</v>
      </c>
      <c r="G316" s="2116">
        <v>0</v>
      </c>
      <c r="H316" s="2116">
        <v>0</v>
      </c>
      <c r="I316" s="2116">
        <v>0</v>
      </c>
      <c r="J316" s="2101" t="s">
        <v>2164</v>
      </c>
    </row>
    <row r="317" spans="1:10" ht="12.75">
      <c r="A317" s="2097">
        <v>287781</v>
      </c>
      <c r="B317" s="2098">
        <v>415.87</v>
      </c>
      <c r="C317" s="2115" t="s">
        <v>714</v>
      </c>
      <c r="D317" s="2170"/>
      <c r="E317" s="2116">
        <v>-1470852</v>
      </c>
      <c r="F317" s="2116">
        <f t="shared" si="13"/>
        <v>-1470852</v>
      </c>
      <c r="G317" s="2116">
        <v>0</v>
      </c>
      <c r="H317" s="2116">
        <v>0</v>
      </c>
      <c r="I317" s="2116">
        <v>0</v>
      </c>
      <c r="J317" s="2118" t="s">
        <v>715</v>
      </c>
    </row>
    <row r="318" spans="1:10" ht="25.5">
      <c r="A318" s="2097">
        <v>287596</v>
      </c>
      <c r="B318" s="2098">
        <v>415.892</v>
      </c>
      <c r="C318" s="2115" t="s">
        <v>716</v>
      </c>
      <c r="D318" s="2170"/>
      <c r="E318" s="2116">
        <v>-6156691</v>
      </c>
      <c r="F318" s="2116">
        <f t="shared" si="13"/>
        <v>-6156691</v>
      </c>
      <c r="G318" s="2116">
        <v>0</v>
      </c>
      <c r="H318" s="2116">
        <v>0</v>
      </c>
      <c r="I318" s="2116">
        <v>0</v>
      </c>
      <c r="J318" s="2118" t="s">
        <v>717</v>
      </c>
    </row>
    <row r="319" spans="1:10" ht="25.5">
      <c r="A319" s="2097">
        <v>287882</v>
      </c>
      <c r="B319" s="2098">
        <v>415.892</v>
      </c>
      <c r="C319" s="2115" t="s">
        <v>2165</v>
      </c>
      <c r="D319" s="2170"/>
      <c r="E319" s="2116">
        <v>-732750</v>
      </c>
      <c r="F319" s="2116">
        <f t="shared" si="13"/>
        <v>-732750</v>
      </c>
      <c r="G319" s="2116">
        <v>0</v>
      </c>
      <c r="H319" s="2116">
        <v>0</v>
      </c>
      <c r="I319" s="2116">
        <v>0</v>
      </c>
      <c r="J319" s="2118" t="s">
        <v>717</v>
      </c>
    </row>
    <row r="320" spans="1:10" ht="38.25">
      <c r="A320" s="2097">
        <v>287896</v>
      </c>
      <c r="B320" s="2098">
        <v>415.875</v>
      </c>
      <c r="C320" s="2115" t="s">
        <v>718</v>
      </c>
      <c r="D320" s="2170"/>
      <c r="E320" s="2116">
        <v>-13037905</v>
      </c>
      <c r="F320" s="2116">
        <f t="shared" si="13"/>
        <v>-13037905</v>
      </c>
      <c r="G320" s="2116">
        <v>0</v>
      </c>
      <c r="H320" s="2116">
        <v>0</v>
      </c>
      <c r="I320" s="2116">
        <v>0</v>
      </c>
      <c r="J320" s="2118" t="s">
        <v>719</v>
      </c>
    </row>
    <row r="321" spans="1:10" ht="25.5">
      <c r="A321" s="2097">
        <v>287593</v>
      </c>
      <c r="B321" s="2098">
        <v>415.87400000000002</v>
      </c>
      <c r="C321" s="2115" t="s">
        <v>720</v>
      </c>
      <c r="D321" s="2170"/>
      <c r="E321" s="2116">
        <v>-4616333</v>
      </c>
      <c r="F321" s="2116">
        <f t="shared" si="13"/>
        <v>-4616333</v>
      </c>
      <c r="G321" s="2116">
        <v>0</v>
      </c>
      <c r="H321" s="2116">
        <v>0</v>
      </c>
      <c r="I321" s="2116">
        <v>0</v>
      </c>
      <c r="J321" s="2118" t="s">
        <v>721</v>
      </c>
    </row>
    <row r="322" spans="1:10" ht="25.5">
      <c r="A322" s="2097">
        <v>287783</v>
      </c>
      <c r="B322" s="2098">
        <v>415.88</v>
      </c>
      <c r="C322" s="2115" t="s">
        <v>722</v>
      </c>
      <c r="D322" s="2170"/>
      <c r="E322" s="2116">
        <v>26525</v>
      </c>
      <c r="F322" s="2116">
        <f t="shared" si="13"/>
        <v>26525</v>
      </c>
      <c r="G322" s="2116">
        <v>0</v>
      </c>
      <c r="H322" s="2116">
        <v>0</v>
      </c>
      <c r="I322" s="2116">
        <v>0</v>
      </c>
      <c r="J322" s="2101" t="s">
        <v>723</v>
      </c>
    </row>
    <row r="323" spans="1:10" ht="25.5">
      <c r="A323" s="2097">
        <v>287570</v>
      </c>
      <c r="B323" s="2098">
        <v>415.70100000000002</v>
      </c>
      <c r="C323" s="2115" t="s">
        <v>724</v>
      </c>
      <c r="D323" s="2170"/>
      <c r="E323" s="2116">
        <v>-10756</v>
      </c>
      <c r="F323" s="2116">
        <f t="shared" si="13"/>
        <v>-10756</v>
      </c>
      <c r="G323" s="2116">
        <v>0</v>
      </c>
      <c r="H323" s="2116">
        <v>0</v>
      </c>
      <c r="I323" s="2116">
        <v>0</v>
      </c>
      <c r="J323" s="2101" t="s">
        <v>725</v>
      </c>
    </row>
    <row r="324" spans="1:10" ht="25.5">
      <c r="A324" s="2097">
        <v>287647</v>
      </c>
      <c r="B324" s="2098">
        <v>425.1</v>
      </c>
      <c r="C324" s="2115" t="s">
        <v>726</v>
      </c>
      <c r="D324" s="2170"/>
      <c r="E324" s="2116">
        <v>-16440</v>
      </c>
      <c r="F324" s="2116">
        <f t="shared" si="13"/>
        <v>-16440</v>
      </c>
      <c r="G324" s="2116">
        <v>0</v>
      </c>
      <c r="H324" s="2116">
        <v>0</v>
      </c>
      <c r="I324" s="2116">
        <v>0</v>
      </c>
      <c r="J324" s="2101" t="s">
        <v>727</v>
      </c>
    </row>
    <row r="325" spans="1:10" ht="25.5">
      <c r="A325" s="2097">
        <v>287640</v>
      </c>
      <c r="B325" s="2098">
        <v>415.68</v>
      </c>
      <c r="C325" s="2115" t="s">
        <v>728</v>
      </c>
      <c r="D325" s="2170"/>
      <c r="E325" s="2116">
        <v>-368012</v>
      </c>
      <c r="F325" s="2116">
        <f t="shared" si="13"/>
        <v>-368012</v>
      </c>
      <c r="G325" s="2116">
        <v>0</v>
      </c>
      <c r="H325" s="2116">
        <v>0</v>
      </c>
      <c r="I325" s="2116">
        <v>0</v>
      </c>
      <c r="J325" s="2101" t="s">
        <v>729</v>
      </c>
    </row>
    <row r="326" spans="1:10" ht="25.5">
      <c r="A326" s="2097">
        <v>287861</v>
      </c>
      <c r="B326" s="2098">
        <v>415.85700000000003</v>
      </c>
      <c r="C326" s="2115" t="s">
        <v>730</v>
      </c>
      <c r="D326" s="2170"/>
      <c r="E326" s="2116">
        <v>-92979</v>
      </c>
      <c r="F326" s="2116">
        <f t="shared" si="13"/>
        <v>-92979</v>
      </c>
      <c r="G326" s="2116">
        <v>0</v>
      </c>
      <c r="H326" s="2116">
        <v>0</v>
      </c>
      <c r="I326" s="2116">
        <v>0</v>
      </c>
      <c r="J326" s="2101" t="s">
        <v>731</v>
      </c>
    </row>
    <row r="327" spans="1:10" ht="25.5">
      <c r="A327" s="2097">
        <v>287868</v>
      </c>
      <c r="B327" s="2098">
        <v>415.858</v>
      </c>
      <c r="C327" s="2115" t="s">
        <v>732</v>
      </c>
      <c r="D327" s="2170"/>
      <c r="E327" s="2116">
        <v>-261619</v>
      </c>
      <c r="F327" s="2116">
        <f t="shared" si="13"/>
        <v>-261619</v>
      </c>
      <c r="G327" s="2116">
        <v>0</v>
      </c>
      <c r="H327" s="2116">
        <v>0</v>
      </c>
      <c r="I327" s="2116">
        <v>0</v>
      </c>
      <c r="J327" s="2101" t="s">
        <v>733</v>
      </c>
    </row>
    <row r="328" spans="1:10" ht="51">
      <c r="A328" s="2097">
        <v>287614</v>
      </c>
      <c r="B328" s="2098">
        <v>430.1</v>
      </c>
      <c r="C328" s="2115" t="s">
        <v>734</v>
      </c>
      <c r="D328" s="2170"/>
      <c r="E328" s="2116">
        <v>3042963</v>
      </c>
      <c r="F328" s="2116">
        <f t="shared" si="13"/>
        <v>3042963</v>
      </c>
      <c r="G328" s="2116">
        <v>0</v>
      </c>
      <c r="H328" s="2116">
        <v>0</v>
      </c>
      <c r="I328" s="2116">
        <v>0</v>
      </c>
      <c r="J328" s="2118" t="s">
        <v>735</v>
      </c>
    </row>
    <row r="329" spans="1:10" ht="25.5">
      <c r="A329" s="2097">
        <v>287981</v>
      </c>
      <c r="B329" s="2098">
        <v>415.92</v>
      </c>
      <c r="C329" s="2115" t="s">
        <v>736</v>
      </c>
      <c r="D329" s="2170"/>
      <c r="E329" s="2116">
        <v>18902</v>
      </c>
      <c r="F329" s="2116">
        <f t="shared" si="13"/>
        <v>18902</v>
      </c>
      <c r="G329" s="2116">
        <v>0</v>
      </c>
      <c r="H329" s="2116">
        <v>0</v>
      </c>
      <c r="I329" s="2116">
        <v>0</v>
      </c>
      <c r="J329" s="2118" t="s">
        <v>737</v>
      </c>
    </row>
    <row r="330" spans="1:10" ht="25.5">
      <c r="A330" s="2097">
        <v>287982</v>
      </c>
      <c r="B330" s="2098">
        <v>415.92099999999999</v>
      </c>
      <c r="C330" s="2115" t="s">
        <v>738</v>
      </c>
      <c r="D330" s="2170"/>
      <c r="E330" s="2116">
        <v>-362037</v>
      </c>
      <c r="F330" s="2116">
        <f t="shared" si="13"/>
        <v>-362037</v>
      </c>
      <c r="G330" s="2116">
        <v>0</v>
      </c>
      <c r="H330" s="2116">
        <v>0</v>
      </c>
      <c r="I330" s="2116">
        <v>0</v>
      </c>
      <c r="J330" s="2118" t="s">
        <v>739</v>
      </c>
    </row>
    <row r="331" spans="1:10" ht="27" customHeight="1">
      <c r="A331" s="2097">
        <v>287983</v>
      </c>
      <c r="B331" s="2098">
        <v>415.92200000000003</v>
      </c>
      <c r="C331" s="2115" t="s">
        <v>740</v>
      </c>
      <c r="D331" s="2170"/>
      <c r="E331" s="2116">
        <v>-1250277</v>
      </c>
      <c r="F331" s="2116">
        <f t="shared" si="13"/>
        <v>-1250277</v>
      </c>
      <c r="G331" s="2116">
        <v>0</v>
      </c>
      <c r="H331" s="2116">
        <v>0</v>
      </c>
      <c r="I331" s="2116">
        <v>0</v>
      </c>
      <c r="J331" s="2118" t="s">
        <v>741</v>
      </c>
    </row>
    <row r="332" spans="1:10" ht="30">
      <c r="A332" s="2097">
        <v>287576</v>
      </c>
      <c r="B332" s="2098">
        <v>430.11</v>
      </c>
      <c r="C332" s="2115" t="s">
        <v>742</v>
      </c>
      <c r="D332" s="2170"/>
      <c r="E332" s="2116">
        <v>-5053830</v>
      </c>
      <c r="F332" s="2116">
        <f t="shared" si="13"/>
        <v>-5053830</v>
      </c>
      <c r="G332" s="2116">
        <v>0</v>
      </c>
      <c r="H332" s="2116">
        <v>0</v>
      </c>
      <c r="I332" s="2116">
        <v>0</v>
      </c>
      <c r="J332" s="2114" t="s">
        <v>2113</v>
      </c>
    </row>
    <row r="333" spans="1:10" ht="38.25">
      <c r="A333" s="2097">
        <v>287840</v>
      </c>
      <c r="B333" s="2098">
        <v>415.41</v>
      </c>
      <c r="C333" s="2115" t="s">
        <v>743</v>
      </c>
      <c r="D333" s="2170"/>
      <c r="E333" s="2116">
        <v>-67001831</v>
      </c>
      <c r="F333" s="2116">
        <f t="shared" si="13"/>
        <v>-67001831</v>
      </c>
      <c r="G333" s="2116">
        <v>0</v>
      </c>
      <c r="H333" s="2116">
        <v>0</v>
      </c>
      <c r="I333" s="2116">
        <v>0</v>
      </c>
      <c r="J333" s="2101" t="s">
        <v>744</v>
      </c>
    </row>
    <row r="334" spans="1:10" ht="25.5">
      <c r="A334" s="2097">
        <v>287634</v>
      </c>
      <c r="B334" s="2098">
        <v>415.3</v>
      </c>
      <c r="C334" s="2115" t="s">
        <v>745</v>
      </c>
      <c r="D334" s="2170"/>
      <c r="E334" s="2116">
        <v>-21521009</v>
      </c>
      <c r="F334" s="2116">
        <f t="shared" si="13"/>
        <v>-21521009</v>
      </c>
      <c r="G334" s="2116">
        <v>0</v>
      </c>
      <c r="H334" s="2116">
        <v>0</v>
      </c>
      <c r="I334" s="2116">
        <v>0</v>
      </c>
      <c r="J334" s="2101" t="s">
        <v>746</v>
      </c>
    </row>
    <row r="335" spans="1:10" ht="25.5">
      <c r="A335" s="2097">
        <v>287591</v>
      </c>
      <c r="B335" s="2098">
        <v>415.30099999999999</v>
      </c>
      <c r="C335" s="2115" t="s">
        <v>747</v>
      </c>
      <c r="D335" s="2170"/>
      <c r="E335" s="2116">
        <v>537160</v>
      </c>
      <c r="F335" s="2116">
        <f t="shared" si="13"/>
        <v>537160</v>
      </c>
      <c r="G335" s="2116">
        <v>0</v>
      </c>
      <c r="H335" s="2116">
        <v>0</v>
      </c>
      <c r="I335" s="2116">
        <v>0</v>
      </c>
      <c r="J335" s="2101" t="s">
        <v>748</v>
      </c>
    </row>
    <row r="336" spans="1:10" ht="25.5">
      <c r="A336" s="2097">
        <v>287738</v>
      </c>
      <c r="B336" s="2098">
        <v>320.27</v>
      </c>
      <c r="C336" s="2115" t="s">
        <v>749</v>
      </c>
      <c r="D336" s="2170"/>
      <c r="E336" s="2116">
        <v>-103373649</v>
      </c>
      <c r="F336" s="2116">
        <f t="shared" si="13"/>
        <v>-103373649</v>
      </c>
      <c r="G336" s="2116">
        <v>0</v>
      </c>
      <c r="H336" s="2116">
        <v>0</v>
      </c>
      <c r="I336" s="2116">
        <v>0</v>
      </c>
      <c r="J336" s="2101" t="s">
        <v>750</v>
      </c>
    </row>
    <row r="337" spans="1:10" ht="25.5">
      <c r="A337" s="2097">
        <v>287739</v>
      </c>
      <c r="B337" s="2098">
        <v>320.27999999999997</v>
      </c>
      <c r="C337" s="2115" t="s">
        <v>751</v>
      </c>
      <c r="D337" s="2170"/>
      <c r="E337" s="2116">
        <v>1885101</v>
      </c>
      <c r="F337" s="2116">
        <f t="shared" si="13"/>
        <v>1885101</v>
      </c>
      <c r="G337" s="2116">
        <v>0</v>
      </c>
      <c r="H337" s="2116">
        <v>0</v>
      </c>
      <c r="I337" s="2116">
        <v>0</v>
      </c>
      <c r="J337" s="2101" t="s">
        <v>752</v>
      </c>
    </row>
    <row r="338" spans="1:10" ht="25.5">
      <c r="A338" s="2097">
        <v>286917</v>
      </c>
      <c r="B338" s="2098">
        <v>415.26</v>
      </c>
      <c r="C338" s="2115" t="s">
        <v>2166</v>
      </c>
      <c r="D338" s="2170"/>
      <c r="E338" s="2116">
        <v>-780256</v>
      </c>
      <c r="F338" s="2116">
        <f t="shared" si="13"/>
        <v>-780256</v>
      </c>
      <c r="G338" s="2116">
        <v>0</v>
      </c>
      <c r="H338" s="2116">
        <v>0</v>
      </c>
      <c r="I338" s="2116">
        <v>0</v>
      </c>
      <c r="J338" s="2101" t="s">
        <v>2167</v>
      </c>
    </row>
    <row r="339" spans="1:10" ht="27.75" customHeight="1">
      <c r="A339" s="2097">
        <v>287597</v>
      </c>
      <c r="B339" s="2098">
        <v>415.70299999999997</v>
      </c>
      <c r="C339" s="2115" t="s">
        <v>753</v>
      </c>
      <c r="D339" s="2170"/>
      <c r="E339" s="2116">
        <v>-73145</v>
      </c>
      <c r="F339" s="2116">
        <f t="shared" si="13"/>
        <v>-73145</v>
      </c>
      <c r="G339" s="2116">
        <v>0</v>
      </c>
      <c r="H339" s="2116">
        <v>0</v>
      </c>
      <c r="I339" s="2116">
        <v>0</v>
      </c>
      <c r="J339" s="2101" t="s">
        <v>754</v>
      </c>
    </row>
    <row r="340" spans="1:10" ht="25.5">
      <c r="A340" s="2097">
        <v>286905</v>
      </c>
      <c r="B340" s="2098">
        <v>415.53</v>
      </c>
      <c r="C340" s="2115" t="s">
        <v>1892</v>
      </c>
      <c r="D340" s="2170"/>
      <c r="E340" s="2116">
        <v>-73760</v>
      </c>
      <c r="F340" s="2116">
        <f t="shared" si="13"/>
        <v>-73760</v>
      </c>
      <c r="G340" s="2116">
        <v>0</v>
      </c>
      <c r="H340" s="2116">
        <v>0</v>
      </c>
      <c r="I340" s="2116">
        <v>0</v>
      </c>
      <c r="J340" s="2118" t="s">
        <v>1893</v>
      </c>
    </row>
    <row r="341" spans="1:10" ht="12.75">
      <c r="A341" s="2097">
        <v>287897</v>
      </c>
      <c r="B341" s="2098">
        <v>425.4</v>
      </c>
      <c r="C341" s="2115" t="s">
        <v>755</v>
      </c>
      <c r="D341" s="2170"/>
      <c r="E341" s="2116">
        <v>-2951084</v>
      </c>
      <c r="F341" s="2116">
        <f t="shared" si="13"/>
        <v>-2951084</v>
      </c>
      <c r="G341" s="2116">
        <v>0</v>
      </c>
      <c r="H341" s="2116">
        <v>0</v>
      </c>
      <c r="I341" s="2116">
        <v>0</v>
      </c>
      <c r="J341" s="2101" t="s">
        <v>756</v>
      </c>
    </row>
    <row r="342" spans="1:10" ht="25.5">
      <c r="A342" s="2097">
        <v>287571</v>
      </c>
      <c r="B342" s="2098">
        <v>415.702</v>
      </c>
      <c r="C342" s="2115" t="s">
        <v>757</v>
      </c>
      <c r="D342" s="2170"/>
      <c r="E342" s="2116">
        <v>-186472</v>
      </c>
      <c r="F342" s="2116">
        <f t="shared" si="13"/>
        <v>-186472</v>
      </c>
      <c r="G342" s="2116">
        <v>0</v>
      </c>
      <c r="H342" s="2116">
        <v>0</v>
      </c>
      <c r="I342" s="2116">
        <v>0</v>
      </c>
      <c r="J342" s="2101" t="s">
        <v>758</v>
      </c>
    </row>
    <row r="343" spans="1:10" ht="16.5" customHeight="1">
      <c r="A343" s="2097">
        <v>287903</v>
      </c>
      <c r="B343" s="2098">
        <v>415.87900000000002</v>
      </c>
      <c r="C343" s="2115" t="s">
        <v>759</v>
      </c>
      <c r="D343" s="2170"/>
      <c r="E343" s="2116">
        <v>-19646</v>
      </c>
      <c r="F343" s="2116">
        <f t="shared" si="13"/>
        <v>-19646</v>
      </c>
      <c r="G343" s="2116">
        <v>0</v>
      </c>
      <c r="H343" s="2116">
        <v>0</v>
      </c>
      <c r="I343" s="2116">
        <v>0</v>
      </c>
      <c r="J343" s="2118" t="s">
        <v>760</v>
      </c>
    </row>
    <row r="344" spans="1:10" ht="38.25">
      <c r="A344" s="2097">
        <v>287977</v>
      </c>
      <c r="B344" s="2098">
        <v>415.88499999999999</v>
      </c>
      <c r="C344" s="2115" t="s">
        <v>761</v>
      </c>
      <c r="D344" s="2170"/>
      <c r="E344" s="2116">
        <v>-26525</v>
      </c>
      <c r="F344" s="2116">
        <f t="shared" si="13"/>
        <v>-26525</v>
      </c>
      <c r="G344" s="2116">
        <v>0</v>
      </c>
      <c r="H344" s="2116">
        <v>0</v>
      </c>
      <c r="I344" s="2116">
        <v>0</v>
      </c>
      <c r="J344" s="2118" t="s">
        <v>762</v>
      </c>
    </row>
    <row r="345" spans="1:10" ht="12.75">
      <c r="A345" s="2097">
        <v>287919</v>
      </c>
      <c r="B345" s="2098">
        <v>425.10500000000002</v>
      </c>
      <c r="C345" s="2115" t="s">
        <v>763</v>
      </c>
      <c r="D345" s="2170"/>
      <c r="E345" s="2116">
        <v>-231784</v>
      </c>
      <c r="F345" s="2116">
        <f t="shared" si="13"/>
        <v>-231784</v>
      </c>
      <c r="G345" s="2116">
        <v>0</v>
      </c>
      <c r="H345" s="2116">
        <v>0</v>
      </c>
      <c r="I345" s="2116">
        <v>0</v>
      </c>
      <c r="J345" s="2118" t="s">
        <v>764</v>
      </c>
    </row>
    <row r="346" spans="1:10" ht="25.5">
      <c r="A346" s="2097">
        <v>286910</v>
      </c>
      <c r="B346" s="2098">
        <v>415.2</v>
      </c>
      <c r="C346" s="2115" t="s">
        <v>2168</v>
      </c>
      <c r="D346" s="2170"/>
      <c r="E346" s="2116">
        <v>-200968</v>
      </c>
      <c r="F346" s="2116">
        <f t="shared" si="13"/>
        <v>-200968</v>
      </c>
      <c r="G346" s="2116">
        <v>0</v>
      </c>
      <c r="H346" s="2116">
        <v>0</v>
      </c>
      <c r="I346" s="2116">
        <v>0</v>
      </c>
      <c r="J346" s="2118" t="s">
        <v>1895</v>
      </c>
    </row>
    <row r="347" spans="1:10" ht="25.5">
      <c r="A347" s="2097">
        <v>287942</v>
      </c>
      <c r="B347" s="2098">
        <v>430.11200000000002</v>
      </c>
      <c r="C347" s="2115" t="s">
        <v>765</v>
      </c>
      <c r="D347" s="2170"/>
      <c r="E347" s="2116">
        <v>-428560</v>
      </c>
      <c r="F347" s="2116">
        <f t="shared" si="13"/>
        <v>-428560</v>
      </c>
      <c r="G347" s="2116">
        <v>0</v>
      </c>
      <c r="H347" s="2116">
        <v>0</v>
      </c>
      <c r="I347" s="2116">
        <v>0</v>
      </c>
      <c r="J347" s="2101" t="s">
        <v>445</v>
      </c>
    </row>
    <row r="348" spans="1:10" ht="25.5">
      <c r="A348" s="2097">
        <v>287583</v>
      </c>
      <c r="B348" s="2098">
        <v>415.82600000000002</v>
      </c>
      <c r="C348" s="2115" t="s">
        <v>2169</v>
      </c>
      <c r="D348" s="2170"/>
      <c r="E348" s="2116">
        <v>-348899</v>
      </c>
      <c r="F348" s="2116">
        <f>E348</f>
        <v>-348899</v>
      </c>
      <c r="G348" s="2116">
        <v>0</v>
      </c>
      <c r="H348" s="2116">
        <v>0</v>
      </c>
      <c r="I348" s="2116">
        <v>0</v>
      </c>
      <c r="J348" s="2101" t="s">
        <v>2170</v>
      </c>
    </row>
    <row r="349" spans="1:10" ht="12.75">
      <c r="A349" s="2097">
        <v>287972</v>
      </c>
      <c r="B349" s="2098">
        <v>320.28500000000003</v>
      </c>
      <c r="C349" s="2115" t="s">
        <v>766</v>
      </c>
      <c r="D349" s="2170"/>
      <c r="E349" s="2116">
        <v>-110411</v>
      </c>
      <c r="F349" s="2116">
        <v>0</v>
      </c>
      <c r="G349" s="2116">
        <v>0</v>
      </c>
      <c r="H349" s="2116">
        <v>0</v>
      </c>
      <c r="I349" s="2116">
        <f>E349</f>
        <v>-110411</v>
      </c>
      <c r="J349" s="2101" t="s">
        <v>767</v>
      </c>
    </row>
    <row r="350" spans="1:10" ht="19.5" customHeight="1">
      <c r="A350" s="2097">
        <v>287675</v>
      </c>
      <c r="B350" s="2098">
        <v>740.1</v>
      </c>
      <c r="C350" s="2115" t="s">
        <v>768</v>
      </c>
      <c r="D350" s="2170"/>
      <c r="E350" s="2116">
        <v>-976377</v>
      </c>
      <c r="F350" s="2116">
        <f t="shared" ref="F350:F374" si="16">E350</f>
        <v>-976377</v>
      </c>
      <c r="G350" s="2116">
        <v>0</v>
      </c>
      <c r="H350" s="2116">
        <v>0</v>
      </c>
      <c r="I350" s="2116">
        <v>0</v>
      </c>
      <c r="J350" s="2101" t="s">
        <v>769</v>
      </c>
    </row>
    <row r="351" spans="1:10" ht="51">
      <c r="A351" s="2097">
        <v>287864</v>
      </c>
      <c r="B351" s="2098">
        <v>415.85199999999998</v>
      </c>
      <c r="C351" s="2115" t="s">
        <v>772</v>
      </c>
      <c r="D351" s="2170"/>
      <c r="E351" s="2116">
        <v>-6867</v>
      </c>
      <c r="F351" s="2116">
        <f t="shared" si="16"/>
        <v>-6867</v>
      </c>
      <c r="G351" s="2116">
        <v>0</v>
      </c>
      <c r="H351" s="2116">
        <v>0</v>
      </c>
      <c r="I351" s="2116">
        <v>0</v>
      </c>
      <c r="J351" s="2101" t="s">
        <v>773</v>
      </c>
    </row>
    <row r="352" spans="1:10" ht="25.5">
      <c r="A352" s="2097">
        <v>287858</v>
      </c>
      <c r="B352" s="2098">
        <v>415.67599999999999</v>
      </c>
      <c r="C352" s="2115" t="s">
        <v>774</v>
      </c>
      <c r="D352" s="2170"/>
      <c r="E352" s="2116">
        <v>-29428</v>
      </c>
      <c r="F352" s="2116">
        <f t="shared" si="16"/>
        <v>-29428</v>
      </c>
      <c r="G352" s="2116">
        <v>0</v>
      </c>
      <c r="H352" s="2116">
        <v>0</v>
      </c>
      <c r="I352" s="2116">
        <v>0</v>
      </c>
      <c r="J352" s="2101" t="s">
        <v>775</v>
      </c>
    </row>
    <row r="353" spans="1:10" ht="25.5">
      <c r="A353" s="2097">
        <v>287996</v>
      </c>
      <c r="B353" s="2098">
        <v>415.67500000000001</v>
      </c>
      <c r="C353" s="2115" t="s">
        <v>776</v>
      </c>
      <c r="D353" s="2170"/>
      <c r="E353" s="2116">
        <v>-85393</v>
      </c>
      <c r="F353" s="2116">
        <f t="shared" si="16"/>
        <v>-85393</v>
      </c>
      <c r="G353" s="2116">
        <v>0</v>
      </c>
      <c r="H353" s="2116">
        <v>0</v>
      </c>
      <c r="I353" s="2116">
        <v>0</v>
      </c>
      <c r="J353" s="2101" t="s">
        <v>777</v>
      </c>
    </row>
    <row r="354" spans="1:10" ht="12.75">
      <c r="A354" s="2097">
        <v>287601</v>
      </c>
      <c r="B354" s="2098">
        <v>415.67700000000002</v>
      </c>
      <c r="C354" s="2115" t="s">
        <v>778</v>
      </c>
      <c r="D354" s="2170"/>
      <c r="E354" s="2116">
        <v>-13643</v>
      </c>
      <c r="F354" s="2116">
        <f t="shared" si="16"/>
        <v>-13643</v>
      </c>
      <c r="G354" s="2116">
        <v>0</v>
      </c>
      <c r="H354" s="2116">
        <v>0</v>
      </c>
      <c r="I354" s="2116">
        <v>0</v>
      </c>
      <c r="J354" s="2101" t="s">
        <v>779</v>
      </c>
    </row>
    <row r="355" spans="1:10" ht="38.25">
      <c r="A355" s="2097">
        <v>287888</v>
      </c>
      <c r="B355" s="2098">
        <v>415.88200000000001</v>
      </c>
      <c r="C355" s="2115" t="s">
        <v>782</v>
      </c>
      <c r="D355" s="2170"/>
      <c r="E355" s="2116">
        <v>-11778</v>
      </c>
      <c r="F355" s="2116">
        <f t="shared" si="16"/>
        <v>-11778</v>
      </c>
      <c r="G355" s="2116">
        <v>0</v>
      </c>
      <c r="H355" s="2116">
        <v>0</v>
      </c>
      <c r="I355" s="2116">
        <v>0</v>
      </c>
      <c r="J355" s="2101" t="s">
        <v>783</v>
      </c>
    </row>
    <row r="356" spans="1:10" ht="25.5">
      <c r="A356" s="2097">
        <v>287889</v>
      </c>
      <c r="B356" s="2098">
        <v>415.88299999999998</v>
      </c>
      <c r="C356" s="2115" t="s">
        <v>784</v>
      </c>
      <c r="D356" s="2170"/>
      <c r="E356" s="2116">
        <v>-42427</v>
      </c>
      <c r="F356" s="2116">
        <f t="shared" si="16"/>
        <v>-42427</v>
      </c>
      <c r="G356" s="2116">
        <v>0</v>
      </c>
      <c r="H356" s="2116">
        <v>0</v>
      </c>
      <c r="I356" s="2116">
        <v>0</v>
      </c>
      <c r="J356" s="2101" t="s">
        <v>785</v>
      </c>
    </row>
    <row r="357" spans="1:10" ht="13.5" customHeight="1">
      <c r="A357" s="2097">
        <v>287871</v>
      </c>
      <c r="B357" s="2098">
        <v>415.86599999999999</v>
      </c>
      <c r="C357" s="2115" t="s">
        <v>786</v>
      </c>
      <c r="D357" s="2170"/>
      <c r="E357" s="2116">
        <v>-1385219</v>
      </c>
      <c r="F357" s="2116">
        <f t="shared" si="16"/>
        <v>-1385219</v>
      </c>
      <c r="G357" s="2116">
        <v>0</v>
      </c>
      <c r="H357" s="2116">
        <v>0</v>
      </c>
      <c r="I357" s="2116">
        <v>0</v>
      </c>
      <c r="J357" s="2101" t="s">
        <v>787</v>
      </c>
    </row>
    <row r="358" spans="1:10" ht="12.75">
      <c r="A358" s="2097">
        <v>287971</v>
      </c>
      <c r="B358" s="2098">
        <v>415.86799999999999</v>
      </c>
      <c r="C358" s="2115" t="s">
        <v>864</v>
      </c>
      <c r="D358" s="2170"/>
      <c r="E358" s="2116">
        <v>-3634221</v>
      </c>
      <c r="F358" s="2116">
        <f t="shared" si="16"/>
        <v>-3634221</v>
      </c>
      <c r="G358" s="2116">
        <v>0</v>
      </c>
      <c r="H358" s="2116">
        <v>0</v>
      </c>
      <c r="I358" s="2116">
        <v>0</v>
      </c>
      <c r="J358" s="2101" t="s">
        <v>865</v>
      </c>
    </row>
    <row r="359" spans="1:10" ht="51">
      <c r="A359" s="2097">
        <v>287927</v>
      </c>
      <c r="B359" s="2098">
        <v>100.11</v>
      </c>
      <c r="C359" s="2115" t="s">
        <v>1896</v>
      </c>
      <c r="D359" s="2170"/>
      <c r="E359" s="2116">
        <v>-8444</v>
      </c>
      <c r="F359" s="2116">
        <f t="shared" si="16"/>
        <v>-8444</v>
      </c>
      <c r="G359" s="2116">
        <v>0</v>
      </c>
      <c r="H359" s="2116">
        <v>0</v>
      </c>
      <c r="I359" s="2116">
        <v>0</v>
      </c>
      <c r="J359" s="2101" t="s">
        <v>823</v>
      </c>
    </row>
    <row r="360" spans="1:10" ht="25.5">
      <c r="A360" s="2097">
        <v>287960</v>
      </c>
      <c r="B360" s="2098">
        <v>415.85500000000002</v>
      </c>
      <c r="C360" s="2115" t="s">
        <v>788</v>
      </c>
      <c r="D360" s="2170"/>
      <c r="E360" s="2116">
        <v>-258922</v>
      </c>
      <c r="F360" s="2116">
        <f t="shared" si="16"/>
        <v>-258922</v>
      </c>
      <c r="G360" s="2116">
        <v>0</v>
      </c>
      <c r="H360" s="2116">
        <v>0</v>
      </c>
      <c r="I360" s="2116">
        <v>0</v>
      </c>
      <c r="J360" s="2101" t="s">
        <v>2171</v>
      </c>
    </row>
    <row r="361" spans="1:10" ht="25.5">
      <c r="A361" s="2097">
        <v>286911</v>
      </c>
      <c r="B361" s="2098">
        <v>415.43</v>
      </c>
      <c r="C361" s="2115" t="s">
        <v>1897</v>
      </c>
      <c r="D361" s="2170"/>
      <c r="E361" s="2116">
        <v>97350</v>
      </c>
      <c r="F361" s="2116">
        <f t="shared" si="16"/>
        <v>97350</v>
      </c>
      <c r="G361" s="2116">
        <v>0</v>
      </c>
      <c r="H361" s="2116">
        <v>0</v>
      </c>
      <c r="I361" s="2116">
        <v>0</v>
      </c>
      <c r="J361" s="2101" t="s">
        <v>2172</v>
      </c>
    </row>
    <row r="362" spans="1:10" ht="25.5">
      <c r="A362" s="2097">
        <v>286912</v>
      </c>
      <c r="B362" s="2098">
        <v>415.43099999999998</v>
      </c>
      <c r="C362" s="2115" t="s">
        <v>2173</v>
      </c>
      <c r="D362" s="2170"/>
      <c r="E362" s="2116">
        <v>-33687</v>
      </c>
      <c r="F362" s="2116">
        <f t="shared" si="16"/>
        <v>-33687</v>
      </c>
      <c r="G362" s="2116">
        <v>0</v>
      </c>
      <c r="H362" s="2116">
        <v>0</v>
      </c>
      <c r="I362" s="2116">
        <v>0</v>
      </c>
      <c r="J362" s="2101" t="s">
        <v>2172</v>
      </c>
    </row>
    <row r="363" spans="1:10" ht="25.5">
      <c r="A363" s="2097">
        <v>286906</v>
      </c>
      <c r="B363" s="2098">
        <v>415.53100000000001</v>
      </c>
      <c r="C363" s="2115" t="s">
        <v>866</v>
      </c>
      <c r="D363" s="2170"/>
      <c r="E363" s="2116">
        <v>-3245431</v>
      </c>
      <c r="F363" s="2116">
        <f t="shared" si="16"/>
        <v>-3245431</v>
      </c>
      <c r="G363" s="2116">
        <v>0</v>
      </c>
      <c r="H363" s="2116">
        <v>0</v>
      </c>
      <c r="I363" s="2116">
        <v>0</v>
      </c>
      <c r="J363" s="2101" t="s">
        <v>867</v>
      </c>
    </row>
    <row r="364" spans="1:10" ht="25.5">
      <c r="A364" s="2097">
        <v>287899</v>
      </c>
      <c r="B364" s="2098">
        <v>415.87799999999999</v>
      </c>
      <c r="C364" s="2115" t="s">
        <v>789</v>
      </c>
      <c r="D364" s="2170"/>
      <c r="E364" s="2116">
        <v>-120474</v>
      </c>
      <c r="F364" s="2116">
        <f t="shared" si="16"/>
        <v>-120474</v>
      </c>
      <c r="G364" s="2116">
        <v>0</v>
      </c>
      <c r="H364" s="2116">
        <v>0</v>
      </c>
      <c r="I364" s="2116">
        <v>0</v>
      </c>
      <c r="J364" s="2101" t="s">
        <v>790</v>
      </c>
    </row>
    <row r="365" spans="1:10" ht="12.75">
      <c r="A365" s="2097">
        <v>287906</v>
      </c>
      <c r="B365" s="2098">
        <v>415.863</v>
      </c>
      <c r="C365" s="2115" t="s">
        <v>791</v>
      </c>
      <c r="D365" s="2170"/>
      <c r="E365" s="2116">
        <v>-424094</v>
      </c>
      <c r="F365" s="2116">
        <f t="shared" si="16"/>
        <v>-424094</v>
      </c>
      <c r="G365" s="2116">
        <v>0</v>
      </c>
      <c r="H365" s="2116">
        <v>0</v>
      </c>
      <c r="I365" s="2116">
        <v>0</v>
      </c>
      <c r="J365" s="2101" t="s">
        <v>792</v>
      </c>
    </row>
    <row r="366" spans="1:10" ht="51">
      <c r="A366" s="2097">
        <v>287939</v>
      </c>
      <c r="B366" s="2098">
        <v>415.11500000000001</v>
      </c>
      <c r="C366" s="2115" t="s">
        <v>868</v>
      </c>
      <c r="D366" s="2170"/>
      <c r="E366" s="2116">
        <v>3634221</v>
      </c>
      <c r="F366" s="2116">
        <f t="shared" si="16"/>
        <v>3634221</v>
      </c>
      <c r="G366" s="2116">
        <v>0</v>
      </c>
      <c r="H366" s="2116">
        <v>0</v>
      </c>
      <c r="I366" s="2116">
        <v>0</v>
      </c>
      <c r="J366" s="2101" t="s">
        <v>869</v>
      </c>
    </row>
    <row r="367" spans="1:10" ht="25.5">
      <c r="A367" s="2097">
        <v>287639</v>
      </c>
      <c r="B367" s="2098">
        <v>415.51</v>
      </c>
      <c r="C367" s="2115" t="s">
        <v>793</v>
      </c>
      <c r="D367" s="2170"/>
      <c r="E367" s="2116">
        <v>-13908</v>
      </c>
      <c r="F367" s="2116">
        <f t="shared" si="16"/>
        <v>-13908</v>
      </c>
      <c r="G367" s="2116">
        <v>0</v>
      </c>
      <c r="H367" s="2116">
        <v>0</v>
      </c>
      <c r="I367" s="2116">
        <v>0</v>
      </c>
      <c r="J367" s="2101" t="s">
        <v>794</v>
      </c>
    </row>
    <row r="368" spans="1:10" ht="25.5">
      <c r="A368" s="2097">
        <v>287857</v>
      </c>
      <c r="B368" s="2098">
        <v>415.54500000000002</v>
      </c>
      <c r="C368" s="2115" t="s">
        <v>795</v>
      </c>
      <c r="D368" s="2170"/>
      <c r="E368" s="2116">
        <v>844</v>
      </c>
      <c r="F368" s="2116">
        <f t="shared" si="16"/>
        <v>844</v>
      </c>
      <c r="G368" s="2116">
        <v>0</v>
      </c>
      <c r="H368" s="2116">
        <v>0</v>
      </c>
      <c r="I368" s="2116">
        <v>0</v>
      </c>
      <c r="J368" s="2101" t="s">
        <v>2174</v>
      </c>
    </row>
    <row r="369" spans="1:10" ht="25.5">
      <c r="A369" s="2097">
        <v>286907</v>
      </c>
      <c r="B369" s="2181">
        <v>415.53199999999998</v>
      </c>
      <c r="C369" s="2115" t="s">
        <v>870</v>
      </c>
      <c r="D369" s="2170"/>
      <c r="E369" s="2116">
        <v>-983464</v>
      </c>
      <c r="F369" s="2116">
        <f t="shared" si="16"/>
        <v>-983464</v>
      </c>
      <c r="G369" s="2116">
        <v>0</v>
      </c>
      <c r="H369" s="2116">
        <v>0</v>
      </c>
      <c r="I369" s="2116">
        <v>0</v>
      </c>
      <c r="J369" s="2101" t="s">
        <v>871</v>
      </c>
    </row>
    <row r="370" spans="1:10" ht="25.5">
      <c r="A370" s="2097">
        <v>287848</v>
      </c>
      <c r="B370" s="2098">
        <v>320.28100000000001</v>
      </c>
      <c r="C370" s="2115" t="s">
        <v>796</v>
      </c>
      <c r="D370" s="2170"/>
      <c r="E370" s="2116">
        <v>-1505574</v>
      </c>
      <c r="F370" s="2116">
        <f t="shared" si="16"/>
        <v>-1505574</v>
      </c>
      <c r="G370" s="2116">
        <v>0</v>
      </c>
      <c r="H370" s="2116">
        <v>0</v>
      </c>
      <c r="I370" s="2116">
        <v>0</v>
      </c>
      <c r="J370" s="2101" t="s">
        <v>797</v>
      </c>
    </row>
    <row r="371" spans="1:10" ht="25.5">
      <c r="A371" s="2097">
        <v>287933</v>
      </c>
      <c r="B371" s="2098">
        <v>320.28199999999998</v>
      </c>
      <c r="C371" s="2115" t="s">
        <v>798</v>
      </c>
      <c r="D371" s="2170"/>
      <c r="E371" s="2116">
        <v>-379526</v>
      </c>
      <c r="F371" s="2116">
        <f t="shared" si="16"/>
        <v>-379526</v>
      </c>
      <c r="G371" s="2116">
        <v>0</v>
      </c>
      <c r="H371" s="2116">
        <v>0</v>
      </c>
      <c r="I371" s="2116">
        <v>0</v>
      </c>
      <c r="J371" s="2101" t="s">
        <v>2175</v>
      </c>
    </row>
    <row r="372" spans="1:10" ht="25.5">
      <c r="A372" s="2097">
        <v>287917</v>
      </c>
      <c r="B372" s="2098">
        <v>705.45100000000002</v>
      </c>
      <c r="C372" s="2115" t="s">
        <v>800</v>
      </c>
      <c r="D372" s="2170"/>
      <c r="E372" s="2116">
        <v>-2617810</v>
      </c>
      <c r="F372" s="2116">
        <f t="shared" si="16"/>
        <v>-2617810</v>
      </c>
      <c r="G372" s="2116">
        <v>0</v>
      </c>
      <c r="H372" s="2116">
        <v>0</v>
      </c>
      <c r="I372" s="2116">
        <v>0</v>
      </c>
      <c r="J372" s="2101" t="s">
        <v>433</v>
      </c>
    </row>
    <row r="373" spans="1:10" ht="38.25">
      <c r="A373" s="2097">
        <v>287649</v>
      </c>
      <c r="B373" s="2098">
        <v>730.17</v>
      </c>
      <c r="C373" s="2115" t="s">
        <v>801</v>
      </c>
      <c r="D373" s="2170"/>
      <c r="E373" s="2116">
        <v>-15267854</v>
      </c>
      <c r="F373" s="2116">
        <f t="shared" si="16"/>
        <v>-15267854</v>
      </c>
      <c r="G373" s="2116">
        <v>0</v>
      </c>
      <c r="H373" s="2116">
        <v>0</v>
      </c>
      <c r="I373" s="2116">
        <v>0</v>
      </c>
      <c r="J373" s="2101" t="s">
        <v>802</v>
      </c>
    </row>
    <row r="374" spans="1:10" ht="25.5">
      <c r="A374" s="2097">
        <v>287886</v>
      </c>
      <c r="B374" s="2098">
        <v>415.83699999999999</v>
      </c>
      <c r="C374" s="2115" t="s">
        <v>803</v>
      </c>
      <c r="D374" s="2170"/>
      <c r="E374" s="2116">
        <v>-14792317</v>
      </c>
      <c r="F374" s="2116">
        <f t="shared" si="16"/>
        <v>-14792317</v>
      </c>
      <c r="G374" s="2116">
        <v>0</v>
      </c>
      <c r="H374" s="2116">
        <v>0</v>
      </c>
      <c r="I374" s="2116">
        <v>0</v>
      </c>
      <c r="J374" s="2101" t="s">
        <v>804</v>
      </c>
    </row>
    <row r="375" spans="1:10" ht="12.75">
      <c r="A375" s="2107" t="s">
        <v>805</v>
      </c>
      <c r="B375" s="2098"/>
      <c r="C375" s="2115"/>
      <c r="D375" s="2170"/>
      <c r="E375" s="2116"/>
      <c r="F375" s="2239"/>
      <c r="G375" s="2239"/>
      <c r="H375" s="2239"/>
      <c r="I375" s="2239"/>
      <c r="J375" s="2101"/>
    </row>
    <row r="376" spans="1:10" ht="30.75" customHeight="1">
      <c r="A376" s="2097">
        <v>287936</v>
      </c>
      <c r="B376" s="2098">
        <v>205.02500000000001</v>
      </c>
      <c r="C376" s="2115" t="s">
        <v>1898</v>
      </c>
      <c r="D376" s="2170"/>
      <c r="E376" s="2116">
        <v>-35837</v>
      </c>
      <c r="F376" s="2116">
        <f t="shared" ref="F376:F383" si="17">E376</f>
        <v>-35837</v>
      </c>
      <c r="G376" s="2116">
        <v>0</v>
      </c>
      <c r="H376" s="2116">
        <v>0</v>
      </c>
      <c r="I376" s="2116">
        <v>0</v>
      </c>
      <c r="J376" s="2101" t="s">
        <v>1899</v>
      </c>
    </row>
    <row r="377" spans="1:10" ht="38.25">
      <c r="A377" s="2097">
        <v>287661</v>
      </c>
      <c r="B377" s="2098">
        <v>425.36</v>
      </c>
      <c r="C377" s="2115" t="s">
        <v>807</v>
      </c>
      <c r="D377" s="2170"/>
      <c r="E377" s="2116">
        <v>-700041</v>
      </c>
      <c r="F377" s="2116">
        <f t="shared" si="17"/>
        <v>-700041</v>
      </c>
      <c r="G377" s="2116">
        <v>0</v>
      </c>
      <c r="H377" s="2116">
        <v>0</v>
      </c>
      <c r="I377" s="2116">
        <v>0</v>
      </c>
      <c r="J377" s="2101" t="s">
        <v>808</v>
      </c>
    </row>
    <row r="378" spans="1:10" ht="25.5">
      <c r="A378" s="2097">
        <v>286909</v>
      </c>
      <c r="B378" s="2098">
        <v>720.81500000000005</v>
      </c>
      <c r="C378" s="2099" t="s">
        <v>872</v>
      </c>
      <c r="D378" s="2170"/>
      <c r="E378" s="2116">
        <v>-6654594</v>
      </c>
      <c r="F378" s="2116">
        <f t="shared" si="17"/>
        <v>-6654594</v>
      </c>
      <c r="G378" s="2116">
        <v>0</v>
      </c>
      <c r="H378" s="2116">
        <v>0</v>
      </c>
      <c r="I378" s="2116">
        <v>0</v>
      </c>
      <c r="J378" s="2101" t="s">
        <v>873</v>
      </c>
    </row>
    <row r="379" spans="1:10" ht="25.5">
      <c r="A379" s="2097">
        <v>286918</v>
      </c>
      <c r="B379" s="2098">
        <v>210.17500000000001</v>
      </c>
      <c r="C379" s="2115" t="s">
        <v>2176</v>
      </c>
      <c r="D379" s="2170"/>
      <c r="E379" s="2116">
        <v>-62069</v>
      </c>
      <c r="F379" s="2116">
        <f t="shared" si="17"/>
        <v>-62069</v>
      </c>
      <c r="G379" s="2116">
        <v>0</v>
      </c>
      <c r="H379" s="2116">
        <v>0</v>
      </c>
      <c r="I379" s="2116">
        <v>0</v>
      </c>
      <c r="J379" s="2101" t="s">
        <v>2177</v>
      </c>
    </row>
    <row r="380" spans="1:10" ht="25.5">
      <c r="A380" s="2097">
        <v>287669</v>
      </c>
      <c r="B380" s="2098">
        <v>210.18</v>
      </c>
      <c r="C380" s="2115" t="s">
        <v>811</v>
      </c>
      <c r="D380" s="2170"/>
      <c r="E380" s="2116">
        <v>-126970</v>
      </c>
      <c r="F380" s="2116">
        <f t="shared" si="17"/>
        <v>-126970</v>
      </c>
      <c r="G380" s="2116">
        <v>0</v>
      </c>
      <c r="H380" s="2116">
        <v>0</v>
      </c>
      <c r="I380" s="2116">
        <v>0</v>
      </c>
      <c r="J380" s="2101" t="s">
        <v>812</v>
      </c>
    </row>
    <row r="381" spans="1:10" ht="12.75">
      <c r="A381" s="2097">
        <v>287907</v>
      </c>
      <c r="B381" s="2098">
        <v>210.185</v>
      </c>
      <c r="C381" s="2115" t="s">
        <v>874</v>
      </c>
      <c r="D381" s="2170"/>
      <c r="E381" s="2116">
        <v>-80462</v>
      </c>
      <c r="F381" s="2116">
        <f t="shared" si="17"/>
        <v>-80462</v>
      </c>
      <c r="G381" s="2116">
        <v>0</v>
      </c>
      <c r="H381" s="2116">
        <v>0</v>
      </c>
      <c r="I381" s="2116">
        <v>0</v>
      </c>
      <c r="J381" s="2101" t="s">
        <v>875</v>
      </c>
    </row>
    <row r="382" spans="1:10" ht="25.5">
      <c r="A382" s="2097">
        <v>287665</v>
      </c>
      <c r="B382" s="2098">
        <v>210.13</v>
      </c>
      <c r="C382" s="2115" t="s">
        <v>813</v>
      </c>
      <c r="D382" s="2170"/>
      <c r="E382" s="2116">
        <v>-88988</v>
      </c>
      <c r="F382" s="2116">
        <f t="shared" si="17"/>
        <v>-88988</v>
      </c>
      <c r="G382" s="2116">
        <v>0</v>
      </c>
      <c r="H382" s="2116">
        <v>0</v>
      </c>
      <c r="I382" s="2116">
        <v>0</v>
      </c>
      <c r="J382" s="2101" t="s">
        <v>814</v>
      </c>
    </row>
    <row r="383" spans="1:10" ht="25.5">
      <c r="A383" s="2097">
        <v>287662</v>
      </c>
      <c r="B383" s="2098">
        <v>210.1</v>
      </c>
      <c r="C383" s="2115" t="s">
        <v>815</v>
      </c>
      <c r="D383" s="2170"/>
      <c r="E383" s="2116">
        <v>-248396</v>
      </c>
      <c r="F383" s="2116">
        <f t="shared" si="17"/>
        <v>-248396</v>
      </c>
      <c r="G383" s="2116">
        <v>0</v>
      </c>
      <c r="H383" s="2116">
        <v>0</v>
      </c>
      <c r="I383" s="2116">
        <v>0</v>
      </c>
      <c r="J383" s="2101" t="s">
        <v>816</v>
      </c>
    </row>
    <row r="384" spans="1:10" ht="12.75">
      <c r="A384" s="2097">
        <v>287708</v>
      </c>
      <c r="B384" s="2098">
        <v>210.2</v>
      </c>
      <c r="C384" s="2115" t="s">
        <v>817</v>
      </c>
      <c r="D384" s="2170"/>
      <c r="E384" s="2116">
        <v>-3540946</v>
      </c>
      <c r="F384" s="2116">
        <v>0</v>
      </c>
      <c r="G384" s="2116">
        <v>0</v>
      </c>
      <c r="H384" s="2116">
        <f>E384</f>
        <v>-3540946</v>
      </c>
      <c r="I384" s="2116">
        <v>0</v>
      </c>
      <c r="J384" s="2101" t="s">
        <v>818</v>
      </c>
    </row>
    <row r="385" spans="1:11" ht="25.5">
      <c r="A385" s="2097">
        <v>286908</v>
      </c>
      <c r="B385" s="2098">
        <v>210.20099999999999</v>
      </c>
      <c r="C385" s="2115" t="s">
        <v>876</v>
      </c>
      <c r="D385" s="2170"/>
      <c r="E385" s="2116">
        <v>-3391794</v>
      </c>
      <c r="F385" s="2116">
        <v>0</v>
      </c>
      <c r="G385" s="2116">
        <v>0</v>
      </c>
      <c r="H385" s="2116">
        <f>+E385</f>
        <v>-3391794</v>
      </c>
      <c r="I385" s="2116">
        <v>0</v>
      </c>
      <c r="J385" s="2101" t="s">
        <v>2178</v>
      </c>
    </row>
    <row r="386" spans="1:11" ht="25.5">
      <c r="A386" s="2097">
        <v>287664</v>
      </c>
      <c r="B386" s="2098">
        <v>210.12</v>
      </c>
      <c r="C386" s="2115" t="s">
        <v>819</v>
      </c>
      <c r="D386" s="2170"/>
      <c r="E386" s="2116">
        <v>-763250</v>
      </c>
      <c r="F386" s="2116">
        <f t="shared" ref="F386:F390" si="18">E386</f>
        <v>-763250</v>
      </c>
      <c r="G386" s="2116">
        <v>0</v>
      </c>
      <c r="H386" s="2116">
        <v>0</v>
      </c>
      <c r="I386" s="2116">
        <v>0</v>
      </c>
      <c r="J386" s="2101" t="s">
        <v>820</v>
      </c>
    </row>
    <row r="387" spans="1:11" ht="25.5">
      <c r="A387" s="2097">
        <v>287908</v>
      </c>
      <c r="B387" s="2098">
        <v>210.19</v>
      </c>
      <c r="C387" s="2115" t="s">
        <v>821</v>
      </c>
      <c r="D387" s="2170"/>
      <c r="E387" s="2116">
        <v>-137093</v>
      </c>
      <c r="F387" s="2116">
        <f t="shared" si="18"/>
        <v>-137093</v>
      </c>
      <c r="G387" s="2116">
        <v>0</v>
      </c>
      <c r="H387" s="2116">
        <v>0</v>
      </c>
      <c r="I387" s="2116">
        <v>0</v>
      </c>
      <c r="J387" s="2101" t="s">
        <v>822</v>
      </c>
    </row>
    <row r="388" spans="1:11" ht="38.25">
      <c r="A388" s="2097">
        <v>287289</v>
      </c>
      <c r="B388" s="2098">
        <v>425.13</v>
      </c>
      <c r="C388" s="2115" t="s">
        <v>518</v>
      </c>
      <c r="D388" s="2170"/>
      <c r="E388" s="2116">
        <v>-55282</v>
      </c>
      <c r="F388" s="2116">
        <f t="shared" si="18"/>
        <v>-55282</v>
      </c>
      <c r="G388" s="2116">
        <v>0</v>
      </c>
      <c r="H388" s="2116">
        <v>0</v>
      </c>
      <c r="I388" s="2116">
        <v>0</v>
      </c>
      <c r="J388" s="2101" t="s">
        <v>519</v>
      </c>
    </row>
    <row r="389" spans="1:11" ht="38.25">
      <c r="A389" s="2097">
        <v>287653</v>
      </c>
      <c r="B389" s="2098">
        <v>425.25</v>
      </c>
      <c r="C389" s="2115" t="s">
        <v>824</v>
      </c>
      <c r="D389" s="2170"/>
      <c r="E389" s="2116">
        <v>-318</v>
      </c>
      <c r="F389" s="2116">
        <f t="shared" si="18"/>
        <v>-318</v>
      </c>
      <c r="G389" s="2116">
        <v>0</v>
      </c>
      <c r="H389" s="2116">
        <v>0</v>
      </c>
      <c r="I389" s="2116">
        <v>0</v>
      </c>
      <c r="J389" s="2101" t="s">
        <v>810</v>
      </c>
    </row>
    <row r="390" spans="1:11" ht="25.5">
      <c r="A390" s="2097">
        <v>287770</v>
      </c>
      <c r="B390" s="2098">
        <v>120.205</v>
      </c>
      <c r="C390" s="2115" t="s">
        <v>825</v>
      </c>
      <c r="D390" s="2170"/>
      <c r="E390" s="2116">
        <v>-1299489</v>
      </c>
      <c r="F390" s="2116">
        <f t="shared" si="18"/>
        <v>-1299489</v>
      </c>
      <c r="G390" s="2116">
        <v>0</v>
      </c>
      <c r="H390" s="2116">
        <v>0</v>
      </c>
      <c r="I390" s="2116">
        <v>0</v>
      </c>
      <c r="J390" s="2101" t="s">
        <v>826</v>
      </c>
    </row>
    <row r="391" spans="1:11" ht="51">
      <c r="A391" s="2097">
        <v>287859</v>
      </c>
      <c r="B391" s="2098">
        <v>910.93499999999995</v>
      </c>
      <c r="C391" s="2115" t="s">
        <v>877</v>
      </c>
      <c r="D391" s="2170"/>
      <c r="E391" s="2116">
        <v>-499060</v>
      </c>
      <c r="F391" s="2116">
        <v>0</v>
      </c>
      <c r="G391" s="2116">
        <v>0</v>
      </c>
      <c r="H391" s="2116">
        <v>0</v>
      </c>
      <c r="I391" s="2116">
        <f>E391</f>
        <v>-499060</v>
      </c>
      <c r="J391" s="2101" t="s">
        <v>878</v>
      </c>
    </row>
    <row r="392" spans="1:11" ht="12.75">
      <c r="A392" s="2097">
        <v>287217</v>
      </c>
      <c r="B392" s="2098">
        <v>910.93700000000001</v>
      </c>
      <c r="C392" s="2115" t="s">
        <v>506</v>
      </c>
      <c r="D392" s="2170"/>
      <c r="E392" s="2116">
        <v>-573811</v>
      </c>
      <c r="F392" s="2116">
        <v>0</v>
      </c>
      <c r="G392" s="2116">
        <v>0</v>
      </c>
      <c r="H392" s="2116">
        <v>0</v>
      </c>
      <c r="I392" s="2116">
        <f>E392</f>
        <v>-573811</v>
      </c>
      <c r="J392" s="2101" t="s">
        <v>507</v>
      </c>
    </row>
    <row r="393" spans="1:11" ht="16.5" customHeight="1">
      <c r="A393" s="2097">
        <v>287966</v>
      </c>
      <c r="B393" s="2098">
        <v>415.834</v>
      </c>
      <c r="C393" s="2115" t="s">
        <v>827</v>
      </c>
      <c r="D393" s="2170"/>
      <c r="E393" s="2116">
        <v>-2729473</v>
      </c>
      <c r="F393" s="2116">
        <f>E393</f>
        <v>-2729473</v>
      </c>
      <c r="G393" s="2116">
        <v>0</v>
      </c>
      <c r="H393" s="2116">
        <v>0</v>
      </c>
      <c r="I393" s="2116">
        <v>0</v>
      </c>
      <c r="J393" s="2101" t="s">
        <v>828</v>
      </c>
    </row>
    <row r="394" spans="1:11" ht="12.75">
      <c r="A394" s="2097">
        <v>287492</v>
      </c>
      <c r="B394" s="2098" t="s">
        <v>515</v>
      </c>
      <c r="C394" s="2115" t="s">
        <v>829</v>
      </c>
      <c r="D394" s="2170"/>
      <c r="E394" s="2116">
        <v>-45658</v>
      </c>
      <c r="F394" s="2116">
        <f>E394</f>
        <v>-45658</v>
      </c>
      <c r="G394" s="2116">
        <v>0</v>
      </c>
      <c r="H394" s="2116">
        <v>0</v>
      </c>
      <c r="I394" s="2116">
        <v>0</v>
      </c>
      <c r="J394" s="2101" t="s">
        <v>830</v>
      </c>
    </row>
    <row r="395" spans="1:11" ht="12.75">
      <c r="A395" s="2423" t="s">
        <v>560</v>
      </c>
      <c r="B395" s="2424"/>
      <c r="C395" s="2424"/>
      <c r="D395" s="2182"/>
      <c r="E395" s="2151">
        <v>-3</v>
      </c>
      <c r="F395" s="2151">
        <f>E395</f>
        <v>-3</v>
      </c>
      <c r="G395" s="2151">
        <v>0</v>
      </c>
      <c r="H395" s="2151">
        <v>0</v>
      </c>
      <c r="I395" s="2151">
        <v>0</v>
      </c>
      <c r="J395" s="2183"/>
      <c r="K395" s="533"/>
    </row>
    <row r="396" spans="1:11" ht="12.75">
      <c r="A396" s="2125" t="s">
        <v>831</v>
      </c>
      <c r="B396" s="2126"/>
      <c r="C396" s="2121"/>
      <c r="D396" s="2157"/>
      <c r="E396" s="2158">
        <f>SUBTOTAL(9,E293:E395)</f>
        <v>-297173549</v>
      </c>
      <c r="F396" s="2158">
        <f>SUBTOTAL(9,F293:F395)</f>
        <v>-289057527</v>
      </c>
      <c r="G396" s="2158">
        <f>SUBTOTAL(9,G293:G395)</f>
        <v>0</v>
      </c>
      <c r="H396" s="2158">
        <f>SUBTOTAL(9,H293:H395)</f>
        <v>-6932740</v>
      </c>
      <c r="I396" s="2158">
        <f>SUBTOTAL(9,I293:I395)</f>
        <v>-1183282</v>
      </c>
      <c r="J396" s="2132"/>
      <c r="K396" s="566"/>
    </row>
    <row r="397" spans="1:11" ht="12.75">
      <c r="A397" s="2125" t="s">
        <v>562</v>
      </c>
      <c r="B397" s="2126"/>
      <c r="C397" s="2121"/>
      <c r="D397" s="2157"/>
      <c r="E397" s="2184">
        <f>E359</f>
        <v>-8444</v>
      </c>
      <c r="F397" s="2184">
        <f t="shared" ref="F397:I397" si="19">F359</f>
        <v>-8444</v>
      </c>
      <c r="G397" s="2184">
        <f t="shared" si="19"/>
        <v>0</v>
      </c>
      <c r="H397" s="2184">
        <f t="shared" si="19"/>
        <v>0</v>
      </c>
      <c r="I397" s="2184">
        <f t="shared" si="19"/>
        <v>0</v>
      </c>
      <c r="J397" s="2132"/>
      <c r="K397" s="566"/>
    </row>
    <row r="398" spans="1:11" ht="12.75">
      <c r="A398" s="2125" t="s">
        <v>563</v>
      </c>
      <c r="B398" s="2126"/>
      <c r="C398" s="2121"/>
      <c r="D398" s="2157"/>
      <c r="E398" s="2184">
        <v>0</v>
      </c>
      <c r="F398" s="2184">
        <v>0</v>
      </c>
      <c r="G398" s="2184">
        <v>0</v>
      </c>
      <c r="H398" s="2184">
        <v>0</v>
      </c>
      <c r="I398" s="2184">
        <v>0</v>
      </c>
      <c r="J398" s="2132"/>
      <c r="K398" s="566"/>
    </row>
    <row r="399" spans="1:11" ht="12.75">
      <c r="A399" s="2185" t="s">
        <v>115</v>
      </c>
      <c r="B399" s="2186"/>
      <c r="C399" s="2130"/>
      <c r="D399" s="2187"/>
      <c r="E399" s="2188">
        <f>SUM(E396-E397-E398)</f>
        <v>-297165105</v>
      </c>
      <c r="F399" s="2188">
        <f>SUM(F396-F397-F398)</f>
        <v>-289049083</v>
      </c>
      <c r="G399" s="2188">
        <f>SUM(G396-G397-G398)</f>
        <v>0</v>
      </c>
      <c r="H399" s="2188">
        <f>SUM(H396-H397-H398)</f>
        <v>-6932740</v>
      </c>
      <c r="I399" s="2188">
        <f>SUM(I396-I397-I398)</f>
        <v>-1183282</v>
      </c>
      <c r="J399" s="2132"/>
      <c r="K399" s="566"/>
    </row>
    <row r="400" spans="1:11" ht="12.75">
      <c r="A400" s="545"/>
      <c r="B400" s="545"/>
      <c r="C400" s="2189"/>
      <c r="D400" s="568"/>
      <c r="E400" s="569"/>
      <c r="F400" s="569"/>
      <c r="G400" s="569"/>
      <c r="H400" s="569"/>
      <c r="I400" s="521"/>
      <c r="J400" s="565"/>
      <c r="K400" s="566"/>
    </row>
    <row r="401" spans="1:11" ht="12.75">
      <c r="A401" s="545"/>
      <c r="B401" s="545"/>
      <c r="C401" s="2135" t="s">
        <v>832</v>
      </c>
      <c r="D401" s="2160"/>
      <c r="E401" s="2161"/>
      <c r="F401" s="2161"/>
      <c r="G401" s="2162"/>
      <c r="H401" s="2163"/>
      <c r="I401" s="521"/>
      <c r="J401" s="565"/>
      <c r="K401" s="566"/>
    </row>
    <row r="402" spans="1:11" ht="25.5">
      <c r="A402" s="545"/>
      <c r="B402" s="545"/>
      <c r="C402" s="2190" t="s">
        <v>565</v>
      </c>
      <c r="D402" s="570"/>
      <c r="E402" s="521"/>
      <c r="F402" s="521"/>
      <c r="G402" s="521"/>
      <c r="H402" s="571"/>
      <c r="I402" s="521"/>
      <c r="J402" s="565"/>
      <c r="K402" s="566"/>
    </row>
    <row r="403" spans="1:11" ht="12.75">
      <c r="A403" s="545"/>
      <c r="B403" s="545"/>
      <c r="C403" s="526" t="s">
        <v>566</v>
      </c>
      <c r="D403" s="547"/>
      <c r="E403" s="548"/>
      <c r="F403" s="548"/>
      <c r="G403" s="549"/>
      <c r="H403" s="550"/>
      <c r="I403" s="521"/>
      <c r="J403" s="565"/>
      <c r="K403" s="566"/>
    </row>
    <row r="404" spans="1:11" ht="12.75">
      <c r="A404" s="545"/>
      <c r="B404" s="545"/>
      <c r="C404" s="526" t="s">
        <v>567</v>
      </c>
      <c r="D404" s="547"/>
      <c r="E404" s="548"/>
      <c r="F404" s="548"/>
      <c r="G404" s="549"/>
      <c r="H404" s="550"/>
      <c r="I404" s="521"/>
      <c r="J404" s="565"/>
      <c r="K404" s="566"/>
    </row>
    <row r="405" spans="1:11" ht="12.75">
      <c r="A405" s="545"/>
      <c r="B405" s="545"/>
      <c r="C405" s="526" t="s">
        <v>568</v>
      </c>
      <c r="D405" s="547"/>
      <c r="E405" s="548"/>
      <c r="F405" s="548"/>
      <c r="G405" s="548"/>
      <c r="H405" s="572"/>
      <c r="I405" s="573"/>
      <c r="J405" s="565"/>
      <c r="K405" s="566"/>
    </row>
    <row r="406" spans="1:11" ht="33" customHeight="1">
      <c r="A406" s="545"/>
      <c r="B406" s="545"/>
      <c r="C406" s="2425" t="s">
        <v>569</v>
      </c>
      <c r="D406" s="2426"/>
      <c r="E406" s="2426"/>
      <c r="F406" s="2426"/>
      <c r="G406" s="2426"/>
      <c r="H406" s="2427"/>
      <c r="I406" s="521"/>
      <c r="J406" s="565"/>
      <c r="K406" s="566"/>
    </row>
    <row r="407" spans="1:11" s="533" customFormat="1">
      <c r="A407" s="554"/>
      <c r="B407" s="554"/>
      <c r="C407" s="558"/>
      <c r="D407" s="574"/>
      <c r="E407" s="575"/>
      <c r="F407" s="575"/>
      <c r="G407" s="575"/>
      <c r="H407" s="575"/>
      <c r="I407" s="558"/>
      <c r="J407" s="474"/>
      <c r="K407" s="474"/>
    </row>
    <row r="408" spans="1:11" s="566" customFormat="1">
      <c r="A408" s="554"/>
      <c r="B408" s="554"/>
      <c r="C408" s="558"/>
      <c r="D408" s="574"/>
      <c r="E408" s="577"/>
      <c r="F408" s="577"/>
      <c r="G408" s="575"/>
      <c r="H408" s="575"/>
      <c r="I408" s="558"/>
      <c r="J408" s="474"/>
      <c r="K408" s="474"/>
    </row>
    <row r="409" spans="1:11" s="566" customFormat="1">
      <c r="A409" s="554"/>
      <c r="B409" s="554"/>
      <c r="C409" s="558"/>
      <c r="D409" s="574"/>
      <c r="E409" s="577"/>
      <c r="F409" s="577"/>
      <c r="G409" s="575"/>
      <c r="H409" s="575"/>
      <c r="I409" s="558"/>
      <c r="J409" s="474"/>
      <c r="K409" s="474"/>
    </row>
    <row r="410" spans="1:11" s="566" customFormat="1">
      <c r="A410" s="554"/>
      <c r="B410" s="554"/>
      <c r="C410" s="558"/>
      <c r="D410" s="574"/>
      <c r="E410" s="577"/>
      <c r="F410" s="577"/>
      <c r="G410" s="575"/>
      <c r="H410" s="575"/>
      <c r="I410" s="558"/>
      <c r="J410" s="474"/>
      <c r="K410" s="474"/>
    </row>
    <row r="411" spans="1:11" s="566" customFormat="1">
      <c r="A411" s="554"/>
      <c r="B411" s="554"/>
      <c r="C411" s="558"/>
      <c r="D411" s="574"/>
      <c r="E411" s="577"/>
      <c r="F411" s="577"/>
      <c r="G411" s="575"/>
      <c r="H411" s="575"/>
      <c r="I411" s="558"/>
      <c r="J411" s="474"/>
      <c r="K411" s="474"/>
    </row>
    <row r="412" spans="1:11" s="566" customFormat="1">
      <c r="A412" s="554"/>
      <c r="B412" s="554"/>
      <c r="C412" s="558"/>
      <c r="D412" s="574"/>
      <c r="E412" s="577"/>
      <c r="F412" s="577"/>
      <c r="G412" s="575"/>
      <c r="H412" s="575"/>
      <c r="I412" s="558"/>
      <c r="J412" s="474"/>
      <c r="K412" s="474"/>
    </row>
    <row r="413" spans="1:11" s="566" customFormat="1">
      <c r="A413" s="554"/>
      <c r="B413" s="554"/>
      <c r="C413" s="558"/>
      <c r="D413" s="574"/>
      <c r="E413" s="577"/>
      <c r="F413" s="577"/>
      <c r="G413" s="575"/>
      <c r="H413" s="575"/>
      <c r="I413" s="558"/>
      <c r="J413" s="474"/>
      <c r="K413" s="474"/>
    </row>
    <row r="414" spans="1:11" s="566" customFormat="1">
      <c r="A414" s="554"/>
      <c r="B414" s="554"/>
      <c r="C414" s="558"/>
      <c r="D414" s="574"/>
      <c r="E414" s="577"/>
      <c r="F414" s="577"/>
      <c r="G414" s="575"/>
      <c r="H414" s="575"/>
      <c r="I414" s="558"/>
      <c r="J414" s="474"/>
      <c r="K414" s="474"/>
    </row>
    <row r="415" spans="1:11" s="566" customFormat="1">
      <c r="A415" s="554"/>
      <c r="B415" s="554"/>
      <c r="C415" s="558"/>
      <c r="D415" s="574"/>
      <c r="E415" s="577"/>
      <c r="F415" s="577"/>
      <c r="G415" s="575"/>
      <c r="H415" s="575"/>
      <c r="I415" s="558"/>
      <c r="J415" s="474"/>
      <c r="K415" s="474"/>
    </row>
    <row r="416" spans="1:11" s="566" customFormat="1">
      <c r="A416" s="558"/>
      <c r="B416" s="558"/>
      <c r="C416" s="558"/>
      <c r="D416" s="574"/>
      <c r="E416" s="577"/>
      <c r="F416" s="577"/>
      <c r="G416" s="575"/>
      <c r="H416" s="575"/>
      <c r="I416" s="558"/>
      <c r="J416" s="474"/>
      <c r="K416" s="474"/>
    </row>
    <row r="417" spans="1:11" s="566" customFormat="1">
      <c r="A417" s="554"/>
      <c r="B417" s="554"/>
      <c r="C417" s="558"/>
      <c r="D417" s="574"/>
      <c r="E417" s="577"/>
      <c r="F417" s="577"/>
      <c r="G417" s="575"/>
      <c r="H417" s="575"/>
      <c r="I417" s="558"/>
      <c r="J417" s="474"/>
      <c r="K417" s="474"/>
    </row>
    <row r="418" spans="1:11" s="566" customFormat="1" ht="29.25" customHeight="1">
      <c r="A418" s="558"/>
      <c r="B418" s="558"/>
      <c r="C418" s="558"/>
      <c r="D418" s="574"/>
      <c r="E418" s="577"/>
      <c r="F418" s="577"/>
      <c r="G418" s="575"/>
      <c r="H418" s="575"/>
      <c r="I418" s="558"/>
      <c r="J418" s="474"/>
      <c r="K418" s="474"/>
    </row>
    <row r="419" spans="1:11">
      <c r="A419" s="554"/>
      <c r="B419" s="554"/>
      <c r="C419" s="558"/>
      <c r="D419" s="574"/>
      <c r="E419" s="575"/>
      <c r="F419" s="575"/>
      <c r="G419" s="575"/>
      <c r="H419" s="575"/>
      <c r="I419" s="558"/>
    </row>
    <row r="420" spans="1:11">
      <c r="A420" s="554"/>
      <c r="B420" s="554"/>
      <c r="C420" s="558"/>
      <c r="D420" s="574"/>
      <c r="E420" s="575"/>
      <c r="F420" s="575"/>
      <c r="G420" s="575"/>
      <c r="H420" s="575"/>
      <c r="I420" s="558"/>
    </row>
    <row r="421" spans="1:11">
      <c r="A421" s="554"/>
      <c r="B421" s="554"/>
      <c r="C421" s="558"/>
      <c r="D421" s="574"/>
      <c r="E421" s="575"/>
      <c r="F421" s="575"/>
      <c r="G421" s="575"/>
      <c r="H421" s="575"/>
      <c r="I421" s="558"/>
    </row>
    <row r="422" spans="1:11">
      <c r="A422" s="554"/>
      <c r="B422" s="554"/>
      <c r="C422" s="558"/>
      <c r="D422" s="574"/>
      <c r="E422" s="575"/>
      <c r="F422" s="575"/>
      <c r="G422" s="575"/>
      <c r="H422" s="575"/>
      <c r="I422" s="558"/>
    </row>
    <row r="423" spans="1:11">
      <c r="A423" s="554"/>
      <c r="B423" s="554"/>
      <c r="C423" s="558"/>
      <c r="D423" s="574"/>
      <c r="E423" s="575"/>
      <c r="F423" s="575"/>
      <c r="G423" s="575"/>
      <c r="H423" s="575"/>
      <c r="I423" s="558"/>
    </row>
    <row r="424" spans="1:11">
      <c r="A424" s="554"/>
      <c r="B424" s="554"/>
      <c r="C424" s="558"/>
      <c r="D424" s="574"/>
      <c r="E424" s="575"/>
      <c r="F424" s="575"/>
      <c r="G424" s="575"/>
      <c r="H424" s="575"/>
      <c r="I424" s="558"/>
    </row>
    <row r="425" spans="1:11">
      <c r="A425" s="554"/>
      <c r="B425" s="554"/>
      <c r="C425" s="558"/>
      <c r="D425" s="574"/>
      <c r="E425" s="575"/>
      <c r="F425" s="575"/>
      <c r="G425" s="575"/>
      <c r="H425" s="575"/>
      <c r="I425" s="558"/>
    </row>
    <row r="426" spans="1:11">
      <c r="A426" s="554"/>
      <c r="B426" s="554"/>
      <c r="C426" s="558"/>
      <c r="D426" s="574"/>
      <c r="E426" s="575"/>
      <c r="F426" s="575"/>
      <c r="G426" s="575"/>
      <c r="H426" s="575"/>
      <c r="I426" s="558"/>
    </row>
    <row r="427" spans="1:11">
      <c r="A427" s="554"/>
      <c r="B427" s="554"/>
      <c r="C427" s="558"/>
      <c r="D427" s="574"/>
      <c r="E427" s="575"/>
      <c r="F427" s="575"/>
      <c r="G427" s="575"/>
      <c r="H427" s="575"/>
      <c r="I427" s="558"/>
    </row>
    <row r="428" spans="1:11">
      <c r="A428" s="554"/>
      <c r="B428" s="554"/>
      <c r="C428" s="558"/>
      <c r="D428" s="574"/>
      <c r="E428" s="575"/>
      <c r="F428" s="575"/>
      <c r="G428" s="575"/>
      <c r="H428" s="575"/>
      <c r="I428" s="558"/>
    </row>
    <row r="429" spans="1:11">
      <c r="A429" s="554"/>
      <c r="B429" s="554"/>
      <c r="C429" s="558"/>
      <c r="D429" s="574"/>
      <c r="E429" s="575"/>
      <c r="F429" s="575"/>
      <c r="G429" s="575"/>
      <c r="H429" s="575"/>
      <c r="I429" s="558"/>
    </row>
    <row r="430" spans="1:11">
      <c r="A430" s="554"/>
      <c r="B430" s="554"/>
      <c r="C430" s="558"/>
      <c r="D430" s="574"/>
      <c r="E430" s="575"/>
      <c r="F430" s="575"/>
      <c r="G430" s="575"/>
      <c r="H430" s="575"/>
      <c r="I430" s="558"/>
    </row>
    <row r="431" spans="1:11">
      <c r="A431" s="554"/>
      <c r="B431" s="554"/>
      <c r="C431" s="558"/>
      <c r="D431" s="574"/>
      <c r="E431" s="575"/>
      <c r="F431" s="575"/>
      <c r="G431" s="575"/>
      <c r="H431" s="575"/>
      <c r="I431" s="558"/>
    </row>
    <row r="432" spans="1:11">
      <c r="A432" s="554"/>
      <c r="B432" s="554"/>
      <c r="C432" s="558"/>
      <c r="D432" s="574"/>
      <c r="E432" s="575"/>
      <c r="F432" s="575"/>
      <c r="G432" s="575"/>
      <c r="H432" s="575"/>
      <c r="I432" s="558"/>
    </row>
    <row r="433" spans="1:9">
      <c r="A433" s="554"/>
      <c r="B433" s="554"/>
      <c r="C433" s="558"/>
      <c r="D433" s="574"/>
      <c r="E433" s="575"/>
      <c r="F433" s="575"/>
      <c r="G433" s="575"/>
      <c r="H433" s="575"/>
      <c r="I433" s="558"/>
    </row>
    <row r="434" spans="1:9">
      <c r="A434" s="554"/>
      <c r="B434" s="554"/>
      <c r="C434" s="558"/>
      <c r="D434" s="574"/>
      <c r="E434" s="575"/>
      <c r="F434" s="575"/>
      <c r="G434" s="575"/>
      <c r="H434" s="575"/>
      <c r="I434" s="558"/>
    </row>
    <row r="435" spans="1:9">
      <c r="A435" s="554"/>
      <c r="B435" s="554"/>
      <c r="C435" s="558"/>
      <c r="D435" s="574"/>
      <c r="E435" s="575"/>
      <c r="F435" s="575"/>
      <c r="G435" s="575"/>
      <c r="H435" s="575"/>
      <c r="I435" s="558"/>
    </row>
    <row r="436" spans="1:9">
      <c r="A436" s="554"/>
      <c r="B436" s="554"/>
      <c r="C436" s="558"/>
      <c r="D436" s="574"/>
      <c r="E436" s="575"/>
      <c r="F436" s="575"/>
      <c r="G436" s="575"/>
      <c r="H436" s="575"/>
      <c r="I436" s="558"/>
    </row>
    <row r="437" spans="1:9">
      <c r="A437" s="554"/>
      <c r="B437" s="554"/>
      <c r="C437" s="558"/>
      <c r="D437" s="574"/>
      <c r="E437" s="575"/>
      <c r="F437" s="575"/>
      <c r="G437" s="575"/>
      <c r="H437" s="575"/>
      <c r="I437" s="558"/>
    </row>
    <row r="438" spans="1:9">
      <c r="A438" s="554"/>
      <c r="B438" s="554"/>
      <c r="C438" s="558"/>
      <c r="D438" s="574"/>
      <c r="E438" s="575"/>
      <c r="F438" s="575"/>
      <c r="G438" s="575"/>
      <c r="H438" s="575"/>
      <c r="I438" s="558"/>
    </row>
    <row r="439" spans="1:9">
      <c r="A439" s="554"/>
      <c r="B439" s="554"/>
      <c r="C439" s="558"/>
      <c r="D439" s="574"/>
      <c r="E439" s="575"/>
      <c r="F439" s="575"/>
      <c r="G439" s="575"/>
      <c r="H439" s="575"/>
      <c r="I439" s="558"/>
    </row>
    <row r="440" spans="1:9">
      <c r="A440" s="554"/>
      <c r="B440" s="554"/>
      <c r="C440" s="558"/>
      <c r="D440" s="574"/>
      <c r="E440" s="575"/>
      <c r="F440" s="575"/>
      <c r="G440" s="575"/>
      <c r="H440" s="575"/>
      <c r="I440" s="558"/>
    </row>
    <row r="441" spans="1:9">
      <c r="A441" s="554"/>
      <c r="B441" s="554"/>
      <c r="C441" s="558"/>
      <c r="D441" s="574"/>
      <c r="E441" s="575"/>
      <c r="F441" s="575"/>
      <c r="G441" s="575"/>
      <c r="H441" s="575"/>
      <c r="I441" s="558"/>
    </row>
    <row r="442" spans="1:9">
      <c r="A442" s="554"/>
      <c r="B442" s="554"/>
      <c r="C442" s="558"/>
      <c r="D442" s="574"/>
      <c r="E442" s="575"/>
      <c r="F442" s="575"/>
      <c r="G442" s="575"/>
      <c r="H442" s="575"/>
      <c r="I442" s="558"/>
    </row>
    <row r="443" spans="1:9">
      <c r="A443" s="554"/>
      <c r="B443" s="554"/>
      <c r="C443" s="558"/>
      <c r="D443" s="574"/>
      <c r="E443" s="575"/>
      <c r="F443" s="575"/>
      <c r="G443" s="575"/>
      <c r="H443" s="575"/>
      <c r="I443" s="558"/>
    </row>
    <row r="444" spans="1:9">
      <c r="A444" s="554"/>
      <c r="B444" s="554"/>
      <c r="C444" s="558"/>
      <c r="D444" s="574"/>
      <c r="E444" s="575"/>
      <c r="F444" s="575"/>
      <c r="G444" s="575"/>
      <c r="H444" s="575"/>
      <c r="I444" s="558"/>
    </row>
    <row r="445" spans="1:9">
      <c r="A445" s="554"/>
      <c r="B445" s="554"/>
      <c r="C445" s="558"/>
      <c r="D445" s="574"/>
      <c r="E445" s="575"/>
      <c r="F445" s="575"/>
      <c r="G445" s="575"/>
      <c r="H445" s="575"/>
      <c r="I445" s="558"/>
    </row>
    <row r="446" spans="1:9">
      <c r="A446" s="554"/>
      <c r="B446" s="554"/>
      <c r="C446" s="558"/>
      <c r="D446" s="574"/>
      <c r="E446" s="575"/>
      <c r="F446" s="575"/>
      <c r="G446" s="575"/>
      <c r="H446" s="575"/>
      <c r="I446" s="558"/>
    </row>
    <row r="447" spans="1:9">
      <c r="A447" s="554"/>
      <c r="B447" s="554"/>
      <c r="C447" s="558"/>
      <c r="D447" s="574"/>
      <c r="E447" s="575"/>
      <c r="F447" s="575"/>
      <c r="G447" s="575"/>
      <c r="H447" s="575"/>
      <c r="I447" s="558"/>
    </row>
    <row r="448" spans="1:9">
      <c r="A448" s="554"/>
      <c r="B448" s="554"/>
      <c r="C448" s="558"/>
      <c r="D448" s="574"/>
      <c r="E448" s="575"/>
      <c r="F448" s="575"/>
      <c r="G448" s="575"/>
      <c r="H448" s="575"/>
      <c r="I448" s="558"/>
    </row>
    <row r="449" spans="1:9">
      <c r="A449" s="554"/>
      <c r="B449" s="554"/>
      <c r="C449" s="558"/>
      <c r="D449" s="574"/>
      <c r="E449" s="575"/>
      <c r="F449" s="575"/>
      <c r="G449" s="575"/>
      <c r="H449" s="575"/>
      <c r="I449" s="558"/>
    </row>
    <row r="450" spans="1:9">
      <c r="A450" s="554"/>
      <c r="B450" s="554"/>
      <c r="C450" s="558"/>
      <c r="D450" s="574"/>
      <c r="E450" s="575"/>
      <c r="F450" s="575"/>
      <c r="G450" s="575"/>
      <c r="H450" s="575"/>
      <c r="I450" s="558"/>
    </row>
    <row r="451" spans="1:9">
      <c r="A451" s="554"/>
      <c r="B451" s="554"/>
      <c r="C451" s="558"/>
      <c r="D451" s="574"/>
      <c r="E451" s="575"/>
      <c r="F451" s="575"/>
      <c r="G451" s="575"/>
      <c r="H451" s="575"/>
      <c r="I451" s="558"/>
    </row>
    <row r="452" spans="1:9">
      <c r="A452" s="554"/>
      <c r="B452" s="554"/>
      <c r="C452" s="558"/>
      <c r="D452" s="574"/>
      <c r="E452" s="575"/>
      <c r="F452" s="575"/>
      <c r="G452" s="575"/>
      <c r="H452" s="575"/>
      <c r="I452" s="558"/>
    </row>
    <row r="453" spans="1:9">
      <c r="A453" s="554"/>
      <c r="B453" s="554"/>
      <c r="C453" s="558"/>
      <c r="D453" s="574"/>
      <c r="E453" s="575"/>
      <c r="F453" s="575"/>
      <c r="G453" s="575"/>
      <c r="H453" s="575"/>
      <c r="I453" s="558"/>
    </row>
    <row r="454" spans="1:9">
      <c r="A454" s="554"/>
      <c r="B454" s="554"/>
      <c r="C454" s="558"/>
      <c r="D454" s="574"/>
      <c r="E454" s="575"/>
      <c r="F454" s="575"/>
      <c r="G454" s="575"/>
      <c r="H454" s="575"/>
      <c r="I454" s="558"/>
    </row>
    <row r="455" spans="1:9">
      <c r="A455" s="554"/>
      <c r="B455" s="554"/>
      <c r="C455" s="558"/>
      <c r="D455" s="574"/>
      <c r="E455" s="575"/>
      <c r="F455" s="575"/>
      <c r="G455" s="575"/>
      <c r="H455" s="575"/>
      <c r="I455" s="558"/>
    </row>
    <row r="456" spans="1:9">
      <c r="A456" s="554"/>
      <c r="B456" s="554"/>
      <c r="C456" s="558"/>
      <c r="D456" s="574"/>
      <c r="E456" s="575"/>
      <c r="F456" s="575"/>
      <c r="G456" s="575"/>
      <c r="H456" s="575"/>
      <c r="I456" s="558"/>
    </row>
    <row r="457" spans="1:9">
      <c r="A457" s="554"/>
      <c r="B457" s="554"/>
      <c r="C457" s="558"/>
      <c r="D457" s="574"/>
      <c r="E457" s="575"/>
      <c r="F457" s="575"/>
      <c r="G457" s="575"/>
      <c r="H457" s="575"/>
      <c r="I457" s="558"/>
    </row>
    <row r="458" spans="1:9">
      <c r="A458" s="554"/>
      <c r="B458" s="554"/>
      <c r="C458" s="558"/>
      <c r="D458" s="574"/>
      <c r="E458" s="575"/>
      <c r="F458" s="575"/>
      <c r="G458" s="575"/>
      <c r="H458" s="575"/>
      <c r="I458" s="558"/>
    </row>
    <row r="459" spans="1:9">
      <c r="A459" s="554"/>
      <c r="B459" s="554"/>
      <c r="C459" s="558"/>
      <c r="D459" s="574"/>
      <c r="E459" s="575"/>
      <c r="F459" s="575"/>
      <c r="G459" s="575"/>
      <c r="H459" s="575"/>
      <c r="I459" s="558"/>
    </row>
    <row r="460" spans="1:9">
      <c r="A460" s="554"/>
      <c r="B460" s="554"/>
      <c r="C460" s="558"/>
      <c r="D460" s="574"/>
      <c r="E460" s="575"/>
      <c r="F460" s="575"/>
      <c r="G460" s="575"/>
      <c r="H460" s="575"/>
      <c r="I460" s="558"/>
    </row>
    <row r="461" spans="1:9">
      <c r="A461" s="554"/>
      <c r="B461" s="554"/>
      <c r="C461" s="558"/>
      <c r="D461" s="574"/>
      <c r="E461" s="575"/>
      <c r="F461" s="575"/>
      <c r="G461" s="575"/>
      <c r="H461" s="575"/>
      <c r="I461" s="558"/>
    </row>
    <row r="462" spans="1:9">
      <c r="A462" s="554"/>
      <c r="B462" s="554"/>
      <c r="C462" s="558"/>
      <c r="D462" s="574"/>
      <c r="E462" s="575"/>
      <c r="F462" s="575"/>
      <c r="G462" s="575"/>
      <c r="H462" s="575"/>
      <c r="I462" s="558"/>
    </row>
    <row r="463" spans="1:9">
      <c r="A463" s="554"/>
      <c r="B463" s="554"/>
      <c r="C463" s="558"/>
      <c r="D463" s="574"/>
      <c r="E463" s="575"/>
      <c r="F463" s="575"/>
      <c r="G463" s="575"/>
      <c r="H463" s="575"/>
      <c r="I463" s="558"/>
    </row>
    <row r="464" spans="1:9">
      <c r="A464" s="554"/>
      <c r="B464" s="554"/>
      <c r="C464" s="558"/>
      <c r="D464" s="574"/>
      <c r="E464" s="575"/>
      <c r="F464" s="575"/>
      <c r="G464" s="575"/>
      <c r="H464" s="575"/>
      <c r="I464" s="558"/>
    </row>
    <row r="465" spans="1:9">
      <c r="A465" s="554"/>
      <c r="B465" s="554"/>
      <c r="C465" s="558"/>
      <c r="D465" s="574"/>
      <c r="E465" s="575"/>
      <c r="F465" s="575"/>
      <c r="G465" s="575"/>
      <c r="H465" s="575"/>
      <c r="I465" s="558"/>
    </row>
    <row r="466" spans="1:9">
      <c r="A466" s="554"/>
      <c r="B466" s="554"/>
      <c r="C466" s="558"/>
      <c r="D466" s="574"/>
      <c r="E466" s="575"/>
      <c r="F466" s="575"/>
      <c r="G466" s="575"/>
      <c r="H466" s="575"/>
      <c r="I466" s="558"/>
    </row>
    <row r="467" spans="1:9">
      <c r="A467" s="554"/>
      <c r="B467" s="554"/>
      <c r="C467" s="558"/>
      <c r="D467" s="574"/>
      <c r="E467" s="575"/>
      <c r="F467" s="575"/>
      <c r="G467" s="575"/>
      <c r="H467" s="575"/>
      <c r="I467" s="558"/>
    </row>
    <row r="468" spans="1:9">
      <c r="A468" s="554"/>
      <c r="B468" s="554"/>
      <c r="C468" s="558"/>
      <c r="D468" s="574"/>
      <c r="E468" s="575"/>
      <c r="F468" s="575"/>
      <c r="G468" s="575"/>
      <c r="H468" s="575"/>
      <c r="I468" s="558"/>
    </row>
    <row r="469" spans="1:9">
      <c r="A469" s="554"/>
      <c r="B469" s="554"/>
      <c r="C469" s="558"/>
      <c r="D469" s="574"/>
      <c r="E469" s="575"/>
      <c r="F469" s="575"/>
      <c r="G469" s="575"/>
      <c r="H469" s="575"/>
      <c r="I469" s="558"/>
    </row>
    <row r="470" spans="1:9">
      <c r="A470" s="554"/>
      <c r="B470" s="554"/>
      <c r="C470" s="558"/>
      <c r="D470" s="574"/>
      <c r="E470" s="575"/>
      <c r="F470" s="575"/>
      <c r="G470" s="575"/>
      <c r="H470" s="575"/>
      <c r="I470" s="558"/>
    </row>
    <row r="471" spans="1:9">
      <c r="A471" s="554"/>
      <c r="B471" s="554"/>
      <c r="C471" s="558"/>
      <c r="D471" s="574"/>
      <c r="E471" s="575"/>
      <c r="F471" s="575"/>
      <c r="G471" s="575"/>
      <c r="H471" s="575"/>
      <c r="I471" s="558"/>
    </row>
    <row r="472" spans="1:9">
      <c r="A472" s="554"/>
      <c r="B472" s="554"/>
      <c r="C472" s="558"/>
      <c r="D472" s="574"/>
      <c r="E472" s="575"/>
      <c r="F472" s="575"/>
      <c r="G472" s="575"/>
      <c r="H472" s="575"/>
      <c r="I472" s="558"/>
    </row>
    <row r="473" spans="1:9">
      <c r="A473" s="554"/>
      <c r="B473" s="554"/>
      <c r="C473" s="558"/>
      <c r="D473" s="574"/>
      <c r="E473" s="575"/>
      <c r="F473" s="575"/>
      <c r="G473" s="575"/>
      <c r="H473" s="575"/>
      <c r="I473" s="558"/>
    </row>
    <row r="474" spans="1:9">
      <c r="A474" s="554"/>
      <c r="B474" s="554"/>
      <c r="C474" s="558"/>
      <c r="D474" s="574"/>
      <c r="E474" s="575"/>
      <c r="F474" s="575"/>
      <c r="G474" s="575"/>
      <c r="H474" s="575"/>
      <c r="I474" s="558"/>
    </row>
    <row r="475" spans="1:9">
      <c r="A475" s="554"/>
      <c r="B475" s="554"/>
      <c r="C475" s="558"/>
      <c r="D475" s="574"/>
      <c r="E475" s="575"/>
      <c r="F475" s="575"/>
      <c r="G475" s="575"/>
      <c r="H475" s="575"/>
      <c r="I475" s="558"/>
    </row>
    <row r="476" spans="1:9">
      <c r="A476" s="554"/>
      <c r="B476" s="554"/>
      <c r="C476" s="558"/>
      <c r="D476" s="574"/>
      <c r="E476" s="575"/>
      <c r="F476" s="575"/>
      <c r="G476" s="575"/>
      <c r="H476" s="575"/>
      <c r="I476" s="558"/>
    </row>
    <row r="477" spans="1:9">
      <c r="A477" s="554"/>
      <c r="B477" s="554"/>
      <c r="C477" s="558"/>
      <c r="D477" s="574"/>
      <c r="E477" s="575"/>
      <c r="F477" s="575"/>
      <c r="G477" s="575"/>
      <c r="H477" s="575"/>
      <c r="I477" s="558"/>
    </row>
    <row r="478" spans="1:9">
      <c r="A478" s="554"/>
      <c r="B478" s="554"/>
      <c r="C478" s="558"/>
      <c r="D478" s="574"/>
      <c r="E478" s="575"/>
      <c r="F478" s="575"/>
      <c r="G478" s="575"/>
      <c r="H478" s="575"/>
      <c r="I478" s="558"/>
    </row>
    <row r="479" spans="1:9">
      <c r="A479" s="554"/>
      <c r="B479" s="554"/>
      <c r="C479" s="558"/>
      <c r="D479" s="574"/>
      <c r="E479" s="575"/>
      <c r="F479" s="575"/>
      <c r="G479" s="575"/>
      <c r="H479" s="575"/>
      <c r="I479" s="558"/>
    </row>
    <row r="480" spans="1:9">
      <c r="A480" s="554"/>
      <c r="B480" s="554"/>
      <c r="C480" s="558"/>
      <c r="D480" s="574"/>
      <c r="E480" s="575"/>
      <c r="F480" s="575"/>
      <c r="G480" s="575"/>
      <c r="H480" s="575"/>
      <c r="I480" s="558"/>
    </row>
    <row r="481" spans="1:9">
      <c r="A481" s="554"/>
      <c r="B481" s="554"/>
      <c r="C481" s="558"/>
      <c r="D481" s="574"/>
      <c r="E481" s="575"/>
      <c r="F481" s="575"/>
      <c r="G481" s="575"/>
      <c r="H481" s="575"/>
      <c r="I481" s="558"/>
    </row>
    <row r="482" spans="1:9">
      <c r="A482" s="554"/>
      <c r="B482" s="554"/>
      <c r="C482" s="558"/>
      <c r="D482" s="574"/>
      <c r="E482" s="575"/>
      <c r="F482" s="575"/>
      <c r="G482" s="575"/>
      <c r="H482" s="575"/>
      <c r="I482" s="558"/>
    </row>
    <row r="483" spans="1:9">
      <c r="A483" s="554"/>
      <c r="B483" s="554"/>
      <c r="C483" s="558"/>
      <c r="D483" s="574"/>
      <c r="E483" s="575"/>
      <c r="F483" s="575"/>
      <c r="G483" s="575"/>
      <c r="H483" s="575"/>
      <c r="I483" s="558"/>
    </row>
    <row r="484" spans="1:9">
      <c r="A484" s="554"/>
      <c r="B484" s="554"/>
      <c r="C484" s="558"/>
      <c r="D484" s="574"/>
      <c r="E484" s="575"/>
      <c r="F484" s="575"/>
      <c r="G484" s="575"/>
      <c r="H484" s="575"/>
      <c r="I484" s="558"/>
    </row>
    <row r="485" spans="1:9">
      <c r="A485" s="554"/>
      <c r="B485" s="554"/>
      <c r="C485" s="558"/>
      <c r="D485" s="574"/>
      <c r="E485" s="575"/>
      <c r="F485" s="575"/>
      <c r="G485" s="575"/>
      <c r="H485" s="575"/>
      <c r="I485" s="558"/>
    </row>
    <row r="486" spans="1:9">
      <c r="A486" s="554"/>
      <c r="B486" s="554"/>
      <c r="C486" s="558"/>
      <c r="D486" s="574"/>
      <c r="E486" s="575"/>
      <c r="F486" s="575"/>
      <c r="G486" s="575"/>
      <c r="H486" s="575"/>
      <c r="I486" s="558"/>
    </row>
    <row r="487" spans="1:9">
      <c r="A487" s="554"/>
      <c r="B487" s="554"/>
      <c r="C487" s="558"/>
      <c r="D487" s="574"/>
      <c r="E487" s="575"/>
      <c r="F487" s="575"/>
      <c r="G487" s="575"/>
      <c r="H487" s="575"/>
      <c r="I487" s="558"/>
    </row>
    <row r="488" spans="1:9">
      <c r="A488" s="554"/>
      <c r="B488" s="554"/>
      <c r="C488" s="558"/>
      <c r="D488" s="574"/>
      <c r="E488" s="575"/>
      <c r="F488" s="575"/>
      <c r="G488" s="575"/>
      <c r="H488" s="575"/>
      <c r="I488" s="558"/>
    </row>
    <row r="489" spans="1:9">
      <c r="A489" s="554"/>
      <c r="B489" s="554"/>
      <c r="C489" s="558"/>
      <c r="D489" s="574"/>
      <c r="E489" s="575"/>
      <c r="F489" s="575"/>
      <c r="G489" s="575"/>
      <c r="H489" s="575"/>
      <c r="I489" s="558"/>
    </row>
    <row r="490" spans="1:9">
      <c r="A490" s="554"/>
      <c r="B490" s="554"/>
      <c r="C490" s="558"/>
      <c r="D490" s="574"/>
      <c r="E490" s="575"/>
      <c r="F490" s="575"/>
      <c r="G490" s="575"/>
      <c r="H490" s="575"/>
      <c r="I490" s="558"/>
    </row>
    <row r="491" spans="1:9">
      <c r="A491" s="554"/>
      <c r="B491" s="554"/>
      <c r="C491" s="558"/>
      <c r="D491" s="574"/>
      <c r="E491" s="575"/>
      <c r="F491" s="575"/>
      <c r="G491" s="575"/>
      <c r="H491" s="575"/>
      <c r="I491" s="558"/>
    </row>
    <row r="492" spans="1:9">
      <c r="A492" s="554"/>
      <c r="B492" s="554"/>
      <c r="C492" s="558"/>
      <c r="D492" s="574"/>
      <c r="E492" s="575"/>
      <c r="F492" s="575"/>
      <c r="G492" s="575"/>
      <c r="H492" s="575"/>
      <c r="I492" s="558"/>
    </row>
    <row r="493" spans="1:9">
      <c r="A493" s="554"/>
      <c r="B493" s="554"/>
      <c r="C493" s="558"/>
      <c r="D493" s="574"/>
      <c r="E493" s="575"/>
      <c r="F493" s="575"/>
      <c r="G493" s="575"/>
      <c r="H493" s="575"/>
      <c r="I493" s="558"/>
    </row>
    <row r="494" spans="1:9">
      <c r="A494" s="554"/>
      <c r="B494" s="554"/>
      <c r="C494" s="558"/>
      <c r="D494" s="574"/>
      <c r="E494" s="575"/>
      <c r="F494" s="575"/>
      <c r="G494" s="575"/>
      <c r="H494" s="575"/>
      <c r="I494" s="558"/>
    </row>
    <row r="495" spans="1:9">
      <c r="A495" s="554"/>
      <c r="B495" s="554"/>
      <c r="C495" s="558"/>
      <c r="D495" s="574"/>
      <c r="E495" s="575"/>
      <c r="F495" s="575"/>
      <c r="G495" s="575"/>
      <c r="H495" s="575"/>
      <c r="I495" s="558"/>
    </row>
    <row r="496" spans="1:9">
      <c r="A496" s="554"/>
      <c r="B496" s="554"/>
      <c r="C496" s="558"/>
      <c r="D496" s="574"/>
      <c r="E496" s="575"/>
      <c r="F496" s="575"/>
      <c r="G496" s="575"/>
      <c r="H496" s="575"/>
      <c r="I496" s="558"/>
    </row>
    <row r="497" spans="1:9">
      <c r="A497" s="554"/>
      <c r="B497" s="554"/>
      <c r="C497" s="558"/>
      <c r="D497" s="574"/>
      <c r="E497" s="575"/>
      <c r="F497" s="575"/>
      <c r="G497" s="575"/>
      <c r="H497" s="575"/>
      <c r="I497" s="558"/>
    </row>
    <row r="498" spans="1:9">
      <c r="A498" s="554"/>
      <c r="B498" s="554"/>
      <c r="C498" s="558"/>
      <c r="D498" s="574"/>
      <c r="E498" s="575"/>
      <c r="F498" s="575"/>
      <c r="G498" s="575"/>
      <c r="H498" s="575"/>
      <c r="I498" s="558"/>
    </row>
    <row r="499" spans="1:9">
      <c r="A499" s="554"/>
      <c r="B499" s="554"/>
      <c r="C499" s="558"/>
      <c r="D499" s="574"/>
      <c r="E499" s="575"/>
      <c r="F499" s="575"/>
      <c r="G499" s="575"/>
      <c r="H499" s="575"/>
      <c r="I499" s="558"/>
    </row>
    <row r="500" spans="1:9">
      <c r="A500" s="554"/>
      <c r="B500" s="554"/>
      <c r="C500" s="558"/>
      <c r="D500" s="574"/>
      <c r="E500" s="575"/>
      <c r="F500" s="575"/>
      <c r="G500" s="575"/>
      <c r="H500" s="575"/>
      <c r="I500" s="558"/>
    </row>
    <row r="501" spans="1:9">
      <c r="A501" s="554"/>
      <c r="B501" s="554"/>
      <c r="C501" s="558"/>
      <c r="D501" s="574"/>
      <c r="E501" s="575"/>
      <c r="F501" s="575"/>
      <c r="G501" s="575"/>
      <c r="H501" s="575"/>
      <c r="I501" s="558"/>
    </row>
    <row r="502" spans="1:9">
      <c r="A502" s="554"/>
      <c r="B502" s="554"/>
      <c r="C502" s="558"/>
      <c r="D502" s="574"/>
      <c r="E502" s="575"/>
      <c r="F502" s="575"/>
      <c r="G502" s="575"/>
      <c r="H502" s="575"/>
      <c r="I502" s="558"/>
    </row>
    <row r="503" spans="1:9">
      <c r="A503" s="554"/>
      <c r="B503" s="554"/>
      <c r="C503" s="558"/>
      <c r="D503" s="574"/>
      <c r="E503" s="575"/>
      <c r="F503" s="575"/>
      <c r="G503" s="575"/>
      <c r="H503" s="575"/>
      <c r="I503" s="558"/>
    </row>
    <row r="504" spans="1:9">
      <c r="A504" s="554"/>
      <c r="B504" s="554"/>
      <c r="C504" s="558"/>
      <c r="D504" s="574"/>
      <c r="E504" s="575"/>
      <c r="F504" s="575"/>
      <c r="G504" s="575"/>
      <c r="H504" s="575"/>
      <c r="I504" s="558"/>
    </row>
    <row r="505" spans="1:9">
      <c r="A505" s="554"/>
      <c r="B505" s="554"/>
      <c r="C505" s="558"/>
      <c r="D505" s="574"/>
      <c r="E505" s="575"/>
      <c r="F505" s="575"/>
      <c r="G505" s="575"/>
      <c r="H505" s="575"/>
      <c r="I505" s="558"/>
    </row>
    <row r="506" spans="1:9">
      <c r="A506" s="554"/>
      <c r="B506" s="554"/>
      <c r="C506" s="558"/>
      <c r="D506" s="574"/>
      <c r="E506" s="575"/>
      <c r="F506" s="575"/>
      <c r="G506" s="575"/>
      <c r="H506" s="575"/>
      <c r="I506" s="558"/>
    </row>
    <row r="507" spans="1:9">
      <c r="A507" s="554"/>
      <c r="B507" s="554"/>
      <c r="C507" s="558"/>
      <c r="D507" s="574"/>
      <c r="E507" s="575"/>
      <c r="F507" s="575"/>
      <c r="G507" s="575"/>
      <c r="H507" s="575"/>
      <c r="I507" s="558"/>
    </row>
    <row r="508" spans="1:9">
      <c r="A508" s="554"/>
      <c r="B508" s="554"/>
      <c r="C508" s="558"/>
      <c r="D508" s="574"/>
      <c r="E508" s="575"/>
      <c r="F508" s="575"/>
      <c r="G508" s="575"/>
      <c r="H508" s="575"/>
      <c r="I508" s="558"/>
    </row>
    <row r="509" spans="1:9">
      <c r="A509" s="554"/>
      <c r="B509" s="554"/>
      <c r="C509" s="558"/>
      <c r="D509" s="574"/>
      <c r="E509" s="575"/>
      <c r="F509" s="575"/>
      <c r="G509" s="575"/>
      <c r="H509" s="575"/>
      <c r="I509" s="558"/>
    </row>
    <row r="510" spans="1:9">
      <c r="A510" s="554"/>
      <c r="B510" s="554"/>
      <c r="C510" s="558"/>
      <c r="D510" s="574"/>
      <c r="E510" s="575"/>
      <c r="F510" s="575"/>
      <c r="G510" s="575"/>
      <c r="H510" s="575"/>
      <c r="I510" s="558"/>
    </row>
    <row r="511" spans="1:9">
      <c r="A511" s="554"/>
      <c r="B511" s="554"/>
      <c r="C511" s="558"/>
      <c r="D511" s="574"/>
      <c r="E511" s="575"/>
      <c r="F511" s="575"/>
      <c r="G511" s="575"/>
      <c r="H511" s="575"/>
      <c r="I511" s="558"/>
    </row>
    <row r="512" spans="1:9">
      <c r="A512" s="554"/>
      <c r="B512" s="554"/>
      <c r="C512" s="558"/>
      <c r="D512" s="574"/>
      <c r="E512" s="575"/>
      <c r="F512" s="575"/>
      <c r="G512" s="575"/>
      <c r="H512" s="575"/>
      <c r="I512" s="558"/>
    </row>
    <row r="513" spans="1:9">
      <c r="A513" s="554"/>
      <c r="B513" s="554"/>
      <c r="C513" s="558"/>
      <c r="D513" s="574"/>
      <c r="E513" s="575"/>
      <c r="F513" s="575"/>
      <c r="G513" s="575"/>
      <c r="H513" s="575"/>
      <c r="I513" s="558"/>
    </row>
    <row r="514" spans="1:9">
      <c r="A514" s="554"/>
      <c r="B514" s="554"/>
      <c r="C514" s="558"/>
      <c r="D514" s="574"/>
      <c r="E514" s="575"/>
      <c r="F514" s="575"/>
      <c r="G514" s="575"/>
      <c r="H514" s="575"/>
      <c r="I514" s="558"/>
    </row>
    <row r="515" spans="1:9">
      <c r="A515" s="554"/>
      <c r="B515" s="554"/>
      <c r="C515" s="558"/>
      <c r="D515" s="574"/>
      <c r="E515" s="575"/>
      <c r="F515" s="575"/>
      <c r="G515" s="575"/>
      <c r="H515" s="575"/>
      <c r="I515" s="558"/>
    </row>
    <row r="516" spans="1:9">
      <c r="A516" s="554"/>
      <c r="B516" s="554"/>
      <c r="C516" s="558"/>
      <c r="D516" s="574"/>
      <c r="E516" s="575"/>
      <c r="F516" s="575"/>
      <c r="G516" s="575"/>
      <c r="H516" s="575"/>
      <c r="I516" s="558"/>
    </row>
    <row r="517" spans="1:9">
      <c r="A517" s="554"/>
      <c r="B517" s="554"/>
      <c r="C517" s="558"/>
      <c r="D517" s="574"/>
      <c r="E517" s="575"/>
      <c r="F517" s="575"/>
      <c r="G517" s="575"/>
      <c r="H517" s="575"/>
      <c r="I517" s="558"/>
    </row>
    <row r="518" spans="1:9">
      <c r="A518" s="554"/>
      <c r="B518" s="554"/>
      <c r="C518" s="558"/>
      <c r="D518" s="574"/>
      <c r="E518" s="575"/>
      <c r="F518" s="575"/>
      <c r="G518" s="575"/>
      <c r="H518" s="575"/>
      <c r="I518" s="558"/>
    </row>
    <row r="519" spans="1:9">
      <c r="A519" s="554"/>
      <c r="B519" s="554"/>
      <c r="C519" s="558"/>
      <c r="D519" s="574"/>
      <c r="E519" s="575"/>
      <c r="F519" s="575"/>
      <c r="G519" s="575"/>
      <c r="H519" s="575"/>
      <c r="I519" s="558"/>
    </row>
    <row r="520" spans="1:9">
      <c r="A520" s="554"/>
      <c r="B520" s="554"/>
      <c r="C520" s="558"/>
      <c r="D520" s="574"/>
      <c r="E520" s="575"/>
      <c r="F520" s="575"/>
      <c r="G520" s="575"/>
      <c r="H520" s="575"/>
      <c r="I520" s="558"/>
    </row>
    <row r="521" spans="1:9">
      <c r="A521" s="554"/>
      <c r="B521" s="554"/>
      <c r="C521" s="558"/>
      <c r="D521" s="574"/>
      <c r="E521" s="575"/>
      <c r="F521" s="575"/>
      <c r="G521" s="575"/>
      <c r="H521" s="575"/>
      <c r="I521" s="558"/>
    </row>
    <row r="522" spans="1:9">
      <c r="A522" s="554"/>
      <c r="B522" s="554"/>
      <c r="C522" s="558"/>
      <c r="D522" s="574"/>
      <c r="E522" s="575"/>
      <c r="F522" s="575"/>
      <c r="G522" s="575"/>
      <c r="H522" s="575"/>
      <c r="I522" s="558"/>
    </row>
    <row r="523" spans="1:9">
      <c r="A523" s="554"/>
      <c r="B523" s="554"/>
      <c r="C523" s="558"/>
      <c r="D523" s="574"/>
      <c r="E523" s="575"/>
      <c r="F523" s="575"/>
      <c r="G523" s="575"/>
      <c r="H523" s="575"/>
      <c r="I523" s="558"/>
    </row>
    <row r="524" spans="1:9">
      <c r="A524" s="554"/>
      <c r="B524" s="554"/>
      <c r="C524" s="558"/>
      <c r="D524" s="574"/>
      <c r="E524" s="575"/>
      <c r="F524" s="575"/>
      <c r="G524" s="575"/>
      <c r="H524" s="575"/>
      <c r="I524" s="558"/>
    </row>
    <row r="525" spans="1:9">
      <c r="A525" s="554"/>
      <c r="B525" s="554"/>
      <c r="C525" s="558"/>
      <c r="D525" s="574"/>
      <c r="E525" s="575"/>
      <c r="F525" s="575"/>
      <c r="G525" s="575"/>
      <c r="H525" s="575"/>
      <c r="I525" s="558"/>
    </row>
    <row r="526" spans="1:9">
      <c r="A526" s="554"/>
      <c r="B526" s="554"/>
      <c r="C526" s="558"/>
      <c r="D526" s="574"/>
      <c r="E526" s="575"/>
      <c r="F526" s="575"/>
      <c r="G526" s="575"/>
      <c r="H526" s="575"/>
      <c r="I526" s="558"/>
    </row>
    <row r="527" spans="1:9">
      <c r="A527" s="554"/>
      <c r="B527" s="554"/>
      <c r="C527" s="558"/>
      <c r="D527" s="574"/>
      <c r="E527" s="575"/>
      <c r="F527" s="575"/>
      <c r="G527" s="575"/>
      <c r="H527" s="575"/>
      <c r="I527" s="558"/>
    </row>
    <row r="528" spans="1:9">
      <c r="A528" s="554"/>
      <c r="B528" s="554"/>
      <c r="C528" s="558"/>
      <c r="D528" s="574"/>
      <c r="E528" s="575"/>
      <c r="F528" s="575"/>
      <c r="G528" s="575"/>
      <c r="H528" s="575"/>
      <c r="I528" s="558"/>
    </row>
    <row r="529" spans="1:9">
      <c r="A529" s="554"/>
      <c r="B529" s="554"/>
      <c r="C529" s="558"/>
      <c r="D529" s="574"/>
      <c r="E529" s="575"/>
      <c r="F529" s="575"/>
      <c r="G529" s="575"/>
      <c r="H529" s="575"/>
      <c r="I529" s="558"/>
    </row>
    <row r="530" spans="1:9">
      <c r="A530" s="554"/>
      <c r="B530" s="554"/>
      <c r="C530" s="558"/>
      <c r="D530" s="574"/>
      <c r="E530" s="575"/>
      <c r="F530" s="575"/>
      <c r="G530" s="575"/>
      <c r="H530" s="575"/>
      <c r="I530" s="558"/>
    </row>
    <row r="531" spans="1:9">
      <c r="A531" s="554"/>
      <c r="B531" s="554"/>
      <c r="C531" s="558"/>
      <c r="D531" s="574"/>
      <c r="E531" s="575"/>
      <c r="F531" s="575"/>
      <c r="G531" s="575"/>
      <c r="H531" s="575"/>
      <c r="I531" s="558"/>
    </row>
    <row r="532" spans="1:9">
      <c r="A532" s="554"/>
      <c r="B532" s="554"/>
      <c r="C532" s="558"/>
      <c r="D532" s="574"/>
      <c r="E532" s="575"/>
      <c r="F532" s="575"/>
      <c r="G532" s="575"/>
      <c r="H532" s="575"/>
      <c r="I532" s="558"/>
    </row>
    <row r="533" spans="1:9">
      <c r="A533" s="554"/>
      <c r="B533" s="554"/>
      <c r="C533" s="558"/>
      <c r="D533" s="574"/>
      <c r="E533" s="575"/>
      <c r="F533" s="575"/>
      <c r="G533" s="575"/>
      <c r="H533" s="575"/>
      <c r="I533" s="558"/>
    </row>
    <row r="534" spans="1:9">
      <c r="A534" s="554"/>
      <c r="B534" s="554"/>
      <c r="C534" s="558"/>
      <c r="D534" s="574"/>
      <c r="E534" s="575"/>
      <c r="F534" s="575"/>
      <c r="G534" s="575"/>
      <c r="H534" s="575"/>
      <c r="I534" s="558"/>
    </row>
    <row r="535" spans="1:9">
      <c r="A535" s="554"/>
      <c r="B535" s="554"/>
      <c r="C535" s="558"/>
      <c r="D535" s="574"/>
      <c r="E535" s="575"/>
      <c r="F535" s="575"/>
      <c r="G535" s="575"/>
      <c r="H535" s="575"/>
      <c r="I535" s="558"/>
    </row>
    <row r="536" spans="1:9">
      <c r="A536" s="554"/>
      <c r="B536" s="554"/>
      <c r="C536" s="558"/>
      <c r="D536" s="574"/>
      <c r="E536" s="575"/>
      <c r="F536" s="575"/>
      <c r="G536" s="575"/>
      <c r="H536" s="575"/>
      <c r="I536" s="558"/>
    </row>
    <row r="537" spans="1:9">
      <c r="A537" s="554"/>
      <c r="B537" s="554"/>
      <c r="C537" s="558"/>
      <c r="D537" s="574"/>
      <c r="E537" s="575"/>
      <c r="F537" s="575"/>
      <c r="G537" s="575"/>
      <c r="H537" s="575"/>
      <c r="I537" s="558"/>
    </row>
    <row r="538" spans="1:9">
      <c r="A538" s="554"/>
      <c r="B538" s="554"/>
      <c r="C538" s="558"/>
      <c r="D538" s="574"/>
      <c r="E538" s="575"/>
      <c r="F538" s="575"/>
      <c r="G538" s="575"/>
      <c r="H538" s="575"/>
      <c r="I538" s="558"/>
    </row>
    <row r="539" spans="1:9">
      <c r="A539" s="554"/>
      <c r="B539" s="554"/>
      <c r="C539" s="558"/>
      <c r="D539" s="574"/>
      <c r="E539" s="575"/>
      <c r="F539" s="575"/>
      <c r="G539" s="575"/>
      <c r="H539" s="575"/>
      <c r="I539" s="558"/>
    </row>
    <row r="540" spans="1:9">
      <c r="A540" s="554"/>
      <c r="B540" s="554"/>
      <c r="C540" s="558"/>
      <c r="D540" s="574"/>
      <c r="E540" s="575"/>
      <c r="F540" s="575"/>
      <c r="G540" s="575"/>
      <c r="H540" s="575"/>
      <c r="I540" s="558"/>
    </row>
    <row r="541" spans="1:9">
      <c r="A541" s="554"/>
      <c r="B541" s="554"/>
      <c r="C541" s="558"/>
      <c r="D541" s="574"/>
      <c r="E541" s="575"/>
      <c r="F541" s="575"/>
      <c r="G541" s="575"/>
      <c r="H541" s="575"/>
      <c r="I541" s="558"/>
    </row>
    <row r="542" spans="1:9">
      <c r="A542" s="554"/>
      <c r="B542" s="554"/>
      <c r="C542" s="558"/>
      <c r="D542" s="574"/>
      <c r="E542" s="575"/>
      <c r="F542" s="575"/>
      <c r="G542" s="575"/>
      <c r="H542" s="575"/>
      <c r="I542" s="558"/>
    </row>
    <row r="543" spans="1:9">
      <c r="A543" s="554"/>
      <c r="B543" s="554"/>
      <c r="C543" s="558"/>
      <c r="D543" s="574"/>
      <c r="E543" s="575"/>
      <c r="F543" s="575"/>
      <c r="G543" s="575"/>
      <c r="H543" s="575"/>
      <c r="I543" s="558"/>
    </row>
    <row r="544" spans="1:9">
      <c r="A544" s="554"/>
      <c r="B544" s="554"/>
      <c r="C544" s="558"/>
      <c r="D544" s="574"/>
      <c r="E544" s="575"/>
      <c r="F544" s="575"/>
      <c r="G544" s="575"/>
      <c r="H544" s="575"/>
      <c r="I544" s="558"/>
    </row>
    <row r="545" spans="1:9">
      <c r="A545" s="554"/>
      <c r="B545" s="554"/>
      <c r="C545" s="558"/>
      <c r="D545" s="574"/>
      <c r="E545" s="575"/>
      <c r="F545" s="575"/>
      <c r="G545" s="575"/>
      <c r="H545" s="575"/>
      <c r="I545" s="558"/>
    </row>
    <row r="546" spans="1:9">
      <c r="A546" s="554"/>
      <c r="B546" s="554"/>
      <c r="C546" s="558"/>
      <c r="D546" s="574"/>
      <c r="E546" s="575"/>
      <c r="F546" s="575"/>
      <c r="G546" s="575"/>
      <c r="H546" s="575"/>
      <c r="I546" s="558"/>
    </row>
    <row r="547" spans="1:9">
      <c r="A547" s="554"/>
      <c r="B547" s="554"/>
      <c r="C547" s="558"/>
      <c r="D547" s="574"/>
      <c r="E547" s="575"/>
      <c r="F547" s="575"/>
      <c r="G547" s="575"/>
      <c r="H547" s="575"/>
      <c r="I547" s="558"/>
    </row>
    <row r="548" spans="1:9">
      <c r="A548" s="554"/>
      <c r="B548" s="554"/>
      <c r="C548" s="558"/>
      <c r="D548" s="574"/>
      <c r="E548" s="575"/>
      <c r="F548" s="575"/>
      <c r="G548" s="575"/>
      <c r="H548" s="575"/>
      <c r="I548" s="558"/>
    </row>
    <row r="549" spans="1:9">
      <c r="A549" s="554"/>
      <c r="B549" s="554"/>
      <c r="C549" s="558"/>
      <c r="D549" s="574"/>
      <c r="E549" s="575"/>
      <c r="F549" s="575"/>
      <c r="G549" s="575"/>
      <c r="H549" s="575"/>
      <c r="I549" s="558"/>
    </row>
    <row r="550" spans="1:9">
      <c r="A550" s="554"/>
      <c r="B550" s="554"/>
      <c r="C550" s="558"/>
      <c r="D550" s="574"/>
      <c r="E550" s="575"/>
      <c r="F550" s="575"/>
      <c r="G550" s="575"/>
      <c r="H550" s="575"/>
      <c r="I550" s="558"/>
    </row>
    <row r="551" spans="1:9">
      <c r="A551" s="554"/>
      <c r="B551" s="554"/>
      <c r="C551" s="558"/>
      <c r="D551" s="574"/>
      <c r="E551" s="575"/>
      <c r="F551" s="575"/>
      <c r="G551" s="575"/>
      <c r="H551" s="575"/>
      <c r="I551" s="558"/>
    </row>
    <row r="552" spans="1:9">
      <c r="A552" s="554"/>
      <c r="B552" s="554"/>
      <c r="C552" s="558"/>
      <c r="D552" s="574"/>
      <c r="E552" s="575"/>
      <c r="F552" s="575"/>
      <c r="G552" s="575"/>
      <c r="H552" s="575"/>
      <c r="I552" s="558"/>
    </row>
    <row r="553" spans="1:9">
      <c r="A553" s="554"/>
      <c r="B553" s="554"/>
      <c r="C553" s="558"/>
      <c r="D553" s="574"/>
      <c r="E553" s="575"/>
      <c r="F553" s="575"/>
      <c r="G553" s="575"/>
      <c r="H553" s="575"/>
      <c r="I553" s="558"/>
    </row>
    <row r="554" spans="1:9">
      <c r="A554" s="554"/>
      <c r="B554" s="554"/>
      <c r="C554" s="558"/>
      <c r="D554" s="574"/>
      <c r="E554" s="575"/>
      <c r="F554" s="575"/>
      <c r="G554" s="575"/>
      <c r="H554" s="575"/>
      <c r="I554" s="558"/>
    </row>
    <row r="555" spans="1:9">
      <c r="A555" s="554"/>
      <c r="B555" s="554"/>
      <c r="C555" s="558"/>
      <c r="D555" s="574"/>
      <c r="E555" s="575"/>
      <c r="F555" s="575"/>
      <c r="G555" s="575"/>
      <c r="H555" s="575"/>
      <c r="I555" s="558"/>
    </row>
    <row r="556" spans="1:9">
      <c r="A556" s="554"/>
      <c r="B556" s="554"/>
      <c r="C556" s="558"/>
      <c r="D556" s="574"/>
      <c r="E556" s="575"/>
      <c r="F556" s="575"/>
      <c r="G556" s="575"/>
      <c r="H556" s="575"/>
      <c r="I556" s="558"/>
    </row>
    <row r="557" spans="1:9">
      <c r="A557" s="554"/>
      <c r="B557" s="554"/>
      <c r="C557" s="558"/>
      <c r="D557" s="574"/>
      <c r="E557" s="575"/>
      <c r="F557" s="575"/>
      <c r="G557" s="575"/>
      <c r="H557" s="575"/>
      <c r="I557" s="558"/>
    </row>
    <row r="558" spans="1:9">
      <c r="A558" s="554"/>
      <c r="B558" s="554"/>
      <c r="C558" s="558"/>
      <c r="D558" s="574"/>
      <c r="E558" s="575"/>
      <c r="F558" s="575"/>
      <c r="G558" s="575"/>
      <c r="H558" s="575"/>
      <c r="I558" s="558"/>
    </row>
    <row r="559" spans="1:9">
      <c r="A559" s="554"/>
      <c r="B559" s="554"/>
      <c r="C559" s="558"/>
      <c r="D559" s="574"/>
      <c r="E559" s="575"/>
      <c r="F559" s="575"/>
      <c r="G559" s="575"/>
      <c r="H559" s="575"/>
      <c r="I559" s="558"/>
    </row>
    <row r="560" spans="1:9">
      <c r="A560" s="554"/>
      <c r="B560" s="554"/>
      <c r="C560" s="558"/>
      <c r="D560" s="574"/>
      <c r="E560" s="575"/>
      <c r="F560" s="575"/>
      <c r="G560" s="575"/>
      <c r="H560" s="575"/>
      <c r="I560" s="558"/>
    </row>
    <row r="561" spans="1:9">
      <c r="A561" s="554"/>
      <c r="B561" s="554"/>
      <c r="C561" s="558"/>
      <c r="D561" s="574"/>
      <c r="E561" s="575"/>
      <c r="F561" s="575"/>
      <c r="G561" s="575"/>
      <c r="H561" s="575"/>
      <c r="I561" s="558"/>
    </row>
    <row r="562" spans="1:9">
      <c r="A562" s="554"/>
      <c r="B562" s="554"/>
      <c r="C562" s="558"/>
      <c r="D562" s="574"/>
      <c r="E562" s="575"/>
      <c r="F562" s="575"/>
      <c r="G562" s="575"/>
      <c r="H562" s="575"/>
      <c r="I562" s="558"/>
    </row>
    <row r="563" spans="1:9">
      <c r="A563" s="554"/>
      <c r="B563" s="554"/>
      <c r="C563" s="558"/>
      <c r="D563" s="574"/>
      <c r="E563" s="575"/>
      <c r="F563" s="575"/>
      <c r="G563" s="575"/>
      <c r="H563" s="575"/>
      <c r="I563" s="558"/>
    </row>
    <row r="564" spans="1:9">
      <c r="A564" s="554"/>
      <c r="B564" s="554"/>
      <c r="C564" s="558"/>
      <c r="D564" s="574"/>
      <c r="E564" s="575"/>
      <c r="F564" s="575"/>
      <c r="G564" s="575"/>
      <c r="H564" s="575"/>
      <c r="I564" s="558"/>
    </row>
    <row r="565" spans="1:9">
      <c r="A565" s="554"/>
      <c r="B565" s="554"/>
      <c r="C565" s="558"/>
      <c r="D565" s="574"/>
      <c r="E565" s="575"/>
      <c r="F565" s="575"/>
      <c r="G565" s="575"/>
      <c r="H565" s="575"/>
      <c r="I565" s="558"/>
    </row>
    <row r="566" spans="1:9">
      <c r="A566" s="554"/>
      <c r="B566" s="554"/>
      <c r="C566" s="558"/>
      <c r="D566" s="574"/>
      <c r="E566" s="575"/>
      <c r="F566" s="575"/>
      <c r="G566" s="575"/>
      <c r="H566" s="575"/>
      <c r="I566" s="558"/>
    </row>
    <row r="567" spans="1:9">
      <c r="A567" s="554"/>
      <c r="B567" s="554"/>
      <c r="C567" s="558"/>
      <c r="D567" s="574"/>
      <c r="E567" s="575"/>
      <c r="F567" s="575"/>
      <c r="G567" s="575"/>
      <c r="H567" s="575"/>
      <c r="I567" s="558"/>
    </row>
    <row r="568" spans="1:9">
      <c r="A568" s="554"/>
      <c r="B568" s="554"/>
      <c r="C568" s="558"/>
      <c r="D568" s="574"/>
      <c r="E568" s="575"/>
      <c r="F568" s="575"/>
      <c r="G568" s="575"/>
      <c r="H568" s="575"/>
      <c r="I568" s="558"/>
    </row>
    <row r="569" spans="1:9">
      <c r="A569" s="554"/>
      <c r="B569" s="554"/>
      <c r="C569" s="558"/>
      <c r="D569" s="574"/>
      <c r="E569" s="575"/>
      <c r="F569" s="575"/>
      <c r="G569" s="575"/>
      <c r="H569" s="575"/>
      <c r="I569" s="558"/>
    </row>
    <row r="570" spans="1:9">
      <c r="A570" s="554"/>
      <c r="B570" s="554"/>
      <c r="C570" s="558"/>
      <c r="D570" s="574"/>
      <c r="E570" s="575"/>
      <c r="F570" s="575"/>
      <c r="G570" s="575"/>
      <c r="H570" s="575"/>
      <c r="I570" s="558"/>
    </row>
    <row r="571" spans="1:9">
      <c r="A571" s="554"/>
      <c r="B571" s="554"/>
      <c r="C571" s="558"/>
      <c r="D571" s="574"/>
      <c r="E571" s="575"/>
      <c r="F571" s="575"/>
      <c r="G571" s="575"/>
      <c r="H571" s="575"/>
      <c r="I571" s="558"/>
    </row>
    <row r="572" spans="1:9">
      <c r="A572" s="554"/>
      <c r="B572" s="554"/>
      <c r="C572" s="558"/>
      <c r="D572" s="574"/>
      <c r="E572" s="575"/>
      <c r="F572" s="575"/>
      <c r="G572" s="575"/>
      <c r="H572" s="575"/>
      <c r="I572" s="558"/>
    </row>
    <row r="573" spans="1:9">
      <c r="A573" s="554"/>
      <c r="B573" s="554"/>
      <c r="C573" s="558"/>
      <c r="D573" s="574"/>
      <c r="E573" s="575"/>
      <c r="F573" s="575"/>
      <c r="G573" s="575"/>
      <c r="H573" s="575"/>
      <c r="I573" s="558"/>
    </row>
    <row r="574" spans="1:9">
      <c r="A574" s="554"/>
      <c r="B574" s="554"/>
      <c r="C574" s="558"/>
      <c r="D574" s="574"/>
      <c r="E574" s="575"/>
      <c r="F574" s="575"/>
      <c r="G574" s="575"/>
      <c r="H574" s="575"/>
      <c r="I574" s="558"/>
    </row>
    <row r="575" spans="1:9">
      <c r="A575" s="554"/>
      <c r="B575" s="554"/>
      <c r="C575" s="558"/>
      <c r="D575" s="574"/>
      <c r="E575" s="575"/>
      <c r="F575" s="575"/>
      <c r="G575" s="575"/>
      <c r="H575" s="575"/>
      <c r="I575" s="558"/>
    </row>
    <row r="576" spans="1:9">
      <c r="A576" s="554"/>
      <c r="B576" s="554"/>
      <c r="C576" s="558"/>
      <c r="D576" s="574"/>
      <c r="E576" s="575"/>
      <c r="F576" s="575"/>
      <c r="G576" s="575"/>
      <c r="H576" s="575"/>
      <c r="I576" s="558"/>
    </row>
    <row r="577" spans="1:9">
      <c r="A577" s="554"/>
      <c r="B577" s="554"/>
      <c r="C577" s="558"/>
      <c r="D577" s="574"/>
      <c r="E577" s="575"/>
      <c r="F577" s="575"/>
      <c r="G577" s="575"/>
      <c r="H577" s="575"/>
      <c r="I577" s="558"/>
    </row>
    <row r="578" spans="1:9">
      <c r="A578" s="554"/>
      <c r="B578" s="554"/>
      <c r="C578" s="558"/>
      <c r="D578" s="574"/>
      <c r="E578" s="575"/>
      <c r="F578" s="575"/>
      <c r="G578" s="575"/>
      <c r="H578" s="575"/>
      <c r="I578" s="558"/>
    </row>
    <row r="579" spans="1:9">
      <c r="A579" s="554"/>
      <c r="B579" s="554"/>
      <c r="C579" s="558"/>
      <c r="D579" s="574"/>
      <c r="E579" s="575"/>
      <c r="F579" s="575"/>
      <c r="G579" s="575"/>
      <c r="H579" s="575"/>
      <c r="I579" s="558"/>
    </row>
    <row r="580" spans="1:9">
      <c r="A580" s="554"/>
      <c r="B580" s="554"/>
      <c r="C580" s="558"/>
      <c r="D580" s="574"/>
      <c r="E580" s="575"/>
      <c r="F580" s="575"/>
      <c r="G580" s="575"/>
      <c r="H580" s="575"/>
      <c r="I580" s="558"/>
    </row>
    <row r="581" spans="1:9">
      <c r="A581" s="554"/>
      <c r="B581" s="554"/>
      <c r="C581" s="558"/>
      <c r="D581" s="574"/>
      <c r="E581" s="575"/>
      <c r="F581" s="575"/>
      <c r="G581" s="575"/>
      <c r="H581" s="575"/>
      <c r="I581" s="558"/>
    </row>
    <row r="582" spans="1:9">
      <c r="A582" s="554"/>
      <c r="B582" s="554"/>
      <c r="C582" s="558"/>
      <c r="D582" s="574"/>
      <c r="E582" s="575"/>
      <c r="F582" s="575"/>
      <c r="G582" s="575"/>
      <c r="H582" s="575"/>
      <c r="I582" s="558"/>
    </row>
    <row r="583" spans="1:9">
      <c r="A583" s="554"/>
      <c r="B583" s="554"/>
      <c r="C583" s="558"/>
      <c r="D583" s="574"/>
      <c r="E583" s="575"/>
      <c r="F583" s="575"/>
      <c r="G583" s="575"/>
      <c r="H583" s="575"/>
      <c r="I583" s="558"/>
    </row>
    <row r="584" spans="1:9">
      <c r="A584" s="554"/>
      <c r="B584" s="554"/>
      <c r="C584" s="558"/>
      <c r="D584" s="574"/>
      <c r="E584" s="575"/>
      <c r="F584" s="575"/>
      <c r="G584" s="575"/>
      <c r="H584" s="575"/>
      <c r="I584" s="558"/>
    </row>
    <row r="585" spans="1:9">
      <c r="A585" s="554"/>
      <c r="B585" s="554"/>
      <c r="C585" s="558"/>
      <c r="D585" s="574"/>
      <c r="E585" s="575"/>
      <c r="F585" s="575"/>
      <c r="G585" s="575"/>
      <c r="H585" s="575"/>
      <c r="I585" s="558"/>
    </row>
    <row r="586" spans="1:9">
      <c r="A586" s="554"/>
      <c r="B586" s="554"/>
      <c r="C586" s="558"/>
      <c r="D586" s="574"/>
      <c r="E586" s="575"/>
      <c r="F586" s="575"/>
      <c r="G586" s="575"/>
      <c r="H586" s="575"/>
      <c r="I586" s="558"/>
    </row>
    <row r="587" spans="1:9">
      <c r="A587" s="554"/>
      <c r="B587" s="554"/>
      <c r="C587" s="558"/>
      <c r="D587" s="574"/>
      <c r="E587" s="575"/>
      <c r="F587" s="575"/>
      <c r="G587" s="575"/>
      <c r="H587" s="575"/>
      <c r="I587" s="558"/>
    </row>
    <row r="588" spans="1:9">
      <c r="A588" s="554"/>
      <c r="B588" s="554"/>
      <c r="C588" s="558"/>
      <c r="D588" s="574"/>
      <c r="E588" s="575"/>
      <c r="F588" s="575"/>
      <c r="G588" s="575"/>
      <c r="H588" s="575"/>
      <c r="I588" s="558"/>
    </row>
    <row r="589" spans="1:9">
      <c r="A589" s="554"/>
      <c r="B589" s="554"/>
      <c r="C589" s="558"/>
      <c r="D589" s="574"/>
      <c r="E589" s="575"/>
      <c r="F589" s="575"/>
      <c r="G589" s="575"/>
      <c r="H589" s="575"/>
      <c r="I589" s="558"/>
    </row>
    <row r="590" spans="1:9">
      <c r="A590" s="554"/>
      <c r="B590" s="554"/>
      <c r="C590" s="558"/>
      <c r="D590" s="574"/>
      <c r="E590" s="575"/>
      <c r="F590" s="575"/>
      <c r="G590" s="575"/>
      <c r="H590" s="575"/>
      <c r="I590" s="558"/>
    </row>
    <row r="591" spans="1:9">
      <c r="A591" s="554"/>
      <c r="B591" s="554"/>
      <c r="C591" s="558"/>
      <c r="D591" s="574"/>
      <c r="E591" s="575"/>
      <c r="F591" s="575"/>
      <c r="G591" s="575"/>
      <c r="H591" s="575"/>
      <c r="I591" s="558"/>
    </row>
    <row r="592" spans="1:9">
      <c r="A592" s="554"/>
      <c r="B592" s="554"/>
      <c r="C592" s="558"/>
      <c r="D592" s="574"/>
      <c r="E592" s="575"/>
      <c r="F592" s="575"/>
      <c r="G592" s="575"/>
      <c r="H592" s="575"/>
      <c r="I592" s="558"/>
    </row>
    <row r="593" spans="1:9">
      <c r="A593" s="554"/>
      <c r="B593" s="554"/>
      <c r="C593" s="558"/>
      <c r="D593" s="574"/>
      <c r="E593" s="575"/>
      <c r="F593" s="575"/>
      <c r="G593" s="575"/>
      <c r="H593" s="575"/>
      <c r="I593" s="558"/>
    </row>
    <row r="594" spans="1:9">
      <c r="A594" s="554"/>
      <c r="B594" s="554"/>
      <c r="C594" s="558"/>
      <c r="D594" s="574"/>
      <c r="E594" s="575"/>
      <c r="F594" s="575"/>
      <c r="G594" s="575"/>
      <c r="H594" s="575"/>
      <c r="I594" s="558"/>
    </row>
    <row r="595" spans="1:9">
      <c r="A595" s="554"/>
      <c r="B595" s="554"/>
      <c r="C595" s="558"/>
      <c r="D595" s="574"/>
      <c r="E595" s="575"/>
      <c r="F595" s="575"/>
      <c r="G595" s="575"/>
      <c r="H595" s="575"/>
      <c r="I595" s="558"/>
    </row>
    <row r="596" spans="1:9">
      <c r="A596" s="554"/>
      <c r="B596" s="554"/>
      <c r="C596" s="558"/>
      <c r="D596" s="574"/>
      <c r="E596" s="575"/>
      <c r="F596" s="575"/>
      <c r="G596" s="575"/>
      <c r="H596" s="575"/>
      <c r="I596" s="558"/>
    </row>
    <row r="597" spans="1:9">
      <c r="A597" s="554"/>
      <c r="B597" s="554"/>
      <c r="C597" s="558"/>
      <c r="D597" s="574"/>
      <c r="E597" s="575"/>
      <c r="F597" s="575"/>
      <c r="G597" s="575"/>
      <c r="H597" s="575"/>
      <c r="I597" s="558"/>
    </row>
    <row r="598" spans="1:9">
      <c r="A598" s="554"/>
      <c r="B598" s="554"/>
      <c r="C598" s="558"/>
      <c r="D598" s="574"/>
      <c r="E598" s="575"/>
      <c r="F598" s="575"/>
      <c r="G598" s="575"/>
      <c r="H598" s="575"/>
      <c r="I598" s="558"/>
    </row>
    <row r="599" spans="1:9">
      <c r="A599" s="554"/>
      <c r="B599" s="554"/>
      <c r="C599" s="558"/>
      <c r="D599" s="574"/>
      <c r="E599" s="575"/>
      <c r="F599" s="575"/>
      <c r="G599" s="575"/>
      <c r="H599" s="575"/>
      <c r="I599" s="558"/>
    </row>
    <row r="600" spans="1:9">
      <c r="A600" s="554"/>
      <c r="B600" s="554"/>
      <c r="C600" s="558"/>
      <c r="D600" s="574"/>
      <c r="E600" s="575"/>
      <c r="F600" s="575"/>
      <c r="G600" s="575"/>
      <c r="H600" s="575"/>
      <c r="I600" s="558"/>
    </row>
    <row r="601" spans="1:9">
      <c r="A601" s="554"/>
      <c r="B601" s="554"/>
      <c r="C601" s="558"/>
      <c r="D601" s="574"/>
      <c r="E601" s="575"/>
      <c r="F601" s="575"/>
      <c r="G601" s="575"/>
      <c r="H601" s="575"/>
      <c r="I601" s="558"/>
    </row>
    <row r="602" spans="1:9">
      <c r="A602" s="554"/>
      <c r="B602" s="554"/>
      <c r="C602" s="558"/>
      <c r="D602" s="574"/>
      <c r="E602" s="575"/>
      <c r="F602" s="575"/>
      <c r="G602" s="575"/>
      <c r="H602" s="575"/>
      <c r="I602" s="558"/>
    </row>
    <row r="603" spans="1:9">
      <c r="A603" s="554"/>
      <c r="B603" s="554"/>
      <c r="C603" s="558"/>
      <c r="D603" s="574"/>
      <c r="E603" s="575"/>
      <c r="F603" s="575"/>
      <c r="G603" s="575"/>
      <c r="H603" s="575"/>
      <c r="I603" s="558"/>
    </row>
    <row r="604" spans="1:9">
      <c r="A604" s="554"/>
      <c r="B604" s="554"/>
      <c r="C604" s="558"/>
      <c r="D604" s="574"/>
      <c r="E604" s="575"/>
      <c r="F604" s="575"/>
      <c r="G604" s="575"/>
      <c r="H604" s="575"/>
      <c r="I604" s="558"/>
    </row>
    <row r="605" spans="1:9">
      <c r="A605" s="554"/>
      <c r="B605" s="554"/>
      <c r="C605" s="558"/>
      <c r="D605" s="574"/>
      <c r="E605" s="575"/>
      <c r="F605" s="575"/>
      <c r="G605" s="575"/>
      <c r="H605" s="575"/>
      <c r="I605" s="558"/>
    </row>
    <row r="606" spans="1:9">
      <c r="A606" s="554"/>
      <c r="B606" s="554"/>
      <c r="C606" s="558"/>
      <c r="D606" s="574"/>
      <c r="E606" s="575"/>
      <c r="F606" s="575"/>
      <c r="G606" s="575"/>
      <c r="H606" s="575"/>
      <c r="I606" s="558"/>
    </row>
    <row r="607" spans="1:9">
      <c r="A607" s="554"/>
      <c r="B607" s="554"/>
      <c r="C607" s="558"/>
      <c r="D607" s="574"/>
      <c r="E607" s="575"/>
      <c r="F607" s="575"/>
      <c r="G607" s="575"/>
      <c r="H607" s="575"/>
      <c r="I607" s="558"/>
    </row>
    <row r="608" spans="1:9">
      <c r="A608" s="554"/>
      <c r="B608" s="554"/>
      <c r="C608" s="558"/>
      <c r="D608" s="574"/>
      <c r="E608" s="575"/>
      <c r="F608" s="575"/>
      <c r="G608" s="575"/>
      <c r="H608" s="575"/>
      <c r="I608" s="558"/>
    </row>
    <row r="609" spans="1:9">
      <c r="A609" s="554"/>
      <c r="B609" s="554"/>
      <c r="C609" s="558"/>
      <c r="D609" s="574"/>
      <c r="E609" s="575"/>
      <c r="F609" s="575"/>
      <c r="G609" s="575"/>
      <c r="H609" s="575"/>
      <c r="I609" s="558"/>
    </row>
    <row r="610" spans="1:9">
      <c r="A610" s="554"/>
      <c r="B610" s="554"/>
      <c r="C610" s="558"/>
      <c r="D610" s="574"/>
      <c r="E610" s="575"/>
      <c r="F610" s="575"/>
      <c r="G610" s="575"/>
      <c r="H610" s="575"/>
      <c r="I610" s="558"/>
    </row>
    <row r="611" spans="1:9">
      <c r="A611" s="554"/>
      <c r="B611" s="554"/>
      <c r="C611" s="558"/>
      <c r="D611" s="574"/>
      <c r="E611" s="575"/>
      <c r="F611" s="575"/>
      <c r="G611" s="575"/>
      <c r="H611" s="575"/>
      <c r="I611" s="558"/>
    </row>
    <row r="612" spans="1:9">
      <c r="A612" s="554"/>
      <c r="B612" s="554"/>
      <c r="C612" s="558"/>
      <c r="D612" s="574"/>
      <c r="E612" s="575"/>
      <c r="F612" s="575"/>
      <c r="G612" s="575"/>
      <c r="H612" s="575"/>
      <c r="I612" s="558"/>
    </row>
    <row r="613" spans="1:9">
      <c r="A613" s="554"/>
      <c r="B613" s="554"/>
      <c r="C613" s="558"/>
      <c r="D613" s="574"/>
      <c r="E613" s="575"/>
      <c r="F613" s="575"/>
      <c r="G613" s="575"/>
      <c r="H613" s="575"/>
      <c r="I613" s="558"/>
    </row>
    <row r="614" spans="1:9">
      <c r="A614" s="554"/>
      <c r="B614" s="554"/>
      <c r="C614" s="558"/>
      <c r="D614" s="574"/>
      <c r="E614" s="575"/>
      <c r="F614" s="575"/>
      <c r="G614" s="575"/>
      <c r="H614" s="575"/>
      <c r="I614" s="558"/>
    </row>
    <row r="615" spans="1:9">
      <c r="A615" s="554"/>
      <c r="B615" s="554"/>
      <c r="C615" s="558"/>
      <c r="D615" s="574"/>
      <c r="E615" s="575"/>
      <c r="F615" s="575"/>
      <c r="G615" s="575"/>
      <c r="H615" s="575"/>
      <c r="I615" s="558"/>
    </row>
    <row r="616" spans="1:9">
      <c r="A616" s="554"/>
      <c r="B616" s="554"/>
      <c r="C616" s="558"/>
      <c r="D616" s="574"/>
      <c r="E616" s="575"/>
      <c r="F616" s="575"/>
      <c r="G616" s="575"/>
      <c r="H616" s="575"/>
      <c r="I616" s="558"/>
    </row>
    <row r="617" spans="1:9">
      <c r="A617" s="554"/>
      <c r="B617" s="554"/>
      <c r="C617" s="558"/>
      <c r="D617" s="574"/>
      <c r="E617" s="575"/>
      <c r="F617" s="575"/>
      <c r="G617" s="575"/>
      <c r="H617" s="575"/>
      <c r="I617" s="558"/>
    </row>
    <row r="618" spans="1:9">
      <c r="A618" s="554"/>
      <c r="B618" s="554"/>
      <c r="C618" s="558"/>
      <c r="D618" s="574"/>
      <c r="E618" s="575"/>
      <c r="F618" s="575"/>
      <c r="G618" s="575"/>
      <c r="H618" s="575"/>
      <c r="I618" s="558"/>
    </row>
    <row r="619" spans="1:9">
      <c r="A619" s="554"/>
      <c r="B619" s="554"/>
      <c r="C619" s="558"/>
      <c r="D619" s="574"/>
      <c r="E619" s="575"/>
      <c r="F619" s="575"/>
      <c r="G619" s="575"/>
      <c r="H619" s="575"/>
      <c r="I619" s="558"/>
    </row>
    <row r="620" spans="1:9">
      <c r="A620" s="554"/>
      <c r="B620" s="554"/>
      <c r="C620" s="558"/>
      <c r="D620" s="574"/>
      <c r="E620" s="575"/>
      <c r="F620" s="575"/>
      <c r="G620" s="575"/>
      <c r="H620" s="575"/>
      <c r="I620" s="558"/>
    </row>
    <row r="621" spans="1:9">
      <c r="A621" s="554"/>
      <c r="B621" s="554"/>
      <c r="C621" s="558"/>
      <c r="D621" s="574"/>
      <c r="E621" s="575"/>
      <c r="F621" s="575"/>
      <c r="G621" s="575"/>
      <c r="H621" s="575"/>
      <c r="I621" s="558"/>
    </row>
    <row r="622" spans="1:9">
      <c r="A622" s="554"/>
      <c r="B622" s="554"/>
      <c r="C622" s="558"/>
      <c r="D622" s="574"/>
      <c r="E622" s="575"/>
      <c r="F622" s="575"/>
      <c r="G622" s="575"/>
      <c r="H622" s="575"/>
      <c r="I622" s="558"/>
    </row>
    <row r="623" spans="1:9">
      <c r="A623" s="554"/>
      <c r="B623" s="554"/>
      <c r="C623" s="558"/>
      <c r="D623" s="574"/>
      <c r="E623" s="575"/>
      <c r="F623" s="575"/>
      <c r="G623" s="575"/>
      <c r="H623" s="575"/>
      <c r="I623" s="558"/>
    </row>
    <row r="624" spans="1:9">
      <c r="A624" s="554"/>
      <c r="B624" s="554"/>
      <c r="C624" s="558"/>
      <c r="D624" s="574"/>
      <c r="E624" s="575"/>
      <c r="F624" s="575"/>
      <c r="G624" s="575"/>
      <c r="H624" s="575"/>
      <c r="I624" s="558"/>
    </row>
    <row r="625" spans="1:9">
      <c r="A625" s="554"/>
      <c r="B625" s="554"/>
      <c r="C625" s="558"/>
      <c r="D625" s="574"/>
      <c r="E625" s="575"/>
      <c r="F625" s="575"/>
      <c r="G625" s="575"/>
      <c r="H625" s="575"/>
      <c r="I625" s="558"/>
    </row>
    <row r="626" spans="1:9">
      <c r="A626" s="554"/>
      <c r="B626" s="554"/>
      <c r="C626" s="558"/>
      <c r="D626" s="574"/>
      <c r="E626" s="575"/>
      <c r="F626" s="575"/>
      <c r="G626" s="575"/>
      <c r="H626" s="575"/>
      <c r="I626" s="558"/>
    </row>
    <row r="627" spans="1:9">
      <c r="A627" s="554"/>
      <c r="B627" s="554"/>
      <c r="C627" s="558"/>
      <c r="D627" s="574"/>
      <c r="E627" s="575"/>
      <c r="F627" s="575"/>
      <c r="G627" s="575"/>
      <c r="H627" s="575"/>
      <c r="I627" s="558"/>
    </row>
    <row r="628" spans="1:9">
      <c r="A628" s="554"/>
      <c r="B628" s="554"/>
      <c r="C628" s="558"/>
      <c r="D628" s="574"/>
      <c r="E628" s="575"/>
      <c r="F628" s="575"/>
      <c r="G628" s="575"/>
      <c r="H628" s="575"/>
      <c r="I628" s="558"/>
    </row>
    <row r="629" spans="1:9">
      <c r="A629" s="554"/>
      <c r="B629" s="554"/>
      <c r="C629" s="558"/>
      <c r="D629" s="574"/>
      <c r="E629" s="575"/>
      <c r="F629" s="575"/>
      <c r="G629" s="575"/>
      <c r="H629" s="575"/>
      <c r="I629" s="558"/>
    </row>
    <row r="630" spans="1:9">
      <c r="A630" s="554"/>
      <c r="B630" s="554"/>
      <c r="C630" s="558"/>
      <c r="D630" s="574"/>
      <c r="E630" s="575"/>
      <c r="F630" s="575"/>
      <c r="G630" s="575"/>
      <c r="H630" s="575"/>
      <c r="I630" s="558"/>
    </row>
    <row r="631" spans="1:9">
      <c r="A631" s="554"/>
      <c r="B631" s="554"/>
      <c r="C631" s="558"/>
      <c r="D631" s="574"/>
      <c r="E631" s="575"/>
      <c r="F631" s="575"/>
      <c r="G631" s="575"/>
      <c r="H631" s="575"/>
      <c r="I631" s="558"/>
    </row>
    <row r="632" spans="1:9">
      <c r="A632" s="554"/>
      <c r="B632" s="554"/>
      <c r="C632" s="558"/>
      <c r="D632" s="574"/>
      <c r="E632" s="575"/>
      <c r="F632" s="575"/>
      <c r="G632" s="575"/>
      <c r="H632" s="575"/>
      <c r="I632" s="558"/>
    </row>
    <row r="633" spans="1:9">
      <c r="A633" s="554"/>
      <c r="B633" s="554"/>
      <c r="C633" s="558"/>
      <c r="D633" s="574"/>
      <c r="E633" s="575"/>
      <c r="F633" s="575"/>
      <c r="G633" s="575"/>
      <c r="H633" s="575"/>
      <c r="I633" s="558"/>
    </row>
    <row r="634" spans="1:9">
      <c r="A634" s="554"/>
      <c r="B634" s="554"/>
      <c r="C634" s="558"/>
      <c r="D634" s="574"/>
      <c r="E634" s="575"/>
      <c r="F634" s="575"/>
      <c r="G634" s="575"/>
      <c r="H634" s="575"/>
      <c r="I634" s="558"/>
    </row>
    <row r="635" spans="1:9">
      <c r="A635" s="554"/>
      <c r="B635" s="554"/>
      <c r="C635" s="558"/>
      <c r="D635" s="574"/>
      <c r="E635" s="575"/>
      <c r="F635" s="575"/>
      <c r="G635" s="575"/>
      <c r="H635" s="575"/>
      <c r="I635" s="558"/>
    </row>
    <row r="636" spans="1:9">
      <c r="A636" s="554"/>
      <c r="B636" s="554"/>
      <c r="C636" s="558"/>
      <c r="D636" s="574"/>
      <c r="E636" s="575"/>
      <c r="F636" s="575"/>
      <c r="G636" s="575"/>
      <c r="H636" s="575"/>
      <c r="I636" s="558"/>
    </row>
    <row r="637" spans="1:9">
      <c r="A637" s="554"/>
      <c r="B637" s="554"/>
      <c r="C637" s="558"/>
      <c r="D637" s="574"/>
      <c r="E637" s="575"/>
      <c r="F637" s="575"/>
      <c r="G637" s="575"/>
      <c r="H637" s="575"/>
      <c r="I637" s="558"/>
    </row>
    <row r="638" spans="1:9">
      <c r="A638" s="554"/>
      <c r="B638" s="554"/>
      <c r="C638" s="558"/>
      <c r="D638" s="574"/>
      <c r="E638" s="575"/>
      <c r="F638" s="575"/>
      <c r="G638" s="575"/>
      <c r="H638" s="575"/>
      <c r="I638" s="558"/>
    </row>
    <row r="639" spans="1:9">
      <c r="A639" s="554"/>
      <c r="B639" s="554"/>
      <c r="C639" s="558"/>
      <c r="D639" s="574"/>
      <c r="E639" s="575"/>
      <c r="F639" s="575"/>
      <c r="G639" s="575"/>
      <c r="H639" s="575"/>
      <c r="I639" s="558"/>
    </row>
    <row r="640" spans="1:9">
      <c r="A640" s="554"/>
      <c r="B640" s="554"/>
      <c r="C640" s="558"/>
      <c r="D640" s="574"/>
      <c r="E640" s="575"/>
      <c r="F640" s="575"/>
      <c r="G640" s="575"/>
      <c r="H640" s="575"/>
      <c r="I640" s="558"/>
    </row>
    <row r="641" spans="1:9">
      <c r="A641" s="554"/>
      <c r="B641" s="554"/>
      <c r="C641" s="558"/>
      <c r="D641" s="574"/>
      <c r="E641" s="575"/>
      <c r="F641" s="575"/>
      <c r="G641" s="575"/>
      <c r="H641" s="575"/>
      <c r="I641" s="558"/>
    </row>
    <row r="642" spans="1:9">
      <c r="A642" s="554"/>
      <c r="B642" s="554"/>
      <c r="C642" s="558"/>
      <c r="D642" s="574"/>
      <c r="E642" s="575"/>
      <c r="F642" s="575"/>
      <c r="G642" s="575"/>
      <c r="H642" s="575"/>
      <c r="I642" s="558"/>
    </row>
    <row r="643" spans="1:9">
      <c r="A643" s="554"/>
      <c r="B643" s="554"/>
      <c r="C643" s="558"/>
      <c r="D643" s="574"/>
      <c r="E643" s="575"/>
      <c r="F643" s="575"/>
      <c r="G643" s="575"/>
      <c r="H643" s="575"/>
      <c r="I643" s="558"/>
    </row>
    <row r="644" spans="1:9">
      <c r="A644" s="554"/>
      <c r="B644" s="554"/>
      <c r="C644" s="558"/>
      <c r="D644" s="574"/>
      <c r="E644" s="575"/>
      <c r="F644" s="575"/>
      <c r="G644" s="575"/>
      <c r="H644" s="575"/>
      <c r="I644" s="558"/>
    </row>
    <row r="645" spans="1:9">
      <c r="A645" s="554"/>
      <c r="B645" s="554"/>
      <c r="C645" s="558"/>
      <c r="D645" s="574"/>
      <c r="E645" s="575"/>
      <c r="F645" s="575"/>
      <c r="G645" s="575"/>
      <c r="H645" s="575"/>
      <c r="I645" s="558"/>
    </row>
    <row r="646" spans="1:9">
      <c r="A646" s="554"/>
      <c r="B646" s="554"/>
      <c r="C646" s="558"/>
      <c r="D646" s="574"/>
      <c r="E646" s="575"/>
      <c r="F646" s="575"/>
      <c r="G646" s="575"/>
      <c r="H646" s="575"/>
      <c r="I646" s="558"/>
    </row>
    <row r="647" spans="1:9">
      <c r="A647" s="554"/>
      <c r="B647" s="554"/>
      <c r="C647" s="558"/>
      <c r="D647" s="574"/>
      <c r="E647" s="575"/>
      <c r="F647" s="575"/>
      <c r="G647" s="575"/>
      <c r="H647" s="575"/>
      <c r="I647" s="558"/>
    </row>
    <row r="648" spans="1:9">
      <c r="A648" s="554"/>
      <c r="B648" s="554"/>
      <c r="C648" s="558"/>
      <c r="D648" s="574"/>
      <c r="E648" s="575"/>
      <c r="F648" s="575"/>
      <c r="G648" s="575"/>
      <c r="H648" s="575"/>
      <c r="I648" s="558"/>
    </row>
    <row r="649" spans="1:9">
      <c r="A649" s="554"/>
      <c r="B649" s="554"/>
      <c r="C649" s="558"/>
      <c r="D649" s="574"/>
      <c r="E649" s="575"/>
      <c r="F649" s="575"/>
      <c r="G649" s="575"/>
      <c r="H649" s="575"/>
      <c r="I649" s="558"/>
    </row>
    <row r="650" spans="1:9">
      <c r="A650" s="554"/>
      <c r="B650" s="554"/>
      <c r="C650" s="558"/>
      <c r="D650" s="574"/>
      <c r="E650" s="575"/>
      <c r="F650" s="575"/>
      <c r="G650" s="575"/>
      <c r="H650" s="575"/>
      <c r="I650" s="558"/>
    </row>
    <row r="651" spans="1:9">
      <c r="A651" s="554"/>
      <c r="B651" s="554"/>
      <c r="C651" s="558"/>
      <c r="D651" s="574"/>
      <c r="E651" s="575"/>
      <c r="F651" s="575"/>
      <c r="G651" s="575"/>
      <c r="H651" s="575"/>
      <c r="I651" s="558"/>
    </row>
    <row r="652" spans="1:9">
      <c r="A652" s="554"/>
      <c r="B652" s="554"/>
      <c r="C652" s="558"/>
      <c r="D652" s="574"/>
      <c r="E652" s="575"/>
      <c r="F652" s="575"/>
      <c r="G652" s="575"/>
      <c r="H652" s="575"/>
      <c r="I652" s="558"/>
    </row>
    <row r="653" spans="1:9">
      <c r="A653" s="554"/>
      <c r="B653" s="554"/>
      <c r="C653" s="558"/>
      <c r="D653" s="574"/>
      <c r="E653" s="575"/>
      <c r="F653" s="575"/>
      <c r="G653" s="575"/>
      <c r="H653" s="575"/>
      <c r="I653" s="558"/>
    </row>
    <row r="654" spans="1:9">
      <c r="A654" s="554"/>
      <c r="B654" s="554"/>
      <c r="C654" s="558"/>
      <c r="D654" s="574"/>
      <c r="E654" s="575"/>
      <c r="F654" s="575"/>
      <c r="G654" s="575"/>
      <c r="H654" s="575"/>
      <c r="I654" s="558"/>
    </row>
    <row r="655" spans="1:9">
      <c r="A655" s="554"/>
      <c r="B655" s="554"/>
      <c r="C655" s="558"/>
      <c r="D655" s="574"/>
      <c r="E655" s="575"/>
      <c r="F655" s="575"/>
      <c r="G655" s="575"/>
      <c r="H655" s="575"/>
      <c r="I655" s="558"/>
    </row>
    <row r="656" spans="1:9">
      <c r="A656" s="554"/>
      <c r="B656" s="554"/>
      <c r="C656" s="558"/>
      <c r="D656" s="574"/>
      <c r="E656" s="575"/>
      <c r="F656" s="575"/>
      <c r="G656" s="575"/>
      <c r="H656" s="575"/>
      <c r="I656" s="558"/>
    </row>
    <row r="657" spans="1:9">
      <c r="A657" s="554"/>
      <c r="B657" s="554"/>
      <c r="C657" s="558"/>
      <c r="D657" s="574"/>
      <c r="E657" s="575"/>
      <c r="F657" s="575"/>
      <c r="G657" s="575"/>
      <c r="H657" s="575"/>
      <c r="I657" s="558"/>
    </row>
    <row r="658" spans="1:9">
      <c r="A658" s="554"/>
      <c r="B658" s="554"/>
      <c r="C658" s="558"/>
      <c r="D658" s="574"/>
      <c r="E658" s="575"/>
      <c r="F658" s="575"/>
      <c r="G658" s="575"/>
      <c r="H658" s="575"/>
      <c r="I658" s="558"/>
    </row>
    <row r="659" spans="1:9">
      <c r="A659" s="554"/>
      <c r="B659" s="554"/>
      <c r="C659" s="558"/>
      <c r="D659" s="574"/>
      <c r="E659" s="575"/>
      <c r="F659" s="575"/>
      <c r="G659" s="575"/>
      <c r="H659" s="575"/>
      <c r="I659" s="558"/>
    </row>
    <row r="660" spans="1:9">
      <c r="A660" s="554"/>
      <c r="B660" s="554"/>
      <c r="C660" s="558"/>
      <c r="D660" s="574"/>
      <c r="E660" s="575"/>
      <c r="F660" s="575"/>
      <c r="G660" s="575"/>
      <c r="H660" s="575"/>
      <c r="I660" s="558"/>
    </row>
    <row r="661" spans="1:9">
      <c r="A661" s="554"/>
      <c r="B661" s="554"/>
      <c r="C661" s="558"/>
      <c r="D661" s="574"/>
      <c r="E661" s="575"/>
      <c r="F661" s="575"/>
      <c r="G661" s="575"/>
      <c r="H661" s="575"/>
      <c r="I661" s="558"/>
    </row>
    <row r="662" spans="1:9">
      <c r="A662" s="554"/>
      <c r="B662" s="554"/>
      <c r="C662" s="558"/>
      <c r="D662" s="574"/>
      <c r="E662" s="575"/>
      <c r="F662" s="575"/>
      <c r="G662" s="575"/>
      <c r="H662" s="575"/>
      <c r="I662" s="558"/>
    </row>
    <row r="663" spans="1:9">
      <c r="A663" s="554"/>
      <c r="B663" s="554"/>
      <c r="C663" s="558"/>
      <c r="D663" s="574"/>
      <c r="E663" s="575"/>
      <c r="F663" s="575"/>
      <c r="G663" s="575"/>
      <c r="H663" s="575"/>
      <c r="I663" s="558"/>
    </row>
    <row r="664" spans="1:9">
      <c r="A664" s="554"/>
      <c r="B664" s="554"/>
      <c r="C664" s="558"/>
      <c r="D664" s="574"/>
      <c r="E664" s="575"/>
      <c r="F664" s="575"/>
      <c r="G664" s="575"/>
      <c r="H664" s="575"/>
      <c r="I664" s="558"/>
    </row>
    <row r="665" spans="1:9">
      <c r="A665" s="554"/>
      <c r="B665" s="554"/>
      <c r="C665" s="558"/>
      <c r="D665" s="574"/>
      <c r="E665" s="575"/>
      <c r="F665" s="575"/>
      <c r="G665" s="575"/>
      <c r="H665" s="575"/>
      <c r="I665" s="558"/>
    </row>
    <row r="666" spans="1:9">
      <c r="A666" s="554"/>
      <c r="B666" s="554"/>
      <c r="C666" s="558"/>
      <c r="D666" s="574"/>
      <c r="E666" s="575"/>
      <c r="F666" s="575"/>
      <c r="G666" s="575"/>
      <c r="H666" s="575"/>
      <c r="I666" s="558"/>
    </row>
    <row r="667" spans="1:9">
      <c r="A667" s="554"/>
      <c r="B667" s="554"/>
      <c r="C667" s="558"/>
      <c r="D667" s="574"/>
      <c r="E667" s="575"/>
      <c r="F667" s="575"/>
      <c r="G667" s="575"/>
      <c r="H667" s="575"/>
      <c r="I667" s="558"/>
    </row>
    <row r="668" spans="1:9">
      <c r="A668" s="554"/>
      <c r="B668" s="554"/>
      <c r="C668" s="558"/>
      <c r="D668" s="574"/>
      <c r="E668" s="575"/>
      <c r="F668" s="575"/>
      <c r="G668" s="575"/>
      <c r="H668" s="575"/>
      <c r="I668" s="558"/>
    </row>
    <row r="669" spans="1:9">
      <c r="A669" s="554"/>
      <c r="B669" s="554"/>
      <c r="C669" s="558"/>
      <c r="D669" s="574"/>
      <c r="E669" s="575"/>
      <c r="F669" s="575"/>
      <c r="G669" s="575"/>
      <c r="H669" s="575"/>
      <c r="I669" s="558"/>
    </row>
    <row r="670" spans="1:9">
      <c r="A670" s="554"/>
      <c r="B670" s="554"/>
      <c r="C670" s="558"/>
      <c r="D670" s="574"/>
      <c r="E670" s="575"/>
      <c r="F670" s="575"/>
      <c r="G670" s="575"/>
      <c r="H670" s="575"/>
      <c r="I670" s="558"/>
    </row>
    <row r="671" spans="1:9">
      <c r="A671" s="554"/>
      <c r="B671" s="554"/>
      <c r="C671" s="558"/>
      <c r="D671" s="574"/>
      <c r="E671" s="575"/>
      <c r="F671" s="575"/>
      <c r="G671" s="575"/>
      <c r="H671" s="575"/>
      <c r="I671" s="558"/>
    </row>
    <row r="672" spans="1:9">
      <c r="A672" s="554"/>
      <c r="B672" s="554"/>
      <c r="C672" s="558"/>
      <c r="D672" s="574"/>
      <c r="E672" s="575"/>
      <c r="F672" s="575"/>
      <c r="G672" s="575"/>
      <c r="H672" s="575"/>
      <c r="I672" s="558"/>
    </row>
    <row r="673" spans="1:9">
      <c r="A673" s="554"/>
      <c r="B673" s="554"/>
      <c r="C673" s="558"/>
      <c r="D673" s="574"/>
      <c r="E673" s="575"/>
      <c r="F673" s="575"/>
      <c r="G673" s="575"/>
      <c r="H673" s="575"/>
      <c r="I673" s="558"/>
    </row>
    <row r="674" spans="1:9">
      <c r="A674" s="554"/>
      <c r="B674" s="554"/>
      <c r="C674" s="558"/>
      <c r="D674" s="574"/>
      <c r="E674" s="575"/>
      <c r="F674" s="575"/>
      <c r="G674" s="575"/>
      <c r="H674" s="575"/>
      <c r="I674" s="558"/>
    </row>
    <row r="675" spans="1:9">
      <c r="A675" s="554"/>
      <c r="B675" s="554"/>
      <c r="C675" s="558"/>
      <c r="D675" s="574"/>
      <c r="E675" s="575"/>
      <c r="F675" s="575"/>
      <c r="G675" s="575"/>
      <c r="H675" s="575"/>
      <c r="I675" s="558"/>
    </row>
    <row r="676" spans="1:9">
      <c r="A676" s="554"/>
      <c r="B676" s="554"/>
      <c r="C676" s="558"/>
      <c r="D676" s="574"/>
      <c r="E676" s="575"/>
      <c r="F676" s="575"/>
      <c r="G676" s="575"/>
      <c r="H676" s="575"/>
      <c r="I676" s="558"/>
    </row>
    <row r="677" spans="1:9">
      <c r="A677" s="554"/>
      <c r="B677" s="554"/>
      <c r="C677" s="558"/>
      <c r="D677" s="574"/>
      <c r="E677" s="575"/>
      <c r="F677" s="575"/>
      <c r="G677" s="575"/>
      <c r="H677" s="575"/>
      <c r="I677" s="558"/>
    </row>
    <row r="678" spans="1:9">
      <c r="A678" s="554"/>
      <c r="B678" s="554"/>
      <c r="C678" s="558"/>
      <c r="D678" s="574"/>
      <c r="E678" s="575"/>
      <c r="F678" s="575"/>
      <c r="G678" s="575"/>
      <c r="H678" s="575"/>
      <c r="I678" s="558"/>
    </row>
    <row r="679" spans="1:9">
      <c r="A679" s="554"/>
      <c r="B679" s="554"/>
      <c r="C679" s="558"/>
      <c r="D679" s="574"/>
      <c r="E679" s="575"/>
      <c r="F679" s="575"/>
      <c r="G679" s="575"/>
      <c r="H679" s="575"/>
      <c r="I679" s="558"/>
    </row>
    <row r="680" spans="1:9">
      <c r="A680" s="554"/>
      <c r="B680" s="554"/>
      <c r="C680" s="558"/>
      <c r="D680" s="574"/>
      <c r="E680" s="575"/>
      <c r="F680" s="575"/>
      <c r="G680" s="575"/>
      <c r="H680" s="575"/>
      <c r="I680" s="558"/>
    </row>
    <row r="681" spans="1:9">
      <c r="A681" s="554"/>
      <c r="B681" s="554"/>
      <c r="C681" s="558"/>
      <c r="D681" s="574"/>
      <c r="E681" s="575"/>
      <c r="F681" s="575"/>
      <c r="G681" s="575"/>
      <c r="H681" s="575"/>
      <c r="I681" s="558"/>
    </row>
    <row r="682" spans="1:9">
      <c r="A682" s="554"/>
      <c r="B682" s="554"/>
      <c r="C682" s="558"/>
      <c r="D682" s="574"/>
      <c r="E682" s="575"/>
      <c r="F682" s="575"/>
      <c r="G682" s="575"/>
      <c r="H682" s="575"/>
      <c r="I682" s="558"/>
    </row>
    <row r="683" spans="1:9">
      <c r="A683" s="554"/>
      <c r="B683" s="554"/>
      <c r="C683" s="558"/>
      <c r="D683" s="574"/>
      <c r="E683" s="575"/>
      <c r="F683" s="575"/>
      <c r="G683" s="575"/>
      <c r="H683" s="575"/>
      <c r="I683" s="558"/>
    </row>
    <row r="684" spans="1:9">
      <c r="A684" s="554"/>
      <c r="B684" s="554"/>
      <c r="C684" s="558"/>
      <c r="D684" s="574"/>
      <c r="E684" s="575"/>
      <c r="F684" s="575"/>
      <c r="G684" s="575"/>
      <c r="H684" s="575"/>
      <c r="I684" s="558"/>
    </row>
    <row r="685" spans="1:9">
      <c r="A685" s="554"/>
      <c r="B685" s="554"/>
      <c r="C685" s="558"/>
      <c r="D685" s="574"/>
      <c r="E685" s="575"/>
      <c r="F685" s="575"/>
      <c r="G685" s="575"/>
      <c r="H685" s="575"/>
      <c r="I685" s="558"/>
    </row>
    <row r="686" spans="1:9">
      <c r="A686" s="554"/>
      <c r="B686" s="554"/>
      <c r="C686" s="558"/>
      <c r="D686" s="574"/>
      <c r="E686" s="575"/>
      <c r="F686" s="575"/>
      <c r="G686" s="575"/>
      <c r="H686" s="575"/>
      <c r="I686" s="558"/>
    </row>
    <row r="687" spans="1:9">
      <c r="A687" s="554"/>
      <c r="B687" s="554"/>
      <c r="C687" s="558"/>
      <c r="D687" s="574"/>
      <c r="E687" s="575"/>
      <c r="F687" s="575"/>
      <c r="G687" s="575"/>
      <c r="H687" s="575"/>
      <c r="I687" s="558"/>
    </row>
    <row r="688" spans="1:9">
      <c r="A688" s="554"/>
      <c r="B688" s="554"/>
      <c r="C688" s="558"/>
      <c r="D688" s="574"/>
      <c r="E688" s="575"/>
      <c r="F688" s="575"/>
      <c r="G688" s="575"/>
      <c r="H688" s="575"/>
      <c r="I688" s="558"/>
    </row>
    <row r="689" spans="1:9">
      <c r="A689" s="554"/>
      <c r="B689" s="554"/>
      <c r="C689" s="558"/>
      <c r="D689" s="574"/>
      <c r="E689" s="575"/>
      <c r="F689" s="575"/>
      <c r="G689" s="575"/>
      <c r="H689" s="575"/>
      <c r="I689" s="558"/>
    </row>
    <row r="690" spans="1:9">
      <c r="A690" s="554"/>
      <c r="B690" s="554"/>
      <c r="C690" s="558"/>
      <c r="D690" s="574"/>
      <c r="E690" s="575"/>
      <c r="F690" s="575"/>
      <c r="G690" s="575"/>
      <c r="H690" s="575"/>
      <c r="I690" s="558"/>
    </row>
    <row r="691" spans="1:9">
      <c r="A691" s="554"/>
      <c r="B691" s="554"/>
      <c r="C691" s="558"/>
      <c r="D691" s="574"/>
      <c r="E691" s="575"/>
      <c r="F691" s="575"/>
      <c r="G691" s="575"/>
      <c r="H691" s="575"/>
      <c r="I691" s="558"/>
    </row>
    <row r="692" spans="1:9">
      <c r="A692" s="554"/>
      <c r="B692" s="554"/>
      <c r="C692" s="558"/>
      <c r="D692" s="574"/>
      <c r="E692" s="575"/>
      <c r="F692" s="575"/>
      <c r="G692" s="575"/>
      <c r="H692" s="575"/>
      <c r="I692" s="558"/>
    </row>
    <row r="693" spans="1:9">
      <c r="A693" s="554"/>
      <c r="B693" s="554"/>
      <c r="C693" s="558"/>
      <c r="D693" s="574"/>
      <c r="E693" s="575"/>
      <c r="F693" s="575"/>
      <c r="G693" s="575"/>
      <c r="H693" s="575"/>
      <c r="I693" s="558"/>
    </row>
    <row r="694" spans="1:9">
      <c r="A694" s="554"/>
      <c r="B694" s="554"/>
      <c r="C694" s="558"/>
      <c r="D694" s="574"/>
      <c r="E694" s="575"/>
      <c r="F694" s="575"/>
      <c r="G694" s="575"/>
      <c r="H694" s="575"/>
      <c r="I694" s="558"/>
    </row>
    <row r="695" spans="1:9">
      <c r="A695" s="554"/>
      <c r="B695" s="554"/>
      <c r="C695" s="558"/>
      <c r="D695" s="574"/>
      <c r="E695" s="575"/>
      <c r="F695" s="575"/>
      <c r="G695" s="575"/>
      <c r="H695" s="575"/>
      <c r="I695" s="558"/>
    </row>
    <row r="696" spans="1:9">
      <c r="A696" s="554"/>
      <c r="B696" s="554"/>
      <c r="C696" s="558"/>
      <c r="D696" s="574"/>
      <c r="E696" s="575"/>
      <c r="F696" s="575"/>
      <c r="G696" s="575"/>
      <c r="H696" s="575"/>
      <c r="I696" s="558"/>
    </row>
    <row r="697" spans="1:9">
      <c r="A697" s="554"/>
      <c r="B697" s="554"/>
      <c r="C697" s="558"/>
      <c r="D697" s="574"/>
      <c r="E697" s="575"/>
      <c r="F697" s="575"/>
      <c r="G697" s="575"/>
      <c r="H697" s="575"/>
      <c r="I697" s="558"/>
    </row>
    <row r="698" spans="1:9">
      <c r="A698" s="554"/>
      <c r="B698" s="554"/>
      <c r="C698" s="558"/>
      <c r="D698" s="574"/>
      <c r="E698" s="575"/>
      <c r="F698" s="575"/>
      <c r="G698" s="575"/>
      <c r="H698" s="575"/>
      <c r="I698" s="558"/>
    </row>
    <row r="699" spans="1:9">
      <c r="A699" s="554"/>
      <c r="B699" s="554"/>
      <c r="C699" s="558"/>
      <c r="D699" s="574"/>
      <c r="E699" s="575"/>
      <c r="F699" s="575"/>
      <c r="G699" s="575"/>
      <c r="H699" s="575"/>
      <c r="I699" s="558"/>
    </row>
    <row r="700" spans="1:9">
      <c r="A700" s="554"/>
      <c r="B700" s="554"/>
      <c r="C700" s="558"/>
      <c r="D700" s="574"/>
      <c r="E700" s="575"/>
      <c r="F700" s="575"/>
      <c r="G700" s="575"/>
      <c r="H700" s="575"/>
      <c r="I700" s="558"/>
    </row>
    <row r="701" spans="1:9">
      <c r="A701" s="554"/>
      <c r="B701" s="554"/>
      <c r="C701" s="558"/>
      <c r="D701" s="574"/>
      <c r="E701" s="575"/>
      <c r="F701" s="575"/>
      <c r="G701" s="575"/>
      <c r="H701" s="575"/>
      <c r="I701" s="558"/>
    </row>
    <row r="702" spans="1:9">
      <c r="A702" s="554"/>
      <c r="B702" s="554"/>
      <c r="C702" s="558"/>
      <c r="D702" s="574"/>
      <c r="E702" s="575"/>
      <c r="F702" s="575"/>
      <c r="G702" s="575"/>
      <c r="H702" s="575"/>
      <c r="I702" s="558"/>
    </row>
    <row r="703" spans="1:9">
      <c r="A703" s="554"/>
      <c r="B703" s="554"/>
      <c r="C703" s="558"/>
      <c r="D703" s="574"/>
      <c r="E703" s="575"/>
      <c r="F703" s="575"/>
      <c r="G703" s="575"/>
      <c r="H703" s="575"/>
      <c r="I703" s="558"/>
    </row>
    <row r="704" spans="1:9">
      <c r="A704" s="554"/>
      <c r="B704" s="554"/>
      <c r="C704" s="558"/>
      <c r="D704" s="574"/>
      <c r="E704" s="575"/>
      <c r="F704" s="575"/>
      <c r="G704" s="575"/>
      <c r="H704" s="575"/>
      <c r="I704" s="558"/>
    </row>
    <row r="705" spans="1:9">
      <c r="A705" s="554"/>
      <c r="B705" s="554"/>
      <c r="C705" s="558"/>
      <c r="D705" s="574"/>
      <c r="E705" s="575"/>
      <c r="F705" s="575"/>
      <c r="G705" s="575"/>
      <c r="H705" s="575"/>
      <c r="I705" s="558"/>
    </row>
    <row r="706" spans="1:9">
      <c r="A706" s="554"/>
      <c r="B706" s="554"/>
      <c r="C706" s="558"/>
      <c r="D706" s="574"/>
      <c r="E706" s="575"/>
      <c r="F706" s="575"/>
      <c r="G706" s="575"/>
      <c r="H706" s="575"/>
      <c r="I706" s="558"/>
    </row>
    <row r="707" spans="1:9">
      <c r="A707" s="554"/>
      <c r="B707" s="554"/>
      <c r="C707" s="558"/>
      <c r="D707" s="574"/>
      <c r="E707" s="575"/>
      <c r="F707" s="575"/>
      <c r="G707" s="575"/>
      <c r="H707" s="575"/>
      <c r="I707" s="558"/>
    </row>
    <row r="708" spans="1:9">
      <c r="A708" s="554"/>
      <c r="B708" s="554"/>
      <c r="C708" s="558"/>
      <c r="D708" s="574"/>
      <c r="E708" s="575"/>
      <c r="F708" s="575"/>
      <c r="G708" s="575"/>
      <c r="H708" s="575"/>
      <c r="I708" s="558"/>
    </row>
    <row r="709" spans="1:9">
      <c r="A709" s="554"/>
      <c r="B709" s="554"/>
      <c r="C709" s="558"/>
      <c r="D709" s="574"/>
      <c r="E709" s="575"/>
      <c r="F709" s="575"/>
      <c r="G709" s="575"/>
      <c r="H709" s="575"/>
      <c r="I709" s="558"/>
    </row>
    <row r="710" spans="1:9">
      <c r="A710" s="554"/>
      <c r="B710" s="554"/>
      <c r="C710" s="558"/>
      <c r="D710" s="574"/>
      <c r="E710" s="575"/>
      <c r="F710" s="575"/>
      <c r="G710" s="575"/>
      <c r="H710" s="575"/>
      <c r="I710" s="558"/>
    </row>
    <row r="711" spans="1:9">
      <c r="A711" s="554"/>
      <c r="B711" s="554"/>
      <c r="C711" s="558"/>
      <c r="D711" s="574"/>
      <c r="E711" s="575"/>
      <c r="F711" s="575"/>
      <c r="G711" s="575"/>
      <c r="H711" s="575"/>
      <c r="I711" s="558"/>
    </row>
    <row r="712" spans="1:9">
      <c r="A712" s="554"/>
      <c r="B712" s="554"/>
      <c r="C712" s="558"/>
      <c r="D712" s="574"/>
      <c r="E712" s="575"/>
      <c r="F712" s="575"/>
      <c r="G712" s="575"/>
      <c r="H712" s="575"/>
      <c r="I712" s="558"/>
    </row>
    <row r="713" spans="1:9">
      <c r="A713" s="554"/>
      <c r="B713" s="554"/>
      <c r="C713" s="558"/>
      <c r="D713" s="574"/>
      <c r="E713" s="575"/>
      <c r="F713" s="575"/>
      <c r="G713" s="575"/>
      <c r="H713" s="575"/>
      <c r="I713" s="558"/>
    </row>
    <row r="714" spans="1:9">
      <c r="A714" s="554"/>
      <c r="B714" s="554"/>
      <c r="C714" s="558"/>
      <c r="D714" s="574"/>
      <c r="E714" s="575"/>
      <c r="F714" s="575"/>
      <c r="G714" s="575"/>
      <c r="H714" s="575"/>
      <c r="I714" s="558"/>
    </row>
    <row r="715" spans="1:9">
      <c r="A715" s="554"/>
      <c r="B715" s="554"/>
      <c r="C715" s="558"/>
      <c r="D715" s="574"/>
      <c r="E715" s="575"/>
      <c r="F715" s="575"/>
      <c r="G715" s="575"/>
      <c r="H715" s="575"/>
      <c r="I715" s="558"/>
    </row>
    <row r="716" spans="1:9">
      <c r="A716" s="554"/>
      <c r="B716" s="554"/>
      <c r="C716" s="558"/>
      <c r="D716" s="574"/>
      <c r="E716" s="575"/>
      <c r="F716" s="575"/>
      <c r="G716" s="575"/>
      <c r="H716" s="575"/>
      <c r="I716" s="558"/>
    </row>
    <row r="717" spans="1:9">
      <c r="A717" s="554"/>
      <c r="B717" s="554"/>
      <c r="C717" s="558"/>
      <c r="D717" s="574"/>
      <c r="E717" s="575"/>
      <c r="F717" s="575"/>
      <c r="G717" s="575"/>
      <c r="H717" s="575"/>
      <c r="I717" s="558"/>
    </row>
    <row r="718" spans="1:9">
      <c r="A718" s="554"/>
      <c r="B718" s="554"/>
      <c r="C718" s="558"/>
      <c r="D718" s="574"/>
      <c r="E718" s="575"/>
      <c r="F718" s="575"/>
      <c r="G718" s="575"/>
      <c r="H718" s="575"/>
      <c r="I718" s="558"/>
    </row>
    <row r="719" spans="1:9">
      <c r="A719" s="554"/>
      <c r="B719" s="554"/>
      <c r="C719" s="558"/>
      <c r="D719" s="574"/>
      <c r="E719" s="575"/>
      <c r="F719" s="575"/>
      <c r="G719" s="575"/>
      <c r="H719" s="575"/>
      <c r="I719" s="558"/>
    </row>
    <row r="720" spans="1:9">
      <c r="A720" s="554"/>
      <c r="B720" s="554"/>
      <c r="C720" s="558"/>
      <c r="D720" s="574"/>
      <c r="E720" s="575"/>
      <c r="F720" s="575"/>
      <c r="G720" s="575"/>
      <c r="H720" s="575"/>
      <c r="I720" s="558"/>
    </row>
    <row r="721" spans="1:9">
      <c r="A721" s="554"/>
      <c r="B721" s="554"/>
      <c r="C721" s="558"/>
      <c r="D721" s="574"/>
      <c r="E721" s="575"/>
      <c r="F721" s="575"/>
      <c r="G721" s="575"/>
      <c r="H721" s="575"/>
      <c r="I721" s="558"/>
    </row>
    <row r="722" spans="1:9">
      <c r="A722" s="554"/>
      <c r="B722" s="554"/>
      <c r="C722" s="558"/>
      <c r="D722" s="574"/>
      <c r="E722" s="575"/>
      <c r="F722" s="575"/>
      <c r="G722" s="575"/>
      <c r="H722" s="575"/>
      <c r="I722" s="558"/>
    </row>
    <row r="723" spans="1:9">
      <c r="A723" s="554"/>
      <c r="B723" s="554"/>
      <c r="C723" s="558"/>
      <c r="D723" s="574"/>
      <c r="E723" s="575"/>
      <c r="F723" s="575"/>
      <c r="G723" s="575"/>
      <c r="H723" s="575"/>
      <c r="I723" s="558"/>
    </row>
    <row r="724" spans="1:9">
      <c r="A724" s="554"/>
      <c r="B724" s="554"/>
      <c r="C724" s="558"/>
      <c r="D724" s="574"/>
      <c r="E724" s="575"/>
      <c r="F724" s="575"/>
      <c r="G724" s="575"/>
      <c r="H724" s="575"/>
      <c r="I724" s="558"/>
    </row>
    <row r="725" spans="1:9">
      <c r="A725" s="554"/>
      <c r="B725" s="554"/>
      <c r="C725" s="558"/>
      <c r="D725" s="574"/>
      <c r="E725" s="575"/>
      <c r="F725" s="575"/>
      <c r="G725" s="575"/>
      <c r="H725" s="575"/>
      <c r="I725" s="558"/>
    </row>
    <row r="726" spans="1:9">
      <c r="A726" s="554"/>
      <c r="B726" s="554"/>
      <c r="C726" s="558"/>
      <c r="D726" s="574"/>
      <c r="E726" s="575"/>
      <c r="F726" s="575"/>
      <c r="G726" s="575"/>
      <c r="H726" s="575"/>
      <c r="I726" s="558"/>
    </row>
    <row r="727" spans="1:9">
      <c r="A727" s="554"/>
      <c r="B727" s="554"/>
      <c r="C727" s="558"/>
      <c r="D727" s="574"/>
      <c r="E727" s="575"/>
      <c r="F727" s="575"/>
      <c r="G727" s="575"/>
      <c r="H727" s="575"/>
      <c r="I727" s="558"/>
    </row>
    <row r="728" spans="1:9">
      <c r="A728" s="554"/>
      <c r="B728" s="554"/>
      <c r="C728" s="558"/>
      <c r="D728" s="574"/>
      <c r="E728" s="575"/>
      <c r="F728" s="575"/>
      <c r="G728" s="575"/>
      <c r="H728" s="575"/>
      <c r="I728" s="558"/>
    </row>
    <row r="729" spans="1:9">
      <c r="A729" s="554"/>
      <c r="B729" s="554"/>
      <c r="C729" s="558"/>
      <c r="D729" s="574"/>
      <c r="E729" s="575"/>
      <c r="F729" s="575"/>
      <c r="G729" s="575"/>
      <c r="H729" s="575"/>
      <c r="I729" s="558"/>
    </row>
    <row r="730" spans="1:9">
      <c r="A730" s="554"/>
      <c r="B730" s="554"/>
      <c r="C730" s="558"/>
      <c r="D730" s="574"/>
      <c r="E730" s="575"/>
      <c r="F730" s="575"/>
      <c r="G730" s="575"/>
      <c r="H730" s="575"/>
      <c r="I730" s="558"/>
    </row>
    <row r="731" spans="1:9">
      <c r="A731" s="554"/>
      <c r="B731" s="554"/>
      <c r="C731" s="558"/>
      <c r="D731" s="574"/>
      <c r="E731" s="575"/>
      <c r="F731" s="575"/>
      <c r="G731" s="575"/>
      <c r="H731" s="575"/>
      <c r="I731" s="558"/>
    </row>
    <row r="732" spans="1:9">
      <c r="A732" s="554"/>
      <c r="B732" s="554"/>
      <c r="C732" s="558"/>
      <c r="D732" s="574"/>
      <c r="E732" s="575"/>
      <c r="F732" s="575"/>
      <c r="G732" s="575"/>
      <c r="H732" s="575"/>
      <c r="I732" s="558"/>
    </row>
    <row r="733" spans="1:9">
      <c r="A733" s="554"/>
      <c r="B733" s="554"/>
      <c r="C733" s="558"/>
      <c r="D733" s="574"/>
      <c r="E733" s="575"/>
      <c r="F733" s="575"/>
      <c r="G733" s="575"/>
      <c r="H733" s="575"/>
      <c r="I733" s="558"/>
    </row>
    <row r="734" spans="1:9">
      <c r="A734" s="554"/>
      <c r="B734" s="554"/>
      <c r="C734" s="558"/>
      <c r="D734" s="574"/>
      <c r="E734" s="575"/>
      <c r="F734" s="575"/>
      <c r="G734" s="575"/>
      <c r="H734" s="575"/>
      <c r="I734" s="558"/>
    </row>
    <row r="735" spans="1:9">
      <c r="A735" s="554"/>
      <c r="B735" s="554"/>
      <c r="C735" s="558"/>
      <c r="D735" s="574"/>
      <c r="E735" s="575"/>
      <c r="F735" s="575"/>
      <c r="G735" s="575"/>
      <c r="H735" s="575"/>
      <c r="I735" s="558"/>
    </row>
    <row r="736" spans="1:9">
      <c r="A736" s="554"/>
      <c r="B736" s="554"/>
      <c r="C736" s="558"/>
      <c r="D736" s="574"/>
      <c r="E736" s="575"/>
      <c r="F736" s="575"/>
      <c r="G736" s="575"/>
      <c r="H736" s="575"/>
      <c r="I736" s="558"/>
    </row>
    <row r="737" spans="1:9">
      <c r="A737" s="554"/>
      <c r="B737" s="554"/>
      <c r="C737" s="558"/>
      <c r="D737" s="574"/>
      <c r="E737" s="575"/>
      <c r="F737" s="575"/>
      <c r="G737" s="575"/>
      <c r="H737" s="575"/>
      <c r="I737" s="558"/>
    </row>
    <row r="738" spans="1:9">
      <c r="A738" s="554"/>
      <c r="B738" s="554"/>
      <c r="C738" s="558"/>
      <c r="D738" s="574"/>
      <c r="E738" s="575"/>
      <c r="F738" s="575"/>
      <c r="G738" s="575"/>
      <c r="H738" s="575"/>
      <c r="I738" s="558"/>
    </row>
    <row r="739" spans="1:9">
      <c r="A739" s="554"/>
      <c r="B739" s="554"/>
      <c r="C739" s="558"/>
      <c r="D739" s="574"/>
      <c r="E739" s="575"/>
      <c r="F739" s="575"/>
      <c r="G739" s="575"/>
      <c r="H739" s="575"/>
      <c r="I739" s="558"/>
    </row>
    <row r="740" spans="1:9">
      <c r="A740" s="554"/>
      <c r="B740" s="554"/>
      <c r="C740" s="558"/>
      <c r="D740" s="574"/>
      <c r="E740" s="575"/>
      <c r="F740" s="575"/>
      <c r="G740" s="575"/>
      <c r="H740" s="575"/>
      <c r="I740" s="558"/>
    </row>
    <row r="741" spans="1:9">
      <c r="A741" s="554"/>
      <c r="B741" s="554"/>
      <c r="C741" s="558"/>
      <c r="D741" s="574"/>
      <c r="E741" s="575"/>
      <c r="F741" s="575"/>
      <c r="G741" s="575"/>
      <c r="H741" s="575"/>
      <c r="I741" s="558"/>
    </row>
    <row r="742" spans="1:9">
      <c r="A742" s="554"/>
      <c r="B742" s="554"/>
      <c r="C742" s="558"/>
      <c r="D742" s="574"/>
      <c r="E742" s="575"/>
      <c r="F742" s="575"/>
      <c r="G742" s="575"/>
      <c r="H742" s="575"/>
      <c r="I742" s="558"/>
    </row>
    <row r="743" spans="1:9">
      <c r="A743" s="554"/>
      <c r="B743" s="554"/>
      <c r="C743" s="558"/>
      <c r="D743" s="574"/>
      <c r="E743" s="575"/>
      <c r="F743" s="575"/>
      <c r="G743" s="575"/>
      <c r="H743" s="575"/>
      <c r="I743" s="558"/>
    </row>
    <row r="744" spans="1:9">
      <c r="A744" s="554"/>
      <c r="B744" s="554"/>
      <c r="C744" s="558"/>
      <c r="D744" s="574"/>
      <c r="E744" s="575"/>
      <c r="F744" s="575"/>
      <c r="G744" s="575"/>
      <c r="H744" s="575"/>
      <c r="I744" s="558"/>
    </row>
    <row r="745" spans="1:9">
      <c r="A745" s="554"/>
      <c r="B745" s="554"/>
      <c r="C745" s="558"/>
      <c r="D745" s="574"/>
      <c r="E745" s="575"/>
      <c r="F745" s="575"/>
      <c r="G745" s="575"/>
      <c r="H745" s="575"/>
      <c r="I745" s="558"/>
    </row>
    <row r="746" spans="1:9">
      <c r="A746" s="554"/>
      <c r="B746" s="554"/>
      <c r="C746" s="558"/>
      <c r="D746" s="574"/>
      <c r="E746" s="575"/>
      <c r="F746" s="575"/>
      <c r="G746" s="575"/>
      <c r="H746" s="575"/>
      <c r="I746" s="558"/>
    </row>
    <row r="747" spans="1:9">
      <c r="A747" s="554"/>
      <c r="B747" s="554"/>
      <c r="C747" s="558"/>
      <c r="D747" s="574"/>
      <c r="E747" s="575"/>
      <c r="F747" s="575"/>
      <c r="G747" s="575"/>
      <c r="H747" s="575"/>
      <c r="I747" s="558"/>
    </row>
    <row r="748" spans="1:9">
      <c r="A748" s="554"/>
      <c r="B748" s="554"/>
      <c r="C748" s="558"/>
      <c r="D748" s="574"/>
      <c r="E748" s="575"/>
      <c r="F748" s="575"/>
      <c r="G748" s="575"/>
      <c r="H748" s="575"/>
      <c r="I748" s="558"/>
    </row>
    <row r="749" spans="1:9">
      <c r="A749" s="554"/>
      <c r="B749" s="554"/>
      <c r="C749" s="558"/>
      <c r="D749" s="574"/>
      <c r="E749" s="575"/>
      <c r="F749" s="575"/>
      <c r="G749" s="575"/>
      <c r="H749" s="575"/>
      <c r="I749" s="558"/>
    </row>
    <row r="750" spans="1:9">
      <c r="A750" s="554"/>
      <c r="B750" s="554"/>
      <c r="C750" s="558"/>
      <c r="D750" s="574"/>
      <c r="E750" s="575"/>
      <c r="F750" s="575"/>
      <c r="G750" s="575"/>
      <c r="H750" s="575"/>
      <c r="I750" s="558"/>
    </row>
    <row r="751" spans="1:9">
      <c r="A751" s="554"/>
      <c r="B751" s="554"/>
      <c r="C751" s="558"/>
      <c r="D751" s="574"/>
      <c r="E751" s="575"/>
      <c r="F751" s="575"/>
      <c r="G751" s="575"/>
      <c r="H751" s="575"/>
      <c r="I751" s="558"/>
    </row>
    <row r="752" spans="1:9">
      <c r="A752" s="554"/>
      <c r="B752" s="554"/>
      <c r="C752" s="558"/>
      <c r="D752" s="574"/>
      <c r="E752" s="575"/>
      <c r="F752" s="575"/>
      <c r="G752" s="575"/>
      <c r="H752" s="575"/>
      <c r="I752" s="558"/>
    </row>
    <row r="753" spans="1:9">
      <c r="A753" s="554"/>
      <c r="B753" s="554"/>
      <c r="C753" s="558"/>
      <c r="D753" s="574"/>
      <c r="E753" s="575"/>
      <c r="F753" s="575"/>
      <c r="G753" s="575"/>
      <c r="H753" s="575"/>
      <c r="I753" s="558"/>
    </row>
    <row r="754" spans="1:9">
      <c r="A754" s="554"/>
      <c r="B754" s="554"/>
      <c r="C754" s="558"/>
      <c r="D754" s="574"/>
      <c r="E754" s="575"/>
      <c r="F754" s="575"/>
      <c r="G754" s="575"/>
      <c r="H754" s="575"/>
      <c r="I754" s="558"/>
    </row>
    <row r="755" spans="1:9">
      <c r="A755" s="554"/>
      <c r="B755" s="554"/>
      <c r="C755" s="558"/>
      <c r="D755" s="574"/>
      <c r="E755" s="575"/>
      <c r="F755" s="575"/>
      <c r="G755" s="575"/>
      <c r="H755" s="575"/>
      <c r="I755" s="558"/>
    </row>
    <row r="756" spans="1:9">
      <c r="A756" s="554"/>
      <c r="B756" s="554"/>
      <c r="C756" s="558"/>
      <c r="D756" s="574"/>
      <c r="E756" s="575"/>
      <c r="F756" s="575"/>
      <c r="G756" s="575"/>
      <c r="H756" s="575"/>
      <c r="I756" s="558"/>
    </row>
    <row r="757" spans="1:9">
      <c r="A757" s="554"/>
      <c r="B757" s="554"/>
      <c r="C757" s="558"/>
      <c r="D757" s="574"/>
      <c r="E757" s="575"/>
      <c r="F757" s="575"/>
      <c r="G757" s="575"/>
      <c r="H757" s="575"/>
      <c r="I757" s="558"/>
    </row>
    <row r="758" spans="1:9">
      <c r="A758" s="554"/>
      <c r="B758" s="554"/>
      <c r="C758" s="558"/>
      <c r="D758" s="574"/>
      <c r="E758" s="575"/>
      <c r="F758" s="575"/>
      <c r="G758" s="575"/>
      <c r="H758" s="575"/>
      <c r="I758" s="558"/>
    </row>
    <row r="759" spans="1:9">
      <c r="A759" s="554"/>
      <c r="B759" s="554"/>
      <c r="C759" s="558"/>
      <c r="D759" s="574"/>
      <c r="E759" s="575"/>
      <c r="F759" s="575"/>
      <c r="G759" s="575"/>
      <c r="H759" s="575"/>
      <c r="I759" s="558"/>
    </row>
    <row r="760" spans="1:9">
      <c r="A760" s="554"/>
      <c r="B760" s="554"/>
      <c r="C760" s="558"/>
      <c r="D760" s="574"/>
      <c r="E760" s="575"/>
      <c r="F760" s="575"/>
      <c r="G760" s="575"/>
      <c r="H760" s="575"/>
      <c r="I760" s="558"/>
    </row>
    <row r="761" spans="1:9">
      <c r="A761" s="554"/>
      <c r="B761" s="554"/>
      <c r="C761" s="558"/>
      <c r="D761" s="574"/>
      <c r="E761" s="575"/>
      <c r="F761" s="575"/>
      <c r="G761" s="575"/>
      <c r="H761" s="575"/>
      <c r="I761" s="558"/>
    </row>
    <row r="762" spans="1:9">
      <c r="A762" s="554"/>
      <c r="B762" s="554"/>
      <c r="C762" s="558"/>
      <c r="D762" s="574"/>
      <c r="E762" s="575"/>
      <c r="F762" s="575"/>
      <c r="G762" s="575"/>
      <c r="H762" s="575"/>
      <c r="I762" s="558"/>
    </row>
    <row r="763" spans="1:9">
      <c r="A763" s="554"/>
      <c r="B763" s="554"/>
      <c r="C763" s="558"/>
      <c r="D763" s="574"/>
      <c r="E763" s="575"/>
      <c r="F763" s="575"/>
      <c r="G763" s="575"/>
      <c r="H763" s="575"/>
      <c r="I763" s="558"/>
    </row>
    <row r="764" spans="1:9">
      <c r="A764" s="554"/>
      <c r="B764" s="554"/>
      <c r="C764" s="558"/>
      <c r="D764" s="574"/>
      <c r="E764" s="575"/>
      <c r="F764" s="575"/>
      <c r="G764" s="575"/>
      <c r="H764" s="575"/>
      <c r="I764" s="558"/>
    </row>
    <row r="765" spans="1:9">
      <c r="A765" s="554"/>
      <c r="B765" s="554"/>
      <c r="C765" s="558"/>
      <c r="D765" s="574"/>
      <c r="E765" s="575"/>
      <c r="F765" s="575"/>
      <c r="G765" s="575"/>
      <c r="H765" s="575"/>
      <c r="I765" s="558"/>
    </row>
    <row r="766" spans="1:9">
      <c r="A766" s="554"/>
      <c r="B766" s="554"/>
      <c r="C766" s="558"/>
      <c r="D766" s="574"/>
      <c r="E766" s="575"/>
      <c r="F766" s="575"/>
      <c r="G766" s="575"/>
      <c r="H766" s="575"/>
      <c r="I766" s="558"/>
    </row>
    <row r="767" spans="1:9">
      <c r="A767" s="554"/>
      <c r="B767" s="554"/>
      <c r="C767" s="558"/>
      <c r="D767" s="574"/>
      <c r="E767" s="575"/>
      <c r="F767" s="575"/>
      <c r="G767" s="575"/>
      <c r="H767" s="575"/>
      <c r="I767" s="558"/>
    </row>
    <row r="768" spans="1:9">
      <c r="A768" s="554"/>
      <c r="B768" s="554"/>
      <c r="C768" s="558"/>
      <c r="D768" s="574"/>
      <c r="E768" s="575"/>
      <c r="F768" s="575"/>
      <c r="G768" s="575"/>
      <c r="H768" s="575"/>
      <c r="I768" s="558"/>
    </row>
    <row r="769" spans="1:9">
      <c r="A769" s="554"/>
      <c r="B769" s="554"/>
      <c r="C769" s="558"/>
      <c r="D769" s="574"/>
      <c r="E769" s="575"/>
      <c r="F769" s="575"/>
      <c r="G769" s="575"/>
      <c r="H769" s="575"/>
      <c r="I769" s="558"/>
    </row>
    <row r="770" spans="1:9">
      <c r="A770" s="554"/>
      <c r="B770" s="554"/>
      <c r="C770" s="558"/>
      <c r="D770" s="574"/>
      <c r="E770" s="575"/>
      <c r="F770" s="575"/>
      <c r="G770" s="575"/>
      <c r="H770" s="575"/>
      <c r="I770" s="558"/>
    </row>
    <row r="771" spans="1:9">
      <c r="A771" s="554"/>
      <c r="B771" s="554"/>
      <c r="C771" s="558"/>
      <c r="D771" s="574"/>
      <c r="E771" s="575"/>
      <c r="F771" s="575"/>
      <c r="G771" s="575"/>
      <c r="H771" s="575"/>
      <c r="I771" s="558"/>
    </row>
    <row r="772" spans="1:9">
      <c r="A772" s="554"/>
      <c r="B772" s="554"/>
      <c r="C772" s="558"/>
      <c r="D772" s="574"/>
      <c r="E772" s="575"/>
      <c r="F772" s="575"/>
      <c r="G772" s="575"/>
      <c r="H772" s="575"/>
      <c r="I772" s="558"/>
    </row>
    <row r="773" spans="1:9">
      <c r="A773" s="554"/>
      <c r="B773" s="554"/>
      <c r="C773" s="558"/>
      <c r="D773" s="574"/>
      <c r="E773" s="575"/>
      <c r="F773" s="575"/>
      <c r="G773" s="575"/>
      <c r="H773" s="575"/>
      <c r="I773" s="558"/>
    </row>
    <row r="774" spans="1:9">
      <c r="A774" s="554"/>
      <c r="B774" s="554"/>
      <c r="C774" s="558"/>
      <c r="D774" s="574"/>
      <c r="E774" s="575"/>
      <c r="F774" s="575"/>
      <c r="G774" s="575"/>
      <c r="H774" s="575"/>
      <c r="I774" s="558"/>
    </row>
    <row r="775" spans="1:9">
      <c r="A775" s="554"/>
      <c r="B775" s="554"/>
      <c r="C775" s="558"/>
      <c r="D775" s="574"/>
      <c r="E775" s="575"/>
      <c r="F775" s="575"/>
      <c r="G775" s="575"/>
      <c r="H775" s="575"/>
      <c r="I775" s="558"/>
    </row>
    <row r="776" spans="1:9">
      <c r="A776" s="554"/>
      <c r="B776" s="554"/>
      <c r="C776" s="558"/>
      <c r="D776" s="574"/>
      <c r="E776" s="575"/>
      <c r="F776" s="575"/>
      <c r="G776" s="575"/>
      <c r="H776" s="575"/>
      <c r="I776" s="558"/>
    </row>
    <row r="777" spans="1:9">
      <c r="A777" s="554"/>
      <c r="B777" s="554"/>
      <c r="C777" s="558"/>
      <c r="D777" s="574"/>
      <c r="E777" s="575"/>
      <c r="F777" s="575"/>
      <c r="G777" s="575"/>
      <c r="H777" s="575"/>
      <c r="I777" s="558"/>
    </row>
    <row r="778" spans="1:9">
      <c r="A778" s="554"/>
      <c r="B778" s="554"/>
      <c r="C778" s="558"/>
      <c r="D778" s="574"/>
      <c r="E778" s="575"/>
      <c r="F778" s="575"/>
      <c r="G778" s="575"/>
      <c r="H778" s="575"/>
      <c r="I778" s="558"/>
    </row>
    <row r="779" spans="1:9">
      <c r="A779" s="554"/>
      <c r="B779" s="554"/>
      <c r="C779" s="558"/>
      <c r="D779" s="574"/>
      <c r="E779" s="575"/>
      <c r="F779" s="575"/>
      <c r="G779" s="575"/>
      <c r="H779" s="575"/>
      <c r="I779" s="558"/>
    </row>
    <row r="780" spans="1:9">
      <c r="A780" s="554"/>
      <c r="B780" s="554"/>
      <c r="C780" s="558"/>
      <c r="D780" s="574"/>
      <c r="E780" s="575"/>
      <c r="F780" s="575"/>
      <c r="G780" s="575"/>
      <c r="H780" s="575"/>
      <c r="I780" s="558"/>
    </row>
    <row r="781" spans="1:9">
      <c r="A781" s="554"/>
      <c r="B781" s="554"/>
      <c r="C781" s="558"/>
      <c r="D781" s="574"/>
      <c r="E781" s="575"/>
      <c r="F781" s="575"/>
      <c r="G781" s="575"/>
      <c r="H781" s="575"/>
      <c r="I781" s="558"/>
    </row>
    <row r="782" spans="1:9">
      <c r="A782" s="554"/>
      <c r="B782" s="554"/>
      <c r="C782" s="558"/>
      <c r="D782" s="574"/>
      <c r="E782" s="575"/>
      <c r="F782" s="575"/>
      <c r="G782" s="575"/>
      <c r="H782" s="575"/>
      <c r="I782" s="558"/>
    </row>
    <row r="783" spans="1:9">
      <c r="A783" s="554"/>
      <c r="B783" s="554"/>
      <c r="C783" s="558"/>
      <c r="D783" s="574"/>
      <c r="E783" s="575"/>
      <c r="F783" s="575"/>
      <c r="G783" s="575"/>
      <c r="H783" s="575"/>
      <c r="I783" s="558"/>
    </row>
    <row r="784" spans="1:9">
      <c r="A784" s="554"/>
      <c r="B784" s="554"/>
      <c r="C784" s="558"/>
      <c r="D784" s="574"/>
      <c r="E784" s="575"/>
      <c r="F784" s="575"/>
      <c r="G784" s="575"/>
      <c r="H784" s="575"/>
      <c r="I784" s="558"/>
    </row>
    <row r="785" spans="1:9">
      <c r="A785" s="554"/>
      <c r="B785" s="554"/>
      <c r="C785" s="558"/>
      <c r="D785" s="574"/>
      <c r="E785" s="575"/>
      <c r="F785" s="575"/>
      <c r="G785" s="575"/>
      <c r="H785" s="575"/>
      <c r="I785" s="558"/>
    </row>
    <row r="786" spans="1:9">
      <c r="A786" s="554"/>
      <c r="B786" s="554"/>
      <c r="C786" s="558"/>
      <c r="D786" s="574"/>
      <c r="E786" s="575"/>
      <c r="F786" s="575"/>
      <c r="G786" s="575"/>
      <c r="H786" s="575"/>
      <c r="I786" s="558"/>
    </row>
    <row r="787" spans="1:9">
      <c r="A787" s="554"/>
      <c r="B787" s="554"/>
      <c r="C787" s="558"/>
      <c r="D787" s="574"/>
      <c r="E787" s="575"/>
      <c r="F787" s="575"/>
      <c r="G787" s="575"/>
      <c r="H787" s="575"/>
      <c r="I787" s="558"/>
    </row>
    <row r="788" spans="1:9">
      <c r="A788" s="554"/>
      <c r="B788" s="554"/>
      <c r="C788" s="558"/>
      <c r="D788" s="574"/>
      <c r="E788" s="575"/>
      <c r="F788" s="575"/>
      <c r="G788" s="575"/>
      <c r="H788" s="575"/>
      <c r="I788" s="558"/>
    </row>
    <row r="789" spans="1:9">
      <c r="A789" s="554"/>
      <c r="B789" s="554"/>
      <c r="C789" s="558"/>
      <c r="D789" s="574"/>
      <c r="E789" s="575"/>
      <c r="F789" s="575"/>
      <c r="G789" s="575"/>
      <c r="H789" s="575"/>
      <c r="I789" s="558"/>
    </row>
    <row r="790" spans="1:9">
      <c r="A790" s="554"/>
      <c r="B790" s="554"/>
      <c r="C790" s="558"/>
      <c r="D790" s="574"/>
      <c r="E790" s="575"/>
      <c r="F790" s="575"/>
      <c r="G790" s="575"/>
      <c r="H790" s="575"/>
      <c r="I790" s="558"/>
    </row>
    <row r="791" spans="1:9">
      <c r="A791" s="554"/>
      <c r="B791" s="554"/>
      <c r="C791" s="558"/>
      <c r="D791" s="574"/>
      <c r="E791" s="575"/>
      <c r="F791" s="575"/>
      <c r="G791" s="575"/>
      <c r="H791" s="575"/>
      <c r="I791" s="558"/>
    </row>
    <row r="792" spans="1:9">
      <c r="A792" s="554"/>
      <c r="B792" s="554"/>
      <c r="C792" s="558"/>
      <c r="D792" s="574"/>
      <c r="E792" s="575"/>
      <c r="F792" s="575"/>
      <c r="G792" s="575"/>
      <c r="H792" s="575"/>
      <c r="I792" s="558"/>
    </row>
    <row r="793" spans="1:9">
      <c r="A793" s="554"/>
      <c r="B793" s="554"/>
      <c r="C793" s="558"/>
      <c r="D793" s="574"/>
      <c r="E793" s="575"/>
      <c r="F793" s="575"/>
      <c r="G793" s="575"/>
      <c r="H793" s="575"/>
      <c r="I793" s="558"/>
    </row>
    <row r="794" spans="1:9">
      <c r="A794" s="554"/>
      <c r="B794" s="554"/>
      <c r="C794" s="558"/>
      <c r="D794" s="574"/>
      <c r="E794" s="575"/>
      <c r="F794" s="575"/>
      <c r="G794" s="575"/>
      <c r="H794" s="575"/>
      <c r="I794" s="558"/>
    </row>
    <row r="795" spans="1:9">
      <c r="A795" s="554"/>
      <c r="B795" s="554"/>
      <c r="C795" s="558"/>
      <c r="D795" s="574"/>
      <c r="E795" s="575"/>
      <c r="F795" s="575"/>
      <c r="G795" s="575"/>
      <c r="H795" s="575"/>
      <c r="I795" s="558"/>
    </row>
    <row r="796" spans="1:9">
      <c r="A796" s="554"/>
      <c r="B796" s="554"/>
      <c r="C796" s="558"/>
      <c r="D796" s="574"/>
      <c r="E796" s="575"/>
      <c r="F796" s="575"/>
      <c r="G796" s="575"/>
      <c r="H796" s="575"/>
      <c r="I796" s="558"/>
    </row>
    <row r="797" spans="1:9">
      <c r="A797" s="554"/>
      <c r="B797" s="554"/>
      <c r="C797" s="558"/>
      <c r="D797" s="574"/>
      <c r="E797" s="575"/>
      <c r="F797" s="575"/>
      <c r="G797" s="575"/>
      <c r="H797" s="575"/>
      <c r="I797" s="558"/>
    </row>
    <row r="798" spans="1:9">
      <c r="A798" s="554"/>
      <c r="B798" s="554"/>
      <c r="C798" s="558"/>
      <c r="D798" s="574"/>
      <c r="E798" s="575"/>
      <c r="F798" s="575"/>
      <c r="G798" s="575"/>
      <c r="H798" s="575"/>
      <c r="I798" s="558"/>
    </row>
    <row r="799" spans="1:9">
      <c r="A799" s="554"/>
      <c r="B799" s="554"/>
      <c r="C799" s="558"/>
      <c r="D799" s="574"/>
      <c r="E799" s="575"/>
      <c r="F799" s="575"/>
      <c r="G799" s="575"/>
      <c r="H799" s="575"/>
      <c r="I799" s="558"/>
    </row>
    <row r="800" spans="1:9">
      <c r="A800" s="554"/>
      <c r="B800" s="554"/>
      <c r="C800" s="558"/>
      <c r="D800" s="574"/>
      <c r="E800" s="575"/>
      <c r="F800" s="575"/>
      <c r="G800" s="575"/>
      <c r="H800" s="575"/>
      <c r="I800" s="558"/>
    </row>
    <row r="801" spans="1:9">
      <c r="A801" s="554"/>
      <c r="B801" s="554"/>
      <c r="C801" s="558"/>
      <c r="D801" s="574"/>
      <c r="E801" s="575"/>
      <c r="F801" s="575"/>
      <c r="G801" s="575"/>
      <c r="H801" s="575"/>
      <c r="I801" s="558"/>
    </row>
    <row r="802" spans="1:9">
      <c r="A802" s="554"/>
      <c r="B802" s="554"/>
      <c r="C802" s="558"/>
      <c r="D802" s="574"/>
      <c r="E802" s="575"/>
      <c r="F802" s="575"/>
      <c r="G802" s="575"/>
      <c r="H802" s="575"/>
      <c r="I802" s="558"/>
    </row>
    <row r="803" spans="1:9">
      <c r="A803" s="554"/>
      <c r="B803" s="554"/>
      <c r="C803" s="558"/>
      <c r="D803" s="574"/>
      <c r="E803" s="575"/>
      <c r="F803" s="575"/>
      <c r="G803" s="575"/>
      <c r="H803" s="575"/>
      <c r="I803" s="558"/>
    </row>
    <row r="804" spans="1:9">
      <c r="A804" s="554"/>
      <c r="B804" s="554"/>
      <c r="C804" s="558"/>
      <c r="D804" s="574"/>
      <c r="E804" s="575"/>
      <c r="F804" s="575"/>
      <c r="G804" s="575"/>
      <c r="H804" s="575"/>
      <c r="I804" s="558"/>
    </row>
    <row r="805" spans="1:9">
      <c r="A805" s="554"/>
      <c r="B805" s="554"/>
      <c r="C805" s="558"/>
      <c r="D805" s="574"/>
      <c r="E805" s="575"/>
      <c r="F805" s="575"/>
      <c r="G805" s="575"/>
      <c r="H805" s="575"/>
      <c r="I805" s="558"/>
    </row>
    <row r="806" spans="1:9">
      <c r="A806" s="554"/>
      <c r="B806" s="554"/>
      <c r="C806" s="558"/>
      <c r="D806" s="574"/>
      <c r="E806" s="575"/>
      <c r="F806" s="575"/>
      <c r="G806" s="575"/>
      <c r="H806" s="575"/>
      <c r="I806" s="558"/>
    </row>
    <row r="807" spans="1:9">
      <c r="A807" s="554"/>
      <c r="B807" s="554"/>
      <c r="C807" s="558"/>
      <c r="D807" s="574"/>
      <c r="E807" s="575"/>
      <c r="F807" s="575"/>
      <c r="G807" s="575"/>
      <c r="H807" s="575"/>
      <c r="I807" s="558"/>
    </row>
    <row r="808" spans="1:9">
      <c r="A808" s="554"/>
      <c r="B808" s="554"/>
      <c r="C808" s="558"/>
      <c r="D808" s="574"/>
      <c r="E808" s="575"/>
      <c r="F808" s="575"/>
      <c r="G808" s="575"/>
      <c r="H808" s="575"/>
      <c r="I808" s="558"/>
    </row>
    <row r="809" spans="1:9">
      <c r="A809" s="554"/>
      <c r="B809" s="554"/>
      <c r="C809" s="558"/>
      <c r="D809" s="574"/>
      <c r="E809" s="575"/>
      <c r="F809" s="575"/>
      <c r="G809" s="575"/>
      <c r="H809" s="575"/>
      <c r="I809" s="558"/>
    </row>
    <row r="810" spans="1:9">
      <c r="A810" s="554"/>
      <c r="B810" s="554"/>
      <c r="C810" s="558"/>
      <c r="D810" s="574"/>
      <c r="E810" s="575"/>
      <c r="F810" s="575"/>
      <c r="G810" s="575"/>
      <c r="H810" s="575"/>
      <c r="I810" s="558"/>
    </row>
    <row r="811" spans="1:9">
      <c r="A811" s="554"/>
      <c r="B811" s="554"/>
      <c r="C811" s="558"/>
      <c r="D811" s="574"/>
      <c r="E811" s="575"/>
      <c r="F811" s="575"/>
      <c r="G811" s="575"/>
      <c r="H811" s="575"/>
      <c r="I811" s="558"/>
    </row>
    <row r="812" spans="1:9">
      <c r="A812" s="554"/>
      <c r="B812" s="554"/>
      <c r="C812" s="558"/>
      <c r="D812" s="574"/>
      <c r="E812" s="575"/>
      <c r="F812" s="575"/>
      <c r="G812" s="575"/>
      <c r="H812" s="575"/>
      <c r="I812" s="558"/>
    </row>
    <row r="813" spans="1:9">
      <c r="A813" s="554"/>
      <c r="B813" s="554"/>
      <c r="C813" s="558"/>
      <c r="D813" s="574"/>
      <c r="E813" s="575"/>
      <c r="F813" s="575"/>
      <c r="G813" s="575"/>
      <c r="H813" s="575"/>
      <c r="I813" s="558"/>
    </row>
    <row r="814" spans="1:9">
      <c r="A814" s="554"/>
      <c r="B814" s="554"/>
      <c r="C814" s="558"/>
      <c r="D814" s="574"/>
      <c r="E814" s="575"/>
      <c r="F814" s="575"/>
      <c r="G814" s="575"/>
      <c r="H814" s="575"/>
      <c r="I814" s="558"/>
    </row>
    <row r="815" spans="1:9">
      <c r="A815" s="554"/>
      <c r="B815" s="554"/>
      <c r="C815" s="558"/>
      <c r="D815" s="574"/>
      <c r="E815" s="575"/>
      <c r="F815" s="575"/>
      <c r="G815" s="575"/>
      <c r="H815" s="575"/>
      <c r="I815" s="558"/>
    </row>
    <row r="816" spans="1:9">
      <c r="A816" s="554"/>
      <c r="B816" s="554"/>
      <c r="C816" s="558"/>
      <c r="D816" s="574"/>
      <c r="E816" s="575"/>
      <c r="F816" s="575"/>
      <c r="G816" s="575"/>
      <c r="H816" s="575"/>
      <c r="I816" s="558"/>
    </row>
    <row r="817" spans="1:9">
      <c r="A817" s="554"/>
      <c r="B817" s="554"/>
      <c r="C817" s="558"/>
      <c r="D817" s="574"/>
      <c r="E817" s="575"/>
      <c r="F817" s="575"/>
      <c r="G817" s="575"/>
      <c r="H817" s="575"/>
      <c r="I817" s="558"/>
    </row>
    <row r="818" spans="1:9">
      <c r="A818" s="554"/>
      <c r="B818" s="554"/>
      <c r="C818" s="558"/>
      <c r="D818" s="574"/>
      <c r="E818" s="575"/>
      <c r="F818" s="575"/>
      <c r="G818" s="575"/>
      <c r="H818" s="575"/>
      <c r="I818" s="558"/>
    </row>
    <row r="819" spans="1:9">
      <c r="A819" s="554"/>
      <c r="B819" s="554"/>
      <c r="C819" s="558"/>
      <c r="D819" s="574"/>
      <c r="E819" s="575"/>
      <c r="F819" s="575"/>
      <c r="G819" s="575"/>
      <c r="H819" s="575"/>
      <c r="I819" s="558"/>
    </row>
    <row r="820" spans="1:9">
      <c r="A820" s="554"/>
      <c r="B820" s="554"/>
      <c r="C820" s="558"/>
      <c r="D820" s="574"/>
      <c r="E820" s="575"/>
      <c r="F820" s="575"/>
      <c r="G820" s="575"/>
      <c r="H820" s="575"/>
      <c r="I820" s="558"/>
    </row>
    <row r="821" spans="1:9">
      <c r="A821" s="554"/>
      <c r="B821" s="554"/>
      <c r="C821" s="558"/>
      <c r="D821" s="574"/>
      <c r="E821" s="575"/>
      <c r="F821" s="575"/>
      <c r="G821" s="575"/>
      <c r="H821" s="575"/>
      <c r="I821" s="558"/>
    </row>
    <row r="822" spans="1:9">
      <c r="A822" s="554"/>
      <c r="B822" s="554"/>
      <c r="C822" s="558"/>
      <c r="D822" s="574"/>
      <c r="E822" s="575"/>
      <c r="F822" s="575"/>
      <c r="G822" s="575"/>
      <c r="H822" s="575"/>
      <c r="I822" s="558"/>
    </row>
    <row r="823" spans="1:9">
      <c r="A823" s="554"/>
      <c r="B823" s="554"/>
      <c r="C823" s="558"/>
      <c r="D823" s="574"/>
      <c r="E823" s="575"/>
      <c r="F823" s="575"/>
      <c r="G823" s="575"/>
      <c r="H823" s="575"/>
      <c r="I823" s="558"/>
    </row>
    <row r="824" spans="1:9">
      <c r="A824" s="554"/>
      <c r="B824" s="554"/>
      <c r="C824" s="558"/>
      <c r="D824" s="574"/>
      <c r="E824" s="575"/>
      <c r="F824" s="575"/>
      <c r="G824" s="575"/>
      <c r="H824" s="575"/>
      <c r="I824" s="558"/>
    </row>
    <row r="825" spans="1:9">
      <c r="A825" s="554"/>
      <c r="B825" s="554"/>
      <c r="C825" s="558"/>
      <c r="D825" s="574"/>
      <c r="E825" s="575"/>
      <c r="F825" s="575"/>
      <c r="G825" s="575"/>
      <c r="H825" s="575"/>
      <c r="I825" s="558"/>
    </row>
    <row r="826" spans="1:9">
      <c r="A826" s="554"/>
      <c r="B826" s="554"/>
      <c r="C826" s="558"/>
      <c r="D826" s="574"/>
      <c r="E826" s="575"/>
      <c r="F826" s="575"/>
      <c r="G826" s="575"/>
      <c r="H826" s="575"/>
      <c r="I826" s="558"/>
    </row>
    <row r="827" spans="1:9">
      <c r="A827" s="554"/>
      <c r="B827" s="554"/>
      <c r="C827" s="558"/>
      <c r="D827" s="574"/>
      <c r="E827" s="575"/>
      <c r="F827" s="575"/>
      <c r="G827" s="575"/>
      <c r="H827" s="575"/>
      <c r="I827" s="558"/>
    </row>
  </sheetData>
  <mergeCells count="7">
    <mergeCell ref="A395:C395"/>
    <mergeCell ref="C406:H406"/>
    <mergeCell ref="K14:K16"/>
    <mergeCell ref="C177:H177"/>
    <mergeCell ref="C199:H199"/>
    <mergeCell ref="C203:H203"/>
    <mergeCell ref="C281:H281"/>
  </mergeCells>
  <pageMargins left="0.7" right="0.7" top="0.75" bottom="0.75" header="0.3" footer="0.3"/>
  <pageSetup scale="4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election activeCell="M11" sqref="M11"/>
    </sheetView>
  </sheetViews>
  <sheetFormatPr defaultRowHeight="12.75"/>
  <cols>
    <col min="1" max="1" width="5.7109375" style="2262" customWidth="1"/>
    <col min="2" max="2" width="20.7109375" style="2262" customWidth="1"/>
    <col min="3" max="3" width="2.7109375" style="2262" customWidth="1"/>
    <col min="4" max="4" width="20.7109375" style="2262" customWidth="1"/>
    <col min="5" max="5" width="2.7109375" style="2262" customWidth="1"/>
    <col min="6" max="6" width="20.7109375" style="2262" customWidth="1"/>
    <col min="7" max="7" width="5.7109375" style="2262" customWidth="1"/>
    <col min="8" max="16384" width="9.140625" style="2262"/>
  </cols>
  <sheetData>
    <row r="1" spans="1:7" ht="15">
      <c r="A1" s="2433" t="s">
        <v>2</v>
      </c>
      <c r="B1" s="2434"/>
      <c r="C1" s="2434"/>
      <c r="D1" s="2434"/>
      <c r="E1" s="2434"/>
      <c r="F1" s="2434"/>
      <c r="G1" s="2434"/>
    </row>
    <row r="2" spans="1:7" ht="15">
      <c r="A2" s="2435" t="s">
        <v>2273</v>
      </c>
      <c r="B2" s="2436"/>
      <c r="C2" s="2436"/>
      <c r="D2" s="2436"/>
      <c r="E2" s="2436"/>
      <c r="F2" s="2436"/>
      <c r="G2" s="2436"/>
    </row>
    <row r="4" spans="1:7">
      <c r="B4" s="2263" t="s">
        <v>2265</v>
      </c>
      <c r="C4" s="2263"/>
      <c r="D4" s="2263"/>
      <c r="E4" s="2263"/>
      <c r="F4" s="2263"/>
    </row>
    <row r="5" spans="1:7">
      <c r="B5" s="2266"/>
      <c r="C5" s="2268"/>
      <c r="D5" s="2264" t="s">
        <v>82</v>
      </c>
      <c r="E5" s="2270"/>
      <c r="F5" s="2267" t="s">
        <v>2266</v>
      </c>
    </row>
    <row r="6" spans="1:7">
      <c r="B6" s="2265" t="s">
        <v>1015</v>
      </c>
      <c r="C6" s="2268"/>
      <c r="D6" s="2265" t="s">
        <v>2264</v>
      </c>
      <c r="E6" s="2271"/>
      <c r="F6" s="2265" t="s">
        <v>2267</v>
      </c>
    </row>
    <row r="7" spans="1:7">
      <c r="B7" s="2276" t="s">
        <v>2271</v>
      </c>
      <c r="C7" s="2268"/>
      <c r="D7" s="2279">
        <f>IF(Toggle=Projection,VLOOKUP("12/31/"&amp;data_year,'Att 1B - 2017 TCJA'!$D$36:$AH$87,29,FALSE),IF(Toggle=True_up,VLOOKUP("12/31/"&amp;data_year,'Att 1B - 2017 TCJA'!$D$36:$AH$87,31,FALSE),"Set Toggle!"))</f>
        <v>-193956873.5</v>
      </c>
      <c r="E7" s="2268"/>
      <c r="F7" s="2279">
        <f>VLOOKUP("12/31/"&amp;data_year,'Att 1B - 2017 TCJA'!$D$36:$AH$87,27,FALSE)</f>
        <v>-20973074</v>
      </c>
    </row>
    <row r="8" spans="1:7">
      <c r="B8" s="2277"/>
      <c r="C8" s="2268"/>
      <c r="D8" s="2277"/>
      <c r="E8" s="2268"/>
      <c r="F8" s="2277"/>
    </row>
    <row r="9" spans="1:7">
      <c r="B9" s="2277"/>
      <c r="C9" s="2268"/>
      <c r="D9" s="2277"/>
      <c r="E9" s="2268"/>
      <c r="F9" s="2277"/>
    </row>
    <row r="10" spans="1:7">
      <c r="B10" s="2277"/>
      <c r="C10" s="2268"/>
      <c r="D10" s="2277"/>
      <c r="E10" s="2268"/>
      <c r="F10" s="2277"/>
    </row>
    <row r="11" spans="1:7">
      <c r="B11" s="2277"/>
      <c r="C11" s="2268"/>
      <c r="D11" s="2277"/>
      <c r="E11" s="2268"/>
      <c r="F11" s="2277"/>
    </row>
    <row r="12" spans="1:7">
      <c r="B12" s="2277"/>
      <c r="C12" s="2268"/>
      <c r="D12" s="2277"/>
      <c r="E12" s="2268"/>
      <c r="F12" s="2277"/>
    </row>
    <row r="13" spans="1:7">
      <c r="B13" s="2277"/>
      <c r="C13" s="2268"/>
      <c r="D13" s="2277"/>
      <c r="E13" s="2268"/>
      <c r="F13" s="2277"/>
    </row>
    <row r="14" spans="1:7">
      <c r="B14" s="2277"/>
      <c r="C14" s="2268"/>
      <c r="D14" s="2277"/>
      <c r="E14" s="2268"/>
      <c r="F14" s="2277"/>
    </row>
    <row r="15" spans="1:7">
      <c r="B15" s="2277"/>
      <c r="C15" s="2268"/>
      <c r="D15" s="2277"/>
      <c r="E15" s="2268"/>
      <c r="F15" s="2277"/>
    </row>
    <row r="16" spans="1:7">
      <c r="B16" s="2277"/>
      <c r="C16" s="2268"/>
      <c r="D16" s="2277"/>
      <c r="E16" s="2268"/>
      <c r="F16" s="2277"/>
    </row>
    <row r="17" spans="2:6">
      <c r="B17" s="2277"/>
      <c r="C17" s="2268"/>
      <c r="D17" s="2277"/>
      <c r="E17" s="2268"/>
      <c r="F17" s="2277"/>
    </row>
    <row r="18" spans="2:6">
      <c r="B18" s="2277"/>
      <c r="C18" s="2268"/>
      <c r="D18" s="2277"/>
      <c r="E18" s="2268"/>
      <c r="F18" s="2277"/>
    </row>
    <row r="19" spans="2:6">
      <c r="B19" s="2278"/>
      <c r="C19" s="2268"/>
      <c r="D19" s="2280"/>
      <c r="E19" s="2268"/>
      <c r="F19" s="2280"/>
    </row>
    <row r="20" spans="2:6">
      <c r="B20" s="2272" t="s">
        <v>2275</v>
      </c>
      <c r="C20" s="2269"/>
      <c r="D20" s="2281">
        <f>SUBTOTAL(9,D7:D19)</f>
        <v>-193956873.5</v>
      </c>
      <c r="E20" s="2282"/>
      <c r="F20" s="2281">
        <f>SUBTOTAL(9,F7:F19)</f>
        <v>-20973074</v>
      </c>
    </row>
    <row r="21" spans="2:6">
      <c r="D21" s="2403" t="s">
        <v>2268</v>
      </c>
      <c r="E21" s="2404"/>
      <c r="F21" s="2403" t="s">
        <v>2269</v>
      </c>
    </row>
  </sheetData>
  <mergeCells count="2">
    <mergeCell ref="A1:G1"/>
    <mergeCell ref="A2:G2"/>
  </mergeCell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91"/>
  <sheetViews>
    <sheetView showGridLines="0" workbookViewId="0">
      <selection activeCell="M11" sqref="M11"/>
    </sheetView>
  </sheetViews>
  <sheetFormatPr defaultRowHeight="12.75"/>
  <cols>
    <col min="1" max="1" width="5.7109375" style="2262" customWidth="1"/>
    <col min="2" max="2" width="4.7109375" style="2262" customWidth="1"/>
    <col min="3" max="3" width="2.7109375" style="2266" customWidth="1"/>
    <col min="4" max="4" width="12.7109375" style="2262" customWidth="1"/>
    <col min="5" max="5" width="4.7109375" style="2262" customWidth="1"/>
    <col min="6" max="6" width="10.7109375" style="2262" customWidth="1"/>
    <col min="7" max="7" width="2.7109375" style="2262" customWidth="1"/>
    <col min="8" max="8" width="12.7109375" style="2262" customWidth="1"/>
    <col min="9" max="9" width="2.7109375" style="2262" customWidth="1"/>
    <col min="10" max="10" width="12.7109375" style="2262" customWidth="1"/>
    <col min="11" max="11" width="4.7109375" style="2262" customWidth="1"/>
    <col min="12" max="12" width="10.7109375" style="2262" customWidth="1"/>
    <col min="13" max="13" width="2.7109375" style="2262" customWidth="1"/>
    <col min="14" max="14" width="12.7109375" style="2262" customWidth="1"/>
    <col min="15" max="15" width="2.7109375" style="2262" customWidth="1"/>
    <col min="16" max="16" width="12.7109375" style="2262" customWidth="1"/>
    <col min="17" max="17" width="4.7109375" style="2262" customWidth="1"/>
    <col min="18" max="18" width="10.7109375" style="2262" customWidth="1"/>
    <col min="19" max="19" width="2.7109375" style="2262" customWidth="1"/>
    <col min="20" max="20" width="12.7109375" style="2262" customWidth="1"/>
    <col min="21" max="21" width="2.7109375" style="2262" customWidth="1"/>
    <col min="22" max="22" width="12.7109375" style="2262" customWidth="1"/>
    <col min="23" max="23" width="4.7109375" style="2262" customWidth="1"/>
    <col min="24" max="24" width="10.7109375" style="2262" customWidth="1"/>
    <col min="25" max="25" width="2.7109375" style="2262" customWidth="1"/>
    <col min="26" max="26" width="12.7109375" style="2262" customWidth="1"/>
    <col min="27" max="27" width="2.7109375" style="2262" customWidth="1"/>
    <col min="28" max="28" width="12.7109375" style="2262" customWidth="1"/>
    <col min="29" max="29" width="4.7109375" style="2262" customWidth="1"/>
    <col min="30" max="30" width="18.7109375" style="2262" customWidth="1"/>
    <col min="31" max="31" width="2.7109375" style="2262" customWidth="1"/>
    <col min="32" max="32" width="15.7109375" style="2262" customWidth="1"/>
    <col min="33" max="33" width="2.7109375" style="2262" customWidth="1"/>
    <col min="34" max="34" width="18.42578125" style="2262" customWidth="1"/>
    <col min="35" max="35" width="5.7109375" style="2262" customWidth="1"/>
    <col min="36" max="16384" width="9.140625" style="2262"/>
  </cols>
  <sheetData>
    <row r="1" spans="2:34" ht="15">
      <c r="B1" s="2321" t="s">
        <v>2</v>
      </c>
      <c r="C1" s="2322"/>
      <c r="D1" s="2323"/>
      <c r="E1" s="2323"/>
      <c r="F1" s="2323"/>
      <c r="G1" s="2323"/>
      <c r="H1" s="2323"/>
      <c r="I1" s="2323"/>
      <c r="J1" s="2323"/>
      <c r="K1" s="2323"/>
      <c r="L1" s="2323"/>
      <c r="M1" s="2323"/>
      <c r="N1" s="2323"/>
      <c r="O1" s="2323"/>
      <c r="P1" s="2323"/>
      <c r="Q1" s="2323"/>
      <c r="R1" s="2323"/>
      <c r="S1" s="2323"/>
      <c r="T1" s="2323"/>
      <c r="U1" s="2323"/>
      <c r="V1" s="2323"/>
      <c r="W1" s="2323"/>
      <c r="X1" s="2323"/>
      <c r="Y1" s="2323"/>
      <c r="Z1" s="2323"/>
      <c r="AA1" s="2323"/>
      <c r="AB1" s="2323"/>
      <c r="AC1" s="2323"/>
      <c r="AD1" s="2323"/>
      <c r="AE1" s="2323"/>
      <c r="AF1" s="2323"/>
      <c r="AG1" s="2323"/>
      <c r="AH1" s="2323"/>
    </row>
    <row r="2" spans="2:34" ht="15">
      <c r="B2" s="2321" t="s">
        <v>2274</v>
      </c>
      <c r="C2" s="2324"/>
      <c r="D2" s="2321"/>
      <c r="E2" s="2321"/>
      <c r="F2" s="2321"/>
      <c r="G2" s="2321"/>
      <c r="H2" s="2321"/>
      <c r="I2" s="2321"/>
      <c r="J2" s="2321"/>
      <c r="K2" s="2321"/>
      <c r="L2" s="2321"/>
      <c r="M2" s="2321"/>
      <c r="N2" s="2321"/>
      <c r="O2" s="2321"/>
      <c r="P2" s="2321"/>
      <c r="Q2" s="2321"/>
      <c r="R2" s="2321"/>
      <c r="S2" s="2321"/>
      <c r="T2" s="2321"/>
      <c r="U2" s="2321"/>
      <c r="V2" s="2321"/>
      <c r="W2" s="2321"/>
      <c r="X2" s="2321"/>
      <c r="Y2" s="2321"/>
      <c r="Z2" s="2321"/>
      <c r="AA2" s="2321"/>
      <c r="AB2" s="2321"/>
      <c r="AC2" s="2321"/>
      <c r="AD2" s="2321"/>
      <c r="AE2" s="2321"/>
      <c r="AF2" s="2321"/>
      <c r="AG2" s="2321"/>
      <c r="AH2" s="2321"/>
    </row>
    <row r="5" spans="2:34">
      <c r="B5" s="2264" t="s">
        <v>2288</v>
      </c>
      <c r="C5" s="2264"/>
      <c r="D5" s="2264"/>
      <c r="E5" s="2264"/>
      <c r="F5" s="2264"/>
      <c r="G5" s="2264"/>
      <c r="H5" s="2264"/>
      <c r="I5" s="2264"/>
      <c r="J5" s="2264"/>
      <c r="K5" s="2264"/>
      <c r="L5" s="2264"/>
      <c r="M5" s="2264"/>
      <c r="N5" s="2325"/>
      <c r="O5" s="2325"/>
      <c r="P5" s="2264"/>
      <c r="Q5" s="2264"/>
      <c r="R5" s="2264"/>
      <c r="S5" s="2264"/>
      <c r="T5" s="2325"/>
      <c r="U5" s="2325"/>
      <c r="V5" s="2264"/>
      <c r="W5" s="2264"/>
      <c r="X5" s="2264"/>
      <c r="Y5" s="2264"/>
      <c r="Z5" s="2325"/>
      <c r="AA5" s="2326"/>
      <c r="AB5" s="2327"/>
      <c r="AC5" s="2327"/>
      <c r="AD5" s="2327"/>
      <c r="AE5" s="2327"/>
      <c r="AF5" s="2327"/>
      <c r="AG5" s="2327"/>
      <c r="AH5" s="2327"/>
    </row>
    <row r="6" spans="2:34">
      <c r="B6" s="2328" t="s">
        <v>288</v>
      </c>
      <c r="C6" s="2328"/>
      <c r="D6" s="2328"/>
      <c r="E6" s="2328"/>
      <c r="F6" s="2328"/>
      <c r="G6" s="2328"/>
      <c r="H6" s="2328"/>
      <c r="I6" s="2328"/>
      <c r="J6" s="2328"/>
      <c r="K6" s="2329"/>
      <c r="L6" s="2328"/>
      <c r="M6" s="2328"/>
      <c r="N6" s="2329"/>
      <c r="O6" s="2329"/>
      <c r="P6" s="2330"/>
      <c r="Q6" s="2331"/>
      <c r="R6" s="2332"/>
      <c r="S6" s="2332"/>
      <c r="T6" s="2331"/>
      <c r="U6" s="2331"/>
      <c r="V6" s="2330"/>
      <c r="W6" s="2331"/>
      <c r="X6" s="2332"/>
      <c r="Y6" s="2332"/>
      <c r="Z6" s="2331"/>
      <c r="AB6" s="2265" t="s">
        <v>2179</v>
      </c>
      <c r="AD6" s="2265" t="s">
        <v>2180</v>
      </c>
      <c r="AF6" s="2265" t="s">
        <v>2181</v>
      </c>
      <c r="AH6" s="2265" t="s">
        <v>115</v>
      </c>
    </row>
    <row r="7" spans="2:34">
      <c r="B7" s="2333" t="s">
        <v>2182</v>
      </c>
      <c r="C7" s="2333"/>
      <c r="D7" s="2333"/>
      <c r="E7" s="2333"/>
      <c r="F7" s="2333"/>
      <c r="G7" s="2333"/>
      <c r="H7" s="2333"/>
      <c r="I7" s="2333"/>
      <c r="J7" s="2333"/>
      <c r="K7" s="2333"/>
      <c r="L7" s="2333"/>
      <c r="M7" s="2333"/>
      <c r="N7" s="2333"/>
      <c r="O7" s="2333"/>
      <c r="P7" s="2334"/>
      <c r="Q7" s="2335"/>
      <c r="R7" s="2335"/>
      <c r="S7" s="2335"/>
      <c r="T7" s="2335"/>
      <c r="U7" s="2335"/>
      <c r="V7" s="2334"/>
      <c r="W7" s="2335"/>
      <c r="X7" s="2335"/>
      <c r="Y7" s="2335"/>
      <c r="Z7" s="2335"/>
      <c r="AB7" s="2336">
        <v>190</v>
      </c>
      <c r="AD7" s="2333">
        <v>0</v>
      </c>
      <c r="AF7" s="2333">
        <v>62966200</v>
      </c>
      <c r="AH7" s="2333">
        <f>AD7+AF7</f>
        <v>62966200</v>
      </c>
    </row>
    <row r="8" spans="2:34">
      <c r="B8" s="2337" t="s">
        <v>2183</v>
      </c>
      <c r="C8" s="2337"/>
      <c r="D8" s="2337"/>
      <c r="E8" s="2337"/>
      <c r="F8" s="2337"/>
      <c r="G8" s="2337"/>
      <c r="H8" s="2337"/>
      <c r="I8" s="2337"/>
      <c r="J8" s="2337"/>
      <c r="K8" s="2337"/>
      <c r="L8" s="2337"/>
      <c r="M8" s="2337"/>
      <c r="N8" s="2337"/>
      <c r="O8" s="2337"/>
      <c r="P8" s="2338"/>
      <c r="Q8" s="2339"/>
      <c r="R8" s="2339"/>
      <c r="S8" s="2339"/>
      <c r="T8" s="2339"/>
      <c r="U8" s="2339"/>
      <c r="V8" s="2338"/>
      <c r="W8" s="2339"/>
      <c r="X8" s="2339"/>
      <c r="Y8" s="2339"/>
      <c r="Z8" s="2339"/>
      <c r="AB8" s="2340">
        <v>281</v>
      </c>
      <c r="AD8" s="2337">
        <v>-93962897</v>
      </c>
      <c r="AF8" s="2337">
        <v>-5044376</v>
      </c>
      <c r="AH8" s="2337">
        <f t="shared" ref="AH8:AH10" si="0">AD8+AF8</f>
        <v>-99007273</v>
      </c>
    </row>
    <row r="9" spans="2:34">
      <c r="B9" s="2337" t="s">
        <v>2184</v>
      </c>
      <c r="C9" s="2337"/>
      <c r="D9" s="2337"/>
      <c r="E9" s="2337"/>
      <c r="F9" s="2337"/>
      <c r="G9" s="2337"/>
      <c r="H9" s="2337"/>
      <c r="I9" s="2337"/>
      <c r="J9" s="2337"/>
      <c r="K9" s="2337"/>
      <c r="L9" s="2337"/>
      <c r="M9" s="2337"/>
      <c r="N9" s="2337"/>
      <c r="O9" s="2337"/>
      <c r="P9" s="2338"/>
      <c r="Q9" s="2339"/>
      <c r="R9" s="2339"/>
      <c r="S9" s="2339"/>
      <c r="T9" s="2339"/>
      <c r="U9" s="2339"/>
      <c r="V9" s="2338"/>
      <c r="W9" s="2339"/>
      <c r="X9" s="2339"/>
      <c r="Y9" s="2339"/>
      <c r="Z9" s="2339"/>
      <c r="AB9" s="2340">
        <v>282</v>
      </c>
      <c r="AD9" s="2337">
        <v>-1222725846</v>
      </c>
      <c r="AF9" s="2337">
        <v>-366554185.70520997</v>
      </c>
      <c r="AH9" s="2337">
        <f t="shared" si="0"/>
        <v>-1589280031.70521</v>
      </c>
    </row>
    <row r="10" spans="2:34">
      <c r="B10" s="2341" t="s">
        <v>2185</v>
      </c>
      <c r="C10" s="2341"/>
      <c r="D10" s="2341"/>
      <c r="E10" s="2341"/>
      <c r="F10" s="2341"/>
      <c r="G10" s="2341"/>
      <c r="H10" s="2341"/>
      <c r="I10" s="2341"/>
      <c r="J10" s="2341"/>
      <c r="K10" s="2341"/>
      <c r="L10" s="2341"/>
      <c r="M10" s="2341"/>
      <c r="N10" s="2341"/>
      <c r="O10" s="2341"/>
      <c r="P10" s="2342"/>
      <c r="Q10" s="2343"/>
      <c r="R10" s="2343"/>
      <c r="S10" s="2343"/>
      <c r="T10" s="2343"/>
      <c r="U10" s="2343"/>
      <c r="V10" s="2342"/>
      <c r="W10" s="2343"/>
      <c r="X10" s="2343"/>
      <c r="Y10" s="2343"/>
      <c r="Z10" s="2343"/>
      <c r="AB10" s="2344">
        <v>283</v>
      </c>
      <c r="AD10" s="2341">
        <v>0</v>
      </c>
      <c r="AF10" s="2341">
        <v>-200352791</v>
      </c>
      <c r="AH10" s="2341">
        <f t="shared" si="0"/>
        <v>-200352791</v>
      </c>
    </row>
    <row r="11" spans="2:34">
      <c r="B11" s="2345" t="s">
        <v>2186</v>
      </c>
      <c r="C11" s="2345"/>
      <c r="D11" s="2345"/>
      <c r="E11" s="2345"/>
      <c r="F11" s="2345"/>
      <c r="G11" s="2345"/>
      <c r="H11" s="2345"/>
      <c r="I11" s="2345"/>
      <c r="J11" s="2345"/>
      <c r="K11" s="2345"/>
      <c r="L11" s="2345"/>
      <c r="M11" s="2345"/>
      <c r="N11" s="2333"/>
      <c r="O11" s="2333"/>
      <c r="P11" s="2346"/>
      <c r="Q11" s="2347"/>
      <c r="R11" s="2347"/>
      <c r="S11" s="2347"/>
      <c r="T11" s="2335"/>
      <c r="U11" s="2335"/>
      <c r="V11" s="2346"/>
      <c r="W11" s="2347"/>
      <c r="X11" s="2347"/>
      <c r="Y11" s="2347"/>
      <c r="Z11" s="2335"/>
      <c r="AB11" s="2400"/>
      <c r="AC11" s="2348"/>
      <c r="AD11" s="2345">
        <f>SUBTOTAL(9,AD7:AD10)</f>
        <v>-1316688743</v>
      </c>
      <c r="AE11" s="2348"/>
      <c r="AF11" s="2345">
        <f>SUBTOTAL(9,AF7:AF10)</f>
        <v>-508985152.70520997</v>
      </c>
      <c r="AG11" s="2348"/>
      <c r="AH11" s="2345">
        <f>SUBTOTAL(9,AH7:AH10)</f>
        <v>-1825673895.70521</v>
      </c>
    </row>
    <row r="12" spans="2:34">
      <c r="B12" s="2337" t="s">
        <v>2187</v>
      </c>
      <c r="C12" s="2337"/>
      <c r="D12" s="2337"/>
      <c r="E12" s="2337"/>
      <c r="F12" s="2337"/>
      <c r="G12" s="2337"/>
      <c r="H12" s="2337"/>
      <c r="I12" s="2337"/>
      <c r="J12" s="2337"/>
      <c r="K12" s="2337"/>
      <c r="L12" s="2337"/>
      <c r="M12" s="2337"/>
      <c r="N12" s="2337"/>
      <c r="O12" s="2337"/>
      <c r="P12" s="2349"/>
      <c r="Q12" s="2339"/>
      <c r="R12" s="2339"/>
      <c r="S12" s="2339"/>
      <c r="T12" s="2339"/>
      <c r="U12" s="2339"/>
      <c r="V12" s="2349"/>
      <c r="W12" s="2339"/>
      <c r="X12" s="2339"/>
      <c r="Y12" s="2339"/>
      <c r="Z12" s="2339"/>
      <c r="AB12" s="2350">
        <v>182</v>
      </c>
      <c r="AD12" s="2337">
        <v>0</v>
      </c>
      <c r="AF12" s="2337">
        <v>190117955</v>
      </c>
      <c r="AH12" s="2337">
        <f t="shared" ref="AH12:AH15" si="1">AD12+AF12</f>
        <v>190117955</v>
      </c>
    </row>
    <row r="13" spans="2:34">
      <c r="B13" s="2341" t="s">
        <v>2188</v>
      </c>
      <c r="C13" s="2341"/>
      <c r="D13" s="2341"/>
      <c r="E13" s="2341"/>
      <c r="F13" s="2341"/>
      <c r="G13" s="2341"/>
      <c r="H13" s="2341"/>
      <c r="I13" s="2341"/>
      <c r="J13" s="2341"/>
      <c r="K13" s="2341"/>
      <c r="L13" s="2341"/>
      <c r="M13" s="2341"/>
      <c r="N13" s="2341"/>
      <c r="O13" s="2341"/>
      <c r="P13" s="2351"/>
      <c r="Q13" s="2343"/>
      <c r="R13" s="2343"/>
      <c r="S13" s="2343"/>
      <c r="T13" s="2343"/>
      <c r="U13" s="2343"/>
      <c r="V13" s="2351"/>
      <c r="W13" s="2343"/>
      <c r="X13" s="2343"/>
      <c r="Y13" s="2343"/>
      <c r="Z13" s="2343"/>
      <c r="AB13" s="2352">
        <v>254</v>
      </c>
      <c r="AD13" s="2341">
        <v>0</v>
      </c>
      <c r="AF13" s="2341">
        <v>-195393</v>
      </c>
      <c r="AH13" s="2341">
        <f t="shared" si="1"/>
        <v>-195393</v>
      </c>
    </row>
    <row r="14" spans="2:34">
      <c r="B14" s="2345" t="s">
        <v>2189</v>
      </c>
      <c r="C14" s="2345"/>
      <c r="D14" s="2345"/>
      <c r="E14" s="2345"/>
      <c r="F14" s="2345"/>
      <c r="G14" s="2345"/>
      <c r="H14" s="2345"/>
      <c r="I14" s="2345"/>
      <c r="J14" s="2345"/>
      <c r="K14" s="2345"/>
      <c r="L14" s="2345"/>
      <c r="M14" s="2345"/>
      <c r="N14" s="2333"/>
      <c r="O14" s="2333"/>
      <c r="P14" s="2346"/>
      <c r="Q14" s="2347"/>
      <c r="R14" s="2347"/>
      <c r="S14" s="2347"/>
      <c r="T14" s="2335"/>
      <c r="U14" s="2335"/>
      <c r="V14" s="2346"/>
      <c r="W14" s="2347"/>
      <c r="X14" s="2347"/>
      <c r="Y14" s="2347"/>
      <c r="Z14" s="2335"/>
      <c r="AB14" s="2400"/>
      <c r="AC14" s="2348"/>
      <c r="AD14" s="2345">
        <f>SUBTOTAL(9,AD7:AD13)</f>
        <v>-1316688743</v>
      </c>
      <c r="AE14" s="2348"/>
      <c r="AF14" s="2345">
        <f>SUBTOTAL(9,AF7:AF13)</f>
        <v>-319062590.70520997</v>
      </c>
      <c r="AG14" s="2348"/>
      <c r="AH14" s="2345">
        <f>SUBTOTAL(9,AH7:AH13)</f>
        <v>-1635751333.70521</v>
      </c>
    </row>
    <row r="15" spans="2:34">
      <c r="B15" s="2341" t="s">
        <v>2190</v>
      </c>
      <c r="C15" s="2341"/>
      <c r="D15" s="2341"/>
      <c r="E15" s="2341"/>
      <c r="F15" s="2341"/>
      <c r="G15" s="2341"/>
      <c r="H15" s="2341"/>
      <c r="I15" s="2341"/>
      <c r="J15" s="2341"/>
      <c r="K15" s="2341"/>
      <c r="L15" s="2341"/>
      <c r="M15" s="2341"/>
      <c r="N15" s="2341"/>
      <c r="O15" s="2341"/>
      <c r="P15" s="2342"/>
      <c r="Q15" s="2343"/>
      <c r="R15" s="2343"/>
      <c r="S15" s="2343"/>
      <c r="T15" s="2343"/>
      <c r="U15" s="2343"/>
      <c r="V15" s="2342"/>
      <c r="W15" s="2343"/>
      <c r="X15" s="2343"/>
      <c r="Y15" s="2343"/>
      <c r="Z15" s="2343"/>
      <c r="AB15" s="2401"/>
      <c r="AD15" s="2341">
        <v>-429272131</v>
      </c>
      <c r="AF15" s="2341">
        <v>-104022062</v>
      </c>
      <c r="AH15" s="2341">
        <f t="shared" si="1"/>
        <v>-533294193</v>
      </c>
    </row>
    <row r="16" spans="2:34">
      <c r="B16" s="2328" t="s">
        <v>2191</v>
      </c>
      <c r="C16" s="2328"/>
      <c r="D16" s="2328"/>
      <c r="E16" s="2328"/>
      <c r="F16" s="2328"/>
      <c r="G16" s="2328"/>
      <c r="H16" s="2328"/>
      <c r="I16" s="2328"/>
      <c r="J16" s="2328"/>
      <c r="K16" s="2329"/>
      <c r="L16" s="2328"/>
      <c r="M16" s="2328"/>
      <c r="N16" s="2329"/>
      <c r="O16" s="2329"/>
      <c r="P16" s="2353"/>
      <c r="Q16" s="2331"/>
      <c r="R16" s="2332"/>
      <c r="S16" s="2332"/>
      <c r="T16" s="2331"/>
      <c r="U16" s="2331"/>
      <c r="V16" s="2353"/>
      <c r="W16" s="2331"/>
      <c r="X16" s="2332"/>
      <c r="Y16" s="2332"/>
      <c r="Z16" s="2331"/>
      <c r="AB16" s="2354">
        <v>254</v>
      </c>
      <c r="AD16" s="2328">
        <f>SUBTOTAL(9,AD7:AD15)</f>
        <v>-1745960874</v>
      </c>
      <c r="AF16" s="2328">
        <f>SUBTOTAL(9,AF7:AF15)</f>
        <v>-423084652.70520997</v>
      </c>
      <c r="AH16" s="2328">
        <f>SUBTOTAL(9,AH7:AH15)</f>
        <v>-2169045526.7052097</v>
      </c>
    </row>
    <row r="20" spans="2:35">
      <c r="B20" s="2264" t="s">
        <v>2289</v>
      </c>
      <c r="C20" s="2264"/>
      <c r="D20" s="2264"/>
      <c r="E20" s="2264"/>
      <c r="F20" s="2264"/>
      <c r="G20" s="2264"/>
      <c r="H20" s="2264"/>
      <c r="I20" s="2264"/>
      <c r="J20" s="2264"/>
      <c r="K20" s="2264"/>
      <c r="L20" s="2264"/>
      <c r="M20" s="2264"/>
      <c r="N20" s="2325"/>
      <c r="O20" s="2325"/>
      <c r="P20" s="2325"/>
      <c r="Q20" s="2264"/>
      <c r="R20" s="2264"/>
      <c r="S20" s="2264"/>
      <c r="T20" s="2325"/>
      <c r="U20" s="2325"/>
      <c r="V20" s="2325"/>
      <c r="W20" s="2264"/>
      <c r="X20" s="2264"/>
      <c r="Y20" s="2264"/>
      <c r="Z20" s="2325"/>
      <c r="AA20" s="2325"/>
      <c r="AB20" s="2325"/>
      <c r="AC20" s="2326"/>
      <c r="AD20" s="2327"/>
      <c r="AE20" s="2327"/>
      <c r="AF20" s="2327"/>
      <c r="AG20" s="2327"/>
      <c r="AH20" s="2327"/>
    </row>
    <row r="21" spans="2:35">
      <c r="B21" s="2328" t="s">
        <v>288</v>
      </c>
      <c r="C21" s="2328"/>
      <c r="D21" s="2328"/>
      <c r="E21" s="2328"/>
      <c r="F21" s="2328"/>
      <c r="G21" s="2328"/>
      <c r="H21" s="2328"/>
      <c r="I21" s="2328"/>
      <c r="J21" s="2328"/>
      <c r="K21" s="2329"/>
      <c r="L21" s="2328"/>
      <c r="M21" s="2328"/>
      <c r="N21" s="2329"/>
      <c r="O21" s="2329"/>
      <c r="P21" s="2329"/>
      <c r="Q21" s="2329"/>
      <c r="R21" s="2328"/>
      <c r="S21" s="2328"/>
      <c r="T21" s="2329"/>
      <c r="U21" s="2329"/>
      <c r="V21" s="2329"/>
      <c r="W21" s="2329"/>
      <c r="X21" s="2328"/>
      <c r="Y21" s="2328"/>
      <c r="Z21" s="2329"/>
      <c r="AA21" s="2329"/>
      <c r="AB21" s="2329"/>
      <c r="AD21" s="2265" t="s">
        <v>2180</v>
      </c>
      <c r="AF21" s="2265" t="s">
        <v>2181</v>
      </c>
      <c r="AH21" s="2265" t="s">
        <v>115</v>
      </c>
    </row>
    <row r="22" spans="2:35">
      <c r="B22" s="2333" t="s">
        <v>2144</v>
      </c>
      <c r="C22" s="2333"/>
      <c r="D22" s="2333"/>
      <c r="E22" s="2333"/>
      <c r="F22" s="2333"/>
      <c r="G22" s="2333"/>
      <c r="H22" s="2333"/>
      <c r="I22" s="2333"/>
      <c r="J22" s="2333"/>
      <c r="K22" s="2333"/>
      <c r="L22" s="2333"/>
      <c r="M22" s="2333"/>
      <c r="N22" s="2333"/>
      <c r="O22" s="2333"/>
      <c r="P22" s="2333"/>
      <c r="Q22" s="2333"/>
      <c r="R22" s="2333"/>
      <c r="S22" s="2333"/>
      <c r="T22" s="2333"/>
      <c r="U22" s="2333"/>
      <c r="V22" s="2333"/>
      <c r="W22" s="2333"/>
      <c r="X22" s="2333"/>
      <c r="Y22" s="2333"/>
      <c r="Z22" s="2333"/>
      <c r="AA22" s="2333"/>
      <c r="AB22" s="2333"/>
      <c r="AD22" s="2333">
        <v>-351666905</v>
      </c>
      <c r="AE22" s="2355" t="s">
        <v>234</v>
      </c>
      <c r="AF22" s="2333">
        <v>-57219915</v>
      </c>
      <c r="AG22" s="2356" t="s">
        <v>237</v>
      </c>
      <c r="AH22" s="2333">
        <f>AD22+AF22</f>
        <v>-408886820</v>
      </c>
      <c r="AI22" s="2273" t="s">
        <v>239</v>
      </c>
    </row>
    <row r="23" spans="2:35">
      <c r="B23" s="2341" t="s">
        <v>1142</v>
      </c>
      <c r="C23" s="2341"/>
      <c r="D23" s="2341"/>
      <c r="E23" s="2341"/>
      <c r="F23" s="2341"/>
      <c r="G23" s="2341"/>
      <c r="H23" s="2341"/>
      <c r="I23" s="2341"/>
      <c r="J23" s="2341"/>
      <c r="K23" s="2341"/>
      <c r="L23" s="2341"/>
      <c r="M23" s="2341"/>
      <c r="N23" s="2341"/>
      <c r="O23" s="2341"/>
      <c r="P23" s="2341"/>
      <c r="Q23" s="2341"/>
      <c r="R23" s="2341"/>
      <c r="S23" s="2341"/>
      <c r="T23" s="2341"/>
      <c r="U23" s="2341"/>
      <c r="V23" s="2341"/>
      <c r="W23" s="2341"/>
      <c r="X23" s="2341"/>
      <c r="Y23" s="2341"/>
      <c r="Z23" s="2341"/>
      <c r="AA23" s="2341"/>
      <c r="AB23" s="2341"/>
      <c r="AD23" s="2341">
        <v>-965021838</v>
      </c>
      <c r="AF23" s="2341">
        <v>-261842675.70520997</v>
      </c>
      <c r="AH23" s="2341">
        <f>AH14-AH22</f>
        <v>-1226864513.70521</v>
      </c>
    </row>
    <row r="24" spans="2:35">
      <c r="B24" s="2328" t="s">
        <v>2192</v>
      </c>
      <c r="C24" s="2328"/>
      <c r="D24" s="2328"/>
      <c r="E24" s="2328"/>
      <c r="F24" s="2328"/>
      <c r="G24" s="2328"/>
      <c r="H24" s="2328"/>
      <c r="I24" s="2328"/>
      <c r="J24" s="2328"/>
      <c r="K24" s="2328"/>
      <c r="L24" s="2328"/>
      <c r="M24" s="2328"/>
      <c r="N24" s="2329"/>
      <c r="O24" s="2329"/>
      <c r="P24" s="2329"/>
      <c r="Q24" s="2328"/>
      <c r="R24" s="2328"/>
      <c r="S24" s="2328"/>
      <c r="T24" s="2329"/>
      <c r="U24" s="2329"/>
      <c r="V24" s="2329"/>
      <c r="W24" s="2328"/>
      <c r="X24" s="2328"/>
      <c r="Y24" s="2328"/>
      <c r="Z24" s="2329"/>
      <c r="AA24" s="2329"/>
      <c r="AB24" s="2329"/>
      <c r="AD24" s="2328">
        <f>SUBTOTAL(9,AD22:AD23)</f>
        <v>-1316688743</v>
      </c>
      <c r="AE24" s="2348"/>
      <c r="AF24" s="2328">
        <f>SUBTOTAL(9,AF22:AF23)</f>
        <v>-319062590.70520997</v>
      </c>
      <c r="AG24" s="2348"/>
      <c r="AH24" s="2328">
        <f>SUBTOTAL(9,AH22:AH23)</f>
        <v>-1635751333.70521</v>
      </c>
    </row>
    <row r="26" spans="2:35">
      <c r="B26" s="2273" t="s">
        <v>234</v>
      </c>
      <c r="C26" s="503" t="s">
        <v>2193</v>
      </c>
    </row>
    <row r="27" spans="2:35">
      <c r="B27" s="2273" t="s">
        <v>237</v>
      </c>
      <c r="C27" s="503" t="s">
        <v>2194</v>
      </c>
    </row>
    <row r="28" spans="2:35">
      <c r="B28" s="2273" t="s">
        <v>239</v>
      </c>
      <c r="C28" s="2274" t="s">
        <v>2282</v>
      </c>
    </row>
    <row r="31" spans="2:35">
      <c r="B31" s="2357" t="s">
        <v>2290</v>
      </c>
      <c r="C31" s="2327"/>
      <c r="D31" s="2327"/>
      <c r="E31" s="2327"/>
      <c r="F31" s="2327"/>
      <c r="G31" s="2327"/>
      <c r="H31" s="2327"/>
      <c r="I31" s="2327"/>
      <c r="J31" s="2327"/>
      <c r="K31" s="2327"/>
      <c r="L31" s="2327"/>
      <c r="M31" s="2327"/>
      <c r="N31" s="2327"/>
      <c r="O31" s="2327"/>
      <c r="P31" s="2327"/>
      <c r="Q31" s="2327"/>
      <c r="R31" s="2327"/>
      <c r="S31" s="2327"/>
      <c r="T31" s="2327"/>
      <c r="U31" s="2327"/>
      <c r="V31" s="2327"/>
      <c r="W31" s="2327"/>
      <c r="X31" s="2327"/>
      <c r="Y31" s="2327"/>
      <c r="Z31" s="2327"/>
      <c r="AA31" s="2327"/>
      <c r="AB31" s="2327"/>
      <c r="AC31" s="2327"/>
      <c r="AD31" s="2327"/>
      <c r="AE31" s="2327"/>
      <c r="AF31" s="2327"/>
      <c r="AG31" s="2327"/>
      <c r="AH31" s="2327"/>
    </row>
    <row r="32" spans="2:35">
      <c r="B32" s="2358" t="s">
        <v>2144</v>
      </c>
      <c r="C32" s="2359"/>
      <c r="D32" s="2359"/>
      <c r="E32" s="2359"/>
      <c r="F32" s="2359"/>
      <c r="G32" s="2359"/>
      <c r="H32" s="2359"/>
      <c r="I32" s="2358"/>
      <c r="J32" s="2358"/>
      <c r="K32" s="2358"/>
      <c r="L32" s="2359"/>
      <c r="M32" s="2359"/>
      <c r="N32" s="2358"/>
      <c r="O32" s="2358"/>
      <c r="P32" s="2358"/>
      <c r="Q32" s="2358"/>
      <c r="R32" s="2359"/>
      <c r="S32" s="2359"/>
      <c r="T32" s="2358"/>
      <c r="U32" s="2358"/>
      <c r="V32" s="2358"/>
      <c r="W32" s="2358"/>
      <c r="X32" s="2359"/>
      <c r="Y32" s="2359"/>
      <c r="Z32" s="2358"/>
      <c r="AA32" s="2358"/>
      <c r="AB32" s="2358"/>
      <c r="AC32" s="2360"/>
      <c r="AD32" s="2275" t="s">
        <v>2195</v>
      </c>
      <c r="AE32" s="2303"/>
      <c r="AF32" s="2303"/>
      <c r="AG32" s="2303"/>
      <c r="AH32" s="2303"/>
    </row>
    <row r="33" spans="2:35">
      <c r="B33" s="2267"/>
      <c r="C33" s="2361"/>
      <c r="D33" s="2361"/>
      <c r="E33" s="2361"/>
      <c r="F33" s="2361"/>
      <c r="G33" s="2361"/>
      <c r="H33" s="2327" t="s">
        <v>2296</v>
      </c>
      <c r="I33" s="2327"/>
      <c r="J33" s="2327"/>
      <c r="K33" s="2327"/>
      <c r="L33" s="2327"/>
      <c r="M33" s="2327"/>
      <c r="N33" s="2327"/>
      <c r="O33" s="2327"/>
      <c r="P33" s="2327"/>
      <c r="Q33" s="2327"/>
      <c r="R33" s="2327"/>
      <c r="S33" s="2327"/>
      <c r="T33" s="2327"/>
      <c r="U33" s="2327"/>
      <c r="V33" s="2327"/>
      <c r="W33" s="2267"/>
      <c r="X33" s="2362"/>
      <c r="Y33" s="2361"/>
      <c r="Z33" s="2264"/>
      <c r="AA33" s="2264"/>
      <c r="AB33" s="2264"/>
      <c r="AC33" s="2360"/>
      <c r="AD33" s="2363"/>
      <c r="AE33" s="2364"/>
      <c r="AF33" s="2365" t="s">
        <v>2297</v>
      </c>
      <c r="AG33" s="2365"/>
      <c r="AH33" s="2365"/>
    </row>
    <row r="34" spans="2:35">
      <c r="D34" s="2266"/>
      <c r="F34" s="2366" t="s">
        <v>2196</v>
      </c>
      <c r="H34" s="2358" t="s">
        <v>369</v>
      </c>
      <c r="I34" s="2358"/>
      <c r="J34" s="2388"/>
      <c r="K34" s="2389"/>
      <c r="L34" s="2390" t="s">
        <v>2196</v>
      </c>
      <c r="M34" s="2391"/>
      <c r="N34" s="2388" t="s">
        <v>2298</v>
      </c>
      <c r="O34" s="2388"/>
      <c r="P34" s="2388"/>
      <c r="Q34" s="2389"/>
      <c r="R34" s="2390" t="s">
        <v>2196</v>
      </c>
      <c r="S34" s="2391"/>
      <c r="T34" s="2388" t="s">
        <v>1606</v>
      </c>
      <c r="U34" s="2388"/>
      <c r="V34" s="2388"/>
      <c r="W34" s="2389"/>
      <c r="X34" s="2390" t="s">
        <v>2196</v>
      </c>
      <c r="Y34" s="2391"/>
      <c r="Z34" s="2388" t="s">
        <v>2299</v>
      </c>
      <c r="AA34" s="2388"/>
      <c r="AB34" s="2388"/>
      <c r="AC34" s="2392"/>
      <c r="AD34" s="2393" t="s">
        <v>2261</v>
      </c>
      <c r="AE34" s="2394"/>
      <c r="AF34" s="2395" t="s">
        <v>2300</v>
      </c>
      <c r="AG34" s="2302"/>
      <c r="AH34" s="2395"/>
    </row>
    <row r="35" spans="2:35">
      <c r="D35" s="2266"/>
      <c r="F35" s="2366" t="s">
        <v>2197</v>
      </c>
      <c r="G35" s="2391"/>
      <c r="H35" s="2399">
        <v>-344474995</v>
      </c>
      <c r="I35" s="2399"/>
      <c r="J35" s="2399"/>
      <c r="K35" s="2391"/>
      <c r="L35" s="2390" t="s">
        <v>2197</v>
      </c>
      <c r="M35" s="2391"/>
      <c r="N35" s="2399">
        <v>-5796735</v>
      </c>
      <c r="O35" s="2399"/>
      <c r="P35" s="2399"/>
      <c r="Q35" s="2391"/>
      <c r="R35" s="2390" t="s">
        <v>2197</v>
      </c>
      <c r="S35" s="2402"/>
      <c r="T35" s="2399">
        <v>-1395176</v>
      </c>
      <c r="U35" s="2399"/>
      <c r="V35" s="2399"/>
      <c r="W35" s="2391"/>
      <c r="X35" s="2390" t="s">
        <v>2197</v>
      </c>
      <c r="Y35" s="2391"/>
      <c r="Z35" s="2399">
        <v>-57219915</v>
      </c>
      <c r="AA35" s="2399"/>
      <c r="AB35" s="2399"/>
      <c r="AC35" s="2396"/>
      <c r="AD35" s="2397" t="s">
        <v>2262</v>
      </c>
      <c r="AE35" s="2394"/>
      <c r="AF35" s="503"/>
      <c r="AG35" s="503"/>
      <c r="AH35" s="2397" t="s">
        <v>1093</v>
      </c>
    </row>
    <row r="36" spans="2:35">
      <c r="B36" s="2367" t="s">
        <v>2198</v>
      </c>
      <c r="D36" s="2265" t="s">
        <v>1017</v>
      </c>
      <c r="F36" s="2366" t="s">
        <v>1258</v>
      </c>
      <c r="H36" s="2368" t="s">
        <v>2199</v>
      </c>
      <c r="I36" s="2366" t="s">
        <v>179</v>
      </c>
      <c r="J36" s="2368" t="s">
        <v>2200</v>
      </c>
      <c r="L36" s="2366" t="s">
        <v>1258</v>
      </c>
      <c r="N36" s="2368" t="s">
        <v>2199</v>
      </c>
      <c r="O36" s="2366" t="s">
        <v>179</v>
      </c>
      <c r="P36" s="2368" t="s">
        <v>2200</v>
      </c>
      <c r="R36" s="2366" t="s">
        <v>1258</v>
      </c>
      <c r="T36" s="2368" t="s">
        <v>2199</v>
      </c>
      <c r="U36" s="2366" t="s">
        <v>179</v>
      </c>
      <c r="V36" s="2368" t="s">
        <v>2200</v>
      </c>
      <c r="X36" s="2366" t="s">
        <v>1258</v>
      </c>
      <c r="Z36" s="2368" t="s">
        <v>2199</v>
      </c>
      <c r="AA36" s="2366" t="s">
        <v>179</v>
      </c>
      <c r="AB36" s="2368" t="s">
        <v>2200</v>
      </c>
      <c r="AD36" s="2398" t="s">
        <v>2263</v>
      </c>
      <c r="AE36" s="2394"/>
      <c r="AF36" s="2397" t="s">
        <v>2200</v>
      </c>
      <c r="AG36" s="503"/>
      <c r="AH36" s="2398" t="s">
        <v>2263</v>
      </c>
    </row>
    <row r="37" spans="2:35">
      <c r="B37" s="2369">
        <v>1</v>
      </c>
      <c r="D37" s="2370" t="s">
        <v>2201</v>
      </c>
      <c r="F37" s="2371">
        <v>46</v>
      </c>
      <c r="H37" s="2372">
        <f>ROUND($H$35/F37,0)</f>
        <v>-7488587</v>
      </c>
      <c r="J37" s="2372">
        <f>H35-H37</f>
        <v>-336986408</v>
      </c>
      <c r="L37" s="2371">
        <v>15.9</v>
      </c>
      <c r="N37" s="2372">
        <f>ROUND($N$35/L37,0)</f>
        <v>-364575</v>
      </c>
      <c r="P37" s="2372">
        <f>N35-N37</f>
        <v>-5432160</v>
      </c>
      <c r="R37" s="2371">
        <v>15.9</v>
      </c>
      <c r="T37" s="2372">
        <f>ROUND($T$35/R37,0)</f>
        <v>-87747</v>
      </c>
      <c r="V37" s="2372">
        <f>T35-T37</f>
        <v>-1307429</v>
      </c>
      <c r="X37" s="2371">
        <v>5</v>
      </c>
      <c r="Z37" s="2372">
        <f>-H37-N37-T37</f>
        <v>7940909</v>
      </c>
      <c r="AB37" s="2372">
        <f>Z35-Z37</f>
        <v>-65160824</v>
      </c>
      <c r="AD37" s="2372">
        <f t="shared" ref="AD37:AD87" si="2">H37+N37+T37+Z37</f>
        <v>0</v>
      </c>
      <c r="AF37" s="2372">
        <f>J37++P37+V37+AB37</f>
        <v>-408886821</v>
      </c>
      <c r="AH37" s="2372">
        <v>0</v>
      </c>
      <c r="AI37" s="2273" t="s">
        <v>240</v>
      </c>
    </row>
    <row r="38" spans="2:35">
      <c r="B38" s="2373">
        <v>2</v>
      </c>
      <c r="D38" s="2374" t="s">
        <v>2202</v>
      </c>
      <c r="F38" s="2375">
        <v>46</v>
      </c>
      <c r="H38" s="2277">
        <f>ROUND($H$35/F38,0)</f>
        <v>-7488587</v>
      </c>
      <c r="J38" s="2277">
        <f>J37-H38</f>
        <v>-329497821</v>
      </c>
      <c r="L38" s="2375">
        <v>15.9</v>
      </c>
      <c r="N38" s="2277">
        <f>ROUND($N$35/L38,0)</f>
        <v>-364575</v>
      </c>
      <c r="P38" s="2277">
        <f>P37-N38</f>
        <v>-5067585</v>
      </c>
      <c r="R38" s="2375">
        <v>15.9</v>
      </c>
      <c r="T38" s="2277">
        <f t="shared" ref="T38:T53" si="3">ROUND($T$35/R38,0)</f>
        <v>-87747</v>
      </c>
      <c r="V38" s="2277">
        <f>V37-T38</f>
        <v>-1219682</v>
      </c>
      <c r="X38" s="2375">
        <v>5</v>
      </c>
      <c r="Z38" s="2277">
        <f>ROUND($AB$37/5,0)</f>
        <v>-13032165</v>
      </c>
      <c r="AB38" s="2277">
        <f>AB37-Z38</f>
        <v>-52128659</v>
      </c>
      <c r="AD38" s="2277">
        <f t="shared" si="2"/>
        <v>-20973074</v>
      </c>
      <c r="AF38" s="2277">
        <f>AF37-AD38</f>
        <v>-387913747</v>
      </c>
      <c r="AH38" s="2277">
        <f>AVERAGE(AD37,AF38)</f>
        <v>-193956873.5</v>
      </c>
      <c r="AI38" s="2273" t="s">
        <v>242</v>
      </c>
    </row>
    <row r="39" spans="2:35">
      <c r="B39" s="2373">
        <v>3</v>
      </c>
      <c r="D39" s="2374" t="s">
        <v>2203</v>
      </c>
      <c r="F39" s="2375">
        <v>46</v>
      </c>
      <c r="H39" s="2277">
        <f>ROUND($H$35/F39,0)</f>
        <v>-7488587</v>
      </c>
      <c r="J39" s="2277">
        <f>J38-H39</f>
        <v>-322009234</v>
      </c>
      <c r="L39" s="2375">
        <v>15.9</v>
      </c>
      <c r="N39" s="2277">
        <f t="shared" ref="N39:N53" si="4">ROUND($N$35/L39,0)</f>
        <v>-364575</v>
      </c>
      <c r="P39" s="2277">
        <f t="shared" ref="P39:P87" si="5">P38-N39</f>
        <v>-4703010</v>
      </c>
      <c r="R39" s="2375">
        <v>15.9</v>
      </c>
      <c r="T39" s="2277">
        <f t="shared" si="3"/>
        <v>-87747</v>
      </c>
      <c r="V39" s="2277">
        <f t="shared" ref="V39:V87" si="6">V38-T39</f>
        <v>-1131935</v>
      </c>
      <c r="X39" s="2375">
        <v>5</v>
      </c>
      <c r="Z39" s="2277">
        <f t="shared" ref="Z39:Z41" si="7">ROUND($AB$37/5,0)</f>
        <v>-13032165</v>
      </c>
      <c r="AB39" s="2277">
        <f t="shared" ref="AB39:AB87" si="8">AB38-Z39</f>
        <v>-39096494</v>
      </c>
      <c r="AD39" s="2277">
        <f t="shared" si="2"/>
        <v>-20973074</v>
      </c>
      <c r="AF39" s="2277">
        <f t="shared" ref="AF39:AF87" si="9">AF38-AD39</f>
        <v>-366940673</v>
      </c>
      <c r="AH39" s="2277">
        <f>AVERAGE(AF38:AF39)</f>
        <v>-377427210</v>
      </c>
    </row>
    <row r="40" spans="2:35">
      <c r="B40" s="2373">
        <v>4</v>
      </c>
      <c r="D40" s="2374" t="s">
        <v>2204</v>
      </c>
      <c r="F40" s="2375">
        <v>50.4</v>
      </c>
      <c r="H40" s="2277">
        <f t="shared" ref="H40:H86" si="10">ROUND($H$35/F40,0)</f>
        <v>-6834821</v>
      </c>
      <c r="J40" s="2277">
        <f>J39-H40</f>
        <v>-315174413</v>
      </c>
      <c r="L40" s="2375">
        <v>17.8</v>
      </c>
      <c r="N40" s="2277">
        <f t="shared" si="4"/>
        <v>-325659</v>
      </c>
      <c r="P40" s="2277">
        <f t="shared" si="5"/>
        <v>-4377351</v>
      </c>
      <c r="R40" s="2375">
        <v>17.8</v>
      </c>
      <c r="T40" s="2277">
        <f t="shared" si="3"/>
        <v>-78381</v>
      </c>
      <c r="V40" s="2277">
        <f t="shared" si="6"/>
        <v>-1053554</v>
      </c>
      <c r="X40" s="2375">
        <v>5</v>
      </c>
      <c r="Z40" s="2277">
        <f t="shared" si="7"/>
        <v>-13032165</v>
      </c>
      <c r="AB40" s="2277">
        <f t="shared" si="8"/>
        <v>-26064329</v>
      </c>
      <c r="AD40" s="2277">
        <f t="shared" si="2"/>
        <v>-20271026</v>
      </c>
      <c r="AF40" s="2277">
        <f t="shared" si="9"/>
        <v>-346669647</v>
      </c>
      <c r="AH40" s="2277">
        <f>AVERAGE(AF39:AF40)</f>
        <v>-356805160</v>
      </c>
    </row>
    <row r="41" spans="2:35">
      <c r="B41" s="2373">
        <v>5</v>
      </c>
      <c r="D41" s="2374" t="s">
        <v>2205</v>
      </c>
      <c r="F41" s="2375">
        <v>50.4</v>
      </c>
      <c r="H41" s="2277">
        <f t="shared" si="10"/>
        <v>-6834821</v>
      </c>
      <c r="J41" s="2277">
        <f>J40-H41</f>
        <v>-308339592</v>
      </c>
      <c r="L41" s="2375">
        <v>17.8</v>
      </c>
      <c r="N41" s="2277">
        <f t="shared" si="4"/>
        <v>-325659</v>
      </c>
      <c r="P41" s="2277">
        <f t="shared" si="5"/>
        <v>-4051692</v>
      </c>
      <c r="R41" s="2375">
        <v>17.8</v>
      </c>
      <c r="T41" s="2277">
        <f t="shared" si="3"/>
        <v>-78381</v>
      </c>
      <c r="V41" s="2277">
        <f t="shared" si="6"/>
        <v>-975173</v>
      </c>
      <c r="X41" s="2375">
        <v>5</v>
      </c>
      <c r="Z41" s="2277">
        <f t="shared" si="7"/>
        <v>-13032165</v>
      </c>
      <c r="AB41" s="2277">
        <f t="shared" si="8"/>
        <v>-13032164</v>
      </c>
      <c r="AD41" s="2277">
        <f t="shared" si="2"/>
        <v>-20271026</v>
      </c>
      <c r="AF41" s="2277">
        <f t="shared" si="9"/>
        <v>-326398621</v>
      </c>
      <c r="AH41" s="2277">
        <f t="shared" ref="AH41:AH87" si="11">AVERAGE(AF40:AF41)</f>
        <v>-336534134</v>
      </c>
    </row>
    <row r="42" spans="2:35">
      <c r="B42" s="2373">
        <v>6</v>
      </c>
      <c r="D42" s="2374" t="s">
        <v>2206</v>
      </c>
      <c r="F42" s="2375">
        <v>50.4</v>
      </c>
      <c r="H42" s="2277">
        <f t="shared" si="10"/>
        <v>-6834821</v>
      </c>
      <c r="J42" s="2277">
        <f t="shared" ref="J42:J87" si="12">J41-H42</f>
        <v>-301504771</v>
      </c>
      <c r="L42" s="2375">
        <v>17.8</v>
      </c>
      <c r="N42" s="2277">
        <f t="shared" si="4"/>
        <v>-325659</v>
      </c>
      <c r="P42" s="2277">
        <f t="shared" si="5"/>
        <v>-3726033</v>
      </c>
      <c r="R42" s="2375">
        <v>17.8</v>
      </c>
      <c r="T42" s="2277">
        <f t="shared" si="3"/>
        <v>-78381</v>
      </c>
      <c r="V42" s="2277">
        <f t="shared" si="6"/>
        <v>-896792</v>
      </c>
      <c r="X42" s="2375">
        <v>5</v>
      </c>
      <c r="Z42" s="2277">
        <f>ROUND($AB$37/5,0)+1</f>
        <v>-13032164</v>
      </c>
      <c r="AB42" s="2277">
        <f t="shared" si="8"/>
        <v>0</v>
      </c>
      <c r="AD42" s="2277">
        <f t="shared" si="2"/>
        <v>-20271025</v>
      </c>
      <c r="AF42" s="2277">
        <f t="shared" si="9"/>
        <v>-306127596</v>
      </c>
      <c r="AH42" s="2277">
        <f t="shared" si="11"/>
        <v>-316263108.5</v>
      </c>
    </row>
    <row r="43" spans="2:35">
      <c r="B43" s="2373">
        <v>7</v>
      </c>
      <c r="D43" s="2374" t="s">
        <v>2207</v>
      </c>
      <c r="F43" s="2375">
        <v>50.4</v>
      </c>
      <c r="H43" s="2277">
        <f t="shared" si="10"/>
        <v>-6834821</v>
      </c>
      <c r="J43" s="2277">
        <f t="shared" si="12"/>
        <v>-294669950</v>
      </c>
      <c r="L43" s="2375">
        <v>17.8</v>
      </c>
      <c r="N43" s="2277">
        <f t="shared" si="4"/>
        <v>-325659</v>
      </c>
      <c r="P43" s="2277">
        <f t="shared" si="5"/>
        <v>-3400374</v>
      </c>
      <c r="R43" s="2375">
        <v>17.8</v>
      </c>
      <c r="T43" s="2277">
        <f t="shared" si="3"/>
        <v>-78381</v>
      </c>
      <c r="V43" s="2277">
        <f t="shared" si="6"/>
        <v>-818411</v>
      </c>
      <c r="X43" s="2375" t="s">
        <v>2301</v>
      </c>
      <c r="Z43" s="2277">
        <v>0</v>
      </c>
      <c r="AB43" s="2277">
        <f t="shared" si="8"/>
        <v>0</v>
      </c>
      <c r="AD43" s="2277">
        <f t="shared" si="2"/>
        <v>-7238861</v>
      </c>
      <c r="AF43" s="2277">
        <f t="shared" si="9"/>
        <v>-298888735</v>
      </c>
      <c r="AH43" s="2277">
        <f t="shared" si="11"/>
        <v>-302508165.5</v>
      </c>
    </row>
    <row r="44" spans="2:35">
      <c r="B44" s="2373">
        <v>8</v>
      </c>
      <c r="D44" s="2374" t="s">
        <v>2208</v>
      </c>
      <c r="F44" s="2375">
        <v>50.4</v>
      </c>
      <c r="H44" s="2277">
        <f t="shared" si="10"/>
        <v>-6834821</v>
      </c>
      <c r="J44" s="2277">
        <f t="shared" si="12"/>
        <v>-287835129</v>
      </c>
      <c r="L44" s="2375">
        <v>17.8</v>
      </c>
      <c r="N44" s="2277">
        <f t="shared" si="4"/>
        <v>-325659</v>
      </c>
      <c r="P44" s="2277">
        <f t="shared" si="5"/>
        <v>-3074715</v>
      </c>
      <c r="R44" s="2375">
        <v>17.8</v>
      </c>
      <c r="T44" s="2277">
        <f t="shared" si="3"/>
        <v>-78381</v>
      </c>
      <c r="V44" s="2277">
        <f t="shared" si="6"/>
        <v>-740030</v>
      </c>
      <c r="X44" s="2375" t="s">
        <v>2301</v>
      </c>
      <c r="Z44" s="2277">
        <v>0</v>
      </c>
      <c r="AB44" s="2277">
        <f t="shared" si="8"/>
        <v>0</v>
      </c>
      <c r="AD44" s="2277">
        <f t="shared" si="2"/>
        <v>-7238861</v>
      </c>
      <c r="AF44" s="2277">
        <f t="shared" si="9"/>
        <v>-291649874</v>
      </c>
      <c r="AH44" s="2277">
        <f t="shared" si="11"/>
        <v>-295269304.5</v>
      </c>
    </row>
    <row r="45" spans="2:35">
      <c r="B45" s="2373">
        <v>9</v>
      </c>
      <c r="D45" s="2374" t="s">
        <v>2209</v>
      </c>
      <c r="F45" s="2375">
        <v>50.4</v>
      </c>
      <c r="H45" s="2277">
        <f t="shared" si="10"/>
        <v>-6834821</v>
      </c>
      <c r="J45" s="2277">
        <f t="shared" si="12"/>
        <v>-281000308</v>
      </c>
      <c r="L45" s="2375">
        <v>17.8</v>
      </c>
      <c r="N45" s="2277">
        <f t="shared" si="4"/>
        <v>-325659</v>
      </c>
      <c r="P45" s="2277">
        <f t="shared" si="5"/>
        <v>-2749056</v>
      </c>
      <c r="R45" s="2375">
        <v>17.8</v>
      </c>
      <c r="T45" s="2277">
        <f t="shared" si="3"/>
        <v>-78381</v>
      </c>
      <c r="V45" s="2277">
        <f t="shared" si="6"/>
        <v>-661649</v>
      </c>
      <c r="X45" s="2375" t="s">
        <v>2301</v>
      </c>
      <c r="Z45" s="2277">
        <v>0</v>
      </c>
      <c r="AB45" s="2277">
        <f t="shared" si="8"/>
        <v>0</v>
      </c>
      <c r="AD45" s="2277">
        <f t="shared" si="2"/>
        <v>-7238861</v>
      </c>
      <c r="AF45" s="2277">
        <f t="shared" si="9"/>
        <v>-284411013</v>
      </c>
      <c r="AH45" s="2277">
        <f t="shared" si="11"/>
        <v>-288030443.5</v>
      </c>
    </row>
    <row r="46" spans="2:35">
      <c r="B46" s="2373">
        <v>10</v>
      </c>
      <c r="D46" s="2374" t="s">
        <v>2210</v>
      </c>
      <c r="F46" s="2375">
        <v>50.4</v>
      </c>
      <c r="H46" s="2277">
        <f t="shared" si="10"/>
        <v>-6834821</v>
      </c>
      <c r="J46" s="2277">
        <f t="shared" si="12"/>
        <v>-274165487</v>
      </c>
      <c r="L46" s="2375">
        <v>17.8</v>
      </c>
      <c r="N46" s="2277">
        <f t="shared" si="4"/>
        <v>-325659</v>
      </c>
      <c r="P46" s="2277">
        <f t="shared" si="5"/>
        <v>-2423397</v>
      </c>
      <c r="R46" s="2375">
        <v>17.8</v>
      </c>
      <c r="T46" s="2277">
        <f t="shared" si="3"/>
        <v>-78381</v>
      </c>
      <c r="V46" s="2277">
        <f t="shared" si="6"/>
        <v>-583268</v>
      </c>
      <c r="X46" s="2375" t="s">
        <v>2301</v>
      </c>
      <c r="Z46" s="2277">
        <v>0</v>
      </c>
      <c r="AB46" s="2277">
        <f t="shared" si="8"/>
        <v>0</v>
      </c>
      <c r="AD46" s="2277">
        <f t="shared" si="2"/>
        <v>-7238861</v>
      </c>
      <c r="AF46" s="2277">
        <f t="shared" si="9"/>
        <v>-277172152</v>
      </c>
      <c r="AH46" s="2277">
        <f t="shared" si="11"/>
        <v>-280791582.5</v>
      </c>
    </row>
    <row r="47" spans="2:35">
      <c r="B47" s="2373">
        <v>11</v>
      </c>
      <c r="D47" s="2374" t="s">
        <v>2211</v>
      </c>
      <c r="F47" s="2375">
        <v>50.4</v>
      </c>
      <c r="H47" s="2277">
        <f t="shared" si="10"/>
        <v>-6834821</v>
      </c>
      <c r="J47" s="2277">
        <f t="shared" si="12"/>
        <v>-267330666</v>
      </c>
      <c r="L47" s="2375">
        <v>17.8</v>
      </c>
      <c r="N47" s="2277">
        <f t="shared" si="4"/>
        <v>-325659</v>
      </c>
      <c r="P47" s="2277">
        <f t="shared" si="5"/>
        <v>-2097738</v>
      </c>
      <c r="R47" s="2375">
        <v>17.8</v>
      </c>
      <c r="T47" s="2277">
        <f t="shared" si="3"/>
        <v>-78381</v>
      </c>
      <c r="V47" s="2277">
        <f t="shared" si="6"/>
        <v>-504887</v>
      </c>
      <c r="X47" s="2375" t="s">
        <v>2301</v>
      </c>
      <c r="Z47" s="2277">
        <v>0</v>
      </c>
      <c r="AB47" s="2277">
        <f t="shared" si="8"/>
        <v>0</v>
      </c>
      <c r="AD47" s="2277">
        <f t="shared" si="2"/>
        <v>-7238861</v>
      </c>
      <c r="AF47" s="2277">
        <f t="shared" si="9"/>
        <v>-269933291</v>
      </c>
      <c r="AH47" s="2277">
        <f t="shared" si="11"/>
        <v>-273552721.5</v>
      </c>
    </row>
    <row r="48" spans="2:35">
      <c r="B48" s="2373">
        <v>12</v>
      </c>
      <c r="D48" s="2374" t="s">
        <v>2212</v>
      </c>
      <c r="F48" s="2375">
        <v>50.4</v>
      </c>
      <c r="H48" s="2277">
        <f t="shared" si="10"/>
        <v>-6834821</v>
      </c>
      <c r="J48" s="2277">
        <f t="shared" si="12"/>
        <v>-260495845</v>
      </c>
      <c r="L48" s="2375">
        <v>17.8</v>
      </c>
      <c r="N48" s="2277">
        <f t="shared" si="4"/>
        <v>-325659</v>
      </c>
      <c r="P48" s="2277">
        <f t="shared" si="5"/>
        <v>-1772079</v>
      </c>
      <c r="R48" s="2375">
        <v>17.8</v>
      </c>
      <c r="T48" s="2277">
        <f t="shared" si="3"/>
        <v>-78381</v>
      </c>
      <c r="V48" s="2277">
        <f t="shared" si="6"/>
        <v>-426506</v>
      </c>
      <c r="X48" s="2375" t="s">
        <v>2301</v>
      </c>
      <c r="Z48" s="2277">
        <v>0</v>
      </c>
      <c r="AB48" s="2277">
        <f t="shared" si="8"/>
        <v>0</v>
      </c>
      <c r="AD48" s="2277">
        <f t="shared" si="2"/>
        <v>-7238861</v>
      </c>
      <c r="AF48" s="2277">
        <f t="shared" si="9"/>
        <v>-262694430</v>
      </c>
      <c r="AH48" s="2277">
        <f t="shared" si="11"/>
        <v>-266313860.5</v>
      </c>
    </row>
    <row r="49" spans="2:34">
      <c r="B49" s="2373">
        <v>13</v>
      </c>
      <c r="D49" s="2374" t="s">
        <v>2213</v>
      </c>
      <c r="F49" s="2375">
        <v>50.4</v>
      </c>
      <c r="H49" s="2277">
        <f t="shared" si="10"/>
        <v>-6834821</v>
      </c>
      <c r="J49" s="2277">
        <f t="shared" si="12"/>
        <v>-253661024</v>
      </c>
      <c r="L49" s="2375">
        <v>17.8</v>
      </c>
      <c r="N49" s="2277">
        <f t="shared" si="4"/>
        <v>-325659</v>
      </c>
      <c r="P49" s="2277">
        <f t="shared" si="5"/>
        <v>-1446420</v>
      </c>
      <c r="R49" s="2375">
        <v>17.8</v>
      </c>
      <c r="T49" s="2277">
        <f t="shared" si="3"/>
        <v>-78381</v>
      </c>
      <c r="V49" s="2277">
        <f t="shared" si="6"/>
        <v>-348125</v>
      </c>
      <c r="X49" s="2375" t="s">
        <v>2301</v>
      </c>
      <c r="Z49" s="2277">
        <v>0</v>
      </c>
      <c r="AB49" s="2277">
        <f t="shared" si="8"/>
        <v>0</v>
      </c>
      <c r="AD49" s="2277">
        <f t="shared" si="2"/>
        <v>-7238861</v>
      </c>
      <c r="AF49" s="2277">
        <f t="shared" si="9"/>
        <v>-255455569</v>
      </c>
      <c r="AH49" s="2277">
        <f t="shared" si="11"/>
        <v>-259074999.5</v>
      </c>
    </row>
    <row r="50" spans="2:34">
      <c r="B50" s="2373">
        <v>14</v>
      </c>
      <c r="D50" s="2374" t="s">
        <v>2214</v>
      </c>
      <c r="F50" s="2375">
        <v>50.4</v>
      </c>
      <c r="H50" s="2277">
        <f t="shared" si="10"/>
        <v>-6834821</v>
      </c>
      <c r="J50" s="2277">
        <f t="shared" si="12"/>
        <v>-246826203</v>
      </c>
      <c r="L50" s="2375">
        <v>17.8</v>
      </c>
      <c r="N50" s="2277">
        <f t="shared" si="4"/>
        <v>-325659</v>
      </c>
      <c r="P50" s="2277">
        <f t="shared" si="5"/>
        <v>-1120761</v>
      </c>
      <c r="R50" s="2375">
        <v>17.8</v>
      </c>
      <c r="T50" s="2277">
        <f t="shared" si="3"/>
        <v>-78381</v>
      </c>
      <c r="V50" s="2277">
        <f t="shared" si="6"/>
        <v>-269744</v>
      </c>
      <c r="X50" s="2375" t="s">
        <v>2301</v>
      </c>
      <c r="Z50" s="2277">
        <v>0</v>
      </c>
      <c r="AB50" s="2277">
        <f t="shared" si="8"/>
        <v>0</v>
      </c>
      <c r="AD50" s="2277">
        <f t="shared" si="2"/>
        <v>-7238861</v>
      </c>
      <c r="AF50" s="2277">
        <f t="shared" si="9"/>
        <v>-248216708</v>
      </c>
      <c r="AH50" s="2277">
        <f t="shared" si="11"/>
        <v>-251836138.5</v>
      </c>
    </row>
    <row r="51" spans="2:34">
      <c r="B51" s="2373">
        <v>15</v>
      </c>
      <c r="D51" s="2374" t="s">
        <v>2215</v>
      </c>
      <c r="F51" s="2375">
        <v>50.4</v>
      </c>
      <c r="H51" s="2277">
        <f t="shared" si="10"/>
        <v>-6834821</v>
      </c>
      <c r="J51" s="2277">
        <f t="shared" si="12"/>
        <v>-239991382</v>
      </c>
      <c r="L51" s="2375">
        <v>17.8</v>
      </c>
      <c r="N51" s="2277">
        <f t="shared" si="4"/>
        <v>-325659</v>
      </c>
      <c r="P51" s="2277">
        <f t="shared" si="5"/>
        <v>-795102</v>
      </c>
      <c r="R51" s="2375">
        <v>17.8</v>
      </c>
      <c r="T51" s="2277">
        <f t="shared" si="3"/>
        <v>-78381</v>
      </c>
      <c r="V51" s="2277">
        <f t="shared" si="6"/>
        <v>-191363</v>
      </c>
      <c r="X51" s="2375" t="s">
        <v>2301</v>
      </c>
      <c r="Z51" s="2277">
        <v>0</v>
      </c>
      <c r="AB51" s="2277">
        <f t="shared" si="8"/>
        <v>0</v>
      </c>
      <c r="AD51" s="2277">
        <f t="shared" si="2"/>
        <v>-7238861</v>
      </c>
      <c r="AF51" s="2277">
        <f t="shared" si="9"/>
        <v>-240977847</v>
      </c>
      <c r="AH51" s="2277">
        <f t="shared" si="11"/>
        <v>-244597277.5</v>
      </c>
    </row>
    <row r="52" spans="2:34">
      <c r="B52" s="2373">
        <v>16</v>
      </c>
      <c r="D52" s="2374" t="s">
        <v>2216</v>
      </c>
      <c r="F52" s="2375">
        <v>50.4</v>
      </c>
      <c r="H52" s="2277">
        <f t="shared" si="10"/>
        <v>-6834821</v>
      </c>
      <c r="J52" s="2277">
        <f t="shared" si="12"/>
        <v>-233156561</v>
      </c>
      <c r="L52" s="2375">
        <v>17.8</v>
      </c>
      <c r="N52" s="2277">
        <f t="shared" si="4"/>
        <v>-325659</v>
      </c>
      <c r="P52" s="2277">
        <f t="shared" si="5"/>
        <v>-469443</v>
      </c>
      <c r="R52" s="2375">
        <v>17.8</v>
      </c>
      <c r="T52" s="2277">
        <f t="shared" si="3"/>
        <v>-78381</v>
      </c>
      <c r="V52" s="2277">
        <f t="shared" si="6"/>
        <v>-112982</v>
      </c>
      <c r="X52" s="2375" t="s">
        <v>2301</v>
      </c>
      <c r="Z52" s="2277">
        <v>0</v>
      </c>
      <c r="AB52" s="2277">
        <f t="shared" si="8"/>
        <v>0</v>
      </c>
      <c r="AD52" s="2277">
        <f t="shared" si="2"/>
        <v>-7238861</v>
      </c>
      <c r="AF52" s="2277">
        <f t="shared" si="9"/>
        <v>-233738986</v>
      </c>
      <c r="AH52" s="2277">
        <f t="shared" si="11"/>
        <v>-237358416.5</v>
      </c>
    </row>
    <row r="53" spans="2:34">
      <c r="B53" s="2373">
        <v>17</v>
      </c>
      <c r="D53" s="2374" t="s">
        <v>2217</v>
      </c>
      <c r="F53" s="2375">
        <v>50.4</v>
      </c>
      <c r="H53" s="2277">
        <f t="shared" si="10"/>
        <v>-6834821</v>
      </c>
      <c r="J53" s="2277">
        <f t="shared" si="12"/>
        <v>-226321740</v>
      </c>
      <c r="L53" s="2375">
        <v>17.8</v>
      </c>
      <c r="N53" s="2277">
        <f t="shared" si="4"/>
        <v>-325659</v>
      </c>
      <c r="P53" s="2277">
        <f t="shared" si="5"/>
        <v>-143784</v>
      </c>
      <c r="R53" s="2375">
        <v>17.8</v>
      </c>
      <c r="T53" s="2277">
        <f t="shared" si="3"/>
        <v>-78381</v>
      </c>
      <c r="V53" s="2277">
        <f t="shared" si="6"/>
        <v>-34601</v>
      </c>
      <c r="X53" s="2375" t="s">
        <v>2301</v>
      </c>
      <c r="Z53" s="2277">
        <v>0</v>
      </c>
      <c r="AB53" s="2277">
        <f t="shared" si="8"/>
        <v>0</v>
      </c>
      <c r="AD53" s="2277">
        <f t="shared" si="2"/>
        <v>-7238861</v>
      </c>
      <c r="AF53" s="2277">
        <f t="shared" si="9"/>
        <v>-226500125</v>
      </c>
      <c r="AH53" s="2277">
        <f t="shared" si="11"/>
        <v>-230119555.5</v>
      </c>
    </row>
    <row r="54" spans="2:34">
      <c r="B54" s="2373">
        <v>18</v>
      </c>
      <c r="D54" s="2374" t="s">
        <v>2218</v>
      </c>
      <c r="F54" s="2375">
        <v>50.4</v>
      </c>
      <c r="H54" s="2277">
        <f t="shared" si="10"/>
        <v>-6834821</v>
      </c>
      <c r="J54" s="2277">
        <f t="shared" si="12"/>
        <v>-219486919</v>
      </c>
      <c r="L54" s="2375">
        <v>17.8</v>
      </c>
      <c r="N54" s="2277">
        <v>-143784</v>
      </c>
      <c r="P54" s="2277">
        <f t="shared" si="5"/>
        <v>0</v>
      </c>
      <c r="R54" s="2375">
        <v>17.8</v>
      </c>
      <c r="T54" s="2277">
        <v>-34601</v>
      </c>
      <c r="V54" s="2277">
        <f t="shared" si="6"/>
        <v>0</v>
      </c>
      <c r="X54" s="2375" t="s">
        <v>2301</v>
      </c>
      <c r="Z54" s="2277">
        <v>0</v>
      </c>
      <c r="AB54" s="2277">
        <f t="shared" si="8"/>
        <v>0</v>
      </c>
      <c r="AD54" s="2277">
        <f t="shared" si="2"/>
        <v>-7013206</v>
      </c>
      <c r="AF54" s="2277">
        <f t="shared" si="9"/>
        <v>-219486919</v>
      </c>
      <c r="AH54" s="2277">
        <f t="shared" si="11"/>
        <v>-222993522</v>
      </c>
    </row>
    <row r="55" spans="2:34">
      <c r="B55" s="2373">
        <v>19</v>
      </c>
      <c r="D55" s="2374" t="s">
        <v>2219</v>
      </c>
      <c r="F55" s="2375">
        <v>50.4</v>
      </c>
      <c r="H55" s="2277">
        <f t="shared" si="10"/>
        <v>-6834821</v>
      </c>
      <c r="J55" s="2277">
        <f t="shared" si="12"/>
        <v>-212652098</v>
      </c>
      <c r="L55" s="2376" t="s">
        <v>2301</v>
      </c>
      <c r="N55" s="2277">
        <v>0</v>
      </c>
      <c r="P55" s="2277">
        <f t="shared" si="5"/>
        <v>0</v>
      </c>
      <c r="R55" s="2375" t="s">
        <v>2301</v>
      </c>
      <c r="T55" s="2277">
        <v>0</v>
      </c>
      <c r="V55" s="2277">
        <f t="shared" si="6"/>
        <v>0</v>
      </c>
      <c r="X55" s="2375" t="s">
        <v>2301</v>
      </c>
      <c r="Z55" s="2277">
        <v>0</v>
      </c>
      <c r="AB55" s="2277">
        <f t="shared" si="8"/>
        <v>0</v>
      </c>
      <c r="AD55" s="2277">
        <f t="shared" si="2"/>
        <v>-6834821</v>
      </c>
      <c r="AF55" s="2277">
        <f t="shared" si="9"/>
        <v>-212652098</v>
      </c>
      <c r="AH55" s="2277">
        <f t="shared" si="11"/>
        <v>-216069508.5</v>
      </c>
    </row>
    <row r="56" spans="2:34">
      <c r="B56" s="2373">
        <v>20</v>
      </c>
      <c r="D56" s="2374" t="s">
        <v>2220</v>
      </c>
      <c r="F56" s="2375">
        <v>50.4</v>
      </c>
      <c r="H56" s="2277">
        <f t="shared" si="10"/>
        <v>-6834821</v>
      </c>
      <c r="J56" s="2277">
        <f t="shared" si="12"/>
        <v>-205817277</v>
      </c>
      <c r="L56" s="2375" t="s">
        <v>2301</v>
      </c>
      <c r="N56" s="2277">
        <v>0</v>
      </c>
      <c r="P56" s="2277">
        <f t="shared" si="5"/>
        <v>0</v>
      </c>
      <c r="R56" s="2375" t="s">
        <v>2301</v>
      </c>
      <c r="T56" s="2277">
        <v>0</v>
      </c>
      <c r="V56" s="2277">
        <f t="shared" si="6"/>
        <v>0</v>
      </c>
      <c r="X56" s="2375" t="s">
        <v>2301</v>
      </c>
      <c r="Z56" s="2277">
        <v>0</v>
      </c>
      <c r="AB56" s="2277">
        <f t="shared" si="8"/>
        <v>0</v>
      </c>
      <c r="AD56" s="2277">
        <f t="shared" si="2"/>
        <v>-6834821</v>
      </c>
      <c r="AF56" s="2277">
        <f t="shared" si="9"/>
        <v>-205817277</v>
      </c>
      <c r="AH56" s="2277">
        <f t="shared" si="11"/>
        <v>-209234687.5</v>
      </c>
    </row>
    <row r="57" spans="2:34">
      <c r="B57" s="2373">
        <v>21</v>
      </c>
      <c r="D57" s="2374" t="s">
        <v>2221</v>
      </c>
      <c r="F57" s="2375">
        <v>50.4</v>
      </c>
      <c r="H57" s="2277">
        <f t="shared" si="10"/>
        <v>-6834821</v>
      </c>
      <c r="J57" s="2277">
        <f t="shared" si="12"/>
        <v>-198982456</v>
      </c>
      <c r="L57" s="2375" t="s">
        <v>2301</v>
      </c>
      <c r="N57" s="2277">
        <v>0</v>
      </c>
      <c r="P57" s="2277">
        <f t="shared" si="5"/>
        <v>0</v>
      </c>
      <c r="R57" s="2375" t="s">
        <v>2301</v>
      </c>
      <c r="T57" s="2277">
        <v>0</v>
      </c>
      <c r="V57" s="2277">
        <f t="shared" si="6"/>
        <v>0</v>
      </c>
      <c r="X57" s="2375" t="s">
        <v>2301</v>
      </c>
      <c r="Z57" s="2277">
        <v>0</v>
      </c>
      <c r="AB57" s="2277">
        <f t="shared" si="8"/>
        <v>0</v>
      </c>
      <c r="AD57" s="2277">
        <f t="shared" si="2"/>
        <v>-6834821</v>
      </c>
      <c r="AF57" s="2277">
        <f t="shared" si="9"/>
        <v>-198982456</v>
      </c>
      <c r="AH57" s="2277">
        <f t="shared" si="11"/>
        <v>-202399866.5</v>
      </c>
    </row>
    <row r="58" spans="2:34">
      <c r="B58" s="2373">
        <v>22</v>
      </c>
      <c r="D58" s="2374" t="s">
        <v>2222</v>
      </c>
      <c r="F58" s="2375">
        <v>50.4</v>
      </c>
      <c r="H58" s="2277">
        <f t="shared" si="10"/>
        <v>-6834821</v>
      </c>
      <c r="J58" s="2277">
        <f t="shared" si="12"/>
        <v>-192147635</v>
      </c>
      <c r="L58" s="2375" t="s">
        <v>2301</v>
      </c>
      <c r="N58" s="2277">
        <v>0</v>
      </c>
      <c r="P58" s="2277">
        <f t="shared" si="5"/>
        <v>0</v>
      </c>
      <c r="R58" s="2375" t="s">
        <v>2301</v>
      </c>
      <c r="T58" s="2277">
        <v>0</v>
      </c>
      <c r="V58" s="2277">
        <f t="shared" si="6"/>
        <v>0</v>
      </c>
      <c r="X58" s="2375" t="s">
        <v>2301</v>
      </c>
      <c r="Z58" s="2277">
        <v>0</v>
      </c>
      <c r="AB58" s="2277">
        <f t="shared" si="8"/>
        <v>0</v>
      </c>
      <c r="AD58" s="2277">
        <f t="shared" si="2"/>
        <v>-6834821</v>
      </c>
      <c r="AF58" s="2277">
        <f t="shared" si="9"/>
        <v>-192147635</v>
      </c>
      <c r="AH58" s="2277">
        <f t="shared" si="11"/>
        <v>-195565045.5</v>
      </c>
    </row>
    <row r="59" spans="2:34">
      <c r="B59" s="2373">
        <v>23</v>
      </c>
      <c r="D59" s="2374" t="s">
        <v>2223</v>
      </c>
      <c r="F59" s="2375">
        <v>50.4</v>
      </c>
      <c r="H59" s="2277">
        <f t="shared" si="10"/>
        <v>-6834821</v>
      </c>
      <c r="J59" s="2277">
        <f t="shared" si="12"/>
        <v>-185312814</v>
      </c>
      <c r="L59" s="2375" t="s">
        <v>2301</v>
      </c>
      <c r="N59" s="2277">
        <v>0</v>
      </c>
      <c r="P59" s="2277">
        <f t="shared" si="5"/>
        <v>0</v>
      </c>
      <c r="R59" s="2375" t="s">
        <v>2301</v>
      </c>
      <c r="T59" s="2277">
        <v>0</v>
      </c>
      <c r="V59" s="2277">
        <f t="shared" si="6"/>
        <v>0</v>
      </c>
      <c r="X59" s="2375" t="s">
        <v>2301</v>
      </c>
      <c r="Z59" s="2277">
        <v>0</v>
      </c>
      <c r="AB59" s="2277">
        <f t="shared" si="8"/>
        <v>0</v>
      </c>
      <c r="AD59" s="2277">
        <f t="shared" si="2"/>
        <v>-6834821</v>
      </c>
      <c r="AF59" s="2277">
        <f t="shared" si="9"/>
        <v>-185312814</v>
      </c>
      <c r="AH59" s="2277">
        <f t="shared" si="11"/>
        <v>-188730224.5</v>
      </c>
    </row>
    <row r="60" spans="2:34">
      <c r="B60" s="2373">
        <v>24</v>
      </c>
      <c r="D60" s="2374" t="s">
        <v>2224</v>
      </c>
      <c r="F60" s="2375">
        <v>50.4</v>
      </c>
      <c r="H60" s="2277">
        <f t="shared" si="10"/>
        <v>-6834821</v>
      </c>
      <c r="J60" s="2277">
        <f t="shared" si="12"/>
        <v>-178477993</v>
      </c>
      <c r="L60" s="2375" t="s">
        <v>2301</v>
      </c>
      <c r="N60" s="2277">
        <v>0</v>
      </c>
      <c r="P60" s="2277">
        <f t="shared" si="5"/>
        <v>0</v>
      </c>
      <c r="R60" s="2375" t="s">
        <v>2301</v>
      </c>
      <c r="T60" s="2277">
        <v>0</v>
      </c>
      <c r="V60" s="2277">
        <f t="shared" si="6"/>
        <v>0</v>
      </c>
      <c r="X60" s="2375" t="s">
        <v>2301</v>
      </c>
      <c r="Z60" s="2277">
        <v>0</v>
      </c>
      <c r="AB60" s="2277">
        <f t="shared" si="8"/>
        <v>0</v>
      </c>
      <c r="AD60" s="2277">
        <f t="shared" si="2"/>
        <v>-6834821</v>
      </c>
      <c r="AF60" s="2277">
        <f t="shared" si="9"/>
        <v>-178477993</v>
      </c>
      <c r="AH60" s="2277">
        <f t="shared" si="11"/>
        <v>-181895403.5</v>
      </c>
    </row>
    <row r="61" spans="2:34">
      <c r="B61" s="2373">
        <v>25</v>
      </c>
      <c r="D61" s="2374" t="s">
        <v>2225</v>
      </c>
      <c r="F61" s="2375">
        <v>50.4</v>
      </c>
      <c r="H61" s="2277">
        <f t="shared" si="10"/>
        <v>-6834821</v>
      </c>
      <c r="J61" s="2277">
        <f t="shared" si="12"/>
        <v>-171643172</v>
      </c>
      <c r="L61" s="2375" t="s">
        <v>2301</v>
      </c>
      <c r="N61" s="2277">
        <v>0</v>
      </c>
      <c r="P61" s="2277">
        <f t="shared" si="5"/>
        <v>0</v>
      </c>
      <c r="R61" s="2375" t="s">
        <v>2301</v>
      </c>
      <c r="T61" s="2277">
        <v>0</v>
      </c>
      <c r="V61" s="2277">
        <f t="shared" si="6"/>
        <v>0</v>
      </c>
      <c r="X61" s="2375" t="s">
        <v>2301</v>
      </c>
      <c r="Z61" s="2277">
        <v>0</v>
      </c>
      <c r="AB61" s="2277">
        <f t="shared" si="8"/>
        <v>0</v>
      </c>
      <c r="AD61" s="2277">
        <f t="shared" si="2"/>
        <v>-6834821</v>
      </c>
      <c r="AF61" s="2277">
        <f t="shared" si="9"/>
        <v>-171643172</v>
      </c>
      <c r="AH61" s="2277">
        <f t="shared" si="11"/>
        <v>-175060582.5</v>
      </c>
    </row>
    <row r="62" spans="2:34">
      <c r="B62" s="2373">
        <v>26</v>
      </c>
      <c r="D62" s="2374" t="s">
        <v>2226</v>
      </c>
      <c r="F62" s="2375">
        <v>50.4</v>
      </c>
      <c r="H62" s="2277">
        <f t="shared" si="10"/>
        <v>-6834821</v>
      </c>
      <c r="J62" s="2277">
        <f t="shared" si="12"/>
        <v>-164808351</v>
      </c>
      <c r="L62" s="2375" t="s">
        <v>2301</v>
      </c>
      <c r="N62" s="2277">
        <v>0</v>
      </c>
      <c r="P62" s="2277">
        <f t="shared" si="5"/>
        <v>0</v>
      </c>
      <c r="R62" s="2375" t="s">
        <v>2301</v>
      </c>
      <c r="T62" s="2277">
        <v>0</v>
      </c>
      <c r="V62" s="2277">
        <f t="shared" si="6"/>
        <v>0</v>
      </c>
      <c r="X62" s="2375" t="s">
        <v>2301</v>
      </c>
      <c r="Z62" s="2277">
        <v>0</v>
      </c>
      <c r="AB62" s="2277">
        <f t="shared" si="8"/>
        <v>0</v>
      </c>
      <c r="AD62" s="2277">
        <f t="shared" si="2"/>
        <v>-6834821</v>
      </c>
      <c r="AF62" s="2277">
        <f t="shared" si="9"/>
        <v>-164808351</v>
      </c>
      <c r="AH62" s="2277">
        <f t="shared" si="11"/>
        <v>-168225761.5</v>
      </c>
    </row>
    <row r="63" spans="2:34">
      <c r="B63" s="2373">
        <v>27</v>
      </c>
      <c r="D63" s="2374" t="s">
        <v>2227</v>
      </c>
      <c r="F63" s="2375">
        <v>50.4</v>
      </c>
      <c r="H63" s="2277">
        <f t="shared" si="10"/>
        <v>-6834821</v>
      </c>
      <c r="J63" s="2277">
        <f t="shared" si="12"/>
        <v>-157973530</v>
      </c>
      <c r="L63" s="2375" t="s">
        <v>2301</v>
      </c>
      <c r="N63" s="2277">
        <v>0</v>
      </c>
      <c r="P63" s="2277">
        <f t="shared" si="5"/>
        <v>0</v>
      </c>
      <c r="R63" s="2375" t="s">
        <v>2301</v>
      </c>
      <c r="T63" s="2277">
        <v>0</v>
      </c>
      <c r="V63" s="2277">
        <f t="shared" si="6"/>
        <v>0</v>
      </c>
      <c r="X63" s="2375" t="s">
        <v>2301</v>
      </c>
      <c r="Z63" s="2277">
        <v>0</v>
      </c>
      <c r="AB63" s="2277">
        <f t="shared" si="8"/>
        <v>0</v>
      </c>
      <c r="AD63" s="2277">
        <f t="shared" si="2"/>
        <v>-6834821</v>
      </c>
      <c r="AF63" s="2277">
        <f t="shared" si="9"/>
        <v>-157973530</v>
      </c>
      <c r="AH63" s="2277">
        <f t="shared" si="11"/>
        <v>-161390940.5</v>
      </c>
    </row>
    <row r="64" spans="2:34">
      <c r="B64" s="2373">
        <v>28</v>
      </c>
      <c r="D64" s="2374" t="s">
        <v>2228</v>
      </c>
      <c r="F64" s="2375">
        <v>50.4</v>
      </c>
      <c r="H64" s="2277">
        <f t="shared" si="10"/>
        <v>-6834821</v>
      </c>
      <c r="J64" s="2277">
        <f t="shared" si="12"/>
        <v>-151138709</v>
      </c>
      <c r="L64" s="2375" t="s">
        <v>2301</v>
      </c>
      <c r="N64" s="2277">
        <v>0</v>
      </c>
      <c r="P64" s="2277">
        <f t="shared" si="5"/>
        <v>0</v>
      </c>
      <c r="R64" s="2375" t="s">
        <v>2301</v>
      </c>
      <c r="T64" s="2277">
        <v>0</v>
      </c>
      <c r="V64" s="2277">
        <f t="shared" si="6"/>
        <v>0</v>
      </c>
      <c r="X64" s="2375" t="s">
        <v>2301</v>
      </c>
      <c r="Z64" s="2277">
        <v>0</v>
      </c>
      <c r="AB64" s="2277">
        <f t="shared" si="8"/>
        <v>0</v>
      </c>
      <c r="AD64" s="2277">
        <f t="shared" si="2"/>
        <v>-6834821</v>
      </c>
      <c r="AF64" s="2277">
        <f t="shared" si="9"/>
        <v>-151138709</v>
      </c>
      <c r="AH64" s="2277">
        <f t="shared" si="11"/>
        <v>-154556119.5</v>
      </c>
    </row>
    <row r="65" spans="2:34">
      <c r="B65" s="2373">
        <v>29</v>
      </c>
      <c r="D65" s="2374" t="s">
        <v>2229</v>
      </c>
      <c r="F65" s="2375">
        <v>50.4</v>
      </c>
      <c r="H65" s="2277">
        <f t="shared" si="10"/>
        <v>-6834821</v>
      </c>
      <c r="J65" s="2277">
        <f t="shared" si="12"/>
        <v>-144303888</v>
      </c>
      <c r="L65" s="2375" t="s">
        <v>2301</v>
      </c>
      <c r="N65" s="2277">
        <v>0</v>
      </c>
      <c r="P65" s="2277">
        <f t="shared" si="5"/>
        <v>0</v>
      </c>
      <c r="R65" s="2375" t="s">
        <v>2301</v>
      </c>
      <c r="T65" s="2277">
        <v>0</v>
      </c>
      <c r="V65" s="2277">
        <f t="shared" si="6"/>
        <v>0</v>
      </c>
      <c r="X65" s="2375" t="s">
        <v>2301</v>
      </c>
      <c r="Z65" s="2277">
        <v>0</v>
      </c>
      <c r="AB65" s="2277">
        <f t="shared" si="8"/>
        <v>0</v>
      </c>
      <c r="AD65" s="2277">
        <f t="shared" si="2"/>
        <v>-6834821</v>
      </c>
      <c r="AF65" s="2277">
        <f t="shared" si="9"/>
        <v>-144303888</v>
      </c>
      <c r="AH65" s="2277">
        <f t="shared" si="11"/>
        <v>-147721298.5</v>
      </c>
    </row>
    <row r="66" spans="2:34">
      <c r="B66" s="2373">
        <v>30</v>
      </c>
      <c r="D66" s="2374" t="s">
        <v>2230</v>
      </c>
      <c r="F66" s="2375">
        <v>50.4</v>
      </c>
      <c r="H66" s="2277">
        <f t="shared" si="10"/>
        <v>-6834821</v>
      </c>
      <c r="J66" s="2277">
        <f t="shared" si="12"/>
        <v>-137469067</v>
      </c>
      <c r="L66" s="2375" t="s">
        <v>2301</v>
      </c>
      <c r="N66" s="2277">
        <v>0</v>
      </c>
      <c r="P66" s="2277">
        <f t="shared" si="5"/>
        <v>0</v>
      </c>
      <c r="R66" s="2375" t="s">
        <v>2301</v>
      </c>
      <c r="T66" s="2277">
        <v>0</v>
      </c>
      <c r="V66" s="2277">
        <f t="shared" si="6"/>
        <v>0</v>
      </c>
      <c r="X66" s="2375" t="s">
        <v>2301</v>
      </c>
      <c r="Z66" s="2277">
        <v>0</v>
      </c>
      <c r="AB66" s="2277">
        <f t="shared" si="8"/>
        <v>0</v>
      </c>
      <c r="AD66" s="2277">
        <f t="shared" si="2"/>
        <v>-6834821</v>
      </c>
      <c r="AF66" s="2277">
        <f t="shared" si="9"/>
        <v>-137469067</v>
      </c>
      <c r="AH66" s="2277">
        <f t="shared" si="11"/>
        <v>-140886477.5</v>
      </c>
    </row>
    <row r="67" spans="2:34">
      <c r="B67" s="2373">
        <v>31</v>
      </c>
      <c r="D67" s="2374" t="s">
        <v>2231</v>
      </c>
      <c r="F67" s="2375">
        <v>50.4</v>
      </c>
      <c r="H67" s="2277">
        <f t="shared" si="10"/>
        <v>-6834821</v>
      </c>
      <c r="J67" s="2277">
        <f t="shared" si="12"/>
        <v>-130634246</v>
      </c>
      <c r="L67" s="2375" t="s">
        <v>2301</v>
      </c>
      <c r="N67" s="2277">
        <v>0</v>
      </c>
      <c r="P67" s="2277">
        <f t="shared" si="5"/>
        <v>0</v>
      </c>
      <c r="R67" s="2375" t="s">
        <v>2301</v>
      </c>
      <c r="T67" s="2277">
        <v>0</v>
      </c>
      <c r="V67" s="2277">
        <f t="shared" si="6"/>
        <v>0</v>
      </c>
      <c r="X67" s="2375" t="s">
        <v>2301</v>
      </c>
      <c r="Z67" s="2277">
        <v>0</v>
      </c>
      <c r="AB67" s="2277">
        <f t="shared" si="8"/>
        <v>0</v>
      </c>
      <c r="AD67" s="2277">
        <f t="shared" si="2"/>
        <v>-6834821</v>
      </c>
      <c r="AF67" s="2277">
        <f t="shared" si="9"/>
        <v>-130634246</v>
      </c>
      <c r="AH67" s="2277">
        <f t="shared" si="11"/>
        <v>-134051656.5</v>
      </c>
    </row>
    <row r="68" spans="2:34">
      <c r="B68" s="2373">
        <v>32</v>
      </c>
      <c r="D68" s="2374" t="s">
        <v>2232</v>
      </c>
      <c r="F68" s="2375">
        <v>50.4</v>
      </c>
      <c r="H68" s="2277">
        <f t="shared" si="10"/>
        <v>-6834821</v>
      </c>
      <c r="J68" s="2277">
        <f t="shared" si="12"/>
        <v>-123799425</v>
      </c>
      <c r="L68" s="2375" t="s">
        <v>2301</v>
      </c>
      <c r="N68" s="2277">
        <v>0</v>
      </c>
      <c r="P68" s="2277">
        <f t="shared" si="5"/>
        <v>0</v>
      </c>
      <c r="R68" s="2375" t="s">
        <v>2301</v>
      </c>
      <c r="T68" s="2277">
        <v>0</v>
      </c>
      <c r="V68" s="2277">
        <f t="shared" si="6"/>
        <v>0</v>
      </c>
      <c r="X68" s="2375" t="s">
        <v>2301</v>
      </c>
      <c r="Z68" s="2277">
        <v>0</v>
      </c>
      <c r="AB68" s="2277">
        <f t="shared" si="8"/>
        <v>0</v>
      </c>
      <c r="AD68" s="2277">
        <f t="shared" si="2"/>
        <v>-6834821</v>
      </c>
      <c r="AF68" s="2277">
        <f t="shared" si="9"/>
        <v>-123799425</v>
      </c>
      <c r="AH68" s="2277">
        <f t="shared" si="11"/>
        <v>-127216835.5</v>
      </c>
    </row>
    <row r="69" spans="2:34">
      <c r="B69" s="2373">
        <v>33</v>
      </c>
      <c r="D69" s="2374" t="s">
        <v>2233</v>
      </c>
      <c r="F69" s="2375">
        <v>50.4</v>
      </c>
      <c r="H69" s="2277">
        <f t="shared" si="10"/>
        <v>-6834821</v>
      </c>
      <c r="J69" s="2277">
        <f t="shared" si="12"/>
        <v>-116964604</v>
      </c>
      <c r="L69" s="2375" t="s">
        <v>2301</v>
      </c>
      <c r="N69" s="2277">
        <v>0</v>
      </c>
      <c r="P69" s="2277">
        <f t="shared" si="5"/>
        <v>0</v>
      </c>
      <c r="R69" s="2375" t="s">
        <v>2301</v>
      </c>
      <c r="T69" s="2277">
        <v>0</v>
      </c>
      <c r="V69" s="2277">
        <f t="shared" si="6"/>
        <v>0</v>
      </c>
      <c r="X69" s="2375" t="s">
        <v>2301</v>
      </c>
      <c r="Z69" s="2277">
        <v>0</v>
      </c>
      <c r="AB69" s="2277">
        <f t="shared" si="8"/>
        <v>0</v>
      </c>
      <c r="AD69" s="2277">
        <f t="shared" si="2"/>
        <v>-6834821</v>
      </c>
      <c r="AF69" s="2277">
        <f t="shared" si="9"/>
        <v>-116964604</v>
      </c>
      <c r="AH69" s="2277">
        <f t="shared" si="11"/>
        <v>-120382014.5</v>
      </c>
    </row>
    <row r="70" spans="2:34">
      <c r="B70" s="2373">
        <v>34</v>
      </c>
      <c r="D70" s="2374" t="s">
        <v>2234</v>
      </c>
      <c r="F70" s="2375">
        <v>50.4</v>
      </c>
      <c r="H70" s="2277">
        <f t="shared" si="10"/>
        <v>-6834821</v>
      </c>
      <c r="J70" s="2277">
        <f t="shared" si="12"/>
        <v>-110129783</v>
      </c>
      <c r="L70" s="2375" t="s">
        <v>2301</v>
      </c>
      <c r="N70" s="2277">
        <v>0</v>
      </c>
      <c r="P70" s="2277">
        <f t="shared" si="5"/>
        <v>0</v>
      </c>
      <c r="R70" s="2375" t="s">
        <v>2301</v>
      </c>
      <c r="T70" s="2277">
        <v>0</v>
      </c>
      <c r="V70" s="2277">
        <f t="shared" si="6"/>
        <v>0</v>
      </c>
      <c r="X70" s="2375" t="s">
        <v>2301</v>
      </c>
      <c r="Z70" s="2277">
        <v>0</v>
      </c>
      <c r="AB70" s="2277">
        <f t="shared" si="8"/>
        <v>0</v>
      </c>
      <c r="AD70" s="2277">
        <f t="shared" si="2"/>
        <v>-6834821</v>
      </c>
      <c r="AF70" s="2277">
        <f t="shared" si="9"/>
        <v>-110129783</v>
      </c>
      <c r="AH70" s="2277">
        <f t="shared" si="11"/>
        <v>-113547193.5</v>
      </c>
    </row>
    <row r="71" spans="2:34">
      <c r="B71" s="2373">
        <v>35</v>
      </c>
      <c r="D71" s="2374" t="s">
        <v>2235</v>
      </c>
      <c r="F71" s="2375">
        <v>50.4</v>
      </c>
      <c r="H71" s="2277">
        <f t="shared" si="10"/>
        <v>-6834821</v>
      </c>
      <c r="J71" s="2277">
        <f t="shared" si="12"/>
        <v>-103294962</v>
      </c>
      <c r="L71" s="2375" t="s">
        <v>2301</v>
      </c>
      <c r="N71" s="2277">
        <v>0</v>
      </c>
      <c r="P71" s="2277">
        <f t="shared" si="5"/>
        <v>0</v>
      </c>
      <c r="R71" s="2375" t="s">
        <v>2301</v>
      </c>
      <c r="T71" s="2277">
        <v>0</v>
      </c>
      <c r="V71" s="2277">
        <f t="shared" si="6"/>
        <v>0</v>
      </c>
      <c r="X71" s="2375" t="s">
        <v>2301</v>
      </c>
      <c r="Z71" s="2277">
        <v>0</v>
      </c>
      <c r="AB71" s="2277">
        <f t="shared" si="8"/>
        <v>0</v>
      </c>
      <c r="AD71" s="2277">
        <f t="shared" si="2"/>
        <v>-6834821</v>
      </c>
      <c r="AF71" s="2277">
        <f t="shared" si="9"/>
        <v>-103294962</v>
      </c>
      <c r="AH71" s="2277">
        <f t="shared" si="11"/>
        <v>-106712372.5</v>
      </c>
    </row>
    <row r="72" spans="2:34">
      <c r="B72" s="2373">
        <v>36</v>
      </c>
      <c r="D72" s="2374" t="s">
        <v>2236</v>
      </c>
      <c r="F72" s="2375">
        <v>50.4</v>
      </c>
      <c r="H72" s="2277">
        <f t="shared" si="10"/>
        <v>-6834821</v>
      </c>
      <c r="J72" s="2277">
        <f t="shared" si="12"/>
        <v>-96460141</v>
      </c>
      <c r="L72" s="2375" t="s">
        <v>2301</v>
      </c>
      <c r="N72" s="2277">
        <v>0</v>
      </c>
      <c r="P72" s="2277">
        <f t="shared" si="5"/>
        <v>0</v>
      </c>
      <c r="R72" s="2375" t="s">
        <v>2301</v>
      </c>
      <c r="T72" s="2277">
        <v>0</v>
      </c>
      <c r="V72" s="2277">
        <f t="shared" si="6"/>
        <v>0</v>
      </c>
      <c r="X72" s="2375" t="s">
        <v>2301</v>
      </c>
      <c r="Z72" s="2277">
        <v>0</v>
      </c>
      <c r="AB72" s="2277">
        <f t="shared" si="8"/>
        <v>0</v>
      </c>
      <c r="AD72" s="2277">
        <f t="shared" si="2"/>
        <v>-6834821</v>
      </c>
      <c r="AF72" s="2277">
        <f t="shared" si="9"/>
        <v>-96460141</v>
      </c>
      <c r="AH72" s="2277">
        <f t="shared" si="11"/>
        <v>-99877551.5</v>
      </c>
    </row>
    <row r="73" spans="2:34">
      <c r="B73" s="2373">
        <v>37</v>
      </c>
      <c r="D73" s="2374" t="s">
        <v>2237</v>
      </c>
      <c r="F73" s="2375">
        <v>50.4</v>
      </c>
      <c r="H73" s="2277">
        <f t="shared" si="10"/>
        <v>-6834821</v>
      </c>
      <c r="J73" s="2277">
        <f t="shared" si="12"/>
        <v>-89625320</v>
      </c>
      <c r="L73" s="2375" t="s">
        <v>2301</v>
      </c>
      <c r="N73" s="2277">
        <v>0</v>
      </c>
      <c r="P73" s="2277">
        <f t="shared" si="5"/>
        <v>0</v>
      </c>
      <c r="R73" s="2375" t="s">
        <v>2301</v>
      </c>
      <c r="T73" s="2277">
        <v>0</v>
      </c>
      <c r="V73" s="2277">
        <f t="shared" si="6"/>
        <v>0</v>
      </c>
      <c r="X73" s="2375" t="s">
        <v>2301</v>
      </c>
      <c r="Z73" s="2277">
        <v>0</v>
      </c>
      <c r="AB73" s="2277">
        <f t="shared" si="8"/>
        <v>0</v>
      </c>
      <c r="AD73" s="2277">
        <f t="shared" si="2"/>
        <v>-6834821</v>
      </c>
      <c r="AF73" s="2277">
        <f t="shared" si="9"/>
        <v>-89625320</v>
      </c>
      <c r="AH73" s="2277">
        <f t="shared" si="11"/>
        <v>-93042730.5</v>
      </c>
    </row>
    <row r="74" spans="2:34">
      <c r="B74" s="2373">
        <v>38</v>
      </c>
      <c r="D74" s="2374" t="s">
        <v>2238</v>
      </c>
      <c r="F74" s="2375">
        <v>50.4</v>
      </c>
      <c r="H74" s="2277">
        <f t="shared" si="10"/>
        <v>-6834821</v>
      </c>
      <c r="J74" s="2277">
        <f t="shared" si="12"/>
        <v>-82790499</v>
      </c>
      <c r="L74" s="2375" t="s">
        <v>2301</v>
      </c>
      <c r="N74" s="2277">
        <v>0</v>
      </c>
      <c r="P74" s="2277">
        <f t="shared" si="5"/>
        <v>0</v>
      </c>
      <c r="R74" s="2375" t="s">
        <v>2301</v>
      </c>
      <c r="T74" s="2277">
        <v>0</v>
      </c>
      <c r="V74" s="2277">
        <f t="shared" si="6"/>
        <v>0</v>
      </c>
      <c r="X74" s="2375" t="s">
        <v>2301</v>
      </c>
      <c r="Z74" s="2277">
        <v>0</v>
      </c>
      <c r="AB74" s="2277">
        <f t="shared" si="8"/>
        <v>0</v>
      </c>
      <c r="AD74" s="2277">
        <f t="shared" si="2"/>
        <v>-6834821</v>
      </c>
      <c r="AF74" s="2277">
        <f t="shared" si="9"/>
        <v>-82790499</v>
      </c>
      <c r="AH74" s="2277">
        <f t="shared" si="11"/>
        <v>-86207909.5</v>
      </c>
    </row>
    <row r="75" spans="2:34">
      <c r="B75" s="2373">
        <v>39</v>
      </c>
      <c r="D75" s="2374" t="s">
        <v>2239</v>
      </c>
      <c r="F75" s="2375">
        <v>50.4</v>
      </c>
      <c r="H75" s="2277">
        <f t="shared" si="10"/>
        <v>-6834821</v>
      </c>
      <c r="J75" s="2277">
        <f t="shared" si="12"/>
        <v>-75955678</v>
      </c>
      <c r="L75" s="2375" t="s">
        <v>2301</v>
      </c>
      <c r="N75" s="2277">
        <v>0</v>
      </c>
      <c r="P75" s="2277">
        <f t="shared" si="5"/>
        <v>0</v>
      </c>
      <c r="R75" s="2375" t="s">
        <v>2301</v>
      </c>
      <c r="T75" s="2277">
        <v>0</v>
      </c>
      <c r="V75" s="2277">
        <f t="shared" si="6"/>
        <v>0</v>
      </c>
      <c r="X75" s="2375" t="s">
        <v>2301</v>
      </c>
      <c r="Z75" s="2277">
        <v>0</v>
      </c>
      <c r="AB75" s="2277">
        <f t="shared" si="8"/>
        <v>0</v>
      </c>
      <c r="AD75" s="2277">
        <f t="shared" si="2"/>
        <v>-6834821</v>
      </c>
      <c r="AF75" s="2277">
        <f t="shared" si="9"/>
        <v>-75955678</v>
      </c>
      <c r="AH75" s="2277">
        <f t="shared" si="11"/>
        <v>-79373088.5</v>
      </c>
    </row>
    <row r="76" spans="2:34">
      <c r="B76" s="2373">
        <v>40</v>
      </c>
      <c r="D76" s="2374" t="s">
        <v>2240</v>
      </c>
      <c r="F76" s="2375">
        <v>50.4</v>
      </c>
      <c r="H76" s="2277">
        <f t="shared" si="10"/>
        <v>-6834821</v>
      </c>
      <c r="J76" s="2277">
        <f t="shared" si="12"/>
        <v>-69120857</v>
      </c>
      <c r="L76" s="2375" t="s">
        <v>2301</v>
      </c>
      <c r="N76" s="2277">
        <v>0</v>
      </c>
      <c r="P76" s="2277">
        <f t="shared" si="5"/>
        <v>0</v>
      </c>
      <c r="R76" s="2375" t="s">
        <v>2301</v>
      </c>
      <c r="T76" s="2277">
        <v>0</v>
      </c>
      <c r="V76" s="2277">
        <f t="shared" si="6"/>
        <v>0</v>
      </c>
      <c r="X76" s="2375" t="s">
        <v>2301</v>
      </c>
      <c r="Z76" s="2277">
        <v>0</v>
      </c>
      <c r="AB76" s="2277">
        <f t="shared" si="8"/>
        <v>0</v>
      </c>
      <c r="AD76" s="2277">
        <f t="shared" si="2"/>
        <v>-6834821</v>
      </c>
      <c r="AF76" s="2277">
        <f t="shared" si="9"/>
        <v>-69120857</v>
      </c>
      <c r="AH76" s="2277">
        <f t="shared" si="11"/>
        <v>-72538267.5</v>
      </c>
    </row>
    <row r="77" spans="2:34">
      <c r="B77" s="2373">
        <v>41</v>
      </c>
      <c r="D77" s="2374" t="s">
        <v>2241</v>
      </c>
      <c r="F77" s="2375">
        <v>50.4</v>
      </c>
      <c r="H77" s="2277">
        <f t="shared" si="10"/>
        <v>-6834821</v>
      </c>
      <c r="J77" s="2277">
        <f t="shared" si="12"/>
        <v>-62286036</v>
      </c>
      <c r="L77" s="2375" t="s">
        <v>2301</v>
      </c>
      <c r="N77" s="2277">
        <v>0</v>
      </c>
      <c r="P77" s="2277">
        <f t="shared" si="5"/>
        <v>0</v>
      </c>
      <c r="R77" s="2375" t="s">
        <v>2301</v>
      </c>
      <c r="T77" s="2277">
        <v>0</v>
      </c>
      <c r="V77" s="2277">
        <f t="shared" si="6"/>
        <v>0</v>
      </c>
      <c r="X77" s="2375" t="s">
        <v>2301</v>
      </c>
      <c r="Z77" s="2277">
        <v>0</v>
      </c>
      <c r="AB77" s="2277">
        <f t="shared" si="8"/>
        <v>0</v>
      </c>
      <c r="AD77" s="2277">
        <f t="shared" si="2"/>
        <v>-6834821</v>
      </c>
      <c r="AF77" s="2277">
        <f t="shared" si="9"/>
        <v>-62286036</v>
      </c>
      <c r="AH77" s="2277">
        <f t="shared" si="11"/>
        <v>-65703446.5</v>
      </c>
    </row>
    <row r="78" spans="2:34">
      <c r="B78" s="2373">
        <v>42</v>
      </c>
      <c r="D78" s="2374" t="s">
        <v>2242</v>
      </c>
      <c r="F78" s="2375">
        <v>50.4</v>
      </c>
      <c r="H78" s="2277">
        <f t="shared" si="10"/>
        <v>-6834821</v>
      </c>
      <c r="J78" s="2277">
        <f t="shared" si="12"/>
        <v>-55451215</v>
      </c>
      <c r="L78" s="2375" t="s">
        <v>2301</v>
      </c>
      <c r="N78" s="2277">
        <v>0</v>
      </c>
      <c r="P78" s="2277">
        <f t="shared" si="5"/>
        <v>0</v>
      </c>
      <c r="R78" s="2375" t="s">
        <v>2301</v>
      </c>
      <c r="T78" s="2277">
        <v>0</v>
      </c>
      <c r="V78" s="2277">
        <f t="shared" si="6"/>
        <v>0</v>
      </c>
      <c r="X78" s="2375" t="s">
        <v>2301</v>
      </c>
      <c r="Z78" s="2277">
        <v>0</v>
      </c>
      <c r="AB78" s="2277">
        <f t="shared" si="8"/>
        <v>0</v>
      </c>
      <c r="AD78" s="2277">
        <f t="shared" si="2"/>
        <v>-6834821</v>
      </c>
      <c r="AF78" s="2277">
        <f t="shared" si="9"/>
        <v>-55451215</v>
      </c>
      <c r="AH78" s="2277">
        <f t="shared" si="11"/>
        <v>-58868625.5</v>
      </c>
    </row>
    <row r="79" spans="2:34">
      <c r="B79" s="2373">
        <v>43</v>
      </c>
      <c r="D79" s="2374" t="s">
        <v>2243</v>
      </c>
      <c r="F79" s="2375">
        <v>50.4</v>
      </c>
      <c r="H79" s="2277">
        <f t="shared" si="10"/>
        <v>-6834821</v>
      </c>
      <c r="J79" s="2277">
        <f t="shared" si="12"/>
        <v>-48616394</v>
      </c>
      <c r="L79" s="2375" t="s">
        <v>2301</v>
      </c>
      <c r="N79" s="2277">
        <v>0</v>
      </c>
      <c r="P79" s="2277">
        <f t="shared" si="5"/>
        <v>0</v>
      </c>
      <c r="R79" s="2375" t="s">
        <v>2301</v>
      </c>
      <c r="T79" s="2277">
        <v>0</v>
      </c>
      <c r="V79" s="2277">
        <f t="shared" si="6"/>
        <v>0</v>
      </c>
      <c r="X79" s="2375" t="s">
        <v>2301</v>
      </c>
      <c r="Z79" s="2277">
        <v>0</v>
      </c>
      <c r="AB79" s="2277">
        <f t="shared" si="8"/>
        <v>0</v>
      </c>
      <c r="AD79" s="2277">
        <f t="shared" si="2"/>
        <v>-6834821</v>
      </c>
      <c r="AF79" s="2277">
        <f t="shared" si="9"/>
        <v>-48616394</v>
      </c>
      <c r="AH79" s="2277">
        <f t="shared" si="11"/>
        <v>-52033804.5</v>
      </c>
    </row>
    <row r="80" spans="2:34">
      <c r="B80" s="2373">
        <v>44</v>
      </c>
      <c r="D80" s="2374" t="s">
        <v>2244</v>
      </c>
      <c r="F80" s="2375">
        <v>50.4</v>
      </c>
      <c r="H80" s="2277">
        <f t="shared" si="10"/>
        <v>-6834821</v>
      </c>
      <c r="J80" s="2277">
        <f t="shared" si="12"/>
        <v>-41781573</v>
      </c>
      <c r="L80" s="2375" t="s">
        <v>2301</v>
      </c>
      <c r="N80" s="2277">
        <v>0</v>
      </c>
      <c r="P80" s="2277">
        <f t="shared" si="5"/>
        <v>0</v>
      </c>
      <c r="R80" s="2375" t="s">
        <v>2301</v>
      </c>
      <c r="T80" s="2277">
        <v>0</v>
      </c>
      <c r="V80" s="2277">
        <f t="shared" si="6"/>
        <v>0</v>
      </c>
      <c r="X80" s="2375" t="s">
        <v>2301</v>
      </c>
      <c r="Z80" s="2277">
        <v>0</v>
      </c>
      <c r="AB80" s="2277">
        <f t="shared" si="8"/>
        <v>0</v>
      </c>
      <c r="AD80" s="2277">
        <f t="shared" si="2"/>
        <v>-6834821</v>
      </c>
      <c r="AF80" s="2277">
        <f t="shared" si="9"/>
        <v>-41781573</v>
      </c>
      <c r="AH80" s="2277">
        <f t="shared" si="11"/>
        <v>-45198983.5</v>
      </c>
    </row>
    <row r="81" spans="2:34">
      <c r="B81" s="2373">
        <v>45</v>
      </c>
      <c r="D81" s="2374" t="s">
        <v>2245</v>
      </c>
      <c r="F81" s="2375">
        <v>50.4</v>
      </c>
      <c r="H81" s="2277">
        <f t="shared" si="10"/>
        <v>-6834821</v>
      </c>
      <c r="J81" s="2277">
        <f t="shared" si="12"/>
        <v>-34946752</v>
      </c>
      <c r="L81" s="2375" t="s">
        <v>2301</v>
      </c>
      <c r="N81" s="2277">
        <v>0</v>
      </c>
      <c r="P81" s="2277">
        <f t="shared" si="5"/>
        <v>0</v>
      </c>
      <c r="R81" s="2375" t="s">
        <v>2301</v>
      </c>
      <c r="T81" s="2277">
        <v>0</v>
      </c>
      <c r="V81" s="2277">
        <f t="shared" si="6"/>
        <v>0</v>
      </c>
      <c r="X81" s="2375" t="s">
        <v>2301</v>
      </c>
      <c r="Z81" s="2277">
        <v>0</v>
      </c>
      <c r="AB81" s="2277">
        <f t="shared" si="8"/>
        <v>0</v>
      </c>
      <c r="AD81" s="2277">
        <f t="shared" si="2"/>
        <v>-6834821</v>
      </c>
      <c r="AF81" s="2277">
        <f t="shared" si="9"/>
        <v>-34946752</v>
      </c>
      <c r="AH81" s="2277">
        <f t="shared" si="11"/>
        <v>-38364162.5</v>
      </c>
    </row>
    <row r="82" spans="2:34">
      <c r="B82" s="2373">
        <v>46</v>
      </c>
      <c r="D82" s="2374" t="s">
        <v>2246</v>
      </c>
      <c r="F82" s="2375">
        <v>50.4</v>
      </c>
      <c r="H82" s="2277">
        <f t="shared" si="10"/>
        <v>-6834821</v>
      </c>
      <c r="J82" s="2277">
        <f t="shared" si="12"/>
        <v>-28111931</v>
      </c>
      <c r="L82" s="2375" t="s">
        <v>2301</v>
      </c>
      <c r="N82" s="2277">
        <v>0</v>
      </c>
      <c r="P82" s="2277">
        <f t="shared" si="5"/>
        <v>0</v>
      </c>
      <c r="R82" s="2375" t="s">
        <v>2301</v>
      </c>
      <c r="T82" s="2277">
        <v>0</v>
      </c>
      <c r="V82" s="2277">
        <f t="shared" si="6"/>
        <v>0</v>
      </c>
      <c r="X82" s="2375" t="s">
        <v>2301</v>
      </c>
      <c r="Z82" s="2277">
        <v>0</v>
      </c>
      <c r="AB82" s="2277">
        <f t="shared" si="8"/>
        <v>0</v>
      </c>
      <c r="AD82" s="2277">
        <f t="shared" si="2"/>
        <v>-6834821</v>
      </c>
      <c r="AF82" s="2277">
        <f t="shared" si="9"/>
        <v>-28111931</v>
      </c>
      <c r="AH82" s="2277">
        <f t="shared" si="11"/>
        <v>-31529341.5</v>
      </c>
    </row>
    <row r="83" spans="2:34">
      <c r="B83" s="2373">
        <v>47</v>
      </c>
      <c r="D83" s="2374" t="s">
        <v>2247</v>
      </c>
      <c r="F83" s="2375">
        <v>50.4</v>
      </c>
      <c r="H83" s="2277">
        <f t="shared" si="10"/>
        <v>-6834821</v>
      </c>
      <c r="J83" s="2277">
        <f t="shared" si="12"/>
        <v>-21277110</v>
      </c>
      <c r="L83" s="2375" t="s">
        <v>2301</v>
      </c>
      <c r="N83" s="2277">
        <v>0</v>
      </c>
      <c r="P83" s="2277">
        <f t="shared" si="5"/>
        <v>0</v>
      </c>
      <c r="R83" s="2375" t="s">
        <v>2301</v>
      </c>
      <c r="T83" s="2277">
        <v>0</v>
      </c>
      <c r="V83" s="2277">
        <f t="shared" si="6"/>
        <v>0</v>
      </c>
      <c r="X83" s="2375" t="s">
        <v>2301</v>
      </c>
      <c r="Z83" s="2277">
        <v>0</v>
      </c>
      <c r="AB83" s="2277">
        <f t="shared" si="8"/>
        <v>0</v>
      </c>
      <c r="AD83" s="2277">
        <f t="shared" si="2"/>
        <v>-6834821</v>
      </c>
      <c r="AF83" s="2277">
        <f t="shared" si="9"/>
        <v>-21277110</v>
      </c>
      <c r="AH83" s="2277">
        <f t="shared" si="11"/>
        <v>-24694520.5</v>
      </c>
    </row>
    <row r="84" spans="2:34">
      <c r="B84" s="2373">
        <v>48</v>
      </c>
      <c r="D84" s="2374" t="s">
        <v>2248</v>
      </c>
      <c r="F84" s="2375">
        <v>50.4</v>
      </c>
      <c r="H84" s="2277">
        <f t="shared" si="10"/>
        <v>-6834821</v>
      </c>
      <c r="J84" s="2277">
        <f t="shared" si="12"/>
        <v>-14442289</v>
      </c>
      <c r="L84" s="2375" t="s">
        <v>2301</v>
      </c>
      <c r="N84" s="2277">
        <v>0</v>
      </c>
      <c r="P84" s="2277">
        <f t="shared" si="5"/>
        <v>0</v>
      </c>
      <c r="R84" s="2375" t="s">
        <v>2301</v>
      </c>
      <c r="T84" s="2277">
        <v>0</v>
      </c>
      <c r="V84" s="2277">
        <f t="shared" si="6"/>
        <v>0</v>
      </c>
      <c r="X84" s="2375" t="s">
        <v>2301</v>
      </c>
      <c r="Z84" s="2277">
        <v>0</v>
      </c>
      <c r="AB84" s="2277">
        <f t="shared" si="8"/>
        <v>0</v>
      </c>
      <c r="AD84" s="2277">
        <f t="shared" si="2"/>
        <v>-6834821</v>
      </c>
      <c r="AF84" s="2277">
        <f t="shared" si="9"/>
        <v>-14442289</v>
      </c>
      <c r="AH84" s="2277">
        <f t="shared" si="11"/>
        <v>-17859699.5</v>
      </c>
    </row>
    <row r="85" spans="2:34">
      <c r="B85" s="2373">
        <v>49</v>
      </c>
      <c r="D85" s="2374" t="s">
        <v>2249</v>
      </c>
      <c r="F85" s="2375">
        <v>50.4</v>
      </c>
      <c r="H85" s="2277">
        <f t="shared" si="10"/>
        <v>-6834821</v>
      </c>
      <c r="J85" s="2277">
        <f t="shared" si="12"/>
        <v>-7607468</v>
      </c>
      <c r="L85" s="2375" t="s">
        <v>2301</v>
      </c>
      <c r="N85" s="2277">
        <v>0</v>
      </c>
      <c r="P85" s="2277">
        <f t="shared" si="5"/>
        <v>0</v>
      </c>
      <c r="R85" s="2375" t="s">
        <v>2301</v>
      </c>
      <c r="T85" s="2277">
        <v>0</v>
      </c>
      <c r="V85" s="2277">
        <f t="shared" si="6"/>
        <v>0</v>
      </c>
      <c r="X85" s="2375" t="s">
        <v>2301</v>
      </c>
      <c r="Z85" s="2277">
        <v>0</v>
      </c>
      <c r="AB85" s="2277">
        <f t="shared" si="8"/>
        <v>0</v>
      </c>
      <c r="AD85" s="2277">
        <f t="shared" si="2"/>
        <v>-6834821</v>
      </c>
      <c r="AF85" s="2277">
        <f t="shared" si="9"/>
        <v>-7607468</v>
      </c>
      <c r="AH85" s="2277">
        <f t="shared" si="11"/>
        <v>-11024878.5</v>
      </c>
    </row>
    <row r="86" spans="2:34">
      <c r="B86" s="2373">
        <v>50</v>
      </c>
      <c r="D86" s="2374" t="s">
        <v>2250</v>
      </c>
      <c r="F86" s="2375">
        <v>50.4</v>
      </c>
      <c r="H86" s="2277">
        <f t="shared" si="10"/>
        <v>-6834821</v>
      </c>
      <c r="J86" s="2277">
        <f t="shared" si="12"/>
        <v>-772647</v>
      </c>
      <c r="L86" s="2375" t="s">
        <v>2301</v>
      </c>
      <c r="N86" s="2277">
        <v>0</v>
      </c>
      <c r="P86" s="2277">
        <f t="shared" si="5"/>
        <v>0</v>
      </c>
      <c r="R86" s="2375" t="s">
        <v>2301</v>
      </c>
      <c r="T86" s="2277">
        <v>0</v>
      </c>
      <c r="V86" s="2277">
        <f t="shared" si="6"/>
        <v>0</v>
      </c>
      <c r="X86" s="2375" t="s">
        <v>2301</v>
      </c>
      <c r="Z86" s="2277">
        <v>0</v>
      </c>
      <c r="AB86" s="2277">
        <f t="shared" si="8"/>
        <v>0</v>
      </c>
      <c r="AD86" s="2277">
        <f t="shared" si="2"/>
        <v>-6834821</v>
      </c>
      <c r="AF86" s="2277">
        <f t="shared" si="9"/>
        <v>-772647</v>
      </c>
      <c r="AH86" s="2277">
        <f t="shared" si="11"/>
        <v>-4190057.5</v>
      </c>
    </row>
    <row r="87" spans="2:34">
      <c r="B87" s="2377">
        <v>51</v>
      </c>
      <c r="D87" s="2378" t="s">
        <v>2251</v>
      </c>
      <c r="F87" s="2379">
        <v>50.4</v>
      </c>
      <c r="H87" s="2280">
        <f>J86</f>
        <v>-772647</v>
      </c>
      <c r="J87" s="2280">
        <f t="shared" si="12"/>
        <v>0</v>
      </c>
      <c r="L87" s="2379" t="s">
        <v>2301</v>
      </c>
      <c r="N87" s="2280">
        <v>0</v>
      </c>
      <c r="P87" s="2280">
        <f t="shared" si="5"/>
        <v>0</v>
      </c>
      <c r="R87" s="2379" t="s">
        <v>2301</v>
      </c>
      <c r="T87" s="2280">
        <v>0</v>
      </c>
      <c r="V87" s="2280">
        <f t="shared" si="6"/>
        <v>0</v>
      </c>
      <c r="X87" s="2379" t="s">
        <v>2301</v>
      </c>
      <c r="Z87" s="2280">
        <v>0</v>
      </c>
      <c r="AB87" s="2280">
        <f t="shared" si="8"/>
        <v>0</v>
      </c>
      <c r="AD87" s="2280">
        <f t="shared" si="2"/>
        <v>-772647</v>
      </c>
      <c r="AF87" s="2280">
        <f t="shared" si="9"/>
        <v>0</v>
      </c>
      <c r="AH87" s="2280">
        <f t="shared" si="11"/>
        <v>-386323.5</v>
      </c>
    </row>
    <row r="90" spans="2:34">
      <c r="B90" s="2273" t="s">
        <v>240</v>
      </c>
      <c r="C90" s="2274" t="s">
        <v>2272</v>
      </c>
    </row>
    <row r="91" spans="2:34">
      <c r="B91" s="2273" t="s">
        <v>242</v>
      </c>
      <c r="C91" s="2274" t="s">
        <v>2270</v>
      </c>
    </row>
  </sheetData>
  <pageMargins left="0.7" right="0.7" top="0.75" bottom="0.75" header="0.3" footer="0.3"/>
  <pageSetup scale="45" fitToHeight="0" orientation="landscape" horizontalDpi="1200" verticalDpi="120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14"/>
  <sheetViews>
    <sheetView topLeftCell="A13" workbookViewId="0">
      <selection activeCell="G42" sqref="G42"/>
    </sheetView>
  </sheetViews>
  <sheetFormatPr defaultRowHeight="15"/>
  <cols>
    <col min="1" max="2" width="4.7109375" customWidth="1"/>
    <col min="3" max="3" width="59.85546875" customWidth="1"/>
    <col min="4" max="6" width="14.7109375" customWidth="1"/>
    <col min="7" max="7" width="13.42578125" bestFit="1" customWidth="1"/>
    <col min="8" max="8" width="16.5703125" customWidth="1"/>
    <col min="9" max="9" width="48.42578125" customWidth="1"/>
    <col min="10" max="10" width="5.140625" customWidth="1"/>
    <col min="11" max="11" width="26.42578125" customWidth="1"/>
  </cols>
  <sheetData>
    <row r="1" spans="1:13" ht="18">
      <c r="A1" s="582" t="s">
        <v>179</v>
      </c>
      <c r="B1" s="582"/>
      <c r="C1" s="582"/>
      <c r="D1" s="582"/>
      <c r="E1" s="582"/>
      <c r="F1" s="582"/>
      <c r="G1" s="582"/>
      <c r="H1" s="506"/>
      <c r="I1" s="487"/>
      <c r="J1" s="583"/>
      <c r="K1" s="487"/>
      <c r="L1" s="487"/>
      <c r="M1" s="487"/>
    </row>
    <row r="2" spans="1:13" ht="16.5">
      <c r="A2" s="584" t="s">
        <v>879</v>
      </c>
      <c r="B2" s="585"/>
      <c r="C2" s="585"/>
      <c r="D2" s="585"/>
      <c r="E2" s="585"/>
      <c r="F2" s="585"/>
      <c r="G2" s="585"/>
      <c r="H2" s="506"/>
      <c r="I2" s="487"/>
      <c r="J2" s="583"/>
      <c r="K2" s="487"/>
      <c r="L2" s="487"/>
      <c r="M2" s="487"/>
    </row>
    <row r="3" spans="1:13">
      <c r="A3" s="487"/>
      <c r="B3" s="487"/>
      <c r="C3" s="487"/>
      <c r="D3" s="505"/>
      <c r="E3" s="487"/>
      <c r="F3" s="487"/>
      <c r="G3" s="487"/>
      <c r="H3" s="487"/>
      <c r="I3" s="487"/>
      <c r="J3" s="583"/>
      <c r="K3" s="487"/>
      <c r="L3" s="487"/>
      <c r="M3" s="487"/>
    </row>
    <row r="4" spans="1:13">
      <c r="A4" s="487"/>
      <c r="B4" s="487"/>
      <c r="C4" s="487"/>
      <c r="D4" s="505"/>
      <c r="E4" s="487"/>
      <c r="F4" s="487"/>
      <c r="G4" s="487"/>
      <c r="H4" s="487"/>
      <c r="I4" s="487"/>
      <c r="J4" s="583"/>
      <c r="K4" s="487"/>
      <c r="L4" s="487"/>
      <c r="M4" s="487"/>
    </row>
    <row r="5" spans="1:13">
      <c r="A5" s="487"/>
      <c r="B5" s="487"/>
      <c r="C5" s="487"/>
      <c r="D5" s="514"/>
      <c r="E5" s="514"/>
      <c r="F5" s="514"/>
      <c r="G5" s="514"/>
      <c r="H5" s="514"/>
      <c r="I5" s="487"/>
      <c r="J5" s="583"/>
      <c r="K5" s="487"/>
      <c r="L5" s="487"/>
      <c r="M5" s="487"/>
    </row>
    <row r="6" spans="1:13" ht="26.25">
      <c r="A6" s="586" t="s">
        <v>880</v>
      </c>
      <c r="B6" s="586"/>
      <c r="C6" s="587"/>
      <c r="D6" s="588" t="s">
        <v>881</v>
      </c>
      <c r="E6" s="589" t="s">
        <v>882</v>
      </c>
      <c r="F6" s="588" t="s">
        <v>883</v>
      </c>
      <c r="G6" s="514"/>
      <c r="H6" s="514"/>
      <c r="I6" s="487"/>
      <c r="J6" s="487"/>
      <c r="K6" s="487"/>
      <c r="L6" s="487"/>
      <c r="M6" s="487"/>
    </row>
    <row r="7" spans="1:13">
      <c r="A7" s="487"/>
      <c r="B7" s="487"/>
      <c r="C7" s="487"/>
      <c r="D7" s="590"/>
      <c r="E7" s="487"/>
      <c r="F7" s="514"/>
      <c r="G7" s="514"/>
      <c r="H7" s="591"/>
      <c r="I7" s="487"/>
      <c r="J7" s="487"/>
      <c r="K7" s="487"/>
      <c r="L7" s="487"/>
      <c r="M7" s="487"/>
    </row>
    <row r="8" spans="1:13" ht="26.25">
      <c r="A8" s="592"/>
      <c r="B8" s="586" t="s">
        <v>340</v>
      </c>
      <c r="C8" s="587"/>
      <c r="D8" s="593"/>
      <c r="E8" s="594" t="s">
        <v>33</v>
      </c>
      <c r="F8" s="589"/>
      <c r="G8" s="514"/>
      <c r="H8" s="591"/>
      <c r="I8" s="487"/>
      <c r="J8" s="487"/>
      <c r="K8" s="487"/>
      <c r="L8" s="487"/>
      <c r="M8" s="487"/>
    </row>
    <row r="9" spans="1:13">
      <c r="A9" s="592"/>
      <c r="B9" s="595" t="s">
        <v>884</v>
      </c>
      <c r="C9" s="596"/>
      <c r="D9" s="597">
        <f>SUM(G66:G75)</f>
        <v>148291559</v>
      </c>
      <c r="E9" s="598"/>
      <c r="F9" s="493"/>
      <c r="G9" s="493"/>
      <c r="H9" s="599"/>
      <c r="I9" s="487"/>
      <c r="J9" s="487"/>
      <c r="K9" s="487"/>
      <c r="L9" s="487"/>
      <c r="M9" s="487"/>
    </row>
    <row r="10" spans="1:13">
      <c r="A10" s="592"/>
      <c r="B10" s="595" t="s">
        <v>885</v>
      </c>
      <c r="C10" s="596"/>
      <c r="D10" s="597">
        <f>SUM(G76:G81)</f>
        <v>497828</v>
      </c>
      <c r="E10" s="598"/>
      <c r="F10" s="493"/>
      <c r="G10" s="493"/>
      <c r="H10" s="599"/>
      <c r="I10" s="487"/>
      <c r="J10" s="487"/>
      <c r="K10" s="487"/>
      <c r="L10" s="487"/>
      <c r="M10" s="487"/>
    </row>
    <row r="11" spans="1:13">
      <c r="A11" s="592"/>
      <c r="B11" s="595"/>
      <c r="C11" s="600"/>
      <c r="D11" s="597"/>
      <c r="E11" s="487"/>
      <c r="F11" s="487"/>
      <c r="G11" s="487"/>
      <c r="H11" s="599"/>
      <c r="I11" s="487"/>
      <c r="J11" s="487"/>
      <c r="K11" s="487"/>
      <c r="L11" s="487"/>
      <c r="M11" s="487"/>
    </row>
    <row r="12" spans="1:13">
      <c r="A12" s="592">
        <v>1</v>
      </c>
      <c r="B12" s="601" t="s">
        <v>886</v>
      </c>
      <c r="C12" s="602"/>
      <c r="D12" s="2233">
        <f>SUM(D9:D11)</f>
        <v>148789387</v>
      </c>
      <c r="E12" s="604">
        <f>Allocator.net.plant</f>
        <v>0.27227320599025778</v>
      </c>
      <c r="F12" s="603">
        <f>+D12*E12</f>
        <v>40511363.415815182</v>
      </c>
      <c r="G12" s="605"/>
      <c r="H12" s="474"/>
      <c r="I12" s="474"/>
      <c r="J12" s="487"/>
      <c r="K12" s="487"/>
      <c r="L12" s="487"/>
      <c r="M12" s="487"/>
    </row>
    <row r="13" spans="1:13">
      <c r="A13" s="592"/>
      <c r="B13" s="487"/>
      <c r="C13" s="487"/>
      <c r="D13" s="606"/>
      <c r="E13" s="607"/>
      <c r="F13" s="607"/>
      <c r="G13" s="607"/>
      <c r="H13" s="474"/>
      <c r="I13" s="474"/>
      <c r="J13" s="487"/>
      <c r="K13" s="487"/>
      <c r="L13" s="487"/>
      <c r="M13" s="487"/>
    </row>
    <row r="14" spans="1:13" ht="26.25">
      <c r="A14" s="592"/>
      <c r="B14" s="586" t="s">
        <v>341</v>
      </c>
      <c r="C14" s="587"/>
      <c r="D14" s="608"/>
      <c r="E14" s="609" t="s">
        <v>22</v>
      </c>
      <c r="F14" s="610"/>
      <c r="G14" s="607"/>
      <c r="H14" s="599"/>
      <c r="I14" s="487"/>
      <c r="J14" s="487"/>
      <c r="K14" s="487"/>
      <c r="L14" s="487"/>
      <c r="M14" s="487"/>
    </row>
    <row r="15" spans="1:13">
      <c r="A15" s="592"/>
      <c r="B15" s="595" t="s">
        <v>887</v>
      </c>
      <c r="C15" s="596"/>
      <c r="D15" s="611">
        <v>0</v>
      </c>
      <c r="E15" s="612"/>
      <c r="F15" s="612"/>
      <c r="G15" s="612"/>
      <c r="H15" s="599"/>
      <c r="I15" s="487"/>
      <c r="J15" s="487"/>
      <c r="K15" s="487"/>
      <c r="L15" s="487"/>
      <c r="M15" s="487"/>
    </row>
    <row r="16" spans="1:13">
      <c r="A16" s="592"/>
      <c r="B16" s="595" t="s">
        <v>888</v>
      </c>
      <c r="C16" s="596"/>
      <c r="D16" s="611">
        <v>0</v>
      </c>
      <c r="E16" s="487"/>
      <c r="F16" s="487"/>
      <c r="G16" s="487"/>
      <c r="H16" s="599"/>
      <c r="I16" s="487"/>
      <c r="J16" s="487"/>
      <c r="K16" s="487"/>
      <c r="L16" s="487"/>
      <c r="M16" s="487"/>
    </row>
    <row r="17" spans="1:13">
      <c r="A17" s="592"/>
      <c r="B17" s="595" t="s">
        <v>889</v>
      </c>
      <c r="C17" s="596"/>
      <c r="D17" s="611">
        <v>0</v>
      </c>
      <c r="E17" s="487"/>
      <c r="F17" s="487"/>
      <c r="G17" s="487"/>
      <c r="H17" s="599"/>
      <c r="I17" s="487"/>
      <c r="J17" s="487"/>
      <c r="K17" s="487"/>
      <c r="L17" s="487"/>
      <c r="M17" s="487"/>
    </row>
    <row r="18" spans="1:13">
      <c r="A18" s="592"/>
      <c r="B18" s="595"/>
      <c r="C18" s="596"/>
      <c r="D18" s="611"/>
      <c r="E18" s="487"/>
      <c r="F18" s="487"/>
      <c r="G18" s="487"/>
      <c r="H18" s="613"/>
      <c r="I18" s="487"/>
      <c r="J18" s="487"/>
      <c r="K18" s="487"/>
      <c r="L18" s="487"/>
      <c r="M18" s="487"/>
    </row>
    <row r="19" spans="1:13">
      <c r="A19" s="592">
        <f>A12+1</f>
        <v>2</v>
      </c>
      <c r="B19" s="601" t="s">
        <v>890</v>
      </c>
      <c r="C19" s="602"/>
      <c r="D19" s="2233">
        <f>SUM(D15:D18)</f>
        <v>0</v>
      </c>
      <c r="E19" s="614">
        <f>Allocator.wages.salary</f>
        <v>8.414504158513228E-2</v>
      </c>
      <c r="F19" s="603">
        <f>+E19*D19</f>
        <v>0</v>
      </c>
      <c r="G19" s="605"/>
      <c r="H19" s="613"/>
      <c r="I19" s="487"/>
      <c r="J19" s="487"/>
      <c r="K19" s="487"/>
      <c r="L19" s="487"/>
      <c r="M19" s="487"/>
    </row>
    <row r="20" spans="1:13">
      <c r="A20" s="592"/>
      <c r="B20" s="615"/>
      <c r="C20" s="606"/>
      <c r="D20" s="505"/>
      <c r="E20" s="493"/>
      <c r="F20" s="487"/>
      <c r="G20" s="487"/>
      <c r="H20" s="613"/>
      <c r="I20" s="487"/>
      <c r="J20" s="487"/>
      <c r="K20" s="487"/>
      <c r="L20" s="487"/>
      <c r="M20" s="487"/>
    </row>
    <row r="21" spans="1:13">
      <c r="A21" s="592"/>
      <c r="B21" s="487"/>
      <c r="C21" s="487"/>
      <c r="D21" s="505"/>
      <c r="E21" s="487"/>
      <c r="F21" s="487"/>
      <c r="G21" s="487"/>
      <c r="H21" s="613"/>
      <c r="I21" s="487"/>
      <c r="J21" s="487"/>
      <c r="K21" s="487"/>
      <c r="L21" s="487"/>
      <c r="M21" s="487"/>
    </row>
    <row r="22" spans="1:13" ht="26.25">
      <c r="A22" s="592"/>
      <c r="B22" s="586" t="s">
        <v>891</v>
      </c>
      <c r="C22" s="587"/>
      <c r="D22" s="616"/>
      <c r="E22" s="594" t="s">
        <v>33</v>
      </c>
      <c r="F22" s="587"/>
      <c r="G22" s="487"/>
      <c r="H22" s="613"/>
      <c r="I22" s="487"/>
      <c r="J22" s="487"/>
      <c r="K22" s="487"/>
      <c r="L22" s="487"/>
      <c r="M22" s="487"/>
    </row>
    <row r="23" spans="1:13">
      <c r="A23" s="592"/>
      <c r="B23" s="595" t="s">
        <v>892</v>
      </c>
      <c r="C23" s="596"/>
      <c r="D23" s="597">
        <f>G82</f>
        <v>76984</v>
      </c>
      <c r="E23" s="487" t="s">
        <v>893</v>
      </c>
      <c r="F23" s="487"/>
      <c r="G23" s="487"/>
      <c r="H23" s="617"/>
      <c r="I23" s="487"/>
      <c r="J23" s="487"/>
      <c r="K23" s="487"/>
      <c r="L23" s="487"/>
      <c r="M23" s="487"/>
    </row>
    <row r="24" spans="1:13">
      <c r="A24" s="592"/>
      <c r="B24" s="595"/>
      <c r="C24" s="596"/>
      <c r="D24" s="618"/>
      <c r="E24" s="487"/>
      <c r="F24" s="619"/>
      <c r="G24" s="619"/>
      <c r="H24" s="487"/>
      <c r="I24" s="487"/>
      <c r="J24" s="487"/>
      <c r="K24" s="487"/>
      <c r="L24" s="487"/>
      <c r="M24" s="487"/>
    </row>
    <row r="25" spans="1:13">
      <c r="A25" s="592">
        <f>A19+1</f>
        <v>3</v>
      </c>
      <c r="B25" s="601" t="s">
        <v>894</v>
      </c>
      <c r="C25" s="602"/>
      <c r="D25" s="2233">
        <f>SUM(D23:D24)</f>
        <v>76984</v>
      </c>
      <c r="E25" s="604">
        <f>Allocator.net.plant</f>
        <v>0.27227320599025778</v>
      </c>
      <c r="F25" s="603">
        <f>+E25*D25</f>
        <v>20960.680489954004</v>
      </c>
      <c r="G25" s="605"/>
      <c r="H25" s="487"/>
      <c r="I25" s="487"/>
      <c r="J25" s="487"/>
      <c r="K25" s="487"/>
      <c r="L25" s="487"/>
      <c r="M25" s="487"/>
    </row>
    <row r="26" spans="1:13">
      <c r="A26" s="592"/>
      <c r="B26" s="487"/>
      <c r="C26" s="487"/>
      <c r="D26" s="505"/>
      <c r="E26" s="487"/>
      <c r="F26" s="487"/>
      <c r="G26" s="487"/>
      <c r="H26" s="487"/>
      <c r="I26" s="487"/>
      <c r="J26" s="487"/>
      <c r="K26" s="487"/>
      <c r="L26" s="487"/>
      <c r="M26" s="487"/>
    </row>
    <row r="27" spans="1:13" ht="15.75" thickBot="1">
      <c r="A27" s="592">
        <f>A25+1</f>
        <v>4</v>
      </c>
      <c r="B27" s="601" t="str">
        <f>"Appendix A input: Total Included Taxes (Lines "&amp;A12&amp;" + "&amp;A19&amp;" + "&amp;A25&amp;")"</f>
        <v>Appendix A input: Total Included Taxes (Lines 1 + 2 + 3)</v>
      </c>
      <c r="C27" s="602"/>
      <c r="D27" s="2234">
        <f>D12+D19+D25</f>
        <v>148866371</v>
      </c>
      <c r="E27" s="602"/>
      <c r="F27" s="620">
        <f>+F25+F19+F12</f>
        <v>40532324.096305139</v>
      </c>
      <c r="G27" s="605"/>
      <c r="H27" s="493" t="s">
        <v>895</v>
      </c>
      <c r="I27" s="487"/>
      <c r="J27" s="487"/>
      <c r="K27" s="487"/>
      <c r="L27" s="487"/>
      <c r="M27" s="487"/>
    </row>
    <row r="28" spans="1:13" ht="15.75" thickTop="1">
      <c r="A28" s="592"/>
      <c r="B28" s="487"/>
      <c r="C28" s="621"/>
      <c r="D28" s="505"/>
      <c r="E28" s="487"/>
      <c r="F28" s="487"/>
      <c r="G28" s="487"/>
      <c r="H28" s="487"/>
      <c r="I28" s="487"/>
      <c r="J28" s="487"/>
      <c r="K28" s="487"/>
      <c r="L28" s="487"/>
      <c r="M28" s="487"/>
    </row>
    <row r="29" spans="1:13">
      <c r="A29" s="592"/>
      <c r="B29" s="487"/>
      <c r="C29" s="621"/>
      <c r="D29" s="505"/>
      <c r="E29" s="622"/>
      <c r="F29" s="487"/>
      <c r="G29" s="487"/>
      <c r="H29" s="487"/>
      <c r="I29" s="487"/>
      <c r="J29" s="583"/>
      <c r="K29" s="493"/>
      <c r="L29" s="487"/>
      <c r="M29" s="487"/>
    </row>
    <row r="30" spans="1:13">
      <c r="A30" s="592"/>
      <c r="B30" s="586" t="s">
        <v>896</v>
      </c>
      <c r="C30" s="587"/>
      <c r="D30" s="616"/>
      <c r="E30" s="487"/>
      <c r="F30" s="493"/>
      <c r="G30" s="493"/>
      <c r="H30" s="474"/>
      <c r="I30" s="487"/>
      <c r="J30" s="623"/>
      <c r="K30" s="487"/>
      <c r="L30" s="487"/>
      <c r="M30" s="487"/>
    </row>
    <row r="31" spans="1:13">
      <c r="A31" s="592"/>
      <c r="B31" s="624" t="str">
        <f>C85</f>
        <v>Local Franchise</v>
      </c>
      <c r="C31" s="596"/>
      <c r="D31" s="597">
        <f>G85</f>
        <v>33375023</v>
      </c>
      <c r="E31" s="625"/>
      <c r="F31" s="493"/>
      <c r="G31" s="493"/>
      <c r="H31" s="474"/>
      <c r="I31" s="487"/>
      <c r="J31" s="583"/>
      <c r="K31" s="487"/>
      <c r="L31" s="487"/>
      <c r="M31" s="487"/>
    </row>
    <row r="32" spans="1:13">
      <c r="A32" s="592"/>
      <c r="B32" s="624" t="str">
        <f t="shared" ref="B32:B38" si="0">C90</f>
        <v>Montana Energy License</v>
      </c>
      <c r="C32" s="596"/>
      <c r="D32" s="597">
        <f>G90</f>
        <v>228670</v>
      </c>
      <c r="E32" s="626"/>
      <c r="F32" s="493"/>
      <c r="G32" s="493"/>
      <c r="H32" s="474"/>
      <c r="I32" s="487"/>
      <c r="J32" s="583"/>
      <c r="K32" s="487"/>
      <c r="L32" s="487"/>
      <c r="M32" s="487"/>
    </row>
    <row r="33" spans="1:13">
      <c r="A33" s="592"/>
      <c r="B33" s="624" t="str">
        <f t="shared" si="0"/>
        <v>Montana Wholesale Energy</v>
      </c>
      <c r="C33" s="596"/>
      <c r="D33" s="597">
        <f t="shared" ref="D33:D38" si="1">G91</f>
        <v>162925</v>
      </c>
      <c r="E33" s="626"/>
      <c r="F33" s="493"/>
      <c r="G33" s="493"/>
      <c r="H33" s="474"/>
      <c r="I33" s="487"/>
      <c r="J33" s="583"/>
      <c r="K33" s="487"/>
      <c r="L33" s="487"/>
      <c r="M33" s="487"/>
    </row>
    <row r="34" spans="1:13">
      <c r="A34" s="592"/>
      <c r="B34" s="624" t="str">
        <f t="shared" si="0"/>
        <v>Idaho Generation Tax (KWh)</v>
      </c>
      <c r="C34" s="596"/>
      <c r="D34" s="597">
        <f t="shared" si="1"/>
        <v>58058</v>
      </c>
      <c r="E34" s="627"/>
      <c r="F34" s="493"/>
      <c r="G34" s="493"/>
      <c r="H34" s="474"/>
      <c r="I34" s="487"/>
      <c r="J34" s="583"/>
      <c r="K34" s="487"/>
      <c r="L34" s="487"/>
      <c r="M34" s="487"/>
    </row>
    <row r="35" spans="1:13">
      <c r="A35" s="592"/>
      <c r="B35" s="624" t="str">
        <f t="shared" si="0"/>
        <v>Oregon Department of Energy</v>
      </c>
      <c r="C35" s="628"/>
      <c r="D35" s="597">
        <f t="shared" si="1"/>
        <v>1611450</v>
      </c>
      <c r="E35" s="626"/>
      <c r="F35" s="493"/>
      <c r="G35" s="493"/>
      <c r="H35" s="474"/>
      <c r="I35" s="487"/>
      <c r="J35" s="583"/>
      <c r="K35" s="487"/>
      <c r="L35" s="487"/>
      <c r="M35" s="487"/>
    </row>
    <row r="36" spans="1:13">
      <c r="A36" s="592"/>
      <c r="B36" s="629" t="str">
        <f t="shared" si="0"/>
        <v>Wyoming Wind Generation Tax</v>
      </c>
      <c r="C36" s="628"/>
      <c r="D36" s="597">
        <f t="shared" si="1"/>
        <v>2050814</v>
      </c>
      <c r="E36" s="626"/>
      <c r="F36" s="493"/>
      <c r="G36" s="493"/>
      <c r="H36" s="474"/>
      <c r="I36" s="487"/>
      <c r="J36" s="583"/>
      <c r="K36" s="487"/>
      <c r="L36" s="487"/>
      <c r="M36" s="487"/>
    </row>
    <row r="37" spans="1:13">
      <c r="A37" s="592"/>
      <c r="B37" s="624" t="str">
        <f t="shared" si="0"/>
        <v>Washington Public Utility Tax</v>
      </c>
      <c r="C37" s="624"/>
      <c r="D37" s="597">
        <f t="shared" si="1"/>
        <v>12517338</v>
      </c>
      <c r="E37" s="626"/>
      <c r="F37" s="493"/>
      <c r="G37" s="493"/>
      <c r="H37" s="474"/>
      <c r="I37" s="487"/>
      <c r="J37" s="583"/>
      <c r="K37" s="487"/>
      <c r="L37" s="487"/>
      <c r="M37" s="487"/>
    </row>
    <row r="38" spans="1:13">
      <c r="A38" s="592"/>
      <c r="B38" s="624" t="str">
        <f t="shared" si="0"/>
        <v>Other (Business &amp; Occupation, Nevada Comm. Tax, Use)</v>
      </c>
      <c r="C38" s="624"/>
      <c r="D38" s="597">
        <f t="shared" si="1"/>
        <v>266377</v>
      </c>
      <c r="E38" s="626"/>
      <c r="F38" s="493"/>
      <c r="G38" s="493"/>
      <c r="H38" s="474"/>
      <c r="I38" s="487"/>
      <c r="J38" s="583"/>
      <c r="K38" s="487"/>
      <c r="L38" s="487"/>
      <c r="M38" s="487"/>
    </row>
    <row r="39" spans="1:13">
      <c r="A39" s="592"/>
      <c r="B39" s="624"/>
      <c r="C39" s="624"/>
      <c r="D39" s="597"/>
      <c r="E39" s="626"/>
      <c r="F39" s="493"/>
      <c r="G39" s="493"/>
      <c r="H39" s="474"/>
      <c r="I39" s="487"/>
      <c r="J39" s="583"/>
      <c r="K39" s="487"/>
      <c r="L39" s="487"/>
      <c r="M39" s="487"/>
    </row>
    <row r="40" spans="1:13">
      <c r="A40" s="592">
        <f>A27+1</f>
        <v>5</v>
      </c>
      <c r="B40" s="630" t="s">
        <v>897</v>
      </c>
      <c r="C40" s="630"/>
      <c r="D40" s="603">
        <f>SUM(D31:D39)</f>
        <v>50270655</v>
      </c>
      <c r="E40" s="631"/>
      <c r="F40" s="631"/>
      <c r="G40" s="631"/>
      <c r="H40" s="474"/>
      <c r="I40" s="487"/>
      <c r="J40" s="583"/>
      <c r="K40" s="487"/>
      <c r="L40" s="487"/>
      <c r="M40" s="487"/>
    </row>
    <row r="41" spans="1:13">
      <c r="A41" s="592"/>
      <c r="B41" s="487"/>
      <c r="C41" s="493"/>
      <c r="D41" s="632"/>
      <c r="E41" s="633"/>
      <c r="F41" s="487"/>
      <c r="G41" s="487"/>
      <c r="H41" s="474"/>
      <c r="I41" s="487"/>
      <c r="J41" s="583"/>
      <c r="K41" s="487"/>
      <c r="L41" s="487"/>
      <c r="M41" s="487"/>
    </row>
    <row r="42" spans="1:13">
      <c r="A42" s="592">
        <f>+A40+1</f>
        <v>6</v>
      </c>
      <c r="B42" s="634" t="str">
        <f>"Total Other Taxes Included and Excluded (Line "&amp;A27&amp;" + Line "&amp;A40&amp;")"</f>
        <v>Total Other Taxes Included and Excluded (Line 4 + Line 5)</v>
      </c>
      <c r="C42" s="567"/>
      <c r="D42" s="635">
        <f>D40+D27</f>
        <v>199137026</v>
      </c>
      <c r="E42" s="631"/>
      <c r="F42" s="631"/>
      <c r="G42" s="631"/>
      <c r="H42" s="474"/>
      <c r="I42" s="487"/>
      <c r="J42" s="583"/>
      <c r="K42" s="487"/>
      <c r="L42" s="487"/>
      <c r="M42" s="487"/>
    </row>
    <row r="43" spans="1:13">
      <c r="A43" s="592"/>
      <c r="B43" s="493"/>
      <c r="C43" s="547"/>
      <c r="D43" s="636"/>
      <c r="E43" s="493"/>
      <c r="F43" s="487"/>
      <c r="G43" s="487"/>
      <c r="H43" s="487"/>
      <c r="I43" s="487"/>
      <c r="J43" s="583"/>
      <c r="K43" s="487"/>
      <c r="L43" s="487"/>
      <c r="M43" s="487"/>
    </row>
    <row r="44" spans="1:13">
      <c r="A44" s="487"/>
      <c r="B44" s="634" t="s">
        <v>898</v>
      </c>
      <c r="C44" s="567"/>
      <c r="D44" s="487"/>
      <c r="E44" s="637"/>
      <c r="F44" s="637"/>
      <c r="G44" s="637"/>
      <c r="H44" s="487"/>
      <c r="I44" s="487"/>
      <c r="J44" s="583"/>
      <c r="K44" s="487"/>
      <c r="L44" s="487"/>
      <c r="M44" s="487"/>
    </row>
    <row r="45" spans="1:13">
      <c r="A45" s="592">
        <f>+A42+1</f>
        <v>7</v>
      </c>
      <c r="B45" s="493"/>
      <c r="C45" s="638" t="s">
        <v>899</v>
      </c>
      <c r="D45" s="639">
        <v>199137026</v>
      </c>
      <c r="E45" s="637"/>
      <c r="F45" s="637"/>
      <c r="G45" s="637"/>
      <c r="H45" s="493" t="s">
        <v>2027</v>
      </c>
      <c r="I45" s="493"/>
      <c r="J45" s="497"/>
      <c r="K45" s="487"/>
      <c r="L45" s="487"/>
      <c r="M45" s="487"/>
    </row>
    <row r="46" spans="1:13">
      <c r="A46" s="487"/>
      <c r="B46" s="493"/>
      <c r="C46" s="499"/>
      <c r="D46" s="640"/>
      <c r="E46" s="637"/>
      <c r="F46" s="637"/>
      <c r="G46" s="637"/>
      <c r="H46" s="493"/>
      <c r="I46" s="493"/>
      <c r="J46" s="497"/>
      <c r="K46" s="487"/>
      <c r="L46" s="487"/>
      <c r="M46" s="487"/>
    </row>
    <row r="47" spans="1:13">
      <c r="A47" s="592">
        <f>A45+1</f>
        <v>8</v>
      </c>
      <c r="B47" s="493"/>
      <c r="C47" s="499" t="str">
        <f>"Difference  (Line "&amp;A42&amp;" - Line "&amp;A45&amp;")"</f>
        <v>Difference  (Line 6 - Line 7)</v>
      </c>
      <c r="D47" s="641">
        <f>+D42-D45</f>
        <v>0</v>
      </c>
      <c r="E47" s="642"/>
      <c r="F47" s="487"/>
      <c r="G47" s="474"/>
      <c r="H47" s="643" t="s">
        <v>900</v>
      </c>
      <c r="I47" s="474"/>
      <c r="J47" s="497"/>
      <c r="K47" s="487"/>
      <c r="L47" s="487"/>
      <c r="M47" s="493"/>
    </row>
    <row r="48" spans="1:13">
      <c r="A48" s="487"/>
      <c r="B48" s="493"/>
      <c r="C48" s="499"/>
      <c r="D48" s="644"/>
      <c r="E48" s="637"/>
      <c r="F48" s="637"/>
      <c r="G48" s="637"/>
      <c r="H48" s="493"/>
      <c r="I48" s="493"/>
      <c r="J48" s="497"/>
      <c r="K48" s="487"/>
      <c r="L48" s="487"/>
      <c r="M48" s="493"/>
    </row>
    <row r="49" spans="1:13">
      <c r="A49" s="487"/>
      <c r="B49" s="493" t="s">
        <v>901</v>
      </c>
      <c r="C49" s="493"/>
      <c r="D49" s="622"/>
      <c r="E49" s="645"/>
      <c r="F49" s="645"/>
      <c r="G49" s="645"/>
      <c r="H49" s="493"/>
      <c r="I49" s="493"/>
      <c r="J49" s="497"/>
      <c r="K49" s="487"/>
      <c r="L49" s="487"/>
      <c r="M49" s="493"/>
    </row>
    <row r="50" spans="1:13">
      <c r="A50" s="487"/>
      <c r="B50" s="493" t="s">
        <v>234</v>
      </c>
      <c r="C50" s="493" t="s">
        <v>902</v>
      </c>
      <c r="D50" s="622"/>
      <c r="E50" s="645"/>
      <c r="F50" s="645"/>
      <c r="G50" s="645"/>
      <c r="H50" s="493"/>
      <c r="I50" s="493"/>
      <c r="J50" s="497"/>
      <c r="K50" s="487"/>
      <c r="L50" s="487"/>
      <c r="M50" s="493"/>
    </row>
    <row r="51" spans="1:13">
      <c r="A51" s="487"/>
      <c r="B51" s="493"/>
      <c r="C51" s="497" t="s">
        <v>903</v>
      </c>
      <c r="D51" s="622"/>
      <c r="E51" s="493"/>
      <c r="F51" s="645"/>
      <c r="G51" s="645"/>
      <c r="H51" s="493"/>
      <c r="I51" s="493"/>
      <c r="J51" s="497"/>
      <c r="K51" s="487"/>
      <c r="L51" s="487"/>
      <c r="M51" s="487"/>
    </row>
    <row r="52" spans="1:13">
      <c r="A52" s="487"/>
      <c r="B52" s="493" t="s">
        <v>237</v>
      </c>
      <c r="C52" s="493" t="s">
        <v>904</v>
      </c>
      <c r="D52" s="622"/>
      <c r="E52" s="493"/>
      <c r="F52" s="645"/>
      <c r="G52" s="645"/>
      <c r="H52" s="493"/>
      <c r="I52" s="493"/>
      <c r="J52" s="497"/>
      <c r="K52" s="487"/>
      <c r="L52" s="487"/>
      <c r="M52" s="487"/>
    </row>
    <row r="53" spans="1:13">
      <c r="A53" s="487"/>
      <c r="B53" s="493"/>
      <c r="C53" s="497" t="s">
        <v>903</v>
      </c>
      <c r="D53" s="622"/>
      <c r="E53" s="493"/>
      <c r="F53" s="645"/>
      <c r="G53" s="645"/>
      <c r="H53" s="493"/>
      <c r="I53" s="493"/>
      <c r="J53" s="497"/>
      <c r="K53" s="487"/>
      <c r="L53" s="487"/>
      <c r="M53" s="487"/>
    </row>
    <row r="54" spans="1:13">
      <c r="A54" s="487"/>
      <c r="B54" s="493" t="s">
        <v>239</v>
      </c>
      <c r="C54" s="493" t="s">
        <v>905</v>
      </c>
      <c r="D54" s="622"/>
      <c r="E54" s="493"/>
      <c r="F54" s="645"/>
      <c r="G54" s="645"/>
      <c r="H54" s="493"/>
      <c r="I54" s="493"/>
      <c r="J54" s="497"/>
      <c r="K54" s="487"/>
      <c r="L54" s="487"/>
      <c r="M54" s="487"/>
    </row>
    <row r="55" spans="1:13">
      <c r="A55" s="487"/>
      <c r="B55" s="493" t="s">
        <v>240</v>
      </c>
      <c r="C55" s="497" t="s">
        <v>906</v>
      </c>
      <c r="D55" s="622"/>
      <c r="E55" s="493"/>
      <c r="F55" s="645"/>
      <c r="G55" s="645"/>
      <c r="H55" s="493"/>
      <c r="I55" s="493"/>
      <c r="J55" s="497"/>
      <c r="K55" s="487"/>
      <c r="L55" s="487"/>
      <c r="M55" s="487"/>
    </row>
    <row r="56" spans="1:13">
      <c r="A56" s="487"/>
      <c r="B56" s="493"/>
      <c r="C56" s="493" t="s">
        <v>907</v>
      </c>
      <c r="D56" s="622"/>
      <c r="E56" s="493"/>
      <c r="F56" s="493"/>
      <c r="G56" s="493"/>
      <c r="H56" s="493"/>
      <c r="I56" s="493"/>
      <c r="J56" s="497"/>
      <c r="K56" s="487"/>
      <c r="L56" s="487"/>
      <c r="M56" s="487"/>
    </row>
    <row r="57" spans="1:13">
      <c r="A57" s="487"/>
      <c r="B57" s="493"/>
      <c r="C57" s="493" t="s">
        <v>908</v>
      </c>
      <c r="D57" s="505"/>
      <c r="E57" s="487"/>
      <c r="F57" s="487"/>
      <c r="G57" s="487"/>
      <c r="H57" s="493"/>
      <c r="I57" s="493"/>
      <c r="J57" s="497"/>
      <c r="K57" s="487"/>
      <c r="L57" s="487"/>
      <c r="M57" s="487"/>
    </row>
    <row r="58" spans="1:13">
      <c r="A58" s="487"/>
      <c r="B58" s="493" t="s">
        <v>242</v>
      </c>
      <c r="C58" s="493" t="s">
        <v>909</v>
      </c>
      <c r="D58" s="505"/>
      <c r="E58" s="487"/>
      <c r="F58" s="487"/>
      <c r="G58" s="487"/>
      <c r="H58" s="487"/>
      <c r="I58" s="487"/>
      <c r="J58" s="583"/>
      <c r="K58" s="487"/>
      <c r="L58" s="487"/>
      <c r="M58" s="487"/>
    </row>
    <row r="59" spans="1:13">
      <c r="A59" s="487"/>
      <c r="B59" s="487"/>
      <c r="C59" s="493"/>
      <c r="D59" s="505"/>
      <c r="E59" s="487"/>
      <c r="F59" s="487"/>
      <c r="G59" s="487"/>
      <c r="H59" s="487"/>
      <c r="I59" s="487"/>
      <c r="J59" s="583"/>
      <c r="K59" s="487"/>
      <c r="L59" s="487"/>
      <c r="M59" s="487"/>
    </row>
    <row r="60" spans="1:13">
      <c r="A60" s="487"/>
      <c r="B60" s="487"/>
      <c r="C60" s="493"/>
      <c r="D60" s="505"/>
      <c r="E60" s="487"/>
      <c r="F60" s="487"/>
      <c r="G60" s="487"/>
      <c r="H60" s="646"/>
      <c r="I60" s="487"/>
      <c r="J60" s="583"/>
      <c r="K60" s="487"/>
      <c r="L60" s="487"/>
      <c r="M60" s="487"/>
    </row>
    <row r="61" spans="1:13">
      <c r="A61" s="487"/>
      <c r="B61" s="487"/>
      <c r="C61" s="493"/>
      <c r="D61" s="487"/>
      <c r="E61" s="505"/>
      <c r="F61" s="487"/>
      <c r="G61" s="487"/>
      <c r="H61" s="487"/>
      <c r="I61" s="646"/>
      <c r="J61" s="487"/>
      <c r="K61" s="583"/>
      <c r="L61" s="487"/>
      <c r="M61" s="487"/>
    </row>
    <row r="62" spans="1:13" ht="15.75" thickBot="1">
      <c r="A62" s="487"/>
      <c r="B62" s="487"/>
      <c r="C62" s="493"/>
      <c r="D62" s="487"/>
      <c r="E62" s="505"/>
      <c r="F62" s="487"/>
      <c r="G62" s="487"/>
      <c r="H62" s="487"/>
      <c r="I62" s="646"/>
      <c r="J62" s="487"/>
      <c r="K62" s="583"/>
      <c r="L62" s="487"/>
      <c r="M62" s="487"/>
    </row>
    <row r="63" spans="1:13" ht="15.75" thickBot="1">
      <c r="A63" s="487"/>
      <c r="B63" s="647" t="s">
        <v>910</v>
      </c>
      <c r="C63" s="648"/>
      <c r="D63" s="648"/>
      <c r="E63" s="649"/>
      <c r="F63" s="648"/>
      <c r="G63" s="648"/>
      <c r="H63" s="648"/>
      <c r="I63" s="650"/>
      <c r="J63" s="651"/>
      <c r="K63" s="583"/>
      <c r="L63" s="487"/>
      <c r="M63" s="487"/>
    </row>
    <row r="64" spans="1:13">
      <c r="A64" s="487"/>
      <c r="B64" s="652"/>
      <c r="C64" s="619"/>
      <c r="D64" s="619"/>
      <c r="E64" s="653"/>
      <c r="F64" s="619"/>
      <c r="G64" s="619"/>
      <c r="H64" s="619"/>
      <c r="I64" s="646"/>
      <c r="J64" s="654"/>
      <c r="K64" s="583"/>
      <c r="L64" s="487"/>
      <c r="M64" s="487"/>
    </row>
    <row r="65" spans="1:13">
      <c r="A65" s="487"/>
      <c r="B65" s="655"/>
      <c r="C65" s="656"/>
      <c r="D65" s="576" t="s">
        <v>911</v>
      </c>
      <c r="E65" s="576" t="s">
        <v>287</v>
      </c>
      <c r="F65" s="576" t="s">
        <v>912</v>
      </c>
      <c r="G65" s="576" t="s">
        <v>913</v>
      </c>
      <c r="H65" s="576"/>
      <c r="I65" s="619"/>
      <c r="J65" s="654"/>
      <c r="K65" s="487"/>
      <c r="L65" s="487"/>
      <c r="M65" s="487"/>
    </row>
    <row r="66" spans="1:13">
      <c r="A66" s="487"/>
      <c r="B66" s="657"/>
      <c r="C66" s="658" t="s">
        <v>914</v>
      </c>
      <c r="D66" s="659">
        <v>263</v>
      </c>
      <c r="E66" s="659">
        <v>11</v>
      </c>
      <c r="F66" s="660" t="s">
        <v>915</v>
      </c>
      <c r="G66" s="661">
        <v>2694681</v>
      </c>
      <c r="H66" s="662">
        <v>2019</v>
      </c>
      <c r="I66" s="547"/>
      <c r="J66" s="654"/>
      <c r="K66" s="487"/>
      <c r="L66" s="487"/>
      <c r="M66" s="487"/>
    </row>
    <row r="67" spans="1:13">
      <c r="A67" s="487"/>
      <c r="B67" s="657"/>
      <c r="C67" s="658" t="s">
        <v>916</v>
      </c>
      <c r="D67" s="659">
        <v>263</v>
      </c>
      <c r="E67" s="659">
        <v>16</v>
      </c>
      <c r="F67" s="660" t="s">
        <v>915</v>
      </c>
      <c r="G67" s="661">
        <v>2087104</v>
      </c>
      <c r="H67" s="662">
        <v>2019</v>
      </c>
      <c r="I67" s="547"/>
      <c r="J67" s="654"/>
      <c r="K67" s="487"/>
      <c r="L67" s="487"/>
      <c r="M67" s="487"/>
    </row>
    <row r="68" spans="1:13">
      <c r="A68" s="487"/>
      <c r="B68" s="657"/>
      <c r="C68" s="658" t="s">
        <v>917</v>
      </c>
      <c r="D68" s="659">
        <v>263</v>
      </c>
      <c r="E68" s="659">
        <v>24</v>
      </c>
      <c r="F68" s="660" t="s">
        <v>915</v>
      </c>
      <c r="G68" s="661">
        <v>2978742</v>
      </c>
      <c r="H68" s="662">
        <v>2019</v>
      </c>
      <c r="I68" s="547"/>
      <c r="J68" s="654"/>
      <c r="K68" s="487"/>
      <c r="L68" s="487"/>
      <c r="M68" s="487"/>
    </row>
    <row r="69" spans="1:13">
      <c r="A69" s="487"/>
      <c r="B69" s="657"/>
      <c r="C69" s="658" t="s">
        <v>918</v>
      </c>
      <c r="D69" s="659">
        <v>263</v>
      </c>
      <c r="E69" s="659">
        <v>29</v>
      </c>
      <c r="F69" s="660" t="s">
        <v>915</v>
      </c>
      <c r="G69" s="661">
        <v>6121555</v>
      </c>
      <c r="H69" s="662">
        <v>2019</v>
      </c>
      <c r="I69" s="547"/>
      <c r="J69" s="654"/>
      <c r="K69" s="487"/>
      <c r="L69" s="487"/>
      <c r="M69" s="487"/>
    </row>
    <row r="70" spans="1:13">
      <c r="A70" s="487"/>
      <c r="B70" s="657"/>
      <c r="C70" s="658" t="s">
        <v>919</v>
      </c>
      <c r="D70" s="659">
        <v>263.10000000000002</v>
      </c>
      <c r="E70" s="659">
        <v>2</v>
      </c>
      <c r="F70" s="660" t="s">
        <v>915</v>
      </c>
      <c r="G70" s="661">
        <v>5149080</v>
      </c>
      <c r="H70" s="662">
        <v>2019</v>
      </c>
      <c r="I70" s="547"/>
      <c r="J70" s="654"/>
      <c r="K70" s="663"/>
      <c r="L70" s="487"/>
      <c r="M70" s="487"/>
    </row>
    <row r="71" spans="1:13">
      <c r="A71" s="487"/>
      <c r="B71" s="657"/>
      <c r="C71" s="658" t="s">
        <v>920</v>
      </c>
      <c r="D71" s="659">
        <v>263.10000000000002</v>
      </c>
      <c r="E71" s="659">
        <v>14</v>
      </c>
      <c r="F71" s="660" t="s">
        <v>915</v>
      </c>
      <c r="G71" s="661">
        <v>21147</v>
      </c>
      <c r="H71" s="662">
        <v>2019</v>
      </c>
      <c r="I71" s="547"/>
      <c r="J71" s="654"/>
      <c r="K71" s="663"/>
      <c r="L71" s="487"/>
      <c r="M71" s="487"/>
    </row>
    <row r="72" spans="1:13">
      <c r="A72" s="487"/>
      <c r="B72" s="657"/>
      <c r="C72" s="658" t="s">
        <v>921</v>
      </c>
      <c r="D72" s="659">
        <v>263.10000000000002</v>
      </c>
      <c r="E72" s="659">
        <v>19</v>
      </c>
      <c r="F72" s="660" t="s">
        <v>915</v>
      </c>
      <c r="G72" s="661">
        <v>24808302</v>
      </c>
      <c r="H72" s="662">
        <v>2019</v>
      </c>
      <c r="I72" s="547"/>
      <c r="J72" s="654"/>
      <c r="K72" s="663"/>
      <c r="L72" s="487"/>
      <c r="M72" s="487"/>
    </row>
    <row r="73" spans="1:13">
      <c r="A73" s="487"/>
      <c r="B73" s="657"/>
      <c r="C73" s="658" t="s">
        <v>922</v>
      </c>
      <c r="D73" s="659">
        <v>263.2</v>
      </c>
      <c r="E73" s="659">
        <v>2</v>
      </c>
      <c r="F73" s="660" t="s">
        <v>915</v>
      </c>
      <c r="G73" s="661">
        <v>79123372</v>
      </c>
      <c r="H73" s="662">
        <v>2019</v>
      </c>
      <c r="I73" s="547"/>
      <c r="J73" s="654"/>
      <c r="K73" s="663"/>
      <c r="L73" s="487"/>
      <c r="M73" s="487"/>
    </row>
    <row r="74" spans="1:13">
      <c r="A74" s="487"/>
      <c r="B74" s="657"/>
      <c r="C74" s="658" t="s">
        <v>923</v>
      </c>
      <c r="D74" s="659">
        <v>263.2</v>
      </c>
      <c r="E74" s="659">
        <v>9</v>
      </c>
      <c r="F74" s="660" t="s">
        <v>915</v>
      </c>
      <c r="G74" s="661">
        <v>8502236</v>
      </c>
      <c r="H74" s="662">
        <v>2019</v>
      </c>
      <c r="I74" s="547"/>
      <c r="J74" s="654"/>
      <c r="K74" s="663"/>
      <c r="L74" s="487"/>
      <c r="M74" s="487"/>
    </row>
    <row r="75" spans="1:13">
      <c r="A75" s="487"/>
      <c r="B75" s="657"/>
      <c r="C75" s="658" t="s">
        <v>924</v>
      </c>
      <c r="D75" s="659">
        <v>263.2</v>
      </c>
      <c r="E75" s="659">
        <v>21</v>
      </c>
      <c r="F75" s="660" t="s">
        <v>915</v>
      </c>
      <c r="G75" s="661">
        <v>16805340</v>
      </c>
      <c r="H75" s="662">
        <v>2019</v>
      </c>
      <c r="I75" s="547"/>
      <c r="J75" s="654"/>
      <c r="K75" s="663"/>
      <c r="L75" s="487"/>
      <c r="M75" s="487"/>
    </row>
    <row r="76" spans="1:13">
      <c r="A76" s="487"/>
      <c r="B76" s="657"/>
      <c r="C76" s="658" t="s">
        <v>925</v>
      </c>
      <c r="D76" s="659">
        <v>263.2</v>
      </c>
      <c r="E76" s="659">
        <v>30</v>
      </c>
      <c r="F76" s="660" t="s">
        <v>915</v>
      </c>
      <c r="G76" s="661">
        <v>29054</v>
      </c>
      <c r="H76" s="662">
        <v>2019</v>
      </c>
      <c r="I76" s="547"/>
      <c r="J76" s="654"/>
      <c r="K76" s="663"/>
      <c r="L76" s="487"/>
      <c r="M76" s="487"/>
    </row>
    <row r="77" spans="1:13">
      <c r="A77" s="487"/>
      <c r="B77" s="657"/>
      <c r="C77" s="658" t="s">
        <v>926</v>
      </c>
      <c r="D77" s="659">
        <v>263.2</v>
      </c>
      <c r="E77" s="659">
        <v>31</v>
      </c>
      <c r="F77" s="660" t="s">
        <v>915</v>
      </c>
      <c r="G77" s="661">
        <v>271335</v>
      </c>
      <c r="H77" s="662">
        <v>2019</v>
      </c>
      <c r="I77" s="664"/>
      <c r="J77" s="654"/>
      <c r="K77" s="663"/>
      <c r="L77" s="487"/>
      <c r="M77" s="487"/>
    </row>
    <row r="78" spans="1:13">
      <c r="A78" s="487"/>
      <c r="B78" s="657"/>
      <c r="C78" s="658" t="s">
        <v>927</v>
      </c>
      <c r="D78" s="659">
        <v>263.2</v>
      </c>
      <c r="E78" s="659">
        <v>32</v>
      </c>
      <c r="F78" s="660" t="s">
        <v>915</v>
      </c>
      <c r="G78" s="661">
        <v>14993</v>
      </c>
      <c r="H78" s="662">
        <v>2019</v>
      </c>
      <c r="I78" s="619"/>
      <c r="J78" s="654"/>
      <c r="K78" s="487"/>
      <c r="L78" s="487"/>
      <c r="M78" s="487"/>
    </row>
    <row r="79" spans="1:13">
      <c r="A79" s="487"/>
      <c r="B79" s="655"/>
      <c r="C79" s="658" t="s">
        <v>928</v>
      </c>
      <c r="D79" s="659">
        <v>263.2</v>
      </c>
      <c r="E79" s="659">
        <v>33</v>
      </c>
      <c r="F79" s="660" t="s">
        <v>915</v>
      </c>
      <c r="G79" s="661">
        <v>40695</v>
      </c>
      <c r="H79" s="662">
        <v>2019</v>
      </c>
      <c r="I79" s="619"/>
      <c r="J79" s="654"/>
      <c r="K79" s="487"/>
      <c r="L79" s="487"/>
      <c r="M79" s="487"/>
    </row>
    <row r="80" spans="1:13">
      <c r="A80" s="487"/>
      <c r="B80" s="655"/>
      <c r="C80" s="658" t="s">
        <v>929</v>
      </c>
      <c r="D80" s="659">
        <v>263.2</v>
      </c>
      <c r="E80" s="659">
        <v>34</v>
      </c>
      <c r="F80" s="660" t="s">
        <v>915</v>
      </c>
      <c r="G80" s="661">
        <v>72000</v>
      </c>
      <c r="H80" s="662">
        <v>2019</v>
      </c>
      <c r="I80" s="619"/>
      <c r="J80" s="654"/>
      <c r="K80" s="487"/>
      <c r="L80" s="487"/>
      <c r="M80" s="487"/>
    </row>
    <row r="81" spans="1:13">
      <c r="A81" s="487"/>
      <c r="B81" s="655"/>
      <c r="C81" s="658" t="s">
        <v>930</v>
      </c>
      <c r="D81" s="659">
        <v>263.2</v>
      </c>
      <c r="E81" s="659">
        <v>35</v>
      </c>
      <c r="F81" s="660" t="s">
        <v>915</v>
      </c>
      <c r="G81" s="661">
        <v>69751</v>
      </c>
      <c r="H81" s="662">
        <v>2019</v>
      </c>
      <c r="I81" s="619"/>
      <c r="J81" s="654"/>
      <c r="K81" s="665"/>
      <c r="L81" s="487"/>
      <c r="M81" s="487"/>
    </row>
    <row r="82" spans="1:13">
      <c r="A82" s="487"/>
      <c r="B82" s="655"/>
      <c r="C82" s="658" t="s">
        <v>931</v>
      </c>
      <c r="D82" s="659">
        <v>263.2</v>
      </c>
      <c r="E82" s="659">
        <v>26</v>
      </c>
      <c r="F82" s="660" t="s">
        <v>915</v>
      </c>
      <c r="G82" s="661">
        <v>76984</v>
      </c>
      <c r="H82" s="662">
        <v>2019</v>
      </c>
      <c r="I82" s="547"/>
      <c r="J82" s="666"/>
      <c r="K82" s="493"/>
      <c r="L82" s="667"/>
      <c r="M82" s="487"/>
    </row>
    <row r="83" spans="1:13">
      <c r="A83" s="487"/>
      <c r="B83" s="655"/>
      <c r="C83" s="656"/>
      <c r="D83" s="619"/>
      <c r="E83" s="619"/>
      <c r="F83" s="619"/>
      <c r="G83" s="619"/>
      <c r="H83" s="619"/>
      <c r="I83" s="619"/>
      <c r="J83" s="666"/>
      <c r="K83" s="493"/>
      <c r="L83" s="667"/>
      <c r="M83" s="487"/>
    </row>
    <row r="84" spans="1:13">
      <c r="A84" s="565"/>
      <c r="B84" s="668"/>
      <c r="C84" s="579" t="s">
        <v>932</v>
      </c>
      <c r="D84" s="669"/>
      <c r="E84" s="669"/>
      <c r="F84" s="669"/>
      <c r="G84" s="669"/>
      <c r="H84" s="669"/>
      <c r="I84" s="670"/>
      <c r="J84" s="671"/>
      <c r="K84" s="581"/>
      <c r="L84" s="672"/>
      <c r="M84" s="565"/>
    </row>
    <row r="85" spans="1:13" ht="25.5">
      <c r="A85" s="565"/>
      <c r="B85" s="668">
        <v>1</v>
      </c>
      <c r="C85" s="673" t="s">
        <v>933</v>
      </c>
      <c r="D85" s="674" t="s">
        <v>934</v>
      </c>
      <c r="E85" s="675" t="s">
        <v>935</v>
      </c>
      <c r="F85" s="676" t="s">
        <v>935</v>
      </c>
      <c r="G85" s="677">
        <f>SUM(G86:G89)</f>
        <v>33375023</v>
      </c>
      <c r="H85" s="678"/>
      <c r="I85" s="679" t="s">
        <v>936</v>
      </c>
      <c r="J85" s="671"/>
      <c r="K85" s="581"/>
      <c r="L85" s="672"/>
      <c r="M85" s="565"/>
    </row>
    <row r="86" spans="1:13" ht="25.5">
      <c r="A86" s="565"/>
      <c r="B86" s="668"/>
      <c r="C86" s="680" t="s">
        <v>937</v>
      </c>
      <c r="D86" s="681">
        <v>263</v>
      </c>
      <c r="E86" s="681">
        <v>20</v>
      </c>
      <c r="F86" s="682" t="s">
        <v>915</v>
      </c>
      <c r="G86" s="683">
        <v>1207395</v>
      </c>
      <c r="H86" s="662">
        <v>2019</v>
      </c>
      <c r="I86" s="684" t="s">
        <v>938</v>
      </c>
      <c r="J86" s="671"/>
      <c r="K86" s="685"/>
      <c r="L86" s="672"/>
      <c r="M86" s="565"/>
    </row>
    <row r="87" spans="1:13" ht="25.5">
      <c r="A87" s="565"/>
      <c r="B87" s="668"/>
      <c r="C87" s="686" t="s">
        <v>939</v>
      </c>
      <c r="D87" s="687">
        <v>263.10000000000002</v>
      </c>
      <c r="E87" s="688">
        <v>26</v>
      </c>
      <c r="F87" s="689" t="s">
        <v>915</v>
      </c>
      <c r="G87" s="690">
        <v>30247957</v>
      </c>
      <c r="H87" s="662">
        <v>2019</v>
      </c>
      <c r="I87" s="691" t="s">
        <v>940</v>
      </c>
      <c r="J87" s="671"/>
      <c r="K87" s="581"/>
      <c r="L87" s="581"/>
      <c r="M87" s="565"/>
    </row>
    <row r="88" spans="1:13" ht="25.5">
      <c r="A88" s="565"/>
      <c r="B88" s="668"/>
      <c r="C88" s="686" t="s">
        <v>941</v>
      </c>
      <c r="D88" s="687">
        <v>263.2</v>
      </c>
      <c r="E88" s="688">
        <v>24</v>
      </c>
      <c r="F88" s="689" t="s">
        <v>915</v>
      </c>
      <c r="G88" s="690">
        <v>1916550</v>
      </c>
      <c r="H88" s="662">
        <v>2019</v>
      </c>
      <c r="I88" s="691" t="s">
        <v>942</v>
      </c>
      <c r="J88" s="671"/>
      <c r="K88" s="685"/>
      <c r="L88" s="581"/>
      <c r="M88" s="565"/>
    </row>
    <row r="89" spans="1:13" ht="25.5">
      <c r="A89" s="565"/>
      <c r="B89" s="668"/>
      <c r="C89" s="692" t="s">
        <v>2022</v>
      </c>
      <c r="D89" s="687">
        <v>263.2</v>
      </c>
      <c r="E89" s="688">
        <v>17</v>
      </c>
      <c r="F89" s="689" t="s">
        <v>915</v>
      </c>
      <c r="G89" s="693">
        <v>3121</v>
      </c>
      <c r="H89" s="662">
        <v>2019</v>
      </c>
      <c r="I89" s="691" t="s">
        <v>2023</v>
      </c>
      <c r="J89" s="671"/>
      <c r="K89" s="685"/>
      <c r="L89" s="581"/>
      <c r="M89" s="565"/>
    </row>
    <row r="90" spans="1:13" ht="25.5">
      <c r="A90" s="565"/>
      <c r="B90" s="668">
        <v>2</v>
      </c>
      <c r="C90" s="673" t="s">
        <v>943</v>
      </c>
      <c r="D90" s="674">
        <v>263.10000000000002</v>
      </c>
      <c r="E90" s="694">
        <v>5</v>
      </c>
      <c r="F90" s="676" t="s">
        <v>915</v>
      </c>
      <c r="G90" s="695">
        <v>228670</v>
      </c>
      <c r="H90" s="662">
        <v>2019</v>
      </c>
      <c r="I90" s="679" t="s">
        <v>944</v>
      </c>
      <c r="J90" s="671"/>
      <c r="K90" s="581"/>
      <c r="L90" s="672"/>
      <c r="M90" s="565"/>
    </row>
    <row r="91" spans="1:13" ht="25.5">
      <c r="A91" s="565"/>
      <c r="B91" s="668">
        <v>3</v>
      </c>
      <c r="C91" s="673" t="s">
        <v>945</v>
      </c>
      <c r="D91" s="674">
        <v>263.10000000000002</v>
      </c>
      <c r="E91" s="694">
        <v>6</v>
      </c>
      <c r="F91" s="676" t="s">
        <v>915</v>
      </c>
      <c r="G91" s="695">
        <v>162925</v>
      </c>
      <c r="H91" s="662">
        <v>2019</v>
      </c>
      <c r="I91" s="679" t="s">
        <v>944</v>
      </c>
      <c r="J91" s="671"/>
      <c r="K91" s="581"/>
      <c r="L91" s="672"/>
      <c r="M91" s="565"/>
    </row>
    <row r="92" spans="1:13">
      <c r="A92" s="565"/>
      <c r="B92" s="668">
        <v>4</v>
      </c>
      <c r="C92" s="673" t="s">
        <v>946</v>
      </c>
      <c r="D92" s="674">
        <v>263</v>
      </c>
      <c r="E92" s="694">
        <v>31</v>
      </c>
      <c r="F92" s="676" t="s">
        <v>915</v>
      </c>
      <c r="G92" s="695">
        <v>58058</v>
      </c>
      <c r="H92" s="662">
        <v>2019</v>
      </c>
      <c r="I92" s="679" t="s">
        <v>947</v>
      </c>
      <c r="J92" s="671"/>
      <c r="K92" s="581"/>
      <c r="L92" s="672"/>
      <c r="M92" s="565"/>
    </row>
    <row r="93" spans="1:13" ht="38.25">
      <c r="A93" s="565"/>
      <c r="B93" s="668">
        <v>5</v>
      </c>
      <c r="C93" s="673" t="s">
        <v>948</v>
      </c>
      <c r="D93" s="674">
        <v>263.10000000000002</v>
      </c>
      <c r="E93" s="694">
        <v>23</v>
      </c>
      <c r="F93" s="676" t="s">
        <v>915</v>
      </c>
      <c r="G93" s="695">
        <v>1611450</v>
      </c>
      <c r="H93" s="662">
        <v>2019</v>
      </c>
      <c r="I93" s="679" t="s">
        <v>949</v>
      </c>
      <c r="J93" s="671"/>
      <c r="K93" s="581"/>
      <c r="L93" s="672"/>
      <c r="M93" s="565"/>
    </row>
    <row r="94" spans="1:13" ht="25.5">
      <c r="A94" s="565"/>
      <c r="B94" s="668">
        <v>6</v>
      </c>
      <c r="C94" s="673" t="s">
        <v>950</v>
      </c>
      <c r="D94" s="674">
        <v>263.2</v>
      </c>
      <c r="E94" s="694">
        <v>22</v>
      </c>
      <c r="F94" s="676" t="s">
        <v>915</v>
      </c>
      <c r="G94" s="695">
        <v>2050814</v>
      </c>
      <c r="H94" s="662">
        <v>2019</v>
      </c>
      <c r="I94" s="679" t="s">
        <v>951</v>
      </c>
      <c r="J94" s="671"/>
      <c r="K94" s="581"/>
      <c r="L94" s="672"/>
      <c r="M94" s="565"/>
    </row>
    <row r="95" spans="1:13" ht="25.5">
      <c r="A95" s="565"/>
      <c r="B95" s="668">
        <v>7</v>
      </c>
      <c r="C95" s="673" t="s">
        <v>952</v>
      </c>
      <c r="D95" s="674">
        <v>263.2</v>
      </c>
      <c r="E95" s="694">
        <v>13</v>
      </c>
      <c r="F95" s="676" t="s">
        <v>915</v>
      </c>
      <c r="G95" s="695">
        <v>12517338</v>
      </c>
      <c r="H95" s="662">
        <v>2019</v>
      </c>
      <c r="I95" s="679" t="s">
        <v>953</v>
      </c>
      <c r="J95" s="671"/>
      <c r="K95" s="581"/>
      <c r="L95" s="581"/>
      <c r="M95" s="565"/>
    </row>
    <row r="96" spans="1:13" ht="25.5">
      <c r="A96" s="565"/>
      <c r="B96" s="668">
        <v>8</v>
      </c>
      <c r="C96" s="696" t="s">
        <v>2285</v>
      </c>
      <c r="D96" s="681" t="s">
        <v>934</v>
      </c>
      <c r="E96" s="697" t="s">
        <v>935</v>
      </c>
      <c r="F96" s="682" t="s">
        <v>935</v>
      </c>
      <c r="G96" s="698">
        <f>SUM(G97:G99)</f>
        <v>266377</v>
      </c>
      <c r="H96" s="678"/>
      <c r="I96" s="684" t="s">
        <v>954</v>
      </c>
      <c r="J96" s="671"/>
      <c r="K96" s="581"/>
      <c r="L96" s="581"/>
      <c r="M96" s="565"/>
    </row>
    <row r="97" spans="1:13">
      <c r="A97" s="487"/>
      <c r="B97" s="655"/>
      <c r="C97" s="699" t="s">
        <v>955</v>
      </c>
      <c r="D97" s="701">
        <v>263.2</v>
      </c>
      <c r="E97" s="701">
        <v>12</v>
      </c>
      <c r="F97" s="700" t="s">
        <v>915</v>
      </c>
      <c r="G97" s="2232">
        <v>23114</v>
      </c>
      <c r="H97" s="662">
        <v>2019</v>
      </c>
      <c r="I97" s="702"/>
      <c r="J97" s="654"/>
      <c r="K97" s="583"/>
      <c r="L97" s="487"/>
      <c r="M97" s="487"/>
    </row>
    <row r="98" spans="1:13">
      <c r="A98" s="487"/>
      <c r="B98" s="655"/>
      <c r="C98" s="703" t="s">
        <v>956</v>
      </c>
      <c r="D98" s="705">
        <v>263.10000000000002</v>
      </c>
      <c r="E98" s="705">
        <v>10</v>
      </c>
      <c r="F98" s="704" t="s">
        <v>915</v>
      </c>
      <c r="G98" s="706">
        <v>34881</v>
      </c>
      <c r="H98" s="662">
        <v>2019</v>
      </c>
      <c r="I98" s="707"/>
      <c r="J98" s="654"/>
      <c r="K98" s="583"/>
      <c r="L98" s="487"/>
      <c r="M98" s="487"/>
    </row>
    <row r="99" spans="1:13">
      <c r="A99" s="487"/>
      <c r="B99" s="655"/>
      <c r="C99" s="708" t="s">
        <v>2028</v>
      </c>
      <c r="D99" s="709">
        <v>263.2</v>
      </c>
      <c r="E99" s="709">
        <v>5</v>
      </c>
      <c r="F99" s="709" t="s">
        <v>915</v>
      </c>
      <c r="G99" s="710">
        <v>208382</v>
      </c>
      <c r="H99" s="662">
        <v>2019</v>
      </c>
      <c r="I99" s="711"/>
      <c r="J99" s="654"/>
      <c r="K99" s="583"/>
      <c r="L99" s="487"/>
      <c r="M99" s="487"/>
    </row>
    <row r="100" spans="1:13">
      <c r="A100" s="487"/>
      <c r="B100" s="655"/>
      <c r="C100" s="712"/>
      <c r="D100" s="713"/>
      <c r="E100" s="713"/>
      <c r="F100" s="714"/>
      <c r="G100" s="715"/>
      <c r="H100" s="716"/>
      <c r="I100" s="711"/>
      <c r="J100" s="654"/>
      <c r="K100" s="583"/>
      <c r="L100" s="487"/>
      <c r="M100" s="487"/>
    </row>
    <row r="101" spans="1:13" ht="15.75" thickBot="1">
      <c r="A101" s="487"/>
      <c r="B101" s="717"/>
      <c r="C101" s="718"/>
      <c r="D101" s="718"/>
      <c r="E101" s="719"/>
      <c r="F101" s="718"/>
      <c r="G101" s="718"/>
      <c r="H101" s="718"/>
      <c r="I101" s="718"/>
      <c r="J101" s="720"/>
      <c r="K101" s="583"/>
      <c r="L101" s="487"/>
      <c r="M101" s="487"/>
    </row>
    <row r="102" spans="1:13">
      <c r="A102" s="487"/>
      <c r="B102" s="487"/>
      <c r="C102" s="487"/>
      <c r="D102" s="487"/>
      <c r="E102" s="505"/>
      <c r="F102" s="487"/>
      <c r="G102" s="487"/>
      <c r="H102" s="487"/>
      <c r="I102" s="487"/>
      <c r="J102" s="487"/>
      <c r="K102" s="583"/>
      <c r="L102" s="487"/>
      <c r="M102" s="487"/>
    </row>
    <row r="103" spans="1:13">
      <c r="A103" s="487"/>
      <c r="B103" s="487"/>
      <c r="C103" s="487"/>
      <c r="D103" s="487"/>
      <c r="E103" s="505"/>
      <c r="F103" s="487"/>
      <c r="G103" s="487"/>
      <c r="H103" s="487"/>
      <c r="I103" s="487"/>
      <c r="J103" s="487"/>
      <c r="K103" s="583"/>
      <c r="L103" s="487"/>
      <c r="M103" s="487"/>
    </row>
    <row r="104" spans="1:13">
      <c r="A104" s="487"/>
      <c r="B104" s="487"/>
      <c r="C104" s="487"/>
      <c r="D104" s="721"/>
      <c r="E104" s="487"/>
      <c r="F104" s="487"/>
      <c r="G104" s="487"/>
      <c r="H104" s="487"/>
      <c r="I104" s="487"/>
      <c r="J104" s="487"/>
      <c r="K104" s="583"/>
      <c r="L104" s="487"/>
      <c r="M104" s="487"/>
    </row>
    <row r="105" spans="1:13">
      <c r="A105" s="487"/>
      <c r="B105" s="487"/>
      <c r="C105" s="487"/>
      <c r="D105" s="721"/>
      <c r="E105" s="487"/>
      <c r="F105" s="487"/>
      <c r="G105" s="487"/>
      <c r="H105" s="487"/>
      <c r="I105" s="487"/>
      <c r="J105" s="487"/>
      <c r="K105" s="583"/>
      <c r="L105" s="487"/>
      <c r="M105" s="487"/>
    </row>
    <row r="106" spans="1:13">
      <c r="A106" s="487"/>
      <c r="B106" s="487"/>
      <c r="C106" s="487"/>
      <c r="D106" s="721"/>
      <c r="E106" s="487"/>
      <c r="F106" s="487"/>
      <c r="G106" s="487"/>
      <c r="H106" s="487"/>
      <c r="I106" s="487"/>
      <c r="J106" s="487"/>
      <c r="K106" s="583"/>
      <c r="L106" s="487"/>
      <c r="M106" s="487"/>
    </row>
    <row r="107" spans="1:13">
      <c r="A107" s="487"/>
      <c r="B107" s="487"/>
      <c r="C107" s="487"/>
      <c r="D107" s="721"/>
      <c r="E107" s="487"/>
      <c r="F107" s="487"/>
      <c r="G107" s="487"/>
      <c r="H107" s="487"/>
      <c r="I107" s="487"/>
      <c r="J107" s="487"/>
      <c r="K107" s="583"/>
      <c r="L107" s="487"/>
      <c r="M107" s="487"/>
    </row>
    <row r="108" spans="1:13">
      <c r="A108" s="487"/>
      <c r="B108" s="487"/>
      <c r="C108" s="487"/>
      <c r="D108" s="721"/>
      <c r="E108" s="487"/>
      <c r="F108" s="487"/>
      <c r="G108" s="487"/>
      <c r="H108" s="487"/>
      <c r="I108" s="487"/>
      <c r="J108" s="487"/>
      <c r="K108" s="583"/>
      <c r="L108" s="487"/>
      <c r="M108" s="487"/>
    </row>
    <row r="109" spans="1:13">
      <c r="A109" s="487"/>
      <c r="B109" s="487"/>
      <c r="C109" s="487"/>
      <c r="D109" s="721"/>
      <c r="E109" s="487"/>
      <c r="F109" s="487"/>
      <c r="G109" s="487"/>
      <c r="H109" s="487"/>
      <c r="I109" s="487"/>
      <c r="J109" s="487"/>
      <c r="K109" s="583"/>
      <c r="L109" s="487"/>
      <c r="M109" s="487"/>
    </row>
    <row r="110" spans="1:13">
      <c r="A110" s="487"/>
      <c r="B110" s="487"/>
      <c r="C110" s="487"/>
      <c r="D110" s="721"/>
      <c r="E110" s="487"/>
      <c r="F110" s="487"/>
      <c r="G110" s="487"/>
      <c r="H110" s="487"/>
      <c r="I110" s="487"/>
      <c r="J110" s="487"/>
      <c r="K110" s="583"/>
      <c r="L110" s="487"/>
      <c r="M110" s="487"/>
    </row>
    <row r="111" spans="1:13">
      <c r="A111" s="487"/>
      <c r="B111" s="487"/>
      <c r="C111" s="487"/>
      <c r="D111" s="721"/>
      <c r="E111" s="487"/>
      <c r="F111" s="487"/>
      <c r="G111" s="487"/>
      <c r="H111" s="487"/>
      <c r="I111" s="487"/>
      <c r="J111" s="487"/>
      <c r="K111" s="583"/>
      <c r="L111" s="487"/>
      <c r="M111" s="487"/>
    </row>
    <row r="112" spans="1:13">
      <c r="A112" s="487"/>
      <c r="B112" s="487"/>
      <c r="C112" s="487"/>
      <c r="D112" s="487"/>
      <c r="E112" s="721"/>
      <c r="F112" s="487"/>
      <c r="G112" s="487"/>
      <c r="H112" s="487"/>
      <c r="I112" s="487"/>
      <c r="J112" s="487"/>
      <c r="K112" s="583"/>
      <c r="L112" s="487"/>
      <c r="M112" s="487"/>
    </row>
    <row r="113" spans="1:13">
      <c r="A113" s="487"/>
      <c r="B113" s="487"/>
      <c r="C113" s="487"/>
      <c r="D113" s="487"/>
      <c r="E113" s="721"/>
      <c r="F113" s="487"/>
      <c r="G113" s="487"/>
      <c r="H113" s="487"/>
      <c r="I113" s="487"/>
      <c r="J113" s="487"/>
      <c r="K113" s="583"/>
      <c r="L113" s="487"/>
      <c r="M113" s="487"/>
    </row>
    <row r="114" spans="1:13">
      <c r="A114" s="487"/>
      <c r="B114" s="487"/>
      <c r="C114" s="487"/>
      <c r="D114" s="619"/>
      <c r="E114" s="722"/>
      <c r="F114" s="619"/>
      <c r="G114" s="487"/>
      <c r="H114" s="487"/>
      <c r="I114" s="487"/>
      <c r="J114" s="487"/>
      <c r="K114" s="583"/>
      <c r="L114" s="487"/>
      <c r="M114" s="487"/>
    </row>
  </sheetData>
  <pageMargins left="0.7" right="0.7" top="0.75" bottom="0.75" header="0.3" footer="0.3"/>
  <pageSetup scale="76"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5"/>
  <sheetViews>
    <sheetView workbookViewId="0">
      <selection activeCell="N33" sqref="N33"/>
    </sheetView>
  </sheetViews>
  <sheetFormatPr defaultRowHeight="15"/>
  <cols>
    <col min="1" max="1" width="8.28515625" customWidth="1"/>
    <col min="2" max="2" width="76.85546875" customWidth="1"/>
    <col min="3" max="3" width="18.85546875" bestFit="1" customWidth="1"/>
    <col min="4" max="4" width="18.85546875" customWidth="1"/>
    <col min="5" max="5" width="14" bestFit="1" customWidth="1"/>
    <col min="6" max="6" width="5.85546875" customWidth="1"/>
    <col min="7" max="7" width="13.7109375" bestFit="1" customWidth="1"/>
    <col min="9" max="9" width="22.28515625" bestFit="1" customWidth="1"/>
  </cols>
  <sheetData>
    <row r="1" spans="1:9" ht="15.75">
      <c r="A1" s="723" t="s">
        <v>2</v>
      </c>
      <c r="B1" s="723"/>
      <c r="C1" s="723"/>
      <c r="D1" s="723"/>
      <c r="E1" s="723"/>
      <c r="F1" s="643"/>
      <c r="G1" s="474"/>
      <c r="H1" s="474"/>
      <c r="I1" s="474"/>
    </row>
    <row r="2" spans="1:9" ht="15.75">
      <c r="A2" s="723" t="s">
        <v>957</v>
      </c>
      <c r="B2" s="724"/>
      <c r="C2" s="724"/>
      <c r="D2" s="724"/>
      <c r="E2" s="724"/>
      <c r="F2" s="474"/>
      <c r="G2" s="474"/>
      <c r="H2" s="474"/>
      <c r="I2" s="474"/>
    </row>
    <row r="3" spans="1:9" ht="15.75">
      <c r="A3" s="2437"/>
      <c r="B3" s="2437"/>
      <c r="C3" s="2437"/>
      <c r="D3" s="2437"/>
      <c r="E3" s="2437"/>
      <c r="F3" s="474"/>
      <c r="G3" s="474"/>
      <c r="H3" s="474"/>
      <c r="I3" s="474"/>
    </row>
    <row r="4" spans="1:9">
      <c r="A4" s="725" t="s">
        <v>287</v>
      </c>
      <c r="B4" s="726" t="s">
        <v>288</v>
      </c>
      <c r="C4" s="727" t="s">
        <v>6</v>
      </c>
      <c r="D4" s="727" t="s">
        <v>316</v>
      </c>
      <c r="E4" s="728" t="s">
        <v>958</v>
      </c>
      <c r="F4" s="474"/>
      <c r="G4" s="474"/>
      <c r="H4" s="474"/>
      <c r="I4" s="474"/>
    </row>
    <row r="5" spans="1:9">
      <c r="A5" s="729"/>
      <c r="B5" s="730"/>
      <c r="C5" s="729"/>
      <c r="D5" s="729"/>
      <c r="E5" s="731"/>
      <c r="F5" s="474"/>
      <c r="G5" s="474"/>
      <c r="H5" s="474"/>
      <c r="I5" s="474"/>
    </row>
    <row r="6" spans="1:9">
      <c r="A6" s="729"/>
      <c r="B6" s="732" t="s">
        <v>959</v>
      </c>
      <c r="C6" s="643"/>
      <c r="D6" s="643"/>
      <c r="E6" s="731"/>
      <c r="F6" s="474"/>
      <c r="G6" s="643"/>
      <c r="H6" s="474"/>
      <c r="I6" s="474"/>
    </row>
    <row r="7" spans="1:9">
      <c r="A7" s="733">
        <v>1</v>
      </c>
      <c r="B7" s="734" t="s">
        <v>960</v>
      </c>
      <c r="C7" s="735"/>
      <c r="D7" s="735"/>
      <c r="E7" s="736">
        <f>Inputs!$E$94</f>
        <v>3614077.59</v>
      </c>
      <c r="F7" s="474"/>
      <c r="G7" s="513" t="s">
        <v>2044</v>
      </c>
      <c r="H7" s="474"/>
      <c r="I7" s="474"/>
    </row>
    <row r="8" spans="1:9">
      <c r="A8" s="738">
        <f>A7+1</f>
        <v>2</v>
      </c>
      <c r="B8" s="734" t="s">
        <v>961</v>
      </c>
      <c r="C8" s="735"/>
      <c r="D8" s="735"/>
      <c r="E8" s="739">
        <v>397221.13</v>
      </c>
      <c r="F8" s="474"/>
      <c r="G8" s="513" t="s">
        <v>2044</v>
      </c>
      <c r="H8" s="474"/>
      <c r="I8" s="474"/>
    </row>
    <row r="9" spans="1:9">
      <c r="A9" s="738">
        <f>A8+1</f>
        <v>3</v>
      </c>
      <c r="B9" s="734" t="s">
        <v>962</v>
      </c>
      <c r="C9" s="740"/>
      <c r="D9" s="741" t="s">
        <v>963</v>
      </c>
      <c r="E9" s="736">
        <f>E42</f>
        <v>555768</v>
      </c>
      <c r="F9" s="474"/>
      <c r="G9" s="643"/>
      <c r="H9" s="474"/>
      <c r="I9" s="474"/>
    </row>
    <row r="10" spans="1:9">
      <c r="A10" s="738">
        <f>A9+1</f>
        <v>4</v>
      </c>
      <c r="B10" s="734" t="s">
        <v>964</v>
      </c>
      <c r="C10" s="735"/>
      <c r="D10" s="735"/>
      <c r="E10" s="739">
        <v>712655.82999999926</v>
      </c>
      <c r="F10" s="474"/>
      <c r="G10" s="513" t="s">
        <v>2044</v>
      </c>
      <c r="H10" s="474"/>
      <c r="I10" s="474"/>
    </row>
    <row r="11" spans="1:9">
      <c r="A11" s="738">
        <f>A10+1</f>
        <v>5</v>
      </c>
      <c r="B11" s="742" t="s">
        <v>965</v>
      </c>
      <c r="C11" s="740"/>
      <c r="D11" s="741" t="s">
        <v>963</v>
      </c>
      <c r="E11" s="736">
        <f>E36</f>
        <v>161546.69617183038</v>
      </c>
      <c r="F11" s="474"/>
      <c r="G11" s="513"/>
      <c r="H11" s="474"/>
      <c r="I11" s="474"/>
    </row>
    <row r="12" spans="1:9">
      <c r="A12" s="729">
        <f>A11+1</f>
        <v>6</v>
      </c>
      <c r="B12" s="743" t="s">
        <v>966</v>
      </c>
      <c r="C12" s="744"/>
      <c r="D12" s="546" t="str">
        <f>"(Sum Lines "&amp;A7&amp;"-"&amp;A11&amp;")"</f>
        <v>(Sum Lines 1-5)</v>
      </c>
      <c r="E12" s="745">
        <f>SUM(E7:E11)</f>
        <v>5441269.2461718293</v>
      </c>
      <c r="F12" s="474"/>
      <c r="G12" s="513" t="s">
        <v>967</v>
      </c>
      <c r="H12" s="474"/>
      <c r="I12" s="474"/>
    </row>
    <row r="13" spans="1:9">
      <c r="A13" s="729"/>
      <c r="B13" s="746"/>
      <c r="C13" s="729"/>
      <c r="D13" s="729"/>
      <c r="E13" s="747"/>
      <c r="F13" s="474"/>
      <c r="G13" s="2301"/>
      <c r="H13" s="474"/>
      <c r="I13" s="474"/>
    </row>
    <row r="14" spans="1:9">
      <c r="A14" s="729"/>
      <c r="B14" s="732" t="s">
        <v>968</v>
      </c>
      <c r="C14" s="729"/>
      <c r="D14" s="729"/>
      <c r="E14" s="731"/>
      <c r="F14" s="474"/>
      <c r="G14" s="2301"/>
      <c r="H14" s="643"/>
      <c r="I14" s="643"/>
    </row>
    <row r="15" spans="1:9">
      <c r="A15" s="738">
        <f>A12+1</f>
        <v>7</v>
      </c>
      <c r="B15" s="748" t="s">
        <v>969</v>
      </c>
      <c r="C15" s="749" t="str">
        <f>$A$49</f>
        <v>Note 3</v>
      </c>
      <c r="D15" s="750" t="s">
        <v>970</v>
      </c>
      <c r="E15" s="751">
        <f>'Att 13 - Revenue Credit Detail'!D39</f>
        <v>6630356.4299999997</v>
      </c>
      <c r="F15" s="474"/>
      <c r="G15" s="513" t="s">
        <v>2044</v>
      </c>
      <c r="H15" s="643"/>
      <c r="I15" s="643"/>
    </row>
    <row r="16" spans="1:9" ht="25.5">
      <c r="A16" s="738">
        <f>A15+1</f>
        <v>8</v>
      </c>
      <c r="B16" s="752" t="s">
        <v>971</v>
      </c>
      <c r="C16" s="749" t="str">
        <f>$A$49</f>
        <v>Note 3</v>
      </c>
      <c r="D16" s="753"/>
      <c r="E16" s="754">
        <v>0</v>
      </c>
      <c r="F16" s="474"/>
      <c r="G16" s="513" t="s">
        <v>2044</v>
      </c>
      <c r="H16" s="474"/>
      <c r="I16" s="474"/>
    </row>
    <row r="17" spans="1:9" ht="25.5">
      <c r="A17" s="738">
        <f>A16+1</f>
        <v>9</v>
      </c>
      <c r="B17" s="755" t="s">
        <v>972</v>
      </c>
      <c r="C17" s="756"/>
      <c r="D17" s="750" t="s">
        <v>970</v>
      </c>
      <c r="E17" s="751">
        <f>'Att 13 - Revenue Credit Detail'!D58</f>
        <v>76183784.980000004</v>
      </c>
      <c r="F17" s="474"/>
      <c r="G17" s="513" t="s">
        <v>2044</v>
      </c>
      <c r="H17" s="474"/>
      <c r="I17" s="474"/>
    </row>
    <row r="18" spans="1:9">
      <c r="A18" s="738">
        <f>A17+1</f>
        <v>10</v>
      </c>
      <c r="B18" s="748" t="s">
        <v>973</v>
      </c>
      <c r="C18" s="749" t="str">
        <f>$A$48</f>
        <v>Note 2</v>
      </c>
      <c r="D18" s="750"/>
      <c r="E18" s="757">
        <f>SUM(Inputs!E95,Inputs!E96,Inputs!E97)</f>
        <v>641164.97850956686</v>
      </c>
      <c r="F18" s="474"/>
      <c r="G18" s="513" t="s">
        <v>974</v>
      </c>
      <c r="H18" s="474"/>
      <c r="I18" s="474"/>
    </row>
    <row r="19" spans="1:9">
      <c r="A19" s="738">
        <f>A18+1</f>
        <v>11</v>
      </c>
      <c r="B19" s="748" t="s">
        <v>975</v>
      </c>
      <c r="C19" s="753"/>
      <c r="D19" s="753" t="s">
        <v>976</v>
      </c>
      <c r="E19" s="754">
        <v>486608</v>
      </c>
      <c r="F19" s="474"/>
      <c r="G19" s="513" t="s">
        <v>2258</v>
      </c>
      <c r="H19" s="474"/>
      <c r="I19" s="474"/>
    </row>
    <row r="20" spans="1:9">
      <c r="A20" s="738">
        <f>A19+1</f>
        <v>12</v>
      </c>
      <c r="B20" s="758" t="s">
        <v>977</v>
      </c>
      <c r="C20" s="759"/>
      <c r="D20" s="759" t="str">
        <f>"(Sum Lines "&amp;A15&amp;"-"&amp;A19&amp;")"</f>
        <v>(Sum Lines 7-11)</v>
      </c>
      <c r="E20" s="760">
        <f>SUM(E15:E19)</f>
        <v>83941914.388509557</v>
      </c>
      <c r="F20" s="474"/>
      <c r="G20" s="513" t="s">
        <v>967</v>
      </c>
      <c r="H20" s="474"/>
      <c r="I20" s="761"/>
    </row>
    <row r="21" spans="1:9">
      <c r="A21" s="729"/>
      <c r="B21" s="746"/>
      <c r="C21" s="762"/>
      <c r="D21" s="762"/>
      <c r="E21" s="763"/>
      <c r="F21" s="474"/>
      <c r="G21" s="643"/>
      <c r="H21" s="474"/>
      <c r="I21" s="474"/>
    </row>
    <row r="22" spans="1:9" ht="15.75" thickBot="1">
      <c r="A22" s="738">
        <f>A20+1</f>
        <v>13</v>
      </c>
      <c r="B22" s="764" t="s">
        <v>978</v>
      </c>
      <c r="C22" s="744"/>
      <c r="D22" s="546" t="str">
        <f>"(Sum Lines "&amp;A12&amp;" &amp;"&amp;A20&amp;")"</f>
        <v>(Sum Lines 6 &amp;12)</v>
      </c>
      <c r="E22" s="765">
        <f>SUM(E12,E20)</f>
        <v>89383183.634681389</v>
      </c>
      <c r="F22" s="474"/>
      <c r="G22" s="513" t="s">
        <v>979</v>
      </c>
      <c r="H22" s="643"/>
      <c r="I22" s="643"/>
    </row>
    <row r="23" spans="1:9" ht="15.75" thickTop="1">
      <c r="A23" s="729"/>
      <c r="B23" s="746"/>
      <c r="C23" s="493"/>
      <c r="D23" s="493"/>
      <c r="E23" s="766"/>
      <c r="F23" s="474"/>
      <c r="G23" s="643"/>
      <c r="H23" s="643"/>
      <c r="I23" s="643"/>
    </row>
    <row r="24" spans="1:9" ht="15.75" thickBot="1">
      <c r="A24" s="767"/>
      <c r="B24" s="768"/>
      <c r="C24" s="769"/>
      <c r="D24" s="769"/>
      <c r="E24" s="770"/>
      <c r="F24" s="474"/>
      <c r="G24" s="643"/>
      <c r="H24" s="643"/>
      <c r="I24" s="643"/>
    </row>
    <row r="25" spans="1:9">
      <c r="A25" s="729"/>
      <c r="B25" s="746"/>
      <c r="C25" s="493"/>
      <c r="D25" s="493"/>
      <c r="E25" s="766"/>
      <c r="F25" s="474"/>
      <c r="G25" s="643"/>
      <c r="H25" s="643"/>
      <c r="I25" s="643"/>
    </row>
    <row r="26" spans="1:9">
      <c r="A26" s="729"/>
      <c r="B26" s="771" t="s">
        <v>980</v>
      </c>
      <c r="C26" s="493"/>
      <c r="D26" s="493"/>
      <c r="E26" s="643"/>
      <c r="F26" s="474"/>
      <c r="G26" s="643"/>
      <c r="H26" s="643"/>
      <c r="I26" s="643"/>
    </row>
    <row r="27" spans="1:9">
      <c r="A27" s="729"/>
      <c r="B27" s="771"/>
      <c r="C27" s="493"/>
      <c r="D27" s="493"/>
      <c r="E27" s="643"/>
      <c r="F27" s="474"/>
      <c r="G27" s="643"/>
      <c r="H27" s="643"/>
      <c r="I27" s="643"/>
    </row>
    <row r="28" spans="1:9">
      <c r="A28" s="729"/>
      <c r="B28" s="634" t="s">
        <v>965</v>
      </c>
      <c r="C28" s="493"/>
      <c r="D28" s="493"/>
      <c r="E28" s="643"/>
      <c r="F28" s="474"/>
      <c r="G28" s="643"/>
      <c r="H28" s="643"/>
      <c r="I28" s="643"/>
    </row>
    <row r="29" spans="1:9">
      <c r="A29" s="729"/>
      <c r="B29" s="772" t="s">
        <v>981</v>
      </c>
      <c r="C29" s="493"/>
      <c r="D29" s="493"/>
      <c r="E29" s="773">
        <v>131255.66</v>
      </c>
      <c r="F29" s="474"/>
      <c r="G29" s="513" t="s">
        <v>2044</v>
      </c>
      <c r="H29" s="643"/>
      <c r="I29" s="643"/>
    </row>
    <row r="30" spans="1:9">
      <c r="A30" s="729"/>
      <c r="B30" s="772" t="s">
        <v>982</v>
      </c>
      <c r="C30" s="493"/>
      <c r="D30" s="493"/>
      <c r="E30" s="773">
        <v>672664.4</v>
      </c>
      <c r="F30" s="474"/>
      <c r="G30" s="513" t="s">
        <v>2044</v>
      </c>
      <c r="H30" s="643"/>
      <c r="I30" s="643"/>
    </row>
    <row r="31" spans="1:9">
      <c r="A31" s="729"/>
      <c r="B31" s="772" t="s">
        <v>983</v>
      </c>
      <c r="C31" s="493"/>
      <c r="D31" s="493"/>
      <c r="E31" s="773">
        <v>1117439.8999999997</v>
      </c>
      <c r="F31" s="474"/>
      <c r="G31" s="513" t="s">
        <v>2044</v>
      </c>
      <c r="H31" s="643"/>
      <c r="I31" s="643"/>
    </row>
    <row r="32" spans="1:9">
      <c r="A32" s="729"/>
      <c r="B32" s="772" t="s">
        <v>984</v>
      </c>
      <c r="C32" s="493"/>
      <c r="D32" s="493"/>
      <c r="E32" s="773">
        <v>0</v>
      </c>
      <c r="F32" s="474"/>
      <c r="G32" s="513" t="s">
        <v>2044</v>
      </c>
      <c r="H32" s="643"/>
      <c r="I32" s="643"/>
    </row>
    <row r="33" spans="1:9">
      <c r="A33" s="729"/>
      <c r="B33" s="772" t="s">
        <v>985</v>
      </c>
      <c r="C33" s="493"/>
      <c r="D33" s="493"/>
      <c r="E33" s="774">
        <v>-1500</v>
      </c>
      <c r="F33" s="474"/>
      <c r="G33" s="513" t="s">
        <v>2044</v>
      </c>
      <c r="H33" s="493"/>
      <c r="I33" s="643"/>
    </row>
    <row r="34" spans="1:9">
      <c r="A34" s="729"/>
      <c r="B34" s="775" t="s">
        <v>986</v>
      </c>
      <c r="C34" s="493"/>
      <c r="D34" s="493"/>
      <c r="E34" s="776">
        <f>SUM(E29:E33)</f>
        <v>1919859.9599999997</v>
      </c>
      <c r="F34" s="474"/>
      <c r="G34" s="643"/>
      <c r="H34" s="643"/>
      <c r="I34" s="643"/>
    </row>
    <row r="35" spans="1:9">
      <c r="A35" s="729"/>
      <c r="B35" s="746" t="s">
        <v>22</v>
      </c>
      <c r="C35" s="493"/>
      <c r="D35" s="493"/>
      <c r="E35" s="777">
        <f>Allocator.wages.salary</f>
        <v>8.414504158513228E-2</v>
      </c>
      <c r="F35" s="474"/>
      <c r="G35" s="643"/>
      <c r="H35" s="643"/>
      <c r="I35" s="643"/>
    </row>
    <row r="36" spans="1:9">
      <c r="A36" s="729"/>
      <c r="B36" s="778" t="s">
        <v>987</v>
      </c>
      <c r="C36" s="493"/>
      <c r="D36" s="493"/>
      <c r="E36" s="779">
        <f>E34*E35</f>
        <v>161546.69617183038</v>
      </c>
      <c r="F36" s="474"/>
      <c r="G36" s="474"/>
      <c r="H36" s="643"/>
      <c r="I36" s="643"/>
    </row>
    <row r="37" spans="1:9">
      <c r="A37" s="729"/>
      <c r="B37" s="746"/>
      <c r="C37" s="493"/>
      <c r="D37" s="493"/>
      <c r="E37" s="780"/>
      <c r="F37" s="474"/>
      <c r="G37" s="474"/>
      <c r="H37" s="643"/>
      <c r="I37" s="643"/>
    </row>
    <row r="38" spans="1:9">
      <c r="A38" s="729"/>
      <c r="B38" s="746"/>
      <c r="C38" s="493"/>
      <c r="D38" s="493"/>
      <c r="E38" s="643"/>
      <c r="F38" s="474"/>
      <c r="G38" s="474"/>
      <c r="H38" s="643"/>
      <c r="I38" s="643"/>
    </row>
    <row r="39" spans="1:9">
      <c r="A39" s="729"/>
      <c r="B39" s="634" t="s">
        <v>988</v>
      </c>
      <c r="C39" s="493"/>
      <c r="D39" s="493"/>
      <c r="E39" s="643"/>
      <c r="F39" s="474"/>
      <c r="G39" s="643"/>
      <c r="H39" s="643"/>
      <c r="I39" s="643"/>
    </row>
    <row r="40" spans="1:9">
      <c r="A40" s="729"/>
      <c r="B40" s="781" t="s">
        <v>989</v>
      </c>
      <c r="C40" s="493"/>
      <c r="D40" s="493"/>
      <c r="E40" s="433">
        <v>0</v>
      </c>
      <c r="F40" s="474"/>
      <c r="G40" s="513" t="s">
        <v>2044</v>
      </c>
      <c r="H40" s="643"/>
      <c r="I40" s="643"/>
    </row>
    <row r="41" spans="1:9">
      <c r="A41" s="729"/>
      <c r="B41" s="494" t="s">
        <v>990</v>
      </c>
      <c r="C41" s="493"/>
      <c r="D41" s="762" t="s">
        <v>991</v>
      </c>
      <c r="E41" s="782">
        <f>Inputs!E9</f>
        <v>555768</v>
      </c>
      <c r="F41" s="474"/>
      <c r="G41" s="513" t="s">
        <v>992</v>
      </c>
      <c r="H41" s="643"/>
      <c r="I41" s="643"/>
    </row>
    <row r="42" spans="1:9">
      <c r="A42" s="729"/>
      <c r="B42" s="778" t="s">
        <v>993</v>
      </c>
      <c r="C42" s="643"/>
      <c r="D42" s="643"/>
      <c r="E42" s="779">
        <f>SUM(E40:E41)</f>
        <v>555768</v>
      </c>
      <c r="F42" s="474"/>
      <c r="G42" s="513" t="s">
        <v>2044</v>
      </c>
      <c r="H42" s="643"/>
      <c r="I42" s="643"/>
    </row>
    <row r="43" spans="1:9">
      <c r="A43" s="729"/>
      <c r="B43" s="746"/>
      <c r="C43" s="493"/>
      <c r="D43" s="493"/>
      <c r="E43" s="780"/>
      <c r="F43" s="474"/>
      <c r="G43" s="513"/>
      <c r="H43" s="643"/>
      <c r="I43" s="643"/>
    </row>
    <row r="44" spans="1:9">
      <c r="A44" s="729"/>
      <c r="B44" s="746"/>
      <c r="C44" s="493"/>
      <c r="D44" s="493"/>
      <c r="E44" s="780"/>
      <c r="F44" s="474"/>
      <c r="G44" s="513"/>
      <c r="H44" s="643"/>
      <c r="I44" s="643"/>
    </row>
    <row r="45" spans="1:9">
      <c r="A45" s="727" t="s">
        <v>6</v>
      </c>
      <c r="B45" s="783"/>
      <c r="C45" s="784"/>
      <c r="D45" s="784"/>
      <c r="E45" s="785"/>
      <c r="F45" s="474"/>
      <c r="G45" s="643"/>
      <c r="H45" s="474"/>
      <c r="I45" s="474"/>
    </row>
    <row r="46" spans="1:9">
      <c r="A46" s="474"/>
      <c r="B46" s="474"/>
      <c r="C46" s="474"/>
      <c r="D46" s="474"/>
      <c r="E46" s="474"/>
      <c r="F46" s="474"/>
      <c r="G46" s="474"/>
      <c r="H46" s="474"/>
      <c r="I46" s="474"/>
    </row>
    <row r="47" spans="1:9" ht="63.75">
      <c r="A47" s="580" t="s">
        <v>994</v>
      </c>
      <c r="B47" s="786" t="str">
        <f>"All revenues related to transmission that are received as a transmission owner (i.e., not received as a LSE), for which the cost of the service is recovered under this formula,"&amp;" except as specifically provided for elsewhere in this Attachment or elsewhere in the formula, "&amp;"will be included as a revenue credit or included in the peak on line "&amp;'Appendix A'!A293&amp;" of Appendix A."</f>
        <v>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or included in the peak on line 170 of Appendix A.</v>
      </c>
      <c r="C47" s="493"/>
      <c r="D47" s="493"/>
      <c r="E47" s="766"/>
      <c r="F47" s="474"/>
      <c r="G47" s="474"/>
      <c r="H47" s="474"/>
      <c r="I47" s="474"/>
    </row>
    <row r="48" spans="1:9" ht="51">
      <c r="A48" s="580" t="s">
        <v>995</v>
      </c>
      <c r="B48" s="786" t="s">
        <v>996</v>
      </c>
      <c r="C48" s="787"/>
      <c r="D48" s="787"/>
      <c r="E48" s="788"/>
      <c r="F48" s="789"/>
      <c r="G48" s="643"/>
      <c r="H48" s="474"/>
      <c r="I48" s="474"/>
    </row>
    <row r="49" spans="1:9" ht="38.25">
      <c r="A49" s="580" t="s">
        <v>997</v>
      </c>
      <c r="B49" s="786" t="s">
        <v>998</v>
      </c>
      <c r="C49" s="790"/>
      <c r="D49" s="790"/>
      <c r="E49" s="788"/>
      <c r="F49" s="789"/>
      <c r="G49" s="643"/>
      <c r="H49" s="474"/>
      <c r="I49" s="474"/>
    </row>
    <row r="50" spans="1:9" ht="15.75" thickBot="1">
      <c r="A50" s="767"/>
      <c r="B50" s="791"/>
      <c r="C50" s="791"/>
      <c r="D50" s="791"/>
      <c r="E50" s="792"/>
      <c r="F50" s="643"/>
      <c r="G50" s="643"/>
      <c r="H50" s="474"/>
      <c r="I50" s="474"/>
    </row>
    <row r="51" spans="1:9">
      <c r="A51" s="729"/>
      <c r="B51" s="643"/>
      <c r="C51" s="643"/>
      <c r="D51" s="643"/>
      <c r="E51" s="731"/>
      <c r="F51" s="793"/>
      <c r="G51" s="643"/>
      <c r="H51" s="474"/>
      <c r="I51" s="474"/>
    </row>
    <row r="52" spans="1:9">
      <c r="A52" s="729"/>
      <c r="B52" s="643"/>
      <c r="C52" s="643"/>
      <c r="D52" s="643"/>
      <c r="E52" s="794"/>
      <c r="F52" s="729"/>
      <c r="G52" s="643"/>
      <c r="H52" s="474"/>
      <c r="I52" s="474"/>
    </row>
    <row r="53" spans="1:9">
      <c r="A53" s="729"/>
      <c r="B53" s="643"/>
      <c r="C53" s="493"/>
      <c r="D53" s="493"/>
      <c r="E53" s="795"/>
      <c r="F53" s="766"/>
      <c r="G53" s="643"/>
      <c r="H53" s="474"/>
      <c r="I53" s="474"/>
    </row>
    <row r="54" spans="1:9">
      <c r="A54" s="796"/>
      <c r="B54" s="797"/>
      <c r="C54" s="786"/>
      <c r="D54" s="786"/>
      <c r="E54" s="731"/>
      <c r="F54" s="643"/>
      <c r="G54" s="643"/>
      <c r="H54" s="474"/>
      <c r="I54" s="474"/>
    </row>
    <row r="55" spans="1:9">
      <c r="A55" s="796"/>
      <c r="B55" s="474"/>
      <c r="C55" s="474"/>
      <c r="D55" s="474"/>
      <c r="E55" s="731"/>
      <c r="F55" s="643"/>
      <c r="G55" s="643"/>
      <c r="H55" s="474"/>
      <c r="I55" s="474"/>
    </row>
  </sheetData>
  <mergeCells count="1">
    <mergeCell ref="A3:E3"/>
  </mergeCells>
  <pageMargins left="0.7" right="0.7" top="0.75" bottom="0.75" header="0.3" footer="0.3"/>
  <pageSetup scale="6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41</vt:i4>
      </vt:variant>
    </vt:vector>
  </HeadingPairs>
  <TitlesOfParts>
    <vt:vector size="72" baseType="lpstr">
      <vt:lpstr>Appendix A</vt:lpstr>
      <vt:lpstr>Appendix B</vt:lpstr>
      <vt:lpstr>Summary of Rates</vt:lpstr>
      <vt:lpstr>Att 1 - ADIT</vt:lpstr>
      <vt:lpstr>Att 1A - ADIT</vt:lpstr>
      <vt:lpstr>Att 1B - ADIT</vt:lpstr>
      <vt:lpstr>Att 1B - 2017 TCJA</vt:lpstr>
      <vt:lpstr>Att 2 - Other Taxes</vt:lpstr>
      <vt:lpstr>Att 3 - Revenue Credits</vt:lpstr>
      <vt:lpstr>Att 4 - 100 Basis Point ROE</vt:lpstr>
      <vt:lpstr>Att 5 - Cost Support</vt:lpstr>
      <vt:lpstr>Att 6 - Est &amp; Reconcile WS</vt:lpstr>
      <vt:lpstr>Att 7 - Trans Enhance Charge</vt:lpstr>
      <vt:lpstr>ATT 8 - Dep rates</vt:lpstr>
      <vt:lpstr>Att 9a - 2020 Projection</vt:lpstr>
      <vt:lpstr>Att 9a1-2019 Actual</vt:lpstr>
      <vt:lpstr>Att 9a2 - 2018 actual</vt:lpstr>
      <vt:lpstr>Att 9a3 - 2017 actual</vt:lpstr>
      <vt:lpstr>Att 9b - 2019 True-up</vt:lpstr>
      <vt:lpstr>Att 10 - Acc Amort of PIS</vt:lpstr>
      <vt:lpstr>Att 11 - Prepayments</vt:lpstr>
      <vt:lpstr>Att 12 - Plant Held Future Use</vt:lpstr>
      <vt:lpstr>Att 13 - Revenue Credit Detail</vt:lpstr>
      <vt:lpstr>Att 14 - Cost of Capital Detail</vt:lpstr>
      <vt:lpstr>Att 15 - GSU and Assoc'd Equip</vt:lpstr>
      <vt:lpstr>Att 16 - Unfunded Reserves</vt:lpstr>
      <vt:lpstr>Att 17 - PBOP</vt:lpstr>
      <vt:lpstr>PIS projection</vt:lpstr>
      <vt:lpstr>Gateway PIS Monthly</vt:lpstr>
      <vt:lpstr>Inputs</vt:lpstr>
      <vt:lpstr>FERC Form 1 data</vt:lpstr>
      <vt:lpstr>Allocator.gross.plant</vt:lpstr>
      <vt:lpstr>Allocator.net.plant</vt:lpstr>
      <vt:lpstr>Allocator.wages.salary</vt:lpstr>
      <vt:lpstr>data_year</vt:lpstr>
      <vt:lpstr>FF1_INPUT</vt:lpstr>
      <vt:lpstr>FF1_INPUT_columns</vt:lpstr>
      <vt:lpstr>Inputs_EndYrBal</vt:lpstr>
      <vt:lpstr>Inputs_EndYrBal_prior</vt:lpstr>
      <vt:lpstr>Inputs_FF1_Map</vt:lpstr>
      <vt:lpstr>'Appendix A'!Print_Area</vt:lpstr>
      <vt:lpstr>'Appendix B'!Print_Area</vt:lpstr>
      <vt:lpstr>'Att 1 - ADIT'!Print_Area</vt:lpstr>
      <vt:lpstr>'Att 10 - Acc Amort of PIS'!Print_Area</vt:lpstr>
      <vt:lpstr>'Att 11 - Prepayments'!Print_Area</vt:lpstr>
      <vt:lpstr>'Att 12 - Plant Held Future Use'!Print_Area</vt:lpstr>
      <vt:lpstr>'Att 13 - Revenue Credit Detail'!Print_Area</vt:lpstr>
      <vt:lpstr>'Att 14 - Cost of Capital Detail'!Print_Area</vt:lpstr>
      <vt:lpstr>'Att 15 - GSU and Assoc''d Equip'!Print_Area</vt:lpstr>
      <vt:lpstr>'Att 16 - Unfunded Reserves'!Print_Area</vt:lpstr>
      <vt:lpstr>'Att 17 - PBOP'!Print_Area</vt:lpstr>
      <vt:lpstr>'Att 1A - ADIT'!Print_Area</vt:lpstr>
      <vt:lpstr>'Att 1B - 2017 TCJA'!Print_Area</vt:lpstr>
      <vt:lpstr>'Att 1B - ADIT'!Print_Area</vt:lpstr>
      <vt:lpstr>'Att 2 - Other Taxes'!Print_Area</vt:lpstr>
      <vt:lpstr>'Att 3 - Revenue Credits'!Print_Area</vt:lpstr>
      <vt:lpstr>'Att 4 - 100 Basis Point ROE'!Print_Area</vt:lpstr>
      <vt:lpstr>'Att 5 - Cost Support'!Print_Area</vt:lpstr>
      <vt:lpstr>'Att 6 - Est &amp; Reconcile WS'!Print_Area</vt:lpstr>
      <vt:lpstr>'Att 7 - Trans Enhance Charge'!Print_Area</vt:lpstr>
      <vt:lpstr>'ATT 8 - Dep rates'!Print_Area</vt:lpstr>
      <vt:lpstr>'Att 9a - 2020 Projection'!Print_Area</vt:lpstr>
      <vt:lpstr>'Att 9a1-2019 Actual'!Print_Area</vt:lpstr>
      <vt:lpstr>'Att 9a2 - 2018 actual'!Print_Area</vt:lpstr>
      <vt:lpstr>'Att 9a3 - 2017 actual'!Print_Area</vt:lpstr>
      <vt:lpstr>'Att 9b - 2019 True-up'!Print_Area</vt:lpstr>
      <vt:lpstr>'Summary of Rates'!Print_Area</vt:lpstr>
      <vt:lpstr>'Appendix A'!Print_Titles</vt:lpstr>
      <vt:lpstr>Projection</vt:lpstr>
      <vt:lpstr>Toggle</vt:lpstr>
      <vt:lpstr>Toggle.list</vt:lpstr>
      <vt:lpstr>True_up</vt:lpstr>
    </vt:vector>
  </TitlesOfParts>
  <Company>PacifiCorp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PacifiCorp</dc:creator>
  <cp:lastModifiedBy>Fred Nass</cp:lastModifiedBy>
  <cp:lastPrinted>2020-05-12T21:04:07Z</cp:lastPrinted>
  <dcterms:created xsi:type="dcterms:W3CDTF">2018-10-11T21:19:20Z</dcterms:created>
  <dcterms:modified xsi:type="dcterms:W3CDTF">2021-02-22T23:40:33Z</dcterms:modified>
</cp:coreProperties>
</file>